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AMBN\Downloads\"/>
    </mc:Choice>
  </mc:AlternateContent>
  <bookViews>
    <workbookView xWindow="0" yWindow="0" windowWidth="19200" windowHeight="11490" activeTab="6"/>
  </bookViews>
  <sheets>
    <sheet name="القاهرة" sheetId="17" r:id="rId1"/>
    <sheet name="السويس" sheetId="12" r:id="rId2"/>
    <sheet name="الاإسكندرية" sheetId="13" r:id="rId3"/>
    <sheet name="قنا" sheetId="14" r:id="rId4"/>
    <sheet name="سفاجا" sheetId="15" r:id="rId5"/>
    <sheet name="الوفيات والورثة دينمك" sheetId="20" r:id="rId6"/>
    <sheet name="أخر دفعة" sheetId="24" r:id="rId7"/>
    <sheet name="بيانات" sheetId="18" r:id="rId8"/>
    <sheet name="خطابات" sheetId="23" r:id="rId9"/>
    <sheet name="ورقة2" sheetId="21" r:id="rId10"/>
    <sheet name="ورقة2 (2)" sheetId="22" r:id="rId11"/>
    <sheet name="الوفيات والورثة" sheetId="3" r:id="rId12"/>
    <sheet name="ورقة1" sheetId="25" r:id="rId13"/>
  </sheets>
  <externalReferences>
    <externalReference r:id="rId14"/>
    <externalReference r:id="rId15"/>
  </externalReferences>
  <definedNames>
    <definedName name="_xlnm.Print_Area" localSheetId="7">بيانات!$J$238:$P$259</definedName>
    <definedName name="_xlnm.Print_Area" localSheetId="8">خطابات!$B$3:$J$63</definedName>
    <definedName name="_xlnm.Print_Titles" localSheetId="8">خطابات!$6:$6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9" i="18" l="1"/>
  <c r="G128" i="18"/>
  <c r="F128" i="18"/>
  <c r="J128" i="18"/>
  <c r="I128" i="18"/>
  <c r="H128" i="18"/>
  <c r="F129" i="18"/>
  <c r="F127" i="18"/>
  <c r="G127" i="18"/>
  <c r="E128" i="18"/>
  <c r="E129" i="18"/>
  <c r="H129" i="18"/>
  <c r="I129" i="18"/>
  <c r="J129" i="18"/>
  <c r="K129" i="18"/>
  <c r="H127" i="18"/>
  <c r="I127" i="18"/>
  <c r="J127" i="18"/>
  <c r="K127" i="18"/>
  <c r="E127" i="18"/>
  <c r="V245" i="18" l="1"/>
  <c r="U245" i="18"/>
  <c r="D233" i="18"/>
  <c r="R20" i="20" l="1"/>
  <c r="R111" i="20" l="1"/>
  <c r="R109" i="20"/>
  <c r="R108" i="20" l="1"/>
  <c r="R107" i="20"/>
  <c r="W59" i="24" l="1"/>
  <c r="X59" i="24"/>
  <c r="Y59" i="24"/>
  <c r="Z59" i="24"/>
  <c r="AA59" i="24"/>
  <c r="W60" i="24"/>
  <c r="X60" i="24"/>
  <c r="Y60" i="24"/>
  <c r="Z60" i="24"/>
  <c r="AA60" i="24"/>
  <c r="W61" i="24"/>
  <c r="X61" i="24"/>
  <c r="Y61" i="24"/>
  <c r="Z61" i="24"/>
  <c r="AA61" i="24"/>
  <c r="W62" i="24"/>
  <c r="X62" i="24"/>
  <c r="Y62" i="24"/>
  <c r="Z62" i="24"/>
  <c r="AA62" i="24"/>
  <c r="W63" i="24"/>
  <c r="X63" i="24"/>
  <c r="Y63" i="24"/>
  <c r="Z63" i="24"/>
  <c r="AA63" i="24"/>
  <c r="W64" i="24"/>
  <c r="X64" i="24"/>
  <c r="Y64" i="24"/>
  <c r="Z64" i="24"/>
  <c r="AA64" i="24"/>
  <c r="W65" i="24"/>
  <c r="X65" i="24"/>
  <c r="Y65" i="24"/>
  <c r="Z65" i="24"/>
  <c r="AA65" i="24"/>
  <c r="W66" i="24"/>
  <c r="X66" i="24"/>
  <c r="Y66" i="24"/>
  <c r="Z66" i="24"/>
  <c r="AA66" i="24"/>
  <c r="W67" i="24"/>
  <c r="X67" i="24"/>
  <c r="Y67" i="24"/>
  <c r="Z67" i="24"/>
  <c r="AA67" i="24"/>
  <c r="W68" i="24"/>
  <c r="X68" i="24"/>
  <c r="Y68" i="24"/>
  <c r="Z68" i="24"/>
  <c r="AA68" i="24"/>
  <c r="W69" i="24"/>
  <c r="X69" i="24"/>
  <c r="Y69" i="24"/>
  <c r="Z69" i="24"/>
  <c r="AA69" i="24"/>
  <c r="W70" i="24"/>
  <c r="X70" i="24"/>
  <c r="Y70" i="24"/>
  <c r="Z70" i="24"/>
  <c r="AA70" i="24"/>
  <c r="W71" i="24"/>
  <c r="X71" i="24"/>
  <c r="Y71" i="24"/>
  <c r="Z71" i="24"/>
  <c r="AA71" i="24"/>
  <c r="W72" i="24"/>
  <c r="X72" i="24"/>
  <c r="Y72" i="24"/>
  <c r="Z72" i="24"/>
  <c r="AA72" i="24"/>
  <c r="W73" i="24"/>
  <c r="X73" i="24"/>
  <c r="Y73" i="24"/>
  <c r="Z73" i="24"/>
  <c r="AA73" i="24"/>
  <c r="W74" i="24"/>
  <c r="X74" i="24"/>
  <c r="Y74" i="24"/>
  <c r="Z74" i="24"/>
  <c r="AA74" i="24"/>
  <c r="W75" i="24"/>
  <c r="X75" i="24"/>
  <c r="Y75" i="24"/>
  <c r="Z75" i="24"/>
  <c r="AA75" i="24"/>
  <c r="W76" i="24"/>
  <c r="X76" i="24"/>
  <c r="Y76" i="24"/>
  <c r="Z76" i="24"/>
  <c r="AA76" i="24"/>
  <c r="W77" i="24"/>
  <c r="X77" i="24"/>
  <c r="Y77" i="24"/>
  <c r="Z77" i="24"/>
  <c r="AA77" i="24"/>
  <c r="W78" i="24"/>
  <c r="X78" i="24"/>
  <c r="Y78" i="24"/>
  <c r="Z78" i="24"/>
  <c r="AA78" i="24"/>
  <c r="W79" i="24"/>
  <c r="X79" i="24"/>
  <c r="Y79" i="24"/>
  <c r="Z79" i="24"/>
  <c r="AA79" i="24"/>
  <c r="W80" i="24"/>
  <c r="X80" i="24"/>
  <c r="Y80" i="24"/>
  <c r="Z80" i="24"/>
  <c r="AA80" i="24"/>
  <c r="W81" i="24"/>
  <c r="X81" i="24"/>
  <c r="Y81" i="24"/>
  <c r="Z81" i="24"/>
  <c r="AA81" i="24"/>
  <c r="W82" i="24"/>
  <c r="X82" i="24"/>
  <c r="Y82" i="24"/>
  <c r="Z82" i="24"/>
  <c r="AA82" i="24"/>
  <c r="W83" i="24"/>
  <c r="X83" i="24"/>
  <c r="Y83" i="24"/>
  <c r="Z83" i="24"/>
  <c r="AA83" i="24"/>
  <c r="W84" i="24"/>
  <c r="X84" i="24"/>
  <c r="Y84" i="24"/>
  <c r="Z84" i="24"/>
  <c r="AA84" i="24"/>
  <c r="W85" i="24"/>
  <c r="X85" i="24"/>
  <c r="Y85" i="24"/>
  <c r="Z85" i="24"/>
  <c r="AA85" i="24"/>
  <c r="W86" i="24"/>
  <c r="X86" i="24"/>
  <c r="Y86" i="24"/>
  <c r="Z86" i="24"/>
  <c r="AA86" i="24"/>
  <c r="W87" i="24"/>
  <c r="X87" i="24"/>
  <c r="Y87" i="24"/>
  <c r="Z87" i="24"/>
  <c r="AA87" i="24"/>
  <c r="W88" i="24"/>
  <c r="X88" i="24"/>
  <c r="Y88" i="24"/>
  <c r="Z88" i="24"/>
  <c r="AA88" i="24"/>
  <c r="W89" i="24"/>
  <c r="X89" i="24"/>
  <c r="Y89" i="24"/>
  <c r="Z89" i="24"/>
  <c r="AA89" i="24"/>
  <c r="W90" i="24"/>
  <c r="X90" i="24"/>
  <c r="Y90" i="24"/>
  <c r="Z90" i="24"/>
  <c r="AA90" i="24"/>
  <c r="W91" i="24"/>
  <c r="X91" i="24"/>
  <c r="Y91" i="24"/>
  <c r="Z91" i="24"/>
  <c r="AA91" i="24"/>
  <c r="W92" i="24"/>
  <c r="X92" i="24"/>
  <c r="Y92" i="24"/>
  <c r="Z92" i="24"/>
  <c r="AA92" i="24"/>
  <c r="X58" i="24"/>
  <c r="Y58" i="24"/>
  <c r="Z58" i="24"/>
  <c r="AA58" i="24"/>
  <c r="W58" i="24"/>
  <c r="W35" i="24"/>
  <c r="X35" i="24"/>
  <c r="Y35" i="24"/>
  <c r="Z35" i="24"/>
  <c r="AA35" i="24"/>
  <c r="W36" i="24"/>
  <c r="X36" i="24"/>
  <c r="Y36" i="24"/>
  <c r="Z36" i="24"/>
  <c r="AA36" i="24"/>
  <c r="W37" i="24"/>
  <c r="X37" i="24"/>
  <c r="Y37" i="24"/>
  <c r="Z37" i="24"/>
  <c r="AA37" i="24"/>
  <c r="W38" i="24"/>
  <c r="X38" i="24"/>
  <c r="Y38" i="24"/>
  <c r="Z38" i="24"/>
  <c r="AA38" i="24"/>
  <c r="W39" i="24"/>
  <c r="X39" i="24"/>
  <c r="Y39" i="24"/>
  <c r="Z39" i="24"/>
  <c r="AA39" i="24"/>
  <c r="W40" i="24"/>
  <c r="X40" i="24"/>
  <c r="Y40" i="24"/>
  <c r="Z40" i="24"/>
  <c r="AA40" i="24"/>
  <c r="W41" i="24"/>
  <c r="X41" i="24"/>
  <c r="Y41" i="24"/>
  <c r="Z41" i="24"/>
  <c r="AA41" i="24"/>
  <c r="W42" i="24"/>
  <c r="X42" i="24"/>
  <c r="Y42" i="24"/>
  <c r="Z42" i="24"/>
  <c r="AA42" i="24"/>
  <c r="W43" i="24"/>
  <c r="X43" i="24"/>
  <c r="Y43" i="24"/>
  <c r="Z43" i="24"/>
  <c r="AA43" i="24"/>
  <c r="W44" i="24"/>
  <c r="X44" i="24"/>
  <c r="Y44" i="24"/>
  <c r="Z44" i="24"/>
  <c r="AA44" i="24"/>
  <c r="W45" i="24"/>
  <c r="X45" i="24"/>
  <c r="Y45" i="24"/>
  <c r="Z45" i="24"/>
  <c r="AA45" i="24"/>
  <c r="W46" i="24"/>
  <c r="X46" i="24"/>
  <c r="Y46" i="24"/>
  <c r="Z46" i="24"/>
  <c r="AA46" i="24"/>
  <c r="W47" i="24"/>
  <c r="X47" i="24"/>
  <c r="Y47" i="24"/>
  <c r="Z47" i="24"/>
  <c r="AA47" i="24"/>
  <c r="W48" i="24"/>
  <c r="X48" i="24"/>
  <c r="Y48" i="24"/>
  <c r="Z48" i="24"/>
  <c r="AA48" i="24"/>
  <c r="W49" i="24"/>
  <c r="X49" i="24"/>
  <c r="Y49" i="24"/>
  <c r="Z49" i="24"/>
  <c r="AA49" i="24"/>
  <c r="W50" i="24"/>
  <c r="X50" i="24"/>
  <c r="Y50" i="24"/>
  <c r="Z50" i="24"/>
  <c r="AA50" i="24"/>
  <c r="W51" i="24"/>
  <c r="X51" i="24"/>
  <c r="Y51" i="24"/>
  <c r="Z51" i="24"/>
  <c r="AA51" i="24"/>
  <c r="W52" i="24"/>
  <c r="X52" i="24"/>
  <c r="Y52" i="24"/>
  <c r="Z52" i="24"/>
  <c r="AA52" i="24"/>
  <c r="W53" i="24"/>
  <c r="X53" i="24"/>
  <c r="Y53" i="24"/>
  <c r="Z53" i="24"/>
  <c r="AA53" i="24"/>
  <c r="W54" i="24"/>
  <c r="X54" i="24"/>
  <c r="Y54" i="24"/>
  <c r="Z54" i="24"/>
  <c r="AA54" i="24"/>
  <c r="W55" i="24"/>
  <c r="X55" i="24"/>
  <c r="Y55" i="24"/>
  <c r="Z55" i="24"/>
  <c r="AA55" i="24"/>
  <c r="W56" i="24"/>
  <c r="X56" i="24"/>
  <c r="Y56" i="24"/>
  <c r="Z56" i="24"/>
  <c r="AA56" i="24"/>
  <c r="W57" i="24"/>
  <c r="X57" i="24"/>
  <c r="Y57" i="24"/>
  <c r="Z57" i="24"/>
  <c r="AA57" i="24"/>
  <c r="X34" i="24"/>
  <c r="Y34" i="24"/>
  <c r="Z34" i="24"/>
  <c r="AA34" i="24"/>
  <c r="W34" i="24"/>
  <c r="W16" i="24"/>
  <c r="X16" i="24"/>
  <c r="Y16" i="24"/>
  <c r="Z16" i="24"/>
  <c r="AA16" i="24"/>
  <c r="W17" i="24"/>
  <c r="X17" i="24"/>
  <c r="Y17" i="24"/>
  <c r="Z17" i="24"/>
  <c r="AA17" i="24"/>
  <c r="W18" i="24"/>
  <c r="X18" i="24"/>
  <c r="Y18" i="24"/>
  <c r="Z18" i="24"/>
  <c r="AA18" i="24"/>
  <c r="W19" i="24"/>
  <c r="X19" i="24"/>
  <c r="Y19" i="24"/>
  <c r="Z19" i="24"/>
  <c r="AA19" i="24"/>
  <c r="W20" i="24"/>
  <c r="X20" i="24"/>
  <c r="Y20" i="24"/>
  <c r="Z20" i="24"/>
  <c r="AA20" i="24"/>
  <c r="W21" i="24"/>
  <c r="X21" i="24"/>
  <c r="Y21" i="24"/>
  <c r="Z21" i="24"/>
  <c r="AA21" i="24"/>
  <c r="W22" i="24"/>
  <c r="X22" i="24"/>
  <c r="Y22" i="24"/>
  <c r="Z22" i="24"/>
  <c r="AA22" i="24"/>
  <c r="W23" i="24"/>
  <c r="X23" i="24"/>
  <c r="Y23" i="24"/>
  <c r="Z23" i="24"/>
  <c r="AA23" i="24"/>
  <c r="W24" i="24"/>
  <c r="X24" i="24"/>
  <c r="Y24" i="24"/>
  <c r="Z24" i="24"/>
  <c r="AA24" i="24"/>
  <c r="W25" i="24"/>
  <c r="X25" i="24"/>
  <c r="Y25" i="24"/>
  <c r="Z25" i="24"/>
  <c r="AA25" i="24"/>
  <c r="W26" i="24"/>
  <c r="X26" i="24"/>
  <c r="Y26" i="24"/>
  <c r="Z26" i="24"/>
  <c r="AA26" i="24"/>
  <c r="W27" i="24"/>
  <c r="X27" i="24"/>
  <c r="Y27" i="24"/>
  <c r="Z27" i="24"/>
  <c r="AA27" i="24"/>
  <c r="W28" i="24"/>
  <c r="X28" i="24"/>
  <c r="Y28" i="24"/>
  <c r="Z28" i="24"/>
  <c r="AA28" i="24"/>
  <c r="W29" i="24"/>
  <c r="X29" i="24"/>
  <c r="Y29" i="24"/>
  <c r="Z29" i="24"/>
  <c r="AA29" i="24"/>
  <c r="W30" i="24"/>
  <c r="X30" i="24"/>
  <c r="Y30" i="24"/>
  <c r="Z30" i="24"/>
  <c r="AA30" i="24"/>
  <c r="W31" i="24"/>
  <c r="X31" i="24"/>
  <c r="Y31" i="24"/>
  <c r="Z31" i="24"/>
  <c r="AA31" i="24"/>
  <c r="W32" i="24"/>
  <c r="X32" i="24"/>
  <c r="Y32" i="24"/>
  <c r="Z32" i="24"/>
  <c r="AA32" i="24"/>
  <c r="W33" i="24"/>
  <c r="X33" i="24"/>
  <c r="Y33" i="24"/>
  <c r="Z33" i="24"/>
  <c r="AA33" i="24"/>
  <c r="X15" i="24"/>
  <c r="Y15" i="24"/>
  <c r="Z15" i="24"/>
  <c r="AA15" i="24"/>
  <c r="W15" i="24"/>
  <c r="W4" i="24"/>
  <c r="X4" i="24"/>
  <c r="Y4" i="24"/>
  <c r="Z4" i="24"/>
  <c r="AA4" i="24"/>
  <c r="W5" i="24"/>
  <c r="X5" i="24"/>
  <c r="Y5" i="24"/>
  <c r="Z5" i="24"/>
  <c r="AA5" i="24"/>
  <c r="W6" i="24"/>
  <c r="X6" i="24"/>
  <c r="Y6" i="24"/>
  <c r="Z6" i="24"/>
  <c r="AA6" i="24"/>
  <c r="W7" i="24"/>
  <c r="X7" i="24"/>
  <c r="Y7" i="24"/>
  <c r="Z7" i="24"/>
  <c r="AA7" i="24"/>
  <c r="W8" i="24"/>
  <c r="X8" i="24"/>
  <c r="Y8" i="24"/>
  <c r="Z8" i="24"/>
  <c r="AA8" i="24"/>
  <c r="W9" i="24"/>
  <c r="X9" i="24"/>
  <c r="Y9" i="24"/>
  <c r="Z9" i="24"/>
  <c r="AA9" i="24"/>
  <c r="W10" i="24"/>
  <c r="X10" i="24"/>
  <c r="Y10" i="24"/>
  <c r="Z10" i="24"/>
  <c r="AA10" i="24"/>
  <c r="W12" i="24"/>
  <c r="X12" i="24"/>
  <c r="Y12" i="24"/>
  <c r="Z12" i="24"/>
  <c r="AA12" i="24"/>
  <c r="W13" i="24"/>
  <c r="X13" i="24"/>
  <c r="Y13" i="24"/>
  <c r="Z13" i="24"/>
  <c r="AA13" i="24"/>
  <c r="W14" i="24"/>
  <c r="X14" i="24"/>
  <c r="Y14" i="24"/>
  <c r="Z14" i="24"/>
  <c r="AA14" i="24"/>
  <c r="X3" i="24"/>
  <c r="Y3" i="24"/>
  <c r="Z3" i="24"/>
  <c r="AA3" i="24"/>
  <c r="W3" i="24"/>
  <c r="G59" i="24"/>
  <c r="H59" i="24"/>
  <c r="I59" i="24"/>
  <c r="J59" i="24"/>
  <c r="K59" i="24"/>
  <c r="L59" i="24"/>
  <c r="M59" i="24"/>
  <c r="N59" i="24"/>
  <c r="O59" i="24"/>
  <c r="G60" i="24"/>
  <c r="H60" i="24"/>
  <c r="I60" i="24"/>
  <c r="J60" i="24"/>
  <c r="K60" i="24"/>
  <c r="L60" i="24"/>
  <c r="M60" i="24"/>
  <c r="N60" i="24"/>
  <c r="O60" i="24"/>
  <c r="G61" i="24"/>
  <c r="H61" i="24"/>
  <c r="I61" i="24"/>
  <c r="J61" i="24"/>
  <c r="K61" i="24"/>
  <c r="L61" i="24"/>
  <c r="M61" i="24"/>
  <c r="N61" i="24"/>
  <c r="O61" i="24"/>
  <c r="G62" i="24"/>
  <c r="H62" i="24"/>
  <c r="I62" i="24"/>
  <c r="J62" i="24"/>
  <c r="K62" i="24"/>
  <c r="L62" i="24"/>
  <c r="M62" i="24"/>
  <c r="N62" i="24"/>
  <c r="O62" i="24"/>
  <c r="G63" i="24"/>
  <c r="H63" i="24"/>
  <c r="I63" i="24"/>
  <c r="J63" i="24"/>
  <c r="K63" i="24"/>
  <c r="L63" i="24"/>
  <c r="M63" i="24"/>
  <c r="N63" i="24"/>
  <c r="O63" i="24"/>
  <c r="G64" i="24"/>
  <c r="H64" i="24"/>
  <c r="I64" i="24"/>
  <c r="J64" i="24"/>
  <c r="K64" i="24"/>
  <c r="L64" i="24"/>
  <c r="M64" i="24"/>
  <c r="N64" i="24"/>
  <c r="O64" i="24"/>
  <c r="G65" i="24"/>
  <c r="H65" i="24"/>
  <c r="I65" i="24"/>
  <c r="J65" i="24"/>
  <c r="K65" i="24"/>
  <c r="L65" i="24"/>
  <c r="M65" i="24"/>
  <c r="N65" i="24"/>
  <c r="O65" i="24"/>
  <c r="G66" i="24"/>
  <c r="H66" i="24"/>
  <c r="I66" i="24"/>
  <c r="J66" i="24"/>
  <c r="K66" i="24"/>
  <c r="L66" i="24"/>
  <c r="M66" i="24"/>
  <c r="N66" i="24"/>
  <c r="O66" i="24"/>
  <c r="G67" i="24"/>
  <c r="H67" i="24"/>
  <c r="I67" i="24"/>
  <c r="J67" i="24"/>
  <c r="K67" i="24"/>
  <c r="L67" i="24"/>
  <c r="M67" i="24"/>
  <c r="N67" i="24"/>
  <c r="O67" i="24"/>
  <c r="G68" i="24"/>
  <c r="H68" i="24"/>
  <c r="I68" i="24"/>
  <c r="J68" i="24"/>
  <c r="K68" i="24"/>
  <c r="L68" i="24"/>
  <c r="M68" i="24"/>
  <c r="N68" i="24"/>
  <c r="O68" i="24"/>
  <c r="G69" i="24"/>
  <c r="H69" i="24"/>
  <c r="I69" i="24"/>
  <c r="J69" i="24"/>
  <c r="K69" i="24"/>
  <c r="L69" i="24"/>
  <c r="M69" i="24"/>
  <c r="N69" i="24"/>
  <c r="O69" i="24"/>
  <c r="G70" i="24"/>
  <c r="H70" i="24"/>
  <c r="I70" i="24"/>
  <c r="J70" i="24"/>
  <c r="K70" i="24"/>
  <c r="L70" i="24"/>
  <c r="M70" i="24"/>
  <c r="N70" i="24"/>
  <c r="O70" i="24"/>
  <c r="G71" i="24"/>
  <c r="H71" i="24"/>
  <c r="I71" i="24"/>
  <c r="J71" i="24"/>
  <c r="K71" i="24"/>
  <c r="L71" i="24"/>
  <c r="M71" i="24"/>
  <c r="N71" i="24"/>
  <c r="O71" i="24"/>
  <c r="G72" i="24"/>
  <c r="H72" i="24"/>
  <c r="I72" i="24"/>
  <c r="J72" i="24"/>
  <c r="K72" i="24"/>
  <c r="L72" i="24"/>
  <c r="M72" i="24"/>
  <c r="N72" i="24"/>
  <c r="O72" i="24"/>
  <c r="G73" i="24"/>
  <c r="H73" i="24"/>
  <c r="I73" i="24"/>
  <c r="J73" i="24"/>
  <c r="K73" i="24"/>
  <c r="L73" i="24"/>
  <c r="M73" i="24"/>
  <c r="N73" i="24"/>
  <c r="O73" i="24"/>
  <c r="G74" i="24"/>
  <c r="H74" i="24"/>
  <c r="I74" i="24"/>
  <c r="J74" i="24"/>
  <c r="K74" i="24"/>
  <c r="L74" i="24"/>
  <c r="M74" i="24"/>
  <c r="N74" i="24"/>
  <c r="O74" i="24"/>
  <c r="G75" i="24"/>
  <c r="H75" i="24"/>
  <c r="I75" i="24"/>
  <c r="J75" i="24"/>
  <c r="K75" i="24"/>
  <c r="L75" i="24"/>
  <c r="M75" i="24"/>
  <c r="N75" i="24"/>
  <c r="O75" i="24"/>
  <c r="G76" i="24"/>
  <c r="H76" i="24"/>
  <c r="I76" i="24"/>
  <c r="J76" i="24"/>
  <c r="K76" i="24"/>
  <c r="L76" i="24"/>
  <c r="M76" i="24"/>
  <c r="N76" i="24"/>
  <c r="O76" i="24"/>
  <c r="G77" i="24"/>
  <c r="H77" i="24"/>
  <c r="I77" i="24"/>
  <c r="J77" i="24"/>
  <c r="K77" i="24"/>
  <c r="L77" i="24"/>
  <c r="M77" i="24"/>
  <c r="N77" i="24"/>
  <c r="O77" i="24"/>
  <c r="G78" i="24"/>
  <c r="H78" i="24"/>
  <c r="I78" i="24"/>
  <c r="J78" i="24"/>
  <c r="K78" i="24"/>
  <c r="L78" i="24"/>
  <c r="M78" i="24"/>
  <c r="N78" i="24"/>
  <c r="O78" i="24"/>
  <c r="G79" i="24"/>
  <c r="H79" i="24"/>
  <c r="I79" i="24"/>
  <c r="J79" i="24"/>
  <c r="K79" i="24"/>
  <c r="L79" i="24"/>
  <c r="M79" i="24"/>
  <c r="N79" i="24"/>
  <c r="O79" i="24"/>
  <c r="G80" i="24"/>
  <c r="H80" i="24"/>
  <c r="I80" i="24"/>
  <c r="J80" i="24"/>
  <c r="K80" i="24"/>
  <c r="L80" i="24"/>
  <c r="M80" i="24"/>
  <c r="N80" i="24"/>
  <c r="O80" i="24"/>
  <c r="G81" i="24"/>
  <c r="H81" i="24"/>
  <c r="I81" i="24"/>
  <c r="J81" i="24"/>
  <c r="K81" i="24"/>
  <c r="L81" i="24"/>
  <c r="M81" i="24"/>
  <c r="N81" i="24"/>
  <c r="O81" i="24"/>
  <c r="G82" i="24"/>
  <c r="H82" i="24"/>
  <c r="I82" i="24"/>
  <c r="J82" i="24"/>
  <c r="K82" i="24"/>
  <c r="L82" i="24"/>
  <c r="M82" i="24"/>
  <c r="N82" i="24"/>
  <c r="O82" i="24"/>
  <c r="G83" i="24"/>
  <c r="H83" i="24"/>
  <c r="I83" i="24"/>
  <c r="J83" i="24"/>
  <c r="K83" i="24"/>
  <c r="L83" i="24"/>
  <c r="M83" i="24"/>
  <c r="N83" i="24"/>
  <c r="O83" i="24"/>
  <c r="G84" i="24"/>
  <c r="H84" i="24"/>
  <c r="I84" i="24"/>
  <c r="J84" i="24"/>
  <c r="K84" i="24"/>
  <c r="L84" i="24"/>
  <c r="M84" i="24"/>
  <c r="N84" i="24"/>
  <c r="O84" i="24"/>
  <c r="G85" i="24"/>
  <c r="H85" i="24"/>
  <c r="I85" i="24"/>
  <c r="J85" i="24"/>
  <c r="K85" i="24"/>
  <c r="L85" i="24"/>
  <c r="M85" i="24"/>
  <c r="N85" i="24"/>
  <c r="O85" i="24"/>
  <c r="G86" i="24"/>
  <c r="H86" i="24"/>
  <c r="I86" i="24"/>
  <c r="J86" i="24"/>
  <c r="K86" i="24"/>
  <c r="L86" i="24"/>
  <c r="M86" i="24"/>
  <c r="N86" i="24"/>
  <c r="O86" i="24"/>
  <c r="G87" i="24"/>
  <c r="H87" i="24"/>
  <c r="I87" i="24"/>
  <c r="J87" i="24"/>
  <c r="K87" i="24"/>
  <c r="L87" i="24"/>
  <c r="M87" i="24"/>
  <c r="N87" i="24"/>
  <c r="O87" i="24"/>
  <c r="G88" i="24"/>
  <c r="H88" i="24"/>
  <c r="I88" i="24"/>
  <c r="G89" i="24"/>
  <c r="H89" i="24"/>
  <c r="I89" i="24"/>
  <c r="J89" i="24"/>
  <c r="K89" i="24"/>
  <c r="L89" i="24"/>
  <c r="M89" i="24"/>
  <c r="N89" i="24"/>
  <c r="O89" i="24"/>
  <c r="G90" i="24"/>
  <c r="H90" i="24"/>
  <c r="I90" i="24"/>
  <c r="J90" i="24"/>
  <c r="K90" i="24"/>
  <c r="L90" i="24"/>
  <c r="M90" i="24"/>
  <c r="N90" i="24"/>
  <c r="O90" i="24"/>
  <c r="G91" i="24"/>
  <c r="H91" i="24"/>
  <c r="I91" i="24"/>
  <c r="J91" i="24"/>
  <c r="K91" i="24"/>
  <c r="L91" i="24"/>
  <c r="M91" i="24"/>
  <c r="N91" i="24"/>
  <c r="O91" i="24"/>
  <c r="G92" i="24"/>
  <c r="H92" i="24"/>
  <c r="I92" i="24"/>
  <c r="J92" i="24"/>
  <c r="K92" i="24"/>
  <c r="L92" i="24"/>
  <c r="M92" i="24"/>
  <c r="N92" i="24"/>
  <c r="O92" i="24"/>
  <c r="K58" i="24"/>
  <c r="L58" i="24"/>
  <c r="M58" i="24"/>
  <c r="N58" i="24"/>
  <c r="O58" i="24"/>
  <c r="J58" i="24"/>
  <c r="H58" i="24"/>
  <c r="I58" i="24"/>
  <c r="G58" i="24"/>
  <c r="G35" i="24"/>
  <c r="H35" i="24"/>
  <c r="I35" i="24"/>
  <c r="J35" i="24"/>
  <c r="K35" i="24"/>
  <c r="L35" i="24"/>
  <c r="M35" i="24"/>
  <c r="N35" i="24"/>
  <c r="O35" i="24"/>
  <c r="G36" i="24"/>
  <c r="H36" i="24"/>
  <c r="I36" i="24"/>
  <c r="J36" i="24"/>
  <c r="K36" i="24"/>
  <c r="L36" i="24"/>
  <c r="M36" i="24"/>
  <c r="N36" i="24"/>
  <c r="O36" i="24"/>
  <c r="G37" i="24"/>
  <c r="H37" i="24"/>
  <c r="I37" i="24"/>
  <c r="J37" i="24"/>
  <c r="K37" i="24"/>
  <c r="L37" i="24"/>
  <c r="M37" i="24"/>
  <c r="N37" i="24"/>
  <c r="O37" i="24"/>
  <c r="G38" i="24"/>
  <c r="H38" i="24"/>
  <c r="I38" i="24"/>
  <c r="J38" i="24"/>
  <c r="K38" i="24"/>
  <c r="L38" i="24"/>
  <c r="M38" i="24"/>
  <c r="N38" i="24"/>
  <c r="O38" i="24"/>
  <c r="G39" i="24"/>
  <c r="H39" i="24"/>
  <c r="I39" i="24"/>
  <c r="J39" i="24"/>
  <c r="K39" i="24"/>
  <c r="L39" i="24"/>
  <c r="M39" i="24"/>
  <c r="N39" i="24"/>
  <c r="O39" i="24"/>
  <c r="G40" i="24"/>
  <c r="H40" i="24"/>
  <c r="I40" i="24"/>
  <c r="J40" i="24"/>
  <c r="K40" i="24"/>
  <c r="L40" i="24"/>
  <c r="M40" i="24"/>
  <c r="N40" i="24"/>
  <c r="O40" i="24"/>
  <c r="G41" i="24"/>
  <c r="H41" i="24"/>
  <c r="I41" i="24"/>
  <c r="J41" i="24"/>
  <c r="K41" i="24"/>
  <c r="L41" i="24"/>
  <c r="M41" i="24"/>
  <c r="N41" i="24"/>
  <c r="O41" i="24"/>
  <c r="G42" i="24"/>
  <c r="H42" i="24"/>
  <c r="I42" i="24"/>
  <c r="J42" i="24"/>
  <c r="K42" i="24"/>
  <c r="L42" i="24"/>
  <c r="M42" i="24"/>
  <c r="N42" i="24"/>
  <c r="O42" i="24"/>
  <c r="G43" i="24"/>
  <c r="H43" i="24"/>
  <c r="I43" i="24"/>
  <c r="J43" i="24"/>
  <c r="K43" i="24"/>
  <c r="L43" i="24"/>
  <c r="M43" i="24"/>
  <c r="N43" i="24"/>
  <c r="O43" i="24"/>
  <c r="G44" i="24"/>
  <c r="H44" i="24"/>
  <c r="I44" i="24"/>
  <c r="J44" i="24"/>
  <c r="K44" i="24"/>
  <c r="L44" i="24"/>
  <c r="M44" i="24"/>
  <c r="N44" i="24"/>
  <c r="O44" i="24"/>
  <c r="G45" i="24"/>
  <c r="H45" i="24"/>
  <c r="I45" i="24"/>
  <c r="J45" i="24"/>
  <c r="K45" i="24"/>
  <c r="L45" i="24"/>
  <c r="M45" i="24"/>
  <c r="N45" i="24"/>
  <c r="O45" i="24"/>
  <c r="G46" i="24"/>
  <c r="H46" i="24"/>
  <c r="I46" i="24"/>
  <c r="J46" i="24"/>
  <c r="K46" i="24"/>
  <c r="L46" i="24"/>
  <c r="M46" i="24"/>
  <c r="N46" i="24"/>
  <c r="O46" i="24"/>
  <c r="G47" i="24"/>
  <c r="H47" i="24"/>
  <c r="I47" i="24"/>
  <c r="J47" i="24"/>
  <c r="K47" i="24"/>
  <c r="L47" i="24"/>
  <c r="M47" i="24"/>
  <c r="N47" i="24"/>
  <c r="O47" i="24"/>
  <c r="G48" i="24"/>
  <c r="H48" i="24"/>
  <c r="I48" i="24"/>
  <c r="J48" i="24"/>
  <c r="K48" i="24"/>
  <c r="L48" i="24"/>
  <c r="M48" i="24"/>
  <c r="N48" i="24"/>
  <c r="O48" i="24"/>
  <c r="G49" i="24"/>
  <c r="H49" i="24"/>
  <c r="I49" i="24"/>
  <c r="J49" i="24"/>
  <c r="K49" i="24"/>
  <c r="L49" i="24"/>
  <c r="M49" i="24"/>
  <c r="N49" i="24"/>
  <c r="O49" i="24"/>
  <c r="G50" i="24"/>
  <c r="H50" i="24"/>
  <c r="I50" i="24"/>
  <c r="J50" i="24"/>
  <c r="K50" i="24"/>
  <c r="L50" i="24"/>
  <c r="M50" i="24"/>
  <c r="N50" i="24"/>
  <c r="O50" i="24"/>
  <c r="G51" i="24"/>
  <c r="H51" i="24"/>
  <c r="I51" i="24"/>
  <c r="J51" i="24"/>
  <c r="K51" i="24"/>
  <c r="L51" i="24"/>
  <c r="M51" i="24"/>
  <c r="N51" i="24"/>
  <c r="O51" i="24"/>
  <c r="G52" i="24"/>
  <c r="H52" i="24"/>
  <c r="I52" i="24"/>
  <c r="J52" i="24"/>
  <c r="K52" i="24"/>
  <c r="L52" i="24"/>
  <c r="M52" i="24"/>
  <c r="N52" i="24"/>
  <c r="O52" i="24"/>
  <c r="G53" i="24"/>
  <c r="H53" i="24"/>
  <c r="I53" i="24"/>
  <c r="J53" i="24"/>
  <c r="K53" i="24"/>
  <c r="L53" i="24"/>
  <c r="M53" i="24"/>
  <c r="N53" i="24"/>
  <c r="O53" i="24"/>
  <c r="G54" i="24"/>
  <c r="H54" i="24"/>
  <c r="I54" i="24"/>
  <c r="J54" i="24"/>
  <c r="K54" i="24"/>
  <c r="L54" i="24"/>
  <c r="M54" i="24"/>
  <c r="N54" i="24"/>
  <c r="O54" i="24"/>
  <c r="G55" i="24"/>
  <c r="H55" i="24"/>
  <c r="I55" i="24"/>
  <c r="G56" i="24"/>
  <c r="H56" i="24"/>
  <c r="I56" i="24"/>
  <c r="G57" i="24"/>
  <c r="H57" i="24"/>
  <c r="I57" i="24"/>
  <c r="J57" i="24"/>
  <c r="K57" i="24"/>
  <c r="L57" i="24"/>
  <c r="M57" i="24"/>
  <c r="N57" i="24"/>
  <c r="O57" i="24"/>
  <c r="K34" i="24"/>
  <c r="L34" i="24"/>
  <c r="M34" i="24"/>
  <c r="N34" i="24"/>
  <c r="O34" i="24"/>
  <c r="J34" i="24"/>
  <c r="H34" i="24"/>
  <c r="I34" i="24"/>
  <c r="G34" i="24"/>
  <c r="G16" i="24"/>
  <c r="H16" i="24"/>
  <c r="I16" i="24"/>
  <c r="J16" i="24"/>
  <c r="K16" i="24"/>
  <c r="L16" i="24"/>
  <c r="M16" i="24"/>
  <c r="N16" i="24"/>
  <c r="O16" i="24"/>
  <c r="G17" i="24"/>
  <c r="H17" i="24"/>
  <c r="I17" i="24"/>
  <c r="J17" i="24"/>
  <c r="K17" i="24"/>
  <c r="L17" i="24"/>
  <c r="M17" i="24"/>
  <c r="N17" i="24"/>
  <c r="O17" i="24"/>
  <c r="G18" i="24"/>
  <c r="H18" i="24"/>
  <c r="I18" i="24"/>
  <c r="J18" i="24"/>
  <c r="K18" i="24"/>
  <c r="L18" i="24"/>
  <c r="M18" i="24"/>
  <c r="N18" i="24"/>
  <c r="O18" i="24"/>
  <c r="G19" i="24"/>
  <c r="H19" i="24"/>
  <c r="I19" i="24"/>
  <c r="J19" i="24"/>
  <c r="K19" i="24"/>
  <c r="L19" i="24"/>
  <c r="M19" i="24"/>
  <c r="N19" i="24"/>
  <c r="O19" i="24"/>
  <c r="G20" i="24"/>
  <c r="H20" i="24"/>
  <c r="I20" i="24"/>
  <c r="J20" i="24"/>
  <c r="K20" i="24"/>
  <c r="L20" i="24"/>
  <c r="M20" i="24"/>
  <c r="N20" i="24"/>
  <c r="O20" i="24"/>
  <c r="G21" i="24"/>
  <c r="H21" i="24"/>
  <c r="I21" i="24"/>
  <c r="J21" i="24"/>
  <c r="K21" i="24"/>
  <c r="L21" i="24"/>
  <c r="M21" i="24"/>
  <c r="N21" i="24"/>
  <c r="O21" i="24"/>
  <c r="G22" i="24"/>
  <c r="H22" i="24"/>
  <c r="I22" i="24"/>
  <c r="J22" i="24"/>
  <c r="K22" i="24"/>
  <c r="L22" i="24"/>
  <c r="M22" i="24"/>
  <c r="N22" i="24"/>
  <c r="O22" i="24"/>
  <c r="G23" i="24"/>
  <c r="H23" i="24"/>
  <c r="I23" i="24"/>
  <c r="J23" i="24"/>
  <c r="K23" i="24"/>
  <c r="L23" i="24"/>
  <c r="M23" i="24"/>
  <c r="N23" i="24"/>
  <c r="O23" i="24"/>
  <c r="G24" i="24"/>
  <c r="H24" i="24"/>
  <c r="I24" i="24"/>
  <c r="J24" i="24"/>
  <c r="K24" i="24"/>
  <c r="L24" i="24"/>
  <c r="M24" i="24"/>
  <c r="N24" i="24"/>
  <c r="O24" i="24"/>
  <c r="G25" i="24"/>
  <c r="H25" i="24"/>
  <c r="I25" i="24"/>
  <c r="J25" i="24"/>
  <c r="K25" i="24"/>
  <c r="L25" i="24"/>
  <c r="M25" i="24"/>
  <c r="N25" i="24"/>
  <c r="O25" i="24"/>
  <c r="G26" i="24"/>
  <c r="H26" i="24"/>
  <c r="I26" i="24"/>
  <c r="J26" i="24"/>
  <c r="K26" i="24"/>
  <c r="L26" i="24"/>
  <c r="M26" i="24"/>
  <c r="N26" i="24"/>
  <c r="O26" i="24"/>
  <c r="G27" i="24"/>
  <c r="H27" i="24"/>
  <c r="I27" i="24"/>
  <c r="J27" i="24"/>
  <c r="K27" i="24"/>
  <c r="L27" i="24"/>
  <c r="M27" i="24"/>
  <c r="N27" i="24"/>
  <c r="O27" i="24"/>
  <c r="G28" i="24"/>
  <c r="H28" i="24"/>
  <c r="I28" i="24"/>
  <c r="J28" i="24"/>
  <c r="K28" i="24"/>
  <c r="L28" i="24"/>
  <c r="M28" i="24"/>
  <c r="N28" i="24"/>
  <c r="O28" i="24"/>
  <c r="G29" i="24"/>
  <c r="H29" i="24"/>
  <c r="I29" i="24"/>
  <c r="J29" i="24"/>
  <c r="K29" i="24"/>
  <c r="L29" i="24"/>
  <c r="M29" i="24"/>
  <c r="N29" i="24"/>
  <c r="O29" i="24"/>
  <c r="G30" i="24"/>
  <c r="H30" i="24"/>
  <c r="I30" i="24"/>
  <c r="J30" i="24"/>
  <c r="K30" i="24"/>
  <c r="L30" i="24"/>
  <c r="M30" i="24"/>
  <c r="N30" i="24"/>
  <c r="O30" i="24"/>
  <c r="G31" i="24"/>
  <c r="H31" i="24"/>
  <c r="I31" i="24"/>
  <c r="J31" i="24"/>
  <c r="K31" i="24"/>
  <c r="L31" i="24"/>
  <c r="M31" i="24"/>
  <c r="N31" i="24"/>
  <c r="O31" i="24"/>
  <c r="G32" i="24"/>
  <c r="H32" i="24"/>
  <c r="I32" i="24"/>
  <c r="J32" i="24"/>
  <c r="K32" i="24"/>
  <c r="L32" i="24"/>
  <c r="M32" i="24"/>
  <c r="N32" i="24"/>
  <c r="O32" i="24"/>
  <c r="G33" i="24"/>
  <c r="H33" i="24"/>
  <c r="I33" i="24"/>
  <c r="J33" i="24"/>
  <c r="K33" i="24"/>
  <c r="L33" i="24"/>
  <c r="M33" i="24"/>
  <c r="N33" i="24"/>
  <c r="O33" i="24"/>
  <c r="K15" i="24"/>
  <c r="L15" i="24"/>
  <c r="M15" i="24"/>
  <c r="N15" i="24"/>
  <c r="O15" i="24"/>
  <c r="J15" i="24"/>
  <c r="H15" i="24"/>
  <c r="I15" i="24"/>
  <c r="G15" i="24"/>
  <c r="G4" i="24"/>
  <c r="H4" i="24"/>
  <c r="I4" i="24"/>
  <c r="J4" i="24"/>
  <c r="K4" i="24"/>
  <c r="L4" i="24"/>
  <c r="M4" i="24"/>
  <c r="N4" i="24"/>
  <c r="O4" i="24"/>
  <c r="G5" i="24"/>
  <c r="H5" i="24"/>
  <c r="I5" i="24"/>
  <c r="J5" i="24"/>
  <c r="K5" i="24"/>
  <c r="L5" i="24"/>
  <c r="M5" i="24"/>
  <c r="N5" i="24"/>
  <c r="O5" i="24"/>
  <c r="G6" i="24"/>
  <c r="H6" i="24"/>
  <c r="I6" i="24"/>
  <c r="J6" i="24"/>
  <c r="K6" i="24"/>
  <c r="L6" i="24"/>
  <c r="M6" i="24"/>
  <c r="N6" i="24"/>
  <c r="O6" i="24"/>
  <c r="G7" i="24"/>
  <c r="H7" i="24"/>
  <c r="I7" i="24"/>
  <c r="J7" i="24"/>
  <c r="K7" i="24"/>
  <c r="L7" i="24"/>
  <c r="M7" i="24"/>
  <c r="N7" i="24"/>
  <c r="O7" i="24"/>
  <c r="G8" i="24"/>
  <c r="H8" i="24"/>
  <c r="I8" i="24"/>
  <c r="J8" i="24"/>
  <c r="K8" i="24"/>
  <c r="L8" i="24"/>
  <c r="M8" i="24"/>
  <c r="N8" i="24"/>
  <c r="O8" i="24"/>
  <c r="G9" i="24"/>
  <c r="H9" i="24"/>
  <c r="I9" i="24"/>
  <c r="J9" i="24"/>
  <c r="K9" i="24"/>
  <c r="L9" i="24"/>
  <c r="M9" i="24"/>
  <c r="N9" i="24"/>
  <c r="O9" i="24"/>
  <c r="G10" i="24"/>
  <c r="H10" i="24"/>
  <c r="I10" i="24"/>
  <c r="G11" i="24"/>
  <c r="H11" i="24"/>
  <c r="I11" i="24"/>
  <c r="J11" i="24"/>
  <c r="K11" i="24"/>
  <c r="L11" i="24"/>
  <c r="M11" i="24"/>
  <c r="N11" i="24"/>
  <c r="O11" i="24"/>
  <c r="G12" i="24"/>
  <c r="H12" i="24"/>
  <c r="I12" i="24"/>
  <c r="J12" i="24"/>
  <c r="K12" i="24"/>
  <c r="L12" i="24"/>
  <c r="M12" i="24"/>
  <c r="N12" i="24"/>
  <c r="O12" i="24"/>
  <c r="G13" i="24"/>
  <c r="H13" i="24"/>
  <c r="I13" i="24"/>
  <c r="J13" i="24"/>
  <c r="K13" i="24"/>
  <c r="L13" i="24"/>
  <c r="M13" i="24"/>
  <c r="N13" i="24"/>
  <c r="O13" i="24"/>
  <c r="G14" i="24"/>
  <c r="H14" i="24"/>
  <c r="I14" i="24"/>
  <c r="J14" i="24"/>
  <c r="K14" i="24"/>
  <c r="L14" i="24"/>
  <c r="M14" i="24"/>
  <c r="N14" i="24"/>
  <c r="O14" i="24"/>
  <c r="K3" i="24"/>
  <c r="L3" i="24"/>
  <c r="M3" i="24"/>
  <c r="N3" i="24"/>
  <c r="O3" i="24"/>
  <c r="J3" i="24"/>
  <c r="H3" i="24"/>
  <c r="I3" i="24"/>
  <c r="G3" i="24"/>
  <c r="Q137" i="20" l="1"/>
  <c r="S137" i="20" s="1"/>
  <c r="X137" i="20" s="1"/>
  <c r="V137" i="20"/>
  <c r="Q136" i="20"/>
  <c r="S136" i="20" s="1"/>
  <c r="X136" i="20" s="1"/>
  <c r="V136" i="20"/>
  <c r="Q112" i="20"/>
  <c r="S112" i="20" s="1"/>
  <c r="X112" i="20" s="1"/>
  <c r="V112" i="20"/>
  <c r="Q113" i="20"/>
  <c r="S113" i="20" s="1"/>
  <c r="X113" i="20" s="1"/>
  <c r="V113" i="20"/>
  <c r="Q103" i="20" l="1"/>
  <c r="S103" i="20" s="1"/>
  <c r="X103" i="20" s="1"/>
  <c r="V103" i="20"/>
  <c r="Q104" i="20"/>
  <c r="S104" i="20" s="1"/>
  <c r="X104" i="20" s="1"/>
  <c r="V104" i="20"/>
  <c r="Q105" i="20"/>
  <c r="S105" i="20" s="1"/>
  <c r="X105" i="20" s="1"/>
  <c r="V105" i="20"/>
  <c r="Q106" i="20"/>
  <c r="S106" i="20" s="1"/>
  <c r="X106" i="20" s="1"/>
  <c r="V106" i="20"/>
  <c r="AB130" i="20"/>
  <c r="AB126" i="20"/>
  <c r="AB120" i="20"/>
  <c r="AB114" i="20"/>
  <c r="AB107" i="20"/>
  <c r="AB98" i="20"/>
  <c r="AB92" i="20"/>
  <c r="AB88" i="20"/>
  <c r="Y131" i="20"/>
  <c r="Y127" i="20"/>
  <c r="Y121" i="20"/>
  <c r="Y115" i="20"/>
  <c r="Y108" i="20"/>
  <c r="Y99" i="20"/>
  <c r="Y93" i="20"/>
  <c r="Y89" i="20"/>
  <c r="AB82" i="20"/>
  <c r="Y83" i="20"/>
  <c r="Q131" i="20"/>
  <c r="S131" i="20" s="1"/>
  <c r="X131" i="20" s="1"/>
  <c r="V131" i="20"/>
  <c r="Q132" i="20"/>
  <c r="S132" i="20" s="1"/>
  <c r="X132" i="20" s="1"/>
  <c r="V132" i="20"/>
  <c r="Q133" i="20"/>
  <c r="S133" i="20" s="1"/>
  <c r="X133" i="20" s="1"/>
  <c r="V133" i="20"/>
  <c r="Q134" i="20"/>
  <c r="S134" i="20" s="1"/>
  <c r="X134" i="20" s="1"/>
  <c r="V134" i="20"/>
  <c r="Q81" i="20"/>
  <c r="S81" i="20" s="1"/>
  <c r="X81" i="20" s="1"/>
  <c r="V81" i="20"/>
  <c r="Q82" i="20"/>
  <c r="V82" i="20"/>
  <c r="Q83" i="20"/>
  <c r="S83" i="20" s="1"/>
  <c r="X83" i="20" s="1"/>
  <c r="V83" i="20"/>
  <c r="Q84" i="20"/>
  <c r="S84" i="20" s="1"/>
  <c r="X84" i="20" s="1"/>
  <c r="V84" i="20"/>
  <c r="Q85" i="20"/>
  <c r="S85" i="20" s="1"/>
  <c r="X85" i="20" s="1"/>
  <c r="V85" i="20"/>
  <c r="Q86" i="20"/>
  <c r="S86" i="20" s="1"/>
  <c r="X86" i="20" s="1"/>
  <c r="V86" i="20"/>
  <c r="Q87" i="20"/>
  <c r="S87" i="20" s="1"/>
  <c r="X87" i="20" s="1"/>
  <c r="V87" i="20"/>
  <c r="Q88" i="20"/>
  <c r="S88" i="20" s="1"/>
  <c r="X88" i="20" s="1"/>
  <c r="V88" i="20"/>
  <c r="Q89" i="20"/>
  <c r="S89" i="20" s="1"/>
  <c r="X89" i="20" s="1"/>
  <c r="V89" i="20"/>
  <c r="Q90" i="20"/>
  <c r="S90" i="20" s="1"/>
  <c r="X90" i="20" s="1"/>
  <c r="V90" i="20"/>
  <c r="Q91" i="20"/>
  <c r="S91" i="20" s="1"/>
  <c r="X91" i="20" s="1"/>
  <c r="V91" i="20"/>
  <c r="Q92" i="20"/>
  <c r="S92" i="20" s="1"/>
  <c r="X92" i="20" s="1"/>
  <c r="V92" i="20"/>
  <c r="Q93" i="20"/>
  <c r="S93" i="20" s="1"/>
  <c r="X93" i="20" s="1"/>
  <c r="V93" i="20"/>
  <c r="Q94" i="20"/>
  <c r="S94" i="20" s="1"/>
  <c r="X94" i="20" s="1"/>
  <c r="V94" i="20"/>
  <c r="Q95" i="20"/>
  <c r="S95" i="20" s="1"/>
  <c r="X95" i="20" s="1"/>
  <c r="V95" i="20"/>
  <c r="Q96" i="20"/>
  <c r="S96" i="20" s="1"/>
  <c r="X96" i="20" s="1"/>
  <c r="V96" i="20"/>
  <c r="Q97" i="20"/>
  <c r="S97" i="20" s="1"/>
  <c r="X97" i="20" s="1"/>
  <c r="V97" i="20"/>
  <c r="Q98" i="20"/>
  <c r="S98" i="20" s="1"/>
  <c r="X98" i="20" s="1"/>
  <c r="V98" i="20"/>
  <c r="Q99" i="20"/>
  <c r="S99" i="20" s="1"/>
  <c r="X99" i="20" s="1"/>
  <c r="V99" i="20"/>
  <c r="Q100" i="20"/>
  <c r="S100" i="20" s="1"/>
  <c r="X100" i="20" s="1"/>
  <c r="V100" i="20"/>
  <c r="Q101" i="20"/>
  <c r="S101" i="20" s="1"/>
  <c r="X101" i="20" s="1"/>
  <c r="V101" i="20"/>
  <c r="Q102" i="20"/>
  <c r="S102" i="20" s="1"/>
  <c r="X102" i="20" s="1"/>
  <c r="V102" i="20"/>
  <c r="Q107" i="20"/>
  <c r="S107" i="20" s="1"/>
  <c r="X107" i="20" s="1"/>
  <c r="V107" i="20"/>
  <c r="Q108" i="20"/>
  <c r="S108" i="20" s="1"/>
  <c r="X108" i="20" s="1"/>
  <c r="V108" i="20"/>
  <c r="Q109" i="20"/>
  <c r="S109" i="20" s="1"/>
  <c r="X109" i="20" s="1"/>
  <c r="V109" i="20"/>
  <c r="Q110" i="20"/>
  <c r="S110" i="20" s="1"/>
  <c r="X110" i="20" s="1"/>
  <c r="V110" i="20"/>
  <c r="Q111" i="20"/>
  <c r="S111" i="20" s="1"/>
  <c r="X111" i="20" s="1"/>
  <c r="V111" i="20"/>
  <c r="Q114" i="20"/>
  <c r="S114" i="20" s="1"/>
  <c r="X114" i="20" s="1"/>
  <c r="V114" i="20"/>
  <c r="Q115" i="20"/>
  <c r="S115" i="20" s="1"/>
  <c r="X115" i="20" s="1"/>
  <c r="V115" i="20"/>
  <c r="Q116" i="20"/>
  <c r="S116" i="20" s="1"/>
  <c r="X116" i="20" s="1"/>
  <c r="V116" i="20"/>
  <c r="Q117" i="20"/>
  <c r="S117" i="20" s="1"/>
  <c r="X117" i="20" s="1"/>
  <c r="V117" i="20"/>
  <c r="Q118" i="20"/>
  <c r="S118" i="20" s="1"/>
  <c r="X118" i="20" s="1"/>
  <c r="V118" i="20"/>
  <c r="Q119" i="20"/>
  <c r="S119" i="20" s="1"/>
  <c r="X119" i="20" s="1"/>
  <c r="V119" i="20"/>
  <c r="Q120" i="20"/>
  <c r="S120" i="20" s="1"/>
  <c r="X120" i="20" s="1"/>
  <c r="V120" i="20"/>
  <c r="Q121" i="20"/>
  <c r="S121" i="20" s="1"/>
  <c r="X121" i="20" s="1"/>
  <c r="V121" i="20"/>
  <c r="Q122" i="20"/>
  <c r="S122" i="20" s="1"/>
  <c r="X122" i="20" s="1"/>
  <c r="V122" i="20"/>
  <c r="Q123" i="20"/>
  <c r="S123" i="20" s="1"/>
  <c r="X123" i="20" s="1"/>
  <c r="V123" i="20"/>
  <c r="Q124" i="20"/>
  <c r="S124" i="20" s="1"/>
  <c r="X124" i="20" s="1"/>
  <c r="V124" i="20"/>
  <c r="Q125" i="20"/>
  <c r="S125" i="20" s="1"/>
  <c r="X125" i="20" s="1"/>
  <c r="V125" i="20"/>
  <c r="Q126" i="20"/>
  <c r="S126" i="20" s="1"/>
  <c r="X126" i="20" s="1"/>
  <c r="V126" i="20"/>
  <c r="Q127" i="20"/>
  <c r="S127" i="20" s="1"/>
  <c r="X127" i="20" s="1"/>
  <c r="V127" i="20"/>
  <c r="Q128" i="20"/>
  <c r="S128" i="20" s="1"/>
  <c r="X128" i="20" s="1"/>
  <c r="V128" i="20"/>
  <c r="Q129" i="20"/>
  <c r="S129" i="20" s="1"/>
  <c r="X129" i="20" s="1"/>
  <c r="V129" i="20"/>
  <c r="Q130" i="20"/>
  <c r="S130" i="20" s="1"/>
  <c r="X130" i="20" s="1"/>
  <c r="V130" i="20"/>
  <c r="K114" i="20"/>
  <c r="K120" i="20"/>
  <c r="K126" i="20"/>
  <c r="K130" i="20"/>
  <c r="K88" i="20"/>
  <c r="K92" i="20"/>
  <c r="K98" i="20"/>
  <c r="K82" i="20"/>
  <c r="G114" i="20"/>
  <c r="H114" i="20"/>
  <c r="I114" i="20"/>
  <c r="G120" i="20"/>
  <c r="H120" i="20"/>
  <c r="I120" i="20"/>
  <c r="G126" i="20"/>
  <c r="H126" i="20"/>
  <c r="I126" i="20"/>
  <c r="G130" i="20"/>
  <c r="H130" i="20"/>
  <c r="I130" i="20"/>
  <c r="H107" i="20"/>
  <c r="I107" i="20"/>
  <c r="G107" i="20"/>
  <c r="H88" i="20"/>
  <c r="I88" i="20"/>
  <c r="H92" i="20"/>
  <c r="I92" i="20"/>
  <c r="H98" i="20"/>
  <c r="I98" i="20"/>
  <c r="H82" i="20"/>
  <c r="I82" i="20"/>
  <c r="G88" i="20"/>
  <c r="G92" i="20"/>
  <c r="G98" i="20"/>
  <c r="G82" i="20"/>
  <c r="Y82" i="20" l="1"/>
  <c r="Y84" i="20" s="1"/>
  <c r="Y88" i="20"/>
  <c r="Y90" i="20" s="1"/>
  <c r="Y92" i="20"/>
  <c r="Y94" i="20" s="1"/>
  <c r="Y98" i="20"/>
  <c r="Y100" i="20" s="1"/>
  <c r="Y107" i="20"/>
  <c r="Y109" i="20" s="1"/>
  <c r="Y114" i="20"/>
  <c r="Y116" i="20" s="1"/>
  <c r="Y120" i="20"/>
  <c r="Y122" i="20" s="1"/>
  <c r="Y126" i="20"/>
  <c r="Y128" i="20" s="1"/>
  <c r="S82" i="20"/>
  <c r="X82" i="20" s="1"/>
  <c r="J114" i="20"/>
  <c r="J126" i="20"/>
  <c r="J98" i="20"/>
  <c r="J88" i="20"/>
  <c r="J82" i="20"/>
  <c r="J92" i="20"/>
  <c r="J130" i="20"/>
  <c r="J120" i="20"/>
  <c r="J107" i="20"/>
  <c r="R8" i="20"/>
  <c r="R58" i="20"/>
  <c r="AC17" i="15" l="1"/>
  <c r="I46" i="15" l="1"/>
  <c r="L47" i="15" l="1"/>
  <c r="X47" i="15"/>
  <c r="W47" i="15" s="1"/>
  <c r="M47" i="15" s="1"/>
  <c r="L48" i="15"/>
  <c r="X48" i="15"/>
  <c r="W48" i="15" s="1"/>
  <c r="M48" i="15" s="1"/>
  <c r="L49" i="15"/>
  <c r="X49" i="15"/>
  <c r="W49" i="15" s="1"/>
  <c r="M49" i="15" s="1"/>
  <c r="N47" i="15" l="1"/>
  <c r="O47" i="15" s="1"/>
  <c r="P47" i="15"/>
  <c r="Q47" i="15" s="1"/>
  <c r="N48" i="15"/>
  <c r="O48" i="15" s="1"/>
  <c r="P48" i="15"/>
  <c r="Q48" i="15" s="1"/>
  <c r="N49" i="15"/>
  <c r="O49" i="15" s="1"/>
  <c r="P49" i="15"/>
  <c r="Q49" i="15" s="1"/>
  <c r="D119" i="18"/>
  <c r="D120" i="18"/>
  <c r="D121" i="18"/>
  <c r="D122" i="18"/>
  <c r="D123" i="18"/>
  <c r="D124" i="18"/>
  <c r="D125" i="18"/>
  <c r="D126" i="18"/>
  <c r="D127" i="18"/>
  <c r="D128" i="18"/>
  <c r="D129" i="18"/>
  <c r="D130" i="18"/>
  <c r="L16" i="12"/>
  <c r="J10" i="24" s="1"/>
  <c r="X16" i="12"/>
  <c r="W16" i="12" s="1"/>
  <c r="M16" i="12" s="1"/>
  <c r="K10" i="24" s="1"/>
  <c r="N16" i="12" l="1"/>
  <c r="P16" i="12"/>
  <c r="R37" i="20"/>
  <c r="Q16" i="12" l="1"/>
  <c r="O10" i="24" s="1"/>
  <c r="N10" i="24"/>
  <c r="O16" i="12"/>
  <c r="M10" i="24" s="1"/>
  <c r="L10" i="24"/>
  <c r="R7" i="20"/>
  <c r="R112" i="18" l="1"/>
  <c r="Q112" i="18"/>
  <c r="G104" i="18" l="1"/>
  <c r="F104" i="18"/>
  <c r="R61" i="20"/>
  <c r="R50" i="20"/>
  <c r="R43" i="20"/>
  <c r="R42" i="20"/>
  <c r="R36" i="20"/>
  <c r="R31" i="20"/>
  <c r="R28" i="20"/>
  <c r="R16" i="20"/>
  <c r="R6" i="20"/>
  <c r="Q16" i="21" l="1"/>
  <c r="AB21" i="20"/>
  <c r="AB52" i="20"/>
  <c r="AB69" i="20"/>
  <c r="AB75" i="20"/>
  <c r="AB81" i="20"/>
  <c r="Y62" i="20" l="1"/>
  <c r="Y59" i="20"/>
  <c r="Y54" i="20"/>
  <c r="Y44" i="20"/>
  <c r="Y41" i="20"/>
  <c r="Y35" i="20"/>
  <c r="Y32" i="20"/>
  <c r="Q33" i="20"/>
  <c r="S33" i="20" s="1"/>
  <c r="X33" i="20" s="1"/>
  <c r="V33" i="20"/>
  <c r="Y22" i="20"/>
  <c r="Y18" i="20"/>
  <c r="Y14" i="20"/>
  <c r="R48" i="20" l="1"/>
  <c r="Y48" i="20" s="1"/>
  <c r="Y65" i="20" l="1"/>
  <c r="O66" i="20"/>
  <c r="O65" i="20"/>
  <c r="Q66" i="20" l="1"/>
  <c r="S66" i="20" s="1"/>
  <c r="X66" i="20" s="1"/>
  <c r="V66" i="20"/>
  <c r="Q67" i="20"/>
  <c r="S67" i="20" s="1"/>
  <c r="X67" i="20" s="1"/>
  <c r="V67" i="20"/>
  <c r="I107" i="17"/>
  <c r="R75" i="20" l="1"/>
  <c r="Y76" i="20" s="1"/>
  <c r="R74" i="20"/>
  <c r="R73" i="20"/>
  <c r="R72" i="20"/>
  <c r="R71" i="20"/>
  <c r="R70" i="20"/>
  <c r="Y71" i="20" l="1"/>
  <c r="R30" i="20"/>
  <c r="Y28" i="20" s="1"/>
  <c r="R5" i="20"/>
  <c r="Q65" i="20"/>
  <c r="S65" i="20" s="1"/>
  <c r="X65" i="20" s="1"/>
  <c r="V65" i="20"/>
  <c r="Q64" i="20"/>
  <c r="V64" i="20"/>
  <c r="Q68" i="20"/>
  <c r="S68" i="20" s="1"/>
  <c r="X68" i="20" s="1"/>
  <c r="V68" i="20"/>
  <c r="S64" i="20" l="1"/>
  <c r="X64" i="20" s="1"/>
  <c r="Y64" i="20"/>
  <c r="Y66" i="20" s="1"/>
  <c r="O63" i="20"/>
  <c r="O62" i="20"/>
  <c r="O61" i="20"/>
  <c r="X9" i="14" l="1"/>
  <c r="X10" i="14"/>
  <c r="X11" i="14"/>
  <c r="X12" i="14"/>
  <c r="X13" i="14"/>
  <c r="X14" i="14"/>
  <c r="X15" i="14"/>
  <c r="X16" i="14"/>
  <c r="X17" i="14"/>
  <c r="X18" i="14"/>
  <c r="X19" i="14"/>
  <c r="X20" i="14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8" i="14"/>
  <c r="V6" i="20" l="1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135" i="20"/>
  <c r="U5" i="20"/>
  <c r="W6" i="20"/>
  <c r="W7" i="20"/>
  <c r="W8" i="20"/>
  <c r="W9" i="20"/>
  <c r="W10" i="20"/>
  <c r="W11" i="20"/>
  <c r="W12" i="20"/>
  <c r="U6" i="20"/>
  <c r="U7" i="20"/>
  <c r="U8" i="20"/>
  <c r="U9" i="20"/>
  <c r="U10" i="20"/>
  <c r="U11" i="20"/>
  <c r="U12" i="20"/>
  <c r="V5" i="20" l="1"/>
  <c r="W5" i="20"/>
  <c r="I106" i="17"/>
  <c r="Y9" i="22" l="1"/>
  <c r="Y10" i="22"/>
  <c r="Y11" i="22"/>
  <c r="Y12" i="22"/>
  <c r="Y13" i="22"/>
  <c r="Y14" i="22"/>
  <c r="Y15" i="22"/>
  <c r="Y16" i="22"/>
  <c r="Y17" i="22"/>
  <c r="Y18" i="22"/>
  <c r="Y19" i="22"/>
  <c r="Y20" i="22"/>
  <c r="Y21" i="22"/>
  <c r="Y22" i="22"/>
  <c r="Y23" i="22"/>
  <c r="Y24" i="22"/>
  <c r="Y25" i="22"/>
  <c r="Y26" i="22"/>
  <c r="Y27" i="22"/>
  <c r="Y28" i="22"/>
  <c r="Y29" i="22"/>
  <c r="Y30" i="22"/>
  <c r="Y31" i="22"/>
  <c r="Y32" i="22"/>
  <c r="Y33" i="22"/>
  <c r="Y34" i="22"/>
  <c r="Y35" i="22"/>
  <c r="Y36" i="22"/>
  <c r="Y37" i="22"/>
  <c r="Y38" i="22"/>
  <c r="Y39" i="22"/>
  <c r="Y40" i="22"/>
  <c r="Y41" i="22"/>
  <c r="Y42" i="22"/>
  <c r="Y43" i="22"/>
  <c r="Y44" i="22"/>
  <c r="Y45" i="22"/>
  <c r="Y46" i="22"/>
  <c r="Y47" i="22"/>
  <c r="Y48" i="22"/>
  <c r="Y49" i="22"/>
  <c r="Y50" i="22"/>
  <c r="Y51" i="22"/>
  <c r="Y8" i="22"/>
  <c r="X9" i="22"/>
  <c r="X10" i="22"/>
  <c r="X11" i="22"/>
  <c r="X12" i="22"/>
  <c r="X13" i="22"/>
  <c r="X14" i="22"/>
  <c r="X15" i="22"/>
  <c r="X16" i="22"/>
  <c r="X17" i="22"/>
  <c r="X18" i="22"/>
  <c r="X19" i="22"/>
  <c r="X20" i="22"/>
  <c r="X21" i="22"/>
  <c r="X22" i="22"/>
  <c r="X23" i="22"/>
  <c r="X24" i="22"/>
  <c r="X25" i="22"/>
  <c r="X26" i="22"/>
  <c r="X27" i="22"/>
  <c r="X28" i="22"/>
  <c r="X29" i="22"/>
  <c r="X30" i="22"/>
  <c r="X31" i="22"/>
  <c r="X32" i="22"/>
  <c r="X33" i="22"/>
  <c r="X34" i="22"/>
  <c r="X35" i="22"/>
  <c r="X36" i="22"/>
  <c r="X37" i="22"/>
  <c r="X38" i="22"/>
  <c r="X39" i="22"/>
  <c r="X40" i="22"/>
  <c r="X41" i="22"/>
  <c r="X42" i="22"/>
  <c r="X43" i="22"/>
  <c r="X44" i="22"/>
  <c r="X45" i="22"/>
  <c r="X46" i="22"/>
  <c r="X47" i="22"/>
  <c r="X48" i="22"/>
  <c r="X49" i="22"/>
  <c r="X50" i="22"/>
  <c r="X51" i="22"/>
  <c r="X8" i="22"/>
  <c r="V9" i="22"/>
  <c r="W9" i="22"/>
  <c r="V10" i="22"/>
  <c r="W10" i="22"/>
  <c r="V11" i="22"/>
  <c r="W11" i="22"/>
  <c r="V12" i="22"/>
  <c r="W12" i="22"/>
  <c r="V13" i="22"/>
  <c r="W13" i="22"/>
  <c r="V14" i="22"/>
  <c r="W14" i="22"/>
  <c r="V15" i="22"/>
  <c r="W15" i="22"/>
  <c r="V16" i="22"/>
  <c r="W16" i="22"/>
  <c r="V17" i="22"/>
  <c r="W17" i="22"/>
  <c r="V18" i="22"/>
  <c r="W18" i="22"/>
  <c r="V19" i="22"/>
  <c r="W19" i="22"/>
  <c r="V20" i="22"/>
  <c r="W20" i="22"/>
  <c r="V21" i="22"/>
  <c r="W21" i="22"/>
  <c r="V22" i="22"/>
  <c r="W22" i="22"/>
  <c r="V23" i="22"/>
  <c r="W23" i="22"/>
  <c r="V24" i="22"/>
  <c r="W24" i="22"/>
  <c r="V25" i="22"/>
  <c r="W25" i="22"/>
  <c r="V26" i="22"/>
  <c r="W26" i="22"/>
  <c r="V27" i="22"/>
  <c r="W27" i="22"/>
  <c r="V28" i="22"/>
  <c r="W28" i="22"/>
  <c r="V29" i="22"/>
  <c r="W29" i="22"/>
  <c r="V30" i="22"/>
  <c r="W30" i="22"/>
  <c r="V31" i="22"/>
  <c r="W31" i="22"/>
  <c r="V32" i="22"/>
  <c r="W32" i="22"/>
  <c r="V33" i="22"/>
  <c r="W33" i="22"/>
  <c r="V34" i="22"/>
  <c r="W34" i="22"/>
  <c r="V35" i="22"/>
  <c r="W35" i="22"/>
  <c r="V36" i="22"/>
  <c r="W36" i="22"/>
  <c r="V37" i="22"/>
  <c r="W37" i="22"/>
  <c r="V38" i="22"/>
  <c r="W38" i="22"/>
  <c r="V39" i="22"/>
  <c r="W39" i="22"/>
  <c r="V40" i="22"/>
  <c r="W40" i="22"/>
  <c r="V41" i="22"/>
  <c r="W41" i="22"/>
  <c r="V42" i="22"/>
  <c r="W42" i="22"/>
  <c r="V43" i="22"/>
  <c r="W43" i="22"/>
  <c r="V44" i="22"/>
  <c r="W44" i="22"/>
  <c r="V45" i="22"/>
  <c r="W45" i="22"/>
  <c r="V46" i="22"/>
  <c r="W46" i="22"/>
  <c r="V47" i="22"/>
  <c r="W47" i="22"/>
  <c r="V48" i="22"/>
  <c r="W48" i="22"/>
  <c r="V49" i="22"/>
  <c r="W49" i="22"/>
  <c r="V50" i="22"/>
  <c r="W50" i="22"/>
  <c r="V51" i="22"/>
  <c r="W51" i="22"/>
  <c r="W8" i="22"/>
  <c r="V8" i="22"/>
  <c r="U9" i="22"/>
  <c r="U10" i="22"/>
  <c r="U11" i="22"/>
  <c r="U12" i="22"/>
  <c r="U13" i="22"/>
  <c r="U14" i="22"/>
  <c r="U15" i="22"/>
  <c r="U16" i="22"/>
  <c r="U17" i="22"/>
  <c r="U18" i="22"/>
  <c r="U19" i="22"/>
  <c r="U20" i="22"/>
  <c r="U21" i="22"/>
  <c r="U22" i="22"/>
  <c r="U23" i="22"/>
  <c r="U24" i="22"/>
  <c r="U25" i="22"/>
  <c r="U26" i="22"/>
  <c r="U27" i="22"/>
  <c r="U28" i="22"/>
  <c r="U29" i="22"/>
  <c r="U30" i="22"/>
  <c r="U31" i="22"/>
  <c r="U32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U45" i="22"/>
  <c r="U46" i="22"/>
  <c r="U47" i="22"/>
  <c r="U48" i="22"/>
  <c r="U49" i="22"/>
  <c r="U50" i="22"/>
  <c r="U51" i="22"/>
  <c r="U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44" i="22"/>
  <c r="T45" i="22"/>
  <c r="T46" i="22"/>
  <c r="T47" i="22"/>
  <c r="T48" i="22"/>
  <c r="T49" i="22"/>
  <c r="T50" i="22"/>
  <c r="T51" i="22"/>
  <c r="T8" i="22"/>
  <c r="S9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1" i="22"/>
  <c r="S42" i="22"/>
  <c r="S43" i="22"/>
  <c r="S44" i="22"/>
  <c r="S45" i="22"/>
  <c r="S46" i="22"/>
  <c r="S47" i="22"/>
  <c r="S48" i="22"/>
  <c r="S49" i="22"/>
  <c r="S50" i="22"/>
  <c r="S51" i="22"/>
  <c r="S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8" i="22"/>
  <c r="T52" i="22" l="1"/>
  <c r="U52" i="22"/>
  <c r="V52" i="22"/>
  <c r="X52" i="22"/>
  <c r="Y52" i="22"/>
  <c r="S52" i="22"/>
  <c r="R52" i="22"/>
  <c r="W52" i="22"/>
  <c r="F21" i="22"/>
  <c r="F43" i="22"/>
  <c r="F44" i="22"/>
  <c r="F45" i="22"/>
  <c r="F46" i="22"/>
  <c r="F47" i="22"/>
  <c r="F48" i="22"/>
  <c r="F49" i="22"/>
  <c r="F50" i="22"/>
  <c r="F51" i="22"/>
  <c r="E39" i="22"/>
  <c r="I39" i="22"/>
  <c r="E40" i="22"/>
  <c r="I40" i="22"/>
  <c r="E41" i="22"/>
  <c r="I41" i="22"/>
  <c r="E42" i="22"/>
  <c r="I42" i="22"/>
  <c r="E43" i="22"/>
  <c r="E44" i="22"/>
  <c r="I44" i="22"/>
  <c r="E45" i="22"/>
  <c r="I45" i="22"/>
  <c r="E46" i="22"/>
  <c r="I46" i="22"/>
  <c r="E47" i="22"/>
  <c r="I47" i="22"/>
  <c r="E48" i="22"/>
  <c r="I48" i="22"/>
  <c r="E49" i="22"/>
  <c r="I49" i="22"/>
  <c r="E50" i="22"/>
  <c r="I50" i="22"/>
  <c r="E51" i="22"/>
  <c r="I51" i="22"/>
  <c r="J50" i="22" l="1"/>
  <c r="J48" i="22"/>
  <c r="J46" i="22"/>
  <c r="J44" i="22"/>
  <c r="K50" i="22"/>
  <c r="K48" i="22"/>
  <c r="L48" i="22" s="1"/>
  <c r="K46" i="22"/>
  <c r="L46" i="22" s="1"/>
  <c r="K44" i="22"/>
  <c r="L44" i="22" s="1"/>
  <c r="J51" i="22"/>
  <c r="J49" i="22"/>
  <c r="J47" i="22"/>
  <c r="J45" i="22"/>
  <c r="J43" i="22"/>
  <c r="K51" i="22"/>
  <c r="L51" i="22" s="1"/>
  <c r="K49" i="22"/>
  <c r="L49" i="22" s="1"/>
  <c r="K47" i="22"/>
  <c r="L47" i="22" s="1"/>
  <c r="K45" i="22"/>
  <c r="L45" i="22" s="1"/>
  <c r="L43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2" i="22"/>
  <c r="I23" i="22"/>
  <c r="I24" i="22"/>
  <c r="I25" i="22"/>
  <c r="I26" i="22"/>
  <c r="I27" i="22"/>
  <c r="I29" i="22"/>
  <c r="I30" i="22"/>
  <c r="I31" i="22"/>
  <c r="I32" i="22"/>
  <c r="I33" i="22"/>
  <c r="I34" i="22"/>
  <c r="I35" i="22"/>
  <c r="I36" i="22"/>
  <c r="I37" i="22"/>
  <c r="I38" i="22"/>
  <c r="I8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9" i="22"/>
  <c r="E30" i="22"/>
  <c r="E31" i="22"/>
  <c r="E32" i="22"/>
  <c r="E33" i="22"/>
  <c r="E34" i="22"/>
  <c r="E35" i="22"/>
  <c r="E36" i="22"/>
  <c r="E37" i="22"/>
  <c r="E38" i="22"/>
  <c r="E10" i="22"/>
  <c r="E9" i="22"/>
  <c r="E8" i="22"/>
  <c r="J8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8" i="21"/>
  <c r="G9" i="21"/>
  <c r="G10" i="21"/>
  <c r="G44" i="22" l="1"/>
  <c r="H44" i="22" s="1"/>
  <c r="G48" i="22"/>
  <c r="H48" i="22" s="1"/>
  <c r="H43" i="22"/>
  <c r="G51" i="22"/>
  <c r="H51" i="22" s="1"/>
  <c r="G47" i="22"/>
  <c r="H47" i="22" s="1"/>
  <c r="J28" i="22"/>
  <c r="L50" i="22"/>
  <c r="G50" i="22"/>
  <c r="H50" i="22" s="1"/>
  <c r="J21" i="22"/>
  <c r="G46" i="22"/>
  <c r="H46" i="22" s="1"/>
  <c r="G45" i="22"/>
  <c r="H45" i="22" s="1"/>
  <c r="G49" i="22"/>
  <c r="H49" i="22" s="1"/>
  <c r="K28" i="22"/>
  <c r="Y9" i="13"/>
  <c r="Y10" i="13"/>
  <c r="Y11" i="13"/>
  <c r="Y12" i="13"/>
  <c r="Y13" i="13"/>
  <c r="Y14" i="13"/>
  <c r="Y15" i="13"/>
  <c r="Y16" i="13"/>
  <c r="Y17" i="13"/>
  <c r="Y18" i="13"/>
  <c r="Y19" i="13"/>
  <c r="Y20" i="13"/>
  <c r="Y21" i="13"/>
  <c r="Y22" i="13"/>
  <c r="Y23" i="13"/>
  <c r="Y24" i="13"/>
  <c r="Y25" i="13"/>
  <c r="Y26" i="13"/>
  <c r="Y27" i="13"/>
  <c r="Y28" i="13"/>
  <c r="Y29" i="13"/>
  <c r="Y30" i="13"/>
  <c r="Y8" i="13"/>
  <c r="L28" i="22" l="1"/>
  <c r="G28" i="22"/>
  <c r="H28" i="22" s="1"/>
  <c r="L21" i="22"/>
  <c r="H21" i="22"/>
  <c r="Q61" i="3"/>
  <c r="Q9" i="3" l="1"/>
  <c r="Q69" i="20"/>
  <c r="S69" i="20" s="1"/>
  <c r="X69" i="20" s="1"/>
  <c r="Q70" i="20"/>
  <c r="Q71" i="20"/>
  <c r="S71" i="20" s="1"/>
  <c r="X71" i="20" s="1"/>
  <c r="Q72" i="20"/>
  <c r="S72" i="20" s="1"/>
  <c r="X72" i="20" s="1"/>
  <c r="Q73" i="20"/>
  <c r="S73" i="20" s="1"/>
  <c r="X73" i="20" s="1"/>
  <c r="Q74" i="20"/>
  <c r="S74" i="20" s="1"/>
  <c r="X74" i="20" s="1"/>
  <c r="Q75" i="20"/>
  <c r="Q76" i="20"/>
  <c r="S76" i="20" s="1"/>
  <c r="X76" i="20" s="1"/>
  <c r="Q77" i="20"/>
  <c r="S77" i="20" s="1"/>
  <c r="X77" i="20" s="1"/>
  <c r="Q78" i="20"/>
  <c r="S78" i="20" s="1"/>
  <c r="X78" i="20" s="1"/>
  <c r="Q79" i="20"/>
  <c r="S79" i="20" s="1"/>
  <c r="X79" i="20" s="1"/>
  <c r="Q80" i="20"/>
  <c r="S80" i="20" s="1"/>
  <c r="X80" i="20" s="1"/>
  <c r="Q135" i="20"/>
  <c r="Q5" i="20"/>
  <c r="Q6" i="20"/>
  <c r="S6" i="20" s="1"/>
  <c r="X6" i="20" s="1"/>
  <c r="Q7" i="20"/>
  <c r="S7" i="20" s="1"/>
  <c r="X7" i="20" s="1"/>
  <c r="Q8" i="20"/>
  <c r="S8" i="20" s="1"/>
  <c r="X8" i="20" s="1"/>
  <c r="Q9" i="20"/>
  <c r="S9" i="20" s="1"/>
  <c r="X9" i="20" s="1"/>
  <c r="Q10" i="20"/>
  <c r="S10" i="20" s="1"/>
  <c r="X10" i="20" s="1"/>
  <c r="Q11" i="20"/>
  <c r="S11" i="20" s="1"/>
  <c r="X11" i="20" s="1"/>
  <c r="Q12" i="20"/>
  <c r="S12" i="20" s="1"/>
  <c r="X12" i="20" s="1"/>
  <c r="Q13" i="20"/>
  <c r="Q14" i="20"/>
  <c r="S14" i="20" s="1"/>
  <c r="X14" i="20" s="1"/>
  <c r="Q15" i="20"/>
  <c r="S15" i="20" s="1"/>
  <c r="X15" i="20" s="1"/>
  <c r="Q16" i="20"/>
  <c r="S16" i="20" s="1"/>
  <c r="X16" i="20" s="1"/>
  <c r="Q17" i="20"/>
  <c r="Q18" i="20"/>
  <c r="S18" i="20" s="1"/>
  <c r="X18" i="20" s="1"/>
  <c r="Q19" i="20"/>
  <c r="S19" i="20" s="1"/>
  <c r="X19" i="20" s="1"/>
  <c r="Q20" i="20"/>
  <c r="S20" i="20" s="1"/>
  <c r="X20" i="20" s="1"/>
  <c r="Q21" i="20"/>
  <c r="Q22" i="20"/>
  <c r="S22" i="20" s="1"/>
  <c r="X22" i="20" s="1"/>
  <c r="Q23" i="20"/>
  <c r="S23" i="20" s="1"/>
  <c r="X23" i="20" s="1"/>
  <c r="Q24" i="20"/>
  <c r="S24" i="20" s="1"/>
  <c r="X24" i="20" s="1"/>
  <c r="Q25" i="20"/>
  <c r="S25" i="20" s="1"/>
  <c r="X25" i="20" s="1"/>
  <c r="Q26" i="20"/>
  <c r="S26" i="20" s="1"/>
  <c r="X26" i="20" s="1"/>
  <c r="Q27" i="20"/>
  <c r="Q28" i="20"/>
  <c r="S28" i="20" s="1"/>
  <c r="X28" i="20" s="1"/>
  <c r="Q29" i="20"/>
  <c r="S29" i="20" s="1"/>
  <c r="X29" i="20" s="1"/>
  <c r="Q30" i="20"/>
  <c r="S30" i="20" s="1"/>
  <c r="X30" i="20" s="1"/>
  <c r="Q31" i="20"/>
  <c r="Q32" i="20"/>
  <c r="S32" i="20" s="1"/>
  <c r="X32" i="20" s="1"/>
  <c r="Q34" i="20"/>
  <c r="Q35" i="20"/>
  <c r="S35" i="20" s="1"/>
  <c r="X35" i="20" s="1"/>
  <c r="Q36" i="20"/>
  <c r="S36" i="20" s="1"/>
  <c r="X36" i="20" s="1"/>
  <c r="Q37" i="20"/>
  <c r="S37" i="20" s="1"/>
  <c r="X37" i="20" s="1"/>
  <c r="Q38" i="20"/>
  <c r="S38" i="20" s="1"/>
  <c r="X38" i="20" s="1"/>
  <c r="Q39" i="20"/>
  <c r="S39" i="20" s="1"/>
  <c r="X39" i="20" s="1"/>
  <c r="Q40" i="20"/>
  <c r="Q41" i="20"/>
  <c r="S41" i="20" s="1"/>
  <c r="X41" i="20" s="1"/>
  <c r="Q42" i="20"/>
  <c r="S42" i="20" s="1"/>
  <c r="X42" i="20" s="1"/>
  <c r="Q43" i="20"/>
  <c r="Q44" i="20"/>
  <c r="S44" i="20" s="1"/>
  <c r="X44" i="20" s="1"/>
  <c r="Q45" i="20"/>
  <c r="S45" i="20" s="1"/>
  <c r="X45" i="20" s="1"/>
  <c r="Q46" i="20"/>
  <c r="S46" i="20" s="1"/>
  <c r="X46" i="20" s="1"/>
  <c r="Q47" i="20"/>
  <c r="Q48" i="20"/>
  <c r="S48" i="20" s="1"/>
  <c r="X48" i="20" s="1"/>
  <c r="Q49" i="20"/>
  <c r="S49" i="20" s="1"/>
  <c r="X49" i="20" s="1"/>
  <c r="Q50" i="20"/>
  <c r="S50" i="20" s="1"/>
  <c r="X50" i="20" s="1"/>
  <c r="Q51" i="20"/>
  <c r="S51" i="20" s="1"/>
  <c r="X51" i="20" s="1"/>
  <c r="Q52" i="20"/>
  <c r="Q53" i="20"/>
  <c r="S53" i="20" s="1"/>
  <c r="X53" i="20" s="1"/>
  <c r="Q54" i="20"/>
  <c r="S54" i="20" s="1"/>
  <c r="X54" i="20" s="1"/>
  <c r="Q55" i="20"/>
  <c r="S55" i="20" s="1"/>
  <c r="X55" i="20" s="1"/>
  <c r="Q56" i="20"/>
  <c r="S56" i="20" s="1"/>
  <c r="X56" i="20" s="1"/>
  <c r="Q57" i="20"/>
  <c r="S57" i="20" s="1"/>
  <c r="X57" i="20" s="1"/>
  <c r="Q58" i="20"/>
  <c r="Q59" i="20"/>
  <c r="S59" i="20" s="1"/>
  <c r="X59" i="20" s="1"/>
  <c r="Q60" i="20"/>
  <c r="S60" i="20" s="1"/>
  <c r="X60" i="20" s="1"/>
  <c r="Q61" i="20"/>
  <c r="Q62" i="20"/>
  <c r="S62" i="20" s="1"/>
  <c r="X62" i="20" s="1"/>
  <c r="Q63" i="20"/>
  <c r="S63" i="20" s="1"/>
  <c r="X63" i="20" s="1"/>
  <c r="Q4" i="20"/>
  <c r="R4" i="20"/>
  <c r="K69" i="20"/>
  <c r="S135" i="20" l="1"/>
  <c r="X135" i="20" s="1"/>
  <c r="Y130" i="20"/>
  <c r="Y132" i="20" s="1"/>
  <c r="V4" i="20"/>
  <c r="Y5" i="20"/>
  <c r="Y4" i="20"/>
  <c r="S58" i="20"/>
  <c r="X58" i="20" s="1"/>
  <c r="Y58" i="20"/>
  <c r="Y60" i="20" s="1"/>
  <c r="S52" i="20"/>
  <c r="X52" i="20" s="1"/>
  <c r="Y53" i="20"/>
  <c r="Y55" i="20" s="1"/>
  <c r="S40" i="20"/>
  <c r="X40" i="20" s="1"/>
  <c r="Y40" i="20"/>
  <c r="Y42" i="20" s="1"/>
  <c r="S34" i="20"/>
  <c r="X34" i="20" s="1"/>
  <c r="Y34" i="20"/>
  <c r="Y36" i="20" s="1"/>
  <c r="S61" i="20"/>
  <c r="X61" i="20" s="1"/>
  <c r="Y61" i="20"/>
  <c r="Y63" i="20" s="1"/>
  <c r="S47" i="20"/>
  <c r="X47" i="20" s="1"/>
  <c r="Y47" i="20"/>
  <c r="Y49" i="20" s="1"/>
  <c r="S43" i="20"/>
  <c r="X43" i="20" s="1"/>
  <c r="Y43" i="20"/>
  <c r="Y45" i="20" s="1"/>
  <c r="S75" i="20"/>
  <c r="X75" i="20" s="1"/>
  <c r="Y75" i="20"/>
  <c r="Y77" i="20" s="1"/>
  <c r="S70" i="20"/>
  <c r="X70" i="20" s="1"/>
  <c r="Y70" i="20"/>
  <c r="Y72" i="20" s="1"/>
  <c r="S31" i="20"/>
  <c r="X31" i="20" s="1"/>
  <c r="Y31" i="20"/>
  <c r="Y33" i="20" s="1"/>
  <c r="S27" i="20"/>
  <c r="X27" i="20" s="1"/>
  <c r="Y27" i="20"/>
  <c r="Y29" i="20" s="1"/>
  <c r="S21" i="20"/>
  <c r="X21" i="20" s="1"/>
  <c r="Y21" i="20"/>
  <c r="Y23" i="20" s="1"/>
  <c r="S17" i="20"/>
  <c r="X17" i="20" s="1"/>
  <c r="Y17" i="20"/>
  <c r="Y19" i="20" s="1"/>
  <c r="S13" i="20"/>
  <c r="X13" i="20" s="1"/>
  <c r="Y13" i="20"/>
  <c r="Y15" i="20" s="1"/>
  <c r="U4" i="20"/>
  <c r="W4" i="20"/>
  <c r="T4" i="20"/>
  <c r="S4" i="20"/>
  <c r="S5" i="20"/>
  <c r="X5" i="20" s="1"/>
  <c r="Q39" i="3"/>
  <c r="Y6" i="20" l="1"/>
  <c r="X4" i="20"/>
  <c r="L119" i="18"/>
  <c r="L15" i="12"/>
  <c r="X15" i="12"/>
  <c r="W15" i="12" s="1"/>
  <c r="M15" i="12" s="1"/>
  <c r="M119" i="18" s="1"/>
  <c r="N119" i="18" s="1"/>
  <c r="R119" i="18" s="1"/>
  <c r="O119" i="18" l="1"/>
  <c r="P119" i="18" s="1"/>
  <c r="Q119" i="18" s="1"/>
  <c r="N15" i="12"/>
  <c r="O15" i="12" s="1"/>
  <c r="P15" i="12"/>
  <c r="Q15" i="12" s="1"/>
  <c r="C6" i="18"/>
  <c r="D6" i="18"/>
  <c r="E6" i="18"/>
  <c r="F6" i="18"/>
  <c r="H6" i="18"/>
  <c r="I6" i="18"/>
  <c r="J6" i="18"/>
  <c r="K6" i="18"/>
  <c r="C7" i="18"/>
  <c r="D7" i="18"/>
  <c r="E7" i="18"/>
  <c r="F7" i="18"/>
  <c r="H7" i="18"/>
  <c r="I7" i="18"/>
  <c r="J7" i="18"/>
  <c r="K7" i="18"/>
  <c r="C8" i="18"/>
  <c r="D8" i="18"/>
  <c r="E8" i="18"/>
  <c r="F8" i="18"/>
  <c r="H8" i="18"/>
  <c r="I8" i="18"/>
  <c r="J8" i="18"/>
  <c r="K8" i="18"/>
  <c r="C9" i="18"/>
  <c r="D9" i="18"/>
  <c r="E9" i="18"/>
  <c r="F9" i="18"/>
  <c r="H9" i="18"/>
  <c r="I9" i="18"/>
  <c r="J9" i="18"/>
  <c r="K9" i="18"/>
  <c r="C10" i="18"/>
  <c r="D10" i="18"/>
  <c r="E10" i="18"/>
  <c r="F10" i="18"/>
  <c r="H10" i="18"/>
  <c r="I10" i="18"/>
  <c r="J10" i="18"/>
  <c r="K10" i="18"/>
  <c r="C11" i="18"/>
  <c r="D11" i="18"/>
  <c r="E11" i="18"/>
  <c r="F11" i="18"/>
  <c r="H11" i="18"/>
  <c r="I11" i="18"/>
  <c r="J11" i="18"/>
  <c r="K11" i="18"/>
  <c r="C12" i="18"/>
  <c r="D12" i="18"/>
  <c r="E12" i="18"/>
  <c r="F12" i="18"/>
  <c r="H12" i="18"/>
  <c r="I12" i="18"/>
  <c r="J12" i="18"/>
  <c r="K12" i="18"/>
  <c r="C13" i="18"/>
  <c r="D13" i="18"/>
  <c r="E13" i="18"/>
  <c r="F13" i="18"/>
  <c r="H13" i="18"/>
  <c r="I13" i="18"/>
  <c r="J13" i="18"/>
  <c r="K13" i="18"/>
  <c r="C14" i="18"/>
  <c r="D14" i="18"/>
  <c r="E14" i="18"/>
  <c r="F14" i="18"/>
  <c r="H14" i="18"/>
  <c r="I14" i="18"/>
  <c r="J14" i="18"/>
  <c r="K14" i="18"/>
  <c r="C15" i="18"/>
  <c r="D15" i="18"/>
  <c r="E15" i="18"/>
  <c r="F15" i="18"/>
  <c r="H15" i="18"/>
  <c r="I15" i="18"/>
  <c r="J15" i="18"/>
  <c r="K15" i="18"/>
  <c r="C16" i="18"/>
  <c r="D16" i="18"/>
  <c r="E16" i="18"/>
  <c r="F16" i="18"/>
  <c r="H16" i="18"/>
  <c r="I16" i="18"/>
  <c r="J16" i="18"/>
  <c r="K16" i="18"/>
  <c r="C17" i="18"/>
  <c r="D17" i="18"/>
  <c r="E17" i="18"/>
  <c r="F17" i="18"/>
  <c r="H17" i="18"/>
  <c r="I17" i="18"/>
  <c r="J17" i="18"/>
  <c r="K17" i="18"/>
  <c r="C18" i="18"/>
  <c r="D18" i="18"/>
  <c r="E18" i="18"/>
  <c r="F18" i="18"/>
  <c r="H18" i="18"/>
  <c r="I18" i="18"/>
  <c r="J18" i="18"/>
  <c r="K18" i="18"/>
  <c r="C19" i="18"/>
  <c r="D19" i="18"/>
  <c r="E19" i="18"/>
  <c r="F19" i="18"/>
  <c r="H19" i="18"/>
  <c r="I19" i="18"/>
  <c r="J19" i="18"/>
  <c r="K19" i="18"/>
  <c r="C20" i="18"/>
  <c r="D20" i="18"/>
  <c r="E20" i="18"/>
  <c r="F20" i="18"/>
  <c r="H20" i="18"/>
  <c r="I20" i="18"/>
  <c r="J20" i="18"/>
  <c r="K20" i="18"/>
  <c r="C21" i="18"/>
  <c r="D21" i="18"/>
  <c r="E21" i="18"/>
  <c r="F21" i="18"/>
  <c r="H21" i="18"/>
  <c r="I21" i="18"/>
  <c r="J21" i="18"/>
  <c r="K21" i="18"/>
  <c r="C22" i="18"/>
  <c r="D22" i="18"/>
  <c r="E22" i="18"/>
  <c r="F22" i="18"/>
  <c r="H22" i="18"/>
  <c r="I22" i="18"/>
  <c r="J22" i="18"/>
  <c r="K22" i="18"/>
  <c r="C23" i="18"/>
  <c r="D23" i="18"/>
  <c r="E23" i="18"/>
  <c r="F23" i="18"/>
  <c r="H23" i="18"/>
  <c r="I23" i="18"/>
  <c r="J23" i="18"/>
  <c r="K23" i="18"/>
  <c r="C24" i="18"/>
  <c r="D24" i="18"/>
  <c r="E24" i="18"/>
  <c r="F24" i="18"/>
  <c r="H24" i="18"/>
  <c r="I24" i="18"/>
  <c r="J24" i="18"/>
  <c r="K24" i="18"/>
  <c r="C25" i="18"/>
  <c r="D25" i="18"/>
  <c r="E25" i="18"/>
  <c r="F25" i="18"/>
  <c r="H25" i="18"/>
  <c r="I25" i="18"/>
  <c r="J25" i="18"/>
  <c r="K25" i="18"/>
  <c r="C26" i="18"/>
  <c r="D26" i="18"/>
  <c r="E26" i="18"/>
  <c r="F26" i="18"/>
  <c r="H26" i="18"/>
  <c r="I26" i="18"/>
  <c r="J26" i="18"/>
  <c r="K26" i="18"/>
  <c r="C27" i="18"/>
  <c r="D27" i="18"/>
  <c r="E27" i="18"/>
  <c r="F27" i="18"/>
  <c r="H27" i="18"/>
  <c r="I27" i="18"/>
  <c r="J27" i="18"/>
  <c r="K27" i="18"/>
  <c r="C28" i="18"/>
  <c r="D28" i="18"/>
  <c r="E28" i="18"/>
  <c r="F28" i="18"/>
  <c r="H28" i="18"/>
  <c r="I28" i="18"/>
  <c r="J28" i="18"/>
  <c r="K28" i="18"/>
  <c r="C29" i="18"/>
  <c r="D29" i="18"/>
  <c r="E29" i="18"/>
  <c r="F29" i="18"/>
  <c r="H29" i="18"/>
  <c r="I29" i="18"/>
  <c r="J29" i="18"/>
  <c r="K29" i="18"/>
  <c r="C30" i="18"/>
  <c r="D30" i="18"/>
  <c r="E30" i="18"/>
  <c r="F30" i="18"/>
  <c r="H30" i="18"/>
  <c r="I30" i="18"/>
  <c r="J30" i="18"/>
  <c r="K30" i="18"/>
  <c r="C31" i="18"/>
  <c r="D31" i="18"/>
  <c r="E31" i="18"/>
  <c r="F31" i="18"/>
  <c r="H31" i="18"/>
  <c r="I31" i="18"/>
  <c r="J31" i="18"/>
  <c r="K31" i="18"/>
  <c r="C32" i="18"/>
  <c r="D32" i="18"/>
  <c r="E32" i="18"/>
  <c r="F32" i="18"/>
  <c r="H32" i="18"/>
  <c r="I32" i="18"/>
  <c r="J32" i="18"/>
  <c r="K32" i="18"/>
  <c r="C33" i="18"/>
  <c r="D33" i="18"/>
  <c r="E33" i="18"/>
  <c r="F33" i="18"/>
  <c r="H33" i="18"/>
  <c r="I33" i="18"/>
  <c r="J33" i="18"/>
  <c r="K33" i="18"/>
  <c r="C34" i="18"/>
  <c r="D34" i="18"/>
  <c r="E34" i="18"/>
  <c r="F34" i="18"/>
  <c r="H34" i="18"/>
  <c r="I34" i="18"/>
  <c r="J34" i="18"/>
  <c r="K34" i="18"/>
  <c r="C35" i="18"/>
  <c r="D35" i="18"/>
  <c r="E35" i="18"/>
  <c r="F35" i="18"/>
  <c r="H35" i="18"/>
  <c r="I35" i="18"/>
  <c r="J35" i="18"/>
  <c r="K35" i="18"/>
  <c r="C36" i="18"/>
  <c r="D36" i="18"/>
  <c r="E36" i="18"/>
  <c r="F36" i="18"/>
  <c r="H36" i="18"/>
  <c r="I36" i="18"/>
  <c r="J36" i="18"/>
  <c r="K36" i="18"/>
  <c r="C37" i="18"/>
  <c r="D37" i="18"/>
  <c r="E37" i="18"/>
  <c r="F37" i="18"/>
  <c r="H37" i="18"/>
  <c r="I37" i="18"/>
  <c r="J37" i="18"/>
  <c r="K37" i="18"/>
  <c r="C38" i="18"/>
  <c r="D38" i="18"/>
  <c r="E38" i="18"/>
  <c r="F38" i="18"/>
  <c r="H38" i="18"/>
  <c r="I38" i="18"/>
  <c r="J38" i="18"/>
  <c r="K38" i="18"/>
  <c r="C39" i="18"/>
  <c r="D39" i="18"/>
  <c r="E39" i="18"/>
  <c r="F39" i="18"/>
  <c r="H39" i="18"/>
  <c r="I39" i="18"/>
  <c r="J39" i="18"/>
  <c r="K39" i="18"/>
  <c r="C40" i="18"/>
  <c r="D40" i="18"/>
  <c r="E40" i="18"/>
  <c r="F40" i="18"/>
  <c r="H40" i="18"/>
  <c r="I40" i="18"/>
  <c r="J40" i="18"/>
  <c r="K40" i="18"/>
  <c r="C41" i="18"/>
  <c r="D41" i="18"/>
  <c r="E41" i="18"/>
  <c r="F41" i="18"/>
  <c r="H41" i="18"/>
  <c r="I41" i="18"/>
  <c r="J41" i="18"/>
  <c r="K41" i="18"/>
  <c r="C42" i="18"/>
  <c r="D42" i="18"/>
  <c r="E42" i="18"/>
  <c r="F42" i="18"/>
  <c r="H42" i="18"/>
  <c r="I42" i="18"/>
  <c r="J42" i="18"/>
  <c r="K42" i="18"/>
  <c r="C43" i="18"/>
  <c r="D43" i="18"/>
  <c r="E43" i="18"/>
  <c r="F43" i="18"/>
  <c r="H43" i="18"/>
  <c r="I43" i="18"/>
  <c r="J43" i="18"/>
  <c r="K43" i="18"/>
  <c r="C44" i="18"/>
  <c r="D44" i="18"/>
  <c r="E44" i="18"/>
  <c r="F44" i="18"/>
  <c r="H44" i="18"/>
  <c r="I44" i="18"/>
  <c r="J44" i="18"/>
  <c r="K44" i="18"/>
  <c r="C45" i="18"/>
  <c r="D45" i="18"/>
  <c r="E45" i="18"/>
  <c r="F45" i="18"/>
  <c r="H45" i="18"/>
  <c r="I45" i="18"/>
  <c r="J45" i="18"/>
  <c r="K45" i="18"/>
  <c r="C46" i="18"/>
  <c r="D46" i="18"/>
  <c r="E46" i="18"/>
  <c r="F46" i="18"/>
  <c r="H46" i="18"/>
  <c r="I46" i="18"/>
  <c r="J46" i="18"/>
  <c r="K46" i="18"/>
  <c r="C47" i="18"/>
  <c r="D47" i="18"/>
  <c r="E47" i="18"/>
  <c r="F47" i="18"/>
  <c r="H47" i="18"/>
  <c r="I47" i="18"/>
  <c r="J47" i="18"/>
  <c r="K47" i="18"/>
  <c r="C48" i="18"/>
  <c r="D48" i="18"/>
  <c r="E48" i="18"/>
  <c r="F48" i="18"/>
  <c r="H48" i="18"/>
  <c r="I48" i="18"/>
  <c r="J48" i="18"/>
  <c r="K48" i="18"/>
  <c r="C49" i="18"/>
  <c r="D49" i="18"/>
  <c r="E49" i="18"/>
  <c r="F49" i="18"/>
  <c r="H49" i="18"/>
  <c r="I49" i="18"/>
  <c r="J49" i="18"/>
  <c r="K49" i="18"/>
  <c r="C50" i="18"/>
  <c r="D50" i="18"/>
  <c r="E50" i="18"/>
  <c r="F50" i="18"/>
  <c r="H50" i="18"/>
  <c r="I50" i="18"/>
  <c r="J50" i="18"/>
  <c r="K50" i="18"/>
  <c r="C51" i="18"/>
  <c r="D51" i="18"/>
  <c r="E51" i="18"/>
  <c r="F51" i="18"/>
  <c r="H51" i="18"/>
  <c r="I51" i="18"/>
  <c r="J51" i="18"/>
  <c r="K51" i="18"/>
  <c r="C52" i="18"/>
  <c r="D52" i="18"/>
  <c r="E52" i="18"/>
  <c r="F52" i="18"/>
  <c r="H52" i="18"/>
  <c r="I52" i="18"/>
  <c r="J52" i="18"/>
  <c r="K52" i="18"/>
  <c r="C53" i="18"/>
  <c r="D53" i="18"/>
  <c r="E53" i="18"/>
  <c r="F53" i="18"/>
  <c r="H53" i="18"/>
  <c r="I53" i="18"/>
  <c r="J53" i="18"/>
  <c r="K53" i="18"/>
  <c r="C54" i="18"/>
  <c r="D54" i="18"/>
  <c r="E54" i="18"/>
  <c r="F54" i="18"/>
  <c r="H54" i="18"/>
  <c r="I54" i="18"/>
  <c r="J54" i="18"/>
  <c r="K54" i="18"/>
  <c r="C55" i="18"/>
  <c r="D55" i="18"/>
  <c r="E55" i="18"/>
  <c r="F55" i="18"/>
  <c r="H55" i="18"/>
  <c r="I55" i="18"/>
  <c r="J55" i="18"/>
  <c r="K55" i="18"/>
  <c r="C56" i="18"/>
  <c r="D56" i="18"/>
  <c r="E56" i="18"/>
  <c r="F56" i="18"/>
  <c r="H56" i="18"/>
  <c r="I56" i="18"/>
  <c r="J56" i="18"/>
  <c r="K56" i="18"/>
  <c r="C57" i="18"/>
  <c r="D57" i="18"/>
  <c r="E57" i="18"/>
  <c r="F57" i="18"/>
  <c r="H57" i="18"/>
  <c r="I57" i="18"/>
  <c r="J57" i="18"/>
  <c r="K57" i="18"/>
  <c r="C58" i="18"/>
  <c r="D58" i="18"/>
  <c r="E58" i="18"/>
  <c r="F58" i="18"/>
  <c r="H58" i="18"/>
  <c r="I58" i="18"/>
  <c r="J58" i="18"/>
  <c r="K58" i="18"/>
  <c r="C59" i="18"/>
  <c r="D59" i="18"/>
  <c r="E59" i="18"/>
  <c r="F59" i="18"/>
  <c r="H59" i="18"/>
  <c r="I59" i="18"/>
  <c r="J59" i="18"/>
  <c r="K59" i="18"/>
  <c r="C60" i="18"/>
  <c r="D60" i="18"/>
  <c r="E60" i="18"/>
  <c r="F60" i="18"/>
  <c r="H60" i="18"/>
  <c r="I60" i="18"/>
  <c r="J60" i="18"/>
  <c r="K60" i="18"/>
  <c r="C61" i="18"/>
  <c r="D61" i="18"/>
  <c r="E61" i="18"/>
  <c r="F61" i="18"/>
  <c r="H61" i="18"/>
  <c r="I61" i="18"/>
  <c r="J61" i="18"/>
  <c r="K61" i="18"/>
  <c r="C62" i="18"/>
  <c r="D62" i="18"/>
  <c r="E62" i="18"/>
  <c r="F62" i="18"/>
  <c r="H62" i="18"/>
  <c r="I62" i="18"/>
  <c r="J62" i="18"/>
  <c r="K62" i="18"/>
  <c r="C63" i="18"/>
  <c r="D63" i="18"/>
  <c r="E63" i="18"/>
  <c r="F63" i="18"/>
  <c r="H63" i="18"/>
  <c r="I63" i="18"/>
  <c r="J63" i="18"/>
  <c r="K63" i="18"/>
  <c r="C64" i="18"/>
  <c r="D64" i="18"/>
  <c r="E64" i="18"/>
  <c r="F64" i="18"/>
  <c r="H64" i="18"/>
  <c r="I64" i="18"/>
  <c r="J64" i="18"/>
  <c r="K64" i="18"/>
  <c r="C65" i="18"/>
  <c r="D65" i="18"/>
  <c r="E65" i="18"/>
  <c r="F65" i="18"/>
  <c r="H65" i="18"/>
  <c r="I65" i="18"/>
  <c r="J65" i="18"/>
  <c r="K65" i="18"/>
  <c r="C66" i="18"/>
  <c r="D66" i="18"/>
  <c r="E66" i="18"/>
  <c r="F66" i="18"/>
  <c r="H66" i="18"/>
  <c r="I66" i="18"/>
  <c r="J66" i="18"/>
  <c r="K66" i="18"/>
  <c r="C67" i="18"/>
  <c r="D67" i="18"/>
  <c r="E67" i="18"/>
  <c r="F67" i="18"/>
  <c r="H67" i="18"/>
  <c r="I67" i="18"/>
  <c r="J67" i="18"/>
  <c r="K67" i="18"/>
  <c r="C68" i="18"/>
  <c r="D68" i="18"/>
  <c r="E68" i="18"/>
  <c r="F68" i="18"/>
  <c r="H68" i="18"/>
  <c r="I68" i="18"/>
  <c r="J68" i="18"/>
  <c r="K68" i="18"/>
  <c r="C69" i="18"/>
  <c r="D69" i="18"/>
  <c r="E69" i="18"/>
  <c r="F69" i="18"/>
  <c r="H69" i="18"/>
  <c r="I69" i="18"/>
  <c r="J69" i="18"/>
  <c r="K69" i="18"/>
  <c r="C70" i="18"/>
  <c r="D70" i="18"/>
  <c r="E70" i="18"/>
  <c r="F70" i="18"/>
  <c r="H70" i="18"/>
  <c r="I70" i="18"/>
  <c r="J70" i="18"/>
  <c r="K70" i="18"/>
  <c r="C71" i="18"/>
  <c r="D71" i="18"/>
  <c r="E71" i="18"/>
  <c r="F71" i="18"/>
  <c r="H71" i="18"/>
  <c r="I71" i="18"/>
  <c r="J71" i="18"/>
  <c r="K71" i="18"/>
  <c r="C72" i="18"/>
  <c r="D72" i="18"/>
  <c r="E72" i="18"/>
  <c r="F72" i="18"/>
  <c r="H72" i="18"/>
  <c r="I72" i="18"/>
  <c r="J72" i="18"/>
  <c r="K72" i="18"/>
  <c r="C73" i="18"/>
  <c r="D73" i="18"/>
  <c r="E73" i="18"/>
  <c r="F73" i="18"/>
  <c r="H73" i="18"/>
  <c r="I73" i="18"/>
  <c r="J73" i="18"/>
  <c r="K73" i="18"/>
  <c r="C74" i="18"/>
  <c r="D74" i="18"/>
  <c r="E74" i="18"/>
  <c r="F74" i="18"/>
  <c r="H74" i="18"/>
  <c r="I74" i="18"/>
  <c r="J74" i="18"/>
  <c r="K74" i="18"/>
  <c r="C75" i="18"/>
  <c r="D75" i="18"/>
  <c r="E75" i="18"/>
  <c r="F75" i="18"/>
  <c r="H75" i="18"/>
  <c r="I75" i="18"/>
  <c r="J75" i="18"/>
  <c r="K75" i="18"/>
  <c r="C76" i="18"/>
  <c r="D76" i="18"/>
  <c r="E76" i="18"/>
  <c r="F76" i="18"/>
  <c r="H76" i="18"/>
  <c r="I76" i="18"/>
  <c r="J76" i="18"/>
  <c r="K76" i="18"/>
  <c r="C77" i="18"/>
  <c r="D77" i="18"/>
  <c r="E77" i="18"/>
  <c r="F77" i="18"/>
  <c r="H77" i="18"/>
  <c r="I77" i="18"/>
  <c r="J77" i="18"/>
  <c r="K77" i="18"/>
  <c r="C78" i="18"/>
  <c r="D78" i="18"/>
  <c r="E78" i="18"/>
  <c r="F78" i="18"/>
  <c r="H78" i="18"/>
  <c r="I78" i="18"/>
  <c r="J78" i="18"/>
  <c r="K78" i="18"/>
  <c r="C79" i="18"/>
  <c r="D79" i="18"/>
  <c r="E79" i="18"/>
  <c r="F79" i="18"/>
  <c r="H79" i="18"/>
  <c r="I79" i="18"/>
  <c r="J79" i="18"/>
  <c r="K79" i="18"/>
  <c r="C80" i="18"/>
  <c r="D80" i="18"/>
  <c r="M80" i="18" s="1"/>
  <c r="E80" i="18"/>
  <c r="F80" i="18"/>
  <c r="H80" i="18"/>
  <c r="I80" i="18"/>
  <c r="J80" i="18"/>
  <c r="K80" i="18"/>
  <c r="C81" i="18"/>
  <c r="D81" i="18"/>
  <c r="M81" i="18" s="1"/>
  <c r="E81" i="18"/>
  <c r="F81" i="18"/>
  <c r="H81" i="18"/>
  <c r="I81" i="18"/>
  <c r="J81" i="18"/>
  <c r="K81" i="18"/>
  <c r="C82" i="18"/>
  <c r="D82" i="18"/>
  <c r="M82" i="18" s="1"/>
  <c r="E82" i="18"/>
  <c r="F82" i="18"/>
  <c r="H82" i="18"/>
  <c r="I82" i="18"/>
  <c r="J82" i="18"/>
  <c r="K82" i="18"/>
  <c r="C83" i="18"/>
  <c r="D83" i="18"/>
  <c r="M83" i="18" s="1"/>
  <c r="E83" i="18"/>
  <c r="F83" i="18"/>
  <c r="H83" i="18"/>
  <c r="I83" i="18"/>
  <c r="J83" i="18"/>
  <c r="K83" i="18"/>
  <c r="C84" i="18"/>
  <c r="D84" i="18"/>
  <c r="M84" i="18" s="1"/>
  <c r="E84" i="18"/>
  <c r="F84" i="18"/>
  <c r="H84" i="18"/>
  <c r="I84" i="18"/>
  <c r="J84" i="18"/>
  <c r="K84" i="18"/>
  <c r="C85" i="18"/>
  <c r="D85" i="18"/>
  <c r="M85" i="18" s="1"/>
  <c r="E85" i="18"/>
  <c r="F85" i="18"/>
  <c r="H85" i="18"/>
  <c r="I85" i="18"/>
  <c r="J85" i="18"/>
  <c r="K85" i="18"/>
  <c r="C86" i="18"/>
  <c r="D86" i="18"/>
  <c r="E86" i="18"/>
  <c r="F86" i="18"/>
  <c r="H86" i="18"/>
  <c r="I86" i="18"/>
  <c r="J86" i="18"/>
  <c r="K86" i="18"/>
  <c r="C87" i="18"/>
  <c r="D87" i="18"/>
  <c r="M87" i="18" s="1"/>
  <c r="E87" i="18"/>
  <c r="F87" i="18"/>
  <c r="H87" i="18"/>
  <c r="I87" i="18"/>
  <c r="J87" i="18"/>
  <c r="K87" i="18"/>
  <c r="C88" i="18"/>
  <c r="D88" i="18"/>
  <c r="M88" i="18" s="1"/>
  <c r="E88" i="18"/>
  <c r="F88" i="18"/>
  <c r="H88" i="18"/>
  <c r="I88" i="18"/>
  <c r="J88" i="18"/>
  <c r="K88" i="18"/>
  <c r="C89" i="18"/>
  <c r="D89" i="18"/>
  <c r="E89" i="18"/>
  <c r="F89" i="18"/>
  <c r="H89" i="18"/>
  <c r="I89" i="18"/>
  <c r="J89" i="18"/>
  <c r="K89" i="18"/>
  <c r="C90" i="18"/>
  <c r="D90" i="18"/>
  <c r="E90" i="18"/>
  <c r="F90" i="18"/>
  <c r="H90" i="18"/>
  <c r="I90" i="18"/>
  <c r="J90" i="18"/>
  <c r="K90" i="18"/>
  <c r="C91" i="18"/>
  <c r="D91" i="18"/>
  <c r="E91" i="18"/>
  <c r="F91" i="18"/>
  <c r="H91" i="18"/>
  <c r="I91" i="18"/>
  <c r="J91" i="18"/>
  <c r="K91" i="18"/>
  <c r="C92" i="18"/>
  <c r="D92" i="18"/>
  <c r="E92" i="18"/>
  <c r="F92" i="18"/>
  <c r="H92" i="18"/>
  <c r="I92" i="18"/>
  <c r="J92" i="18"/>
  <c r="K92" i="18"/>
  <c r="C93" i="18"/>
  <c r="D93" i="18"/>
  <c r="E93" i="18"/>
  <c r="F93" i="18"/>
  <c r="H93" i="18"/>
  <c r="I93" i="18"/>
  <c r="J93" i="18"/>
  <c r="K93" i="18"/>
  <c r="C94" i="18"/>
  <c r="D94" i="18"/>
  <c r="E94" i="18"/>
  <c r="F94" i="18"/>
  <c r="H94" i="18"/>
  <c r="I94" i="18"/>
  <c r="J94" i="18"/>
  <c r="K94" i="18"/>
  <c r="C95" i="18"/>
  <c r="D95" i="18"/>
  <c r="E95" i="18"/>
  <c r="F95" i="18"/>
  <c r="H95" i="18"/>
  <c r="I95" i="18"/>
  <c r="J95" i="18"/>
  <c r="K95" i="18"/>
  <c r="C96" i="18"/>
  <c r="D96" i="18"/>
  <c r="E96" i="18"/>
  <c r="F96" i="18"/>
  <c r="H96" i="18"/>
  <c r="I96" i="18"/>
  <c r="J96" i="18"/>
  <c r="K96" i="18"/>
  <c r="C97" i="18"/>
  <c r="D97" i="18"/>
  <c r="E97" i="18"/>
  <c r="F97" i="18"/>
  <c r="H97" i="18"/>
  <c r="I97" i="18"/>
  <c r="J97" i="18"/>
  <c r="K97" i="18"/>
  <c r="C98" i="18"/>
  <c r="D98" i="18"/>
  <c r="E98" i="18"/>
  <c r="F98" i="18"/>
  <c r="H98" i="18"/>
  <c r="I98" i="18"/>
  <c r="J98" i="18"/>
  <c r="K98" i="18"/>
  <c r="C99" i="18"/>
  <c r="D99" i="18"/>
  <c r="E99" i="18"/>
  <c r="F99" i="18"/>
  <c r="H99" i="18"/>
  <c r="I99" i="18"/>
  <c r="J99" i="18"/>
  <c r="K99" i="18"/>
  <c r="C100" i="18"/>
  <c r="D100" i="18"/>
  <c r="E100" i="18"/>
  <c r="F100" i="18"/>
  <c r="H100" i="18"/>
  <c r="I100" i="18"/>
  <c r="J100" i="18"/>
  <c r="K100" i="18"/>
  <c r="C101" i="18"/>
  <c r="D101" i="18"/>
  <c r="E101" i="18"/>
  <c r="F101" i="18"/>
  <c r="H101" i="18"/>
  <c r="I101" i="18"/>
  <c r="J101" i="18"/>
  <c r="K101" i="18"/>
  <c r="C102" i="18"/>
  <c r="D102" i="18"/>
  <c r="E102" i="18"/>
  <c r="F102" i="18"/>
  <c r="G102" i="18"/>
  <c r="H102" i="18"/>
  <c r="I102" i="18"/>
  <c r="J102" i="18"/>
  <c r="K102" i="18"/>
  <c r="C103" i="18"/>
  <c r="D103" i="18"/>
  <c r="E103" i="18"/>
  <c r="F103" i="18"/>
  <c r="G103" i="18"/>
  <c r="H103" i="18"/>
  <c r="I103" i="18"/>
  <c r="J103" i="18"/>
  <c r="K103" i="18"/>
  <c r="C104" i="18"/>
  <c r="D104" i="18"/>
  <c r="E104" i="18"/>
  <c r="H104" i="18"/>
  <c r="I104" i="18"/>
  <c r="J104" i="18"/>
  <c r="K104" i="18"/>
  <c r="C105" i="18"/>
  <c r="D105" i="18"/>
  <c r="M105" i="18" s="1"/>
  <c r="E105" i="18"/>
  <c r="H105" i="18"/>
  <c r="I105" i="18"/>
  <c r="J105" i="18"/>
  <c r="K105" i="18"/>
  <c r="C106" i="18"/>
  <c r="D106" i="18"/>
  <c r="E106" i="18"/>
  <c r="H106" i="18"/>
  <c r="I106" i="18"/>
  <c r="J106" i="18"/>
  <c r="K106" i="18"/>
  <c r="M106" i="18"/>
  <c r="C107" i="18"/>
  <c r="D107" i="18"/>
  <c r="M107" i="18" s="1"/>
  <c r="E107" i="18"/>
  <c r="H107" i="18"/>
  <c r="I107" i="18"/>
  <c r="J107" i="18"/>
  <c r="K107" i="18"/>
  <c r="C108" i="18"/>
  <c r="D108" i="18"/>
  <c r="E108" i="18"/>
  <c r="H108" i="18"/>
  <c r="I108" i="18"/>
  <c r="J108" i="18"/>
  <c r="K108" i="18"/>
  <c r="M108" i="18"/>
  <c r="C109" i="18"/>
  <c r="D109" i="18"/>
  <c r="M109" i="18" s="1"/>
  <c r="E109" i="18"/>
  <c r="H109" i="18"/>
  <c r="I109" i="18"/>
  <c r="J109" i="18"/>
  <c r="K109" i="18"/>
  <c r="C110" i="18"/>
  <c r="D110" i="18"/>
  <c r="E110" i="18"/>
  <c r="H110" i="18"/>
  <c r="I110" i="18"/>
  <c r="J110" i="18"/>
  <c r="K110" i="18"/>
  <c r="M110" i="18"/>
  <c r="C111" i="18"/>
  <c r="D111" i="18"/>
  <c r="M111" i="18" s="1"/>
  <c r="E111" i="18"/>
  <c r="H111" i="18"/>
  <c r="I111" i="18"/>
  <c r="J111" i="18"/>
  <c r="K111" i="18"/>
  <c r="C113" i="18"/>
  <c r="D113" i="18"/>
  <c r="E113" i="18"/>
  <c r="F113" i="18"/>
  <c r="H113" i="18"/>
  <c r="I113" i="18"/>
  <c r="J113" i="18"/>
  <c r="K113" i="18"/>
  <c r="C114" i="18"/>
  <c r="D114" i="18"/>
  <c r="E114" i="18"/>
  <c r="F114" i="18"/>
  <c r="H114" i="18"/>
  <c r="I114" i="18"/>
  <c r="J114" i="18"/>
  <c r="K114" i="18"/>
  <c r="C115" i="18"/>
  <c r="D115" i="18"/>
  <c r="E115" i="18"/>
  <c r="F115" i="18"/>
  <c r="H115" i="18"/>
  <c r="I115" i="18"/>
  <c r="J115" i="18"/>
  <c r="K115" i="18"/>
  <c r="C116" i="18"/>
  <c r="D116" i="18"/>
  <c r="E116" i="18"/>
  <c r="F116" i="18"/>
  <c r="H116" i="18"/>
  <c r="I116" i="18"/>
  <c r="J116" i="18"/>
  <c r="K116" i="18"/>
  <c r="C117" i="18"/>
  <c r="D117" i="18"/>
  <c r="E117" i="18"/>
  <c r="F117" i="18"/>
  <c r="H117" i="18"/>
  <c r="I117" i="18"/>
  <c r="J117" i="18"/>
  <c r="K117" i="18"/>
  <c r="C118" i="18"/>
  <c r="D118" i="18"/>
  <c r="E118" i="18"/>
  <c r="F118" i="18"/>
  <c r="H118" i="18"/>
  <c r="I118" i="18"/>
  <c r="J118" i="18"/>
  <c r="K118" i="18"/>
  <c r="C120" i="18"/>
  <c r="K120" i="18"/>
  <c r="C121" i="18"/>
  <c r="E121" i="18"/>
  <c r="F121" i="18"/>
  <c r="H121" i="18"/>
  <c r="I121" i="18"/>
  <c r="J121" i="18"/>
  <c r="K121" i="18"/>
  <c r="C122" i="18"/>
  <c r="E122" i="18"/>
  <c r="F122" i="18"/>
  <c r="H122" i="18"/>
  <c r="I122" i="18"/>
  <c r="J122" i="18"/>
  <c r="K122" i="18"/>
  <c r="C123" i="18"/>
  <c r="E123" i="18"/>
  <c r="F123" i="18"/>
  <c r="H123" i="18"/>
  <c r="I123" i="18"/>
  <c r="J123" i="18"/>
  <c r="K123" i="18"/>
  <c r="C124" i="18"/>
  <c r="M124" i="18"/>
  <c r="E124" i="18"/>
  <c r="F124" i="18"/>
  <c r="H124" i="18"/>
  <c r="I124" i="18"/>
  <c r="J124" i="18"/>
  <c r="K124" i="18"/>
  <c r="C125" i="18"/>
  <c r="E125" i="18"/>
  <c r="F125" i="18"/>
  <c r="H125" i="18"/>
  <c r="I125" i="18"/>
  <c r="J125" i="18"/>
  <c r="K125" i="18"/>
  <c r="C130" i="18"/>
  <c r="M130" i="18"/>
  <c r="E130" i="18"/>
  <c r="F130" i="18"/>
  <c r="H130" i="18"/>
  <c r="I130" i="18"/>
  <c r="J130" i="18"/>
  <c r="K130" i="18"/>
  <c r="L131" i="18"/>
  <c r="N131" i="18" s="1"/>
  <c r="R131" i="18" s="1"/>
  <c r="O131" i="18"/>
  <c r="P131" i="18" s="1"/>
  <c r="C132" i="18"/>
  <c r="D132" i="18"/>
  <c r="E132" i="18"/>
  <c r="F132" i="18"/>
  <c r="H132" i="18"/>
  <c r="I132" i="18"/>
  <c r="J132" i="18"/>
  <c r="K132" i="18"/>
  <c r="C133" i="18"/>
  <c r="D133" i="18"/>
  <c r="E133" i="18"/>
  <c r="F133" i="18"/>
  <c r="H133" i="18"/>
  <c r="I133" i="18"/>
  <c r="J133" i="18"/>
  <c r="K133" i="18"/>
  <c r="C134" i="18"/>
  <c r="D134" i="18"/>
  <c r="E134" i="18"/>
  <c r="F134" i="18"/>
  <c r="H134" i="18"/>
  <c r="I134" i="18"/>
  <c r="J134" i="18"/>
  <c r="K134" i="18"/>
  <c r="C135" i="18"/>
  <c r="D135" i="18"/>
  <c r="E135" i="18"/>
  <c r="F135" i="18"/>
  <c r="H135" i="18"/>
  <c r="I135" i="18"/>
  <c r="J135" i="18"/>
  <c r="K135" i="18"/>
  <c r="C136" i="18"/>
  <c r="D136" i="18"/>
  <c r="E136" i="18"/>
  <c r="F136" i="18"/>
  <c r="H136" i="18"/>
  <c r="I136" i="18"/>
  <c r="J136" i="18"/>
  <c r="K136" i="18"/>
  <c r="C137" i="18"/>
  <c r="D137" i="18"/>
  <c r="E137" i="18"/>
  <c r="F137" i="18"/>
  <c r="H137" i="18"/>
  <c r="I137" i="18"/>
  <c r="J137" i="18"/>
  <c r="K137" i="18"/>
  <c r="C138" i="18"/>
  <c r="D138" i="18"/>
  <c r="E138" i="18"/>
  <c r="F138" i="18"/>
  <c r="H138" i="18"/>
  <c r="I138" i="18"/>
  <c r="J138" i="18"/>
  <c r="K138" i="18"/>
  <c r="C139" i="18"/>
  <c r="D139" i="18"/>
  <c r="E139" i="18"/>
  <c r="F139" i="18"/>
  <c r="H139" i="18"/>
  <c r="I139" i="18"/>
  <c r="J139" i="18"/>
  <c r="K139" i="18"/>
  <c r="C140" i="18"/>
  <c r="D140" i="18"/>
  <c r="E140" i="18"/>
  <c r="F140" i="18"/>
  <c r="H140" i="18"/>
  <c r="I140" i="18"/>
  <c r="J140" i="18"/>
  <c r="K140" i="18"/>
  <c r="C141" i="18"/>
  <c r="D141" i="18"/>
  <c r="E141" i="18"/>
  <c r="F141" i="18"/>
  <c r="H141" i="18"/>
  <c r="I141" i="18"/>
  <c r="J141" i="18"/>
  <c r="K141" i="18"/>
  <c r="C142" i="18"/>
  <c r="D142" i="18"/>
  <c r="E142" i="18"/>
  <c r="F142" i="18"/>
  <c r="H142" i="18"/>
  <c r="I142" i="18"/>
  <c r="J142" i="18"/>
  <c r="K142" i="18"/>
  <c r="C143" i="18"/>
  <c r="D143" i="18"/>
  <c r="E143" i="18"/>
  <c r="F143" i="18"/>
  <c r="H143" i="18"/>
  <c r="I143" i="18"/>
  <c r="J143" i="18"/>
  <c r="K143" i="18"/>
  <c r="C144" i="18"/>
  <c r="D144" i="18"/>
  <c r="E144" i="18"/>
  <c r="F144" i="18"/>
  <c r="H144" i="18"/>
  <c r="I144" i="18"/>
  <c r="J144" i="18"/>
  <c r="K144" i="18"/>
  <c r="C145" i="18"/>
  <c r="D145" i="18"/>
  <c r="E145" i="18"/>
  <c r="F145" i="18"/>
  <c r="H145" i="18"/>
  <c r="I145" i="18"/>
  <c r="J145" i="18"/>
  <c r="K145" i="18"/>
  <c r="C146" i="18"/>
  <c r="D146" i="18"/>
  <c r="M146" i="18" s="1"/>
  <c r="E146" i="18"/>
  <c r="F146" i="18"/>
  <c r="H146" i="18"/>
  <c r="I146" i="18"/>
  <c r="J146" i="18"/>
  <c r="K146" i="18"/>
  <c r="C147" i="18"/>
  <c r="D147" i="18"/>
  <c r="E147" i="18"/>
  <c r="F147" i="18"/>
  <c r="H147" i="18"/>
  <c r="I147" i="18"/>
  <c r="J147" i="18"/>
  <c r="K147" i="18"/>
  <c r="C148" i="18"/>
  <c r="D148" i="18"/>
  <c r="E148" i="18"/>
  <c r="F148" i="18"/>
  <c r="G148" i="18"/>
  <c r="H148" i="18"/>
  <c r="I148" i="18"/>
  <c r="J148" i="18"/>
  <c r="K148" i="18"/>
  <c r="C149" i="18"/>
  <c r="D149" i="18"/>
  <c r="E149" i="18"/>
  <c r="F149" i="18"/>
  <c r="G149" i="18"/>
  <c r="H149" i="18"/>
  <c r="I149" i="18"/>
  <c r="J149" i="18"/>
  <c r="K149" i="18"/>
  <c r="C150" i="18"/>
  <c r="D150" i="18"/>
  <c r="E150" i="18"/>
  <c r="F150" i="18"/>
  <c r="G150" i="18"/>
  <c r="H150" i="18"/>
  <c r="I150" i="18"/>
  <c r="J150" i="18"/>
  <c r="K150" i="18"/>
  <c r="C151" i="18"/>
  <c r="D151" i="18"/>
  <c r="E151" i="18"/>
  <c r="F151" i="18"/>
  <c r="G151" i="18"/>
  <c r="H151" i="18"/>
  <c r="I151" i="18"/>
  <c r="J151" i="18"/>
  <c r="K151" i="18"/>
  <c r="C152" i="18"/>
  <c r="D152" i="18"/>
  <c r="M152" i="18" s="1"/>
  <c r="E152" i="18"/>
  <c r="F152" i="18"/>
  <c r="H152" i="18"/>
  <c r="I152" i="18"/>
  <c r="J152" i="18"/>
  <c r="K152" i="18"/>
  <c r="C153" i="18"/>
  <c r="D153" i="18"/>
  <c r="M153" i="18" s="1"/>
  <c r="E153" i="18"/>
  <c r="F153" i="18"/>
  <c r="H153" i="18"/>
  <c r="I153" i="18"/>
  <c r="J153" i="18"/>
  <c r="K153" i="18"/>
  <c r="C154" i="18"/>
  <c r="D154" i="18"/>
  <c r="M154" i="18" s="1"/>
  <c r="E154" i="18"/>
  <c r="F154" i="18"/>
  <c r="H154" i="18"/>
  <c r="I154" i="18"/>
  <c r="J154" i="18"/>
  <c r="K154" i="18"/>
  <c r="L155" i="18"/>
  <c r="N155" i="18" s="1"/>
  <c r="R155" i="18" s="1"/>
  <c r="O155" i="18"/>
  <c r="P155" i="18" s="1"/>
  <c r="C156" i="18"/>
  <c r="D156" i="18"/>
  <c r="E156" i="18"/>
  <c r="F156" i="18"/>
  <c r="H156" i="18"/>
  <c r="I156" i="18"/>
  <c r="J156" i="18"/>
  <c r="K156" i="18"/>
  <c r="C157" i="18"/>
  <c r="D157" i="18"/>
  <c r="E157" i="18"/>
  <c r="F157" i="18"/>
  <c r="H157" i="18"/>
  <c r="I157" i="18"/>
  <c r="J157" i="18"/>
  <c r="K157" i="18"/>
  <c r="C158" i="18"/>
  <c r="D158" i="18"/>
  <c r="E158" i="18"/>
  <c r="F158" i="18"/>
  <c r="H158" i="18"/>
  <c r="I158" i="18"/>
  <c r="J158" i="18"/>
  <c r="K158" i="18"/>
  <c r="C159" i="18"/>
  <c r="D159" i="18"/>
  <c r="E159" i="18"/>
  <c r="F159" i="18"/>
  <c r="H159" i="18"/>
  <c r="I159" i="18"/>
  <c r="J159" i="18"/>
  <c r="K159" i="18"/>
  <c r="C160" i="18"/>
  <c r="D160" i="18"/>
  <c r="E160" i="18"/>
  <c r="F160" i="18"/>
  <c r="H160" i="18"/>
  <c r="I160" i="18"/>
  <c r="J160" i="18"/>
  <c r="K160" i="18"/>
  <c r="C161" i="18"/>
  <c r="D161" i="18"/>
  <c r="E161" i="18"/>
  <c r="F161" i="18"/>
  <c r="H161" i="18"/>
  <c r="I161" i="18"/>
  <c r="J161" i="18"/>
  <c r="K161" i="18"/>
  <c r="C162" i="18"/>
  <c r="D162" i="18"/>
  <c r="E162" i="18"/>
  <c r="F162" i="18"/>
  <c r="H162" i="18"/>
  <c r="I162" i="18"/>
  <c r="J162" i="18"/>
  <c r="K162" i="18"/>
  <c r="C163" i="18"/>
  <c r="D163" i="18"/>
  <c r="E163" i="18"/>
  <c r="F163" i="18"/>
  <c r="H163" i="18"/>
  <c r="I163" i="18"/>
  <c r="J163" i="18"/>
  <c r="K163" i="18"/>
  <c r="C164" i="18"/>
  <c r="D164" i="18"/>
  <c r="E164" i="18"/>
  <c r="F164" i="18"/>
  <c r="H164" i="18"/>
  <c r="I164" i="18"/>
  <c r="J164" i="18"/>
  <c r="K164" i="18"/>
  <c r="C165" i="18"/>
  <c r="D165" i="18"/>
  <c r="E165" i="18"/>
  <c r="F165" i="18"/>
  <c r="H165" i="18"/>
  <c r="I165" i="18"/>
  <c r="J165" i="18"/>
  <c r="K165" i="18"/>
  <c r="C166" i="18"/>
  <c r="D166" i="18"/>
  <c r="E166" i="18"/>
  <c r="F166" i="18"/>
  <c r="H166" i="18"/>
  <c r="I166" i="18"/>
  <c r="J166" i="18"/>
  <c r="K166" i="18"/>
  <c r="C167" i="18"/>
  <c r="D167" i="18"/>
  <c r="E167" i="18"/>
  <c r="F167" i="18"/>
  <c r="H167" i="18"/>
  <c r="I167" i="18"/>
  <c r="J167" i="18"/>
  <c r="K167" i="18"/>
  <c r="C168" i="18"/>
  <c r="D168" i="18"/>
  <c r="E168" i="18"/>
  <c r="F168" i="18"/>
  <c r="H168" i="18"/>
  <c r="I168" i="18"/>
  <c r="J168" i="18"/>
  <c r="K168" i="18"/>
  <c r="C169" i="18"/>
  <c r="D169" i="18"/>
  <c r="E169" i="18"/>
  <c r="F169" i="18"/>
  <c r="H169" i="18"/>
  <c r="I169" i="18"/>
  <c r="J169" i="18"/>
  <c r="K169" i="18"/>
  <c r="C170" i="18"/>
  <c r="D170" i="18"/>
  <c r="E170" i="18"/>
  <c r="F170" i="18"/>
  <c r="H170" i="18"/>
  <c r="I170" i="18"/>
  <c r="J170" i="18"/>
  <c r="K170" i="18"/>
  <c r="C171" i="18"/>
  <c r="D171" i="18"/>
  <c r="E171" i="18"/>
  <c r="F171" i="18"/>
  <c r="H171" i="18"/>
  <c r="I171" i="18"/>
  <c r="J171" i="18"/>
  <c r="K171" i="18"/>
  <c r="C172" i="18"/>
  <c r="D172" i="18"/>
  <c r="E172" i="18"/>
  <c r="F172" i="18"/>
  <c r="H172" i="18"/>
  <c r="I172" i="18"/>
  <c r="J172" i="18"/>
  <c r="K172" i="18"/>
  <c r="C173" i="18"/>
  <c r="D173" i="18"/>
  <c r="E173" i="18"/>
  <c r="F173" i="18"/>
  <c r="H173" i="18"/>
  <c r="I173" i="18"/>
  <c r="J173" i="18"/>
  <c r="K173" i="18"/>
  <c r="C174" i="18"/>
  <c r="D174" i="18"/>
  <c r="E174" i="18"/>
  <c r="F174" i="18"/>
  <c r="H174" i="18"/>
  <c r="I174" i="18"/>
  <c r="J174" i="18"/>
  <c r="K174" i="18"/>
  <c r="C175" i="18"/>
  <c r="D175" i="18"/>
  <c r="E175" i="18"/>
  <c r="F175" i="18"/>
  <c r="H175" i="18"/>
  <c r="I175" i="18"/>
  <c r="J175" i="18"/>
  <c r="K175" i="18"/>
  <c r="C176" i="18"/>
  <c r="D176" i="18"/>
  <c r="E176" i="18"/>
  <c r="F176" i="18"/>
  <c r="H176" i="18"/>
  <c r="I176" i="18"/>
  <c r="J176" i="18"/>
  <c r="K176" i="18"/>
  <c r="C177" i="18"/>
  <c r="D177" i="18"/>
  <c r="E177" i="18"/>
  <c r="F177" i="18"/>
  <c r="H177" i="18"/>
  <c r="I177" i="18"/>
  <c r="J177" i="18"/>
  <c r="K177" i="18"/>
  <c r="C178" i="18"/>
  <c r="D178" i="18"/>
  <c r="E178" i="18"/>
  <c r="F178" i="18"/>
  <c r="H178" i="18"/>
  <c r="I178" i="18"/>
  <c r="J178" i="18"/>
  <c r="K178" i="18"/>
  <c r="C179" i="18"/>
  <c r="D179" i="18"/>
  <c r="E179" i="18"/>
  <c r="F179" i="18"/>
  <c r="H179" i="18"/>
  <c r="I179" i="18"/>
  <c r="J179" i="18"/>
  <c r="K179" i="18"/>
  <c r="C180" i="18"/>
  <c r="D180" i="18"/>
  <c r="E180" i="18"/>
  <c r="F180" i="18"/>
  <c r="H180" i="18"/>
  <c r="I180" i="18"/>
  <c r="J180" i="18"/>
  <c r="K180" i="18"/>
  <c r="C181" i="18"/>
  <c r="D181" i="18"/>
  <c r="E181" i="18"/>
  <c r="F181" i="18"/>
  <c r="H181" i="18"/>
  <c r="I181" i="18"/>
  <c r="J181" i="18"/>
  <c r="K181" i="18"/>
  <c r="C182" i="18"/>
  <c r="D182" i="18"/>
  <c r="E182" i="18"/>
  <c r="F182" i="18"/>
  <c r="H182" i="18"/>
  <c r="I182" i="18"/>
  <c r="J182" i="18"/>
  <c r="K182" i="18"/>
  <c r="C183" i="18"/>
  <c r="D183" i="18"/>
  <c r="E183" i="18"/>
  <c r="F183" i="18"/>
  <c r="H183" i="18"/>
  <c r="I183" i="18"/>
  <c r="J183" i="18"/>
  <c r="K183" i="18"/>
  <c r="C184" i="18"/>
  <c r="D184" i="18"/>
  <c r="E184" i="18"/>
  <c r="F184" i="18"/>
  <c r="H184" i="18"/>
  <c r="I184" i="18"/>
  <c r="J184" i="18"/>
  <c r="K184" i="18"/>
  <c r="C185" i="18"/>
  <c r="D185" i="18"/>
  <c r="E185" i="18"/>
  <c r="F185" i="18"/>
  <c r="H185" i="18"/>
  <c r="I185" i="18"/>
  <c r="J185" i="18"/>
  <c r="K185" i="18"/>
  <c r="C186" i="18"/>
  <c r="D186" i="18"/>
  <c r="M186" i="18" s="1"/>
  <c r="E186" i="18"/>
  <c r="F186" i="18"/>
  <c r="H186" i="18"/>
  <c r="I186" i="18"/>
  <c r="J186" i="18"/>
  <c r="K186" i="18"/>
  <c r="C187" i="18"/>
  <c r="D187" i="18"/>
  <c r="M187" i="18" s="1"/>
  <c r="E187" i="18"/>
  <c r="F187" i="18"/>
  <c r="H187" i="18"/>
  <c r="I187" i="18"/>
  <c r="J187" i="18"/>
  <c r="K187" i="18"/>
  <c r="C188" i="18"/>
  <c r="D188" i="18"/>
  <c r="M188" i="18" s="1"/>
  <c r="E188" i="18"/>
  <c r="F188" i="18"/>
  <c r="H188" i="18"/>
  <c r="I188" i="18"/>
  <c r="J188" i="18"/>
  <c r="K188" i="18"/>
  <c r="C189" i="18"/>
  <c r="D189" i="18"/>
  <c r="E189" i="18"/>
  <c r="F189" i="18"/>
  <c r="H189" i="18"/>
  <c r="I189" i="18"/>
  <c r="J189" i="18"/>
  <c r="K189" i="18"/>
  <c r="C190" i="18"/>
  <c r="D190" i="18"/>
  <c r="M190" i="18" s="1"/>
  <c r="E190" i="18"/>
  <c r="F190" i="18"/>
  <c r="H190" i="18"/>
  <c r="I190" i="18"/>
  <c r="J190" i="18"/>
  <c r="K190" i="18"/>
  <c r="C191" i="18"/>
  <c r="D191" i="18"/>
  <c r="M191" i="18" s="1"/>
  <c r="E191" i="18"/>
  <c r="F191" i="18"/>
  <c r="H191" i="18"/>
  <c r="I191" i="18"/>
  <c r="J191" i="18"/>
  <c r="K191" i="18"/>
  <c r="C192" i="18"/>
  <c r="D192" i="18"/>
  <c r="M192" i="18" s="1"/>
  <c r="E192" i="18"/>
  <c r="F192" i="18"/>
  <c r="H192" i="18"/>
  <c r="I192" i="18"/>
  <c r="J192" i="18"/>
  <c r="K192" i="18"/>
  <c r="C193" i="18"/>
  <c r="D193" i="18"/>
  <c r="M193" i="18" s="1"/>
  <c r="E193" i="18"/>
  <c r="F193" i="18"/>
  <c r="H193" i="18"/>
  <c r="I193" i="18"/>
  <c r="J193" i="18"/>
  <c r="K193" i="18"/>
  <c r="L194" i="18"/>
  <c r="M194" i="18"/>
  <c r="C195" i="18"/>
  <c r="D195" i="18"/>
  <c r="E195" i="18"/>
  <c r="F195" i="18"/>
  <c r="H195" i="18"/>
  <c r="I195" i="18"/>
  <c r="J195" i="18"/>
  <c r="K195" i="18"/>
  <c r="C196" i="18"/>
  <c r="D196" i="18"/>
  <c r="E196" i="18"/>
  <c r="F196" i="18"/>
  <c r="H196" i="18"/>
  <c r="I196" i="18"/>
  <c r="J196" i="18"/>
  <c r="K196" i="18"/>
  <c r="C197" i="18"/>
  <c r="D197" i="18"/>
  <c r="E197" i="18"/>
  <c r="F197" i="18"/>
  <c r="H197" i="18"/>
  <c r="I197" i="18"/>
  <c r="J197" i="18"/>
  <c r="K197" i="18"/>
  <c r="C198" i="18"/>
  <c r="D198" i="18"/>
  <c r="E198" i="18"/>
  <c r="F198" i="18"/>
  <c r="H198" i="18"/>
  <c r="I198" i="18"/>
  <c r="J198" i="18"/>
  <c r="K198" i="18"/>
  <c r="C199" i="18"/>
  <c r="D199" i="18"/>
  <c r="E199" i="18"/>
  <c r="F199" i="18"/>
  <c r="H199" i="18"/>
  <c r="I199" i="18"/>
  <c r="J199" i="18"/>
  <c r="K199" i="18"/>
  <c r="C200" i="18"/>
  <c r="D200" i="18"/>
  <c r="E200" i="18"/>
  <c r="F200" i="18"/>
  <c r="H200" i="18"/>
  <c r="I200" i="18"/>
  <c r="J200" i="18"/>
  <c r="K200" i="18"/>
  <c r="C201" i="18"/>
  <c r="D201" i="18"/>
  <c r="E201" i="18"/>
  <c r="F201" i="18"/>
  <c r="H201" i="18"/>
  <c r="I201" i="18"/>
  <c r="J201" i="18"/>
  <c r="K201" i="18"/>
  <c r="C202" i="18"/>
  <c r="D202" i="18"/>
  <c r="E202" i="18"/>
  <c r="F202" i="18"/>
  <c r="H202" i="18"/>
  <c r="I202" i="18"/>
  <c r="J202" i="18"/>
  <c r="K202" i="18"/>
  <c r="C203" i="18"/>
  <c r="D203" i="18"/>
  <c r="E203" i="18"/>
  <c r="F203" i="18"/>
  <c r="H203" i="18"/>
  <c r="I203" i="18"/>
  <c r="J203" i="18"/>
  <c r="K203" i="18"/>
  <c r="C204" i="18"/>
  <c r="D204" i="18"/>
  <c r="E204" i="18"/>
  <c r="F204" i="18"/>
  <c r="H204" i="18"/>
  <c r="I204" i="18"/>
  <c r="J204" i="18"/>
  <c r="K204" i="18"/>
  <c r="C205" i="18"/>
  <c r="D205" i="18"/>
  <c r="E205" i="18"/>
  <c r="F205" i="18"/>
  <c r="H205" i="18"/>
  <c r="I205" i="18"/>
  <c r="J205" i="18"/>
  <c r="K205" i="18"/>
  <c r="C206" i="18"/>
  <c r="D206" i="18"/>
  <c r="E206" i="18"/>
  <c r="F206" i="18"/>
  <c r="H206" i="18"/>
  <c r="I206" i="18"/>
  <c r="J206" i="18"/>
  <c r="K206" i="18"/>
  <c r="C207" i="18"/>
  <c r="D207" i="18"/>
  <c r="E207" i="18"/>
  <c r="F207" i="18"/>
  <c r="H207" i="18"/>
  <c r="I207" i="18"/>
  <c r="J207" i="18"/>
  <c r="K207" i="18"/>
  <c r="C208" i="18"/>
  <c r="D208" i="18"/>
  <c r="E208" i="18"/>
  <c r="F208" i="18"/>
  <c r="H208" i="18"/>
  <c r="I208" i="18"/>
  <c r="J208" i="18"/>
  <c r="K208" i="18"/>
  <c r="C209" i="18"/>
  <c r="D209" i="18"/>
  <c r="E209" i="18"/>
  <c r="F209" i="18"/>
  <c r="H209" i="18"/>
  <c r="I209" i="18"/>
  <c r="J209" i="18"/>
  <c r="K209" i="18"/>
  <c r="C210" i="18"/>
  <c r="D210" i="18"/>
  <c r="E210" i="18"/>
  <c r="F210" i="18"/>
  <c r="H210" i="18"/>
  <c r="I210" i="18"/>
  <c r="J210" i="18"/>
  <c r="K210" i="18"/>
  <c r="C211" i="18"/>
  <c r="D211" i="18"/>
  <c r="E211" i="18"/>
  <c r="F211" i="18"/>
  <c r="H211" i="18"/>
  <c r="I211" i="18"/>
  <c r="J211" i="18"/>
  <c r="K211" i="18"/>
  <c r="C212" i="18"/>
  <c r="D212" i="18"/>
  <c r="E212" i="18"/>
  <c r="F212" i="18"/>
  <c r="H212" i="18"/>
  <c r="I212" i="18"/>
  <c r="J212" i="18"/>
  <c r="K212" i="18"/>
  <c r="C213" i="18"/>
  <c r="D213" i="18"/>
  <c r="E213" i="18"/>
  <c r="F213" i="18"/>
  <c r="H213" i="18"/>
  <c r="I213" i="18"/>
  <c r="J213" i="18"/>
  <c r="K213" i="18"/>
  <c r="C214" i="18"/>
  <c r="D214" i="18"/>
  <c r="E214" i="18"/>
  <c r="F214" i="18"/>
  <c r="H214" i="18"/>
  <c r="I214" i="18"/>
  <c r="J214" i="18"/>
  <c r="K214" i="18"/>
  <c r="C215" i="18"/>
  <c r="D215" i="18"/>
  <c r="E215" i="18"/>
  <c r="F215" i="18"/>
  <c r="H215" i="18"/>
  <c r="I215" i="18"/>
  <c r="J215" i="18"/>
  <c r="K215" i="18"/>
  <c r="C216" i="18"/>
  <c r="D216" i="18"/>
  <c r="E216" i="18"/>
  <c r="F216" i="18"/>
  <c r="H216" i="18"/>
  <c r="I216" i="18"/>
  <c r="J216" i="18"/>
  <c r="K216" i="18"/>
  <c r="C217" i="18"/>
  <c r="D217" i="18"/>
  <c r="E217" i="18"/>
  <c r="F217" i="18"/>
  <c r="H217" i="18"/>
  <c r="I217" i="18"/>
  <c r="J217" i="18"/>
  <c r="K217" i="18"/>
  <c r="C218" i="18"/>
  <c r="D218" i="18"/>
  <c r="E218" i="18"/>
  <c r="F218" i="18"/>
  <c r="H218" i="18"/>
  <c r="I218" i="18"/>
  <c r="J218" i="18"/>
  <c r="K218" i="18"/>
  <c r="C219" i="18"/>
  <c r="D219" i="18"/>
  <c r="E219" i="18"/>
  <c r="F219" i="18"/>
  <c r="H219" i="18"/>
  <c r="I219" i="18"/>
  <c r="J219" i="18"/>
  <c r="K219" i="18"/>
  <c r="C220" i="18"/>
  <c r="D220" i="18"/>
  <c r="E220" i="18"/>
  <c r="F220" i="18"/>
  <c r="H220" i="18"/>
  <c r="I220" i="18"/>
  <c r="J220" i="18"/>
  <c r="K220" i="18"/>
  <c r="C221" i="18"/>
  <c r="D221" i="18"/>
  <c r="E221" i="18"/>
  <c r="F221" i="18"/>
  <c r="H221" i="18"/>
  <c r="I221" i="18"/>
  <c r="J221" i="18"/>
  <c r="K221" i="18"/>
  <c r="C222" i="18"/>
  <c r="D222" i="18"/>
  <c r="E222" i="18"/>
  <c r="F222" i="18"/>
  <c r="H222" i="18"/>
  <c r="I222" i="18"/>
  <c r="J222" i="18"/>
  <c r="K222" i="18"/>
  <c r="C223" i="18"/>
  <c r="D223" i="18"/>
  <c r="E223" i="18"/>
  <c r="F223" i="18"/>
  <c r="H223" i="18"/>
  <c r="I223" i="18"/>
  <c r="J223" i="18"/>
  <c r="K223" i="18"/>
  <c r="C224" i="18"/>
  <c r="D224" i="18"/>
  <c r="E224" i="18"/>
  <c r="F224" i="18"/>
  <c r="H224" i="18"/>
  <c r="I224" i="18"/>
  <c r="J224" i="18"/>
  <c r="K224" i="18"/>
  <c r="C225" i="18"/>
  <c r="D225" i="18"/>
  <c r="E225" i="18"/>
  <c r="F225" i="18"/>
  <c r="H225" i="18"/>
  <c r="I225" i="18"/>
  <c r="J225" i="18"/>
  <c r="K225" i="18"/>
  <c r="C226" i="18"/>
  <c r="D226" i="18"/>
  <c r="M226" i="18" s="1"/>
  <c r="E226" i="18"/>
  <c r="F226" i="18"/>
  <c r="H226" i="18"/>
  <c r="I226" i="18"/>
  <c r="J226" i="18"/>
  <c r="K226" i="18"/>
  <c r="C227" i="18"/>
  <c r="D227" i="18"/>
  <c r="M227" i="18" s="1"/>
  <c r="E227" i="18"/>
  <c r="F227" i="18"/>
  <c r="H227" i="18"/>
  <c r="I227" i="18"/>
  <c r="J227" i="18"/>
  <c r="K227" i="18"/>
  <c r="C228" i="18"/>
  <c r="D228" i="18"/>
  <c r="E228" i="18"/>
  <c r="F228" i="18"/>
  <c r="H228" i="18"/>
  <c r="I228" i="18"/>
  <c r="J228" i="18"/>
  <c r="K228" i="18"/>
  <c r="C229" i="18"/>
  <c r="D229" i="18"/>
  <c r="E229" i="18"/>
  <c r="F229" i="18"/>
  <c r="G229" i="18"/>
  <c r="H229" i="18"/>
  <c r="I229" i="18"/>
  <c r="J229" i="18"/>
  <c r="K229" i="18"/>
  <c r="C230" i="18"/>
  <c r="D230" i="18"/>
  <c r="E230" i="18"/>
  <c r="F230" i="18"/>
  <c r="G230" i="18"/>
  <c r="H230" i="18"/>
  <c r="I230" i="18"/>
  <c r="J230" i="18"/>
  <c r="K230" i="18"/>
  <c r="C231" i="18"/>
  <c r="D231" i="18"/>
  <c r="E231" i="18"/>
  <c r="F231" i="18"/>
  <c r="G231" i="18"/>
  <c r="H231" i="18"/>
  <c r="I231" i="18"/>
  <c r="J231" i="18"/>
  <c r="K231" i="18"/>
  <c r="C232" i="18"/>
  <c r="D232" i="18"/>
  <c r="E232" i="18"/>
  <c r="F232" i="18"/>
  <c r="G232" i="18"/>
  <c r="H232" i="18"/>
  <c r="I232" i="18"/>
  <c r="J232" i="18"/>
  <c r="K232" i="18"/>
  <c r="C233" i="18"/>
  <c r="M233" i="18"/>
  <c r="E233" i="18"/>
  <c r="F233" i="18"/>
  <c r="H233" i="18"/>
  <c r="I233" i="18"/>
  <c r="J233" i="18"/>
  <c r="K233" i="18"/>
  <c r="L234" i="18"/>
  <c r="M234" i="18"/>
  <c r="O234" i="18" s="1"/>
  <c r="P234" i="18" s="1"/>
  <c r="C5" i="18"/>
  <c r="D5" i="18"/>
  <c r="E5" i="18"/>
  <c r="F5" i="18"/>
  <c r="H5" i="18"/>
  <c r="I5" i="18"/>
  <c r="J5" i="18"/>
  <c r="K5" i="18"/>
  <c r="I235" i="18" l="1"/>
  <c r="M254" i="18"/>
  <c r="J235" i="18"/>
  <c r="H235" i="18"/>
  <c r="Q155" i="18"/>
  <c r="Q131" i="18"/>
  <c r="L91" i="18"/>
  <c r="L85" i="18"/>
  <c r="N85" i="18" s="1"/>
  <c r="R85" i="18" s="1"/>
  <c r="L83" i="18"/>
  <c r="L81" i="18"/>
  <c r="N81" i="18" s="1"/>
  <c r="R81" i="18" s="1"/>
  <c r="L77" i="18"/>
  <c r="L51" i="18"/>
  <c r="L32" i="18"/>
  <c r="L28" i="18"/>
  <c r="L26" i="18"/>
  <c r="L24" i="18"/>
  <c r="L22" i="18"/>
  <c r="L20" i="18"/>
  <c r="L18" i="18"/>
  <c r="L16" i="18"/>
  <c r="L14" i="18"/>
  <c r="L12" i="18"/>
  <c r="L10" i="18"/>
  <c r="L8" i="18"/>
  <c r="L6" i="18"/>
  <c r="L67" i="18"/>
  <c r="L55" i="18"/>
  <c r="L53" i="18"/>
  <c r="L73" i="18"/>
  <c r="L69" i="18"/>
  <c r="L47" i="18"/>
  <c r="L34" i="18"/>
  <c r="L111" i="18"/>
  <c r="L107" i="18"/>
  <c r="N107" i="18" s="1"/>
  <c r="R107" i="18" s="1"/>
  <c r="L95" i="18"/>
  <c r="L93" i="18"/>
  <c r="L109" i="18"/>
  <c r="L105" i="18"/>
  <c r="N105" i="18" s="1"/>
  <c r="R105" i="18" s="1"/>
  <c r="L75" i="18"/>
  <c r="L57" i="18"/>
  <c r="L49" i="18"/>
  <c r="L30" i="18"/>
  <c r="L189" i="18"/>
  <c r="L101" i="18"/>
  <c r="L99" i="18"/>
  <c r="L97" i="18"/>
  <c r="L87" i="18"/>
  <c r="N87" i="18" s="1"/>
  <c r="R87" i="18" s="1"/>
  <c r="L79" i="18"/>
  <c r="L193" i="18"/>
  <c r="N193" i="18" s="1"/>
  <c r="R193" i="18" s="1"/>
  <c r="L185" i="18"/>
  <c r="L170" i="18"/>
  <c r="L162" i="18"/>
  <c r="L152" i="18"/>
  <c r="N152" i="18" s="1"/>
  <c r="R152" i="18" s="1"/>
  <c r="L146" i="18"/>
  <c r="N146" i="18" s="1"/>
  <c r="R146" i="18" s="1"/>
  <c r="L103" i="18"/>
  <c r="L89" i="18"/>
  <c r="L71" i="18"/>
  <c r="L65" i="18"/>
  <c r="L63" i="18"/>
  <c r="L61" i="18"/>
  <c r="L59" i="18"/>
  <c r="L45" i="18"/>
  <c r="L43" i="18"/>
  <c r="L41" i="18"/>
  <c r="L39" i="18"/>
  <c r="L35" i="18"/>
  <c r="L191" i="18"/>
  <c r="N191" i="18" s="1"/>
  <c r="R191" i="18" s="1"/>
  <c r="L187" i="18"/>
  <c r="N187" i="18" s="1"/>
  <c r="R187" i="18" s="1"/>
  <c r="L183" i="18"/>
  <c r="L150" i="18"/>
  <c r="L148" i="18"/>
  <c r="L144" i="18"/>
  <c r="L142" i="18"/>
  <c r="L140" i="18"/>
  <c r="L138" i="18"/>
  <c r="L136" i="18"/>
  <c r="L134" i="18"/>
  <c r="L132" i="18"/>
  <c r="L38" i="18"/>
  <c r="N83" i="18"/>
  <c r="R83" i="18" s="1"/>
  <c r="O81" i="18"/>
  <c r="P81" i="18" s="1"/>
  <c r="L231" i="18"/>
  <c r="L227" i="18"/>
  <c r="N227" i="18" s="1"/>
  <c r="R227" i="18" s="1"/>
  <c r="L223" i="18"/>
  <c r="L219" i="18"/>
  <c r="L215" i="18"/>
  <c r="L211" i="18"/>
  <c r="L207" i="18"/>
  <c r="L203" i="18"/>
  <c r="L198" i="18"/>
  <c r="N194" i="18"/>
  <c r="R194" i="18" s="1"/>
  <c r="O192" i="18"/>
  <c r="P192" i="18" s="1"/>
  <c r="L181" i="18"/>
  <c r="L180" i="18"/>
  <c r="L173" i="18"/>
  <c r="L164" i="18"/>
  <c r="L156" i="18"/>
  <c r="L130" i="18"/>
  <c r="N130" i="18" s="1"/>
  <c r="R130" i="18" s="1"/>
  <c r="L122" i="18"/>
  <c r="L117" i="18"/>
  <c r="L113" i="18"/>
  <c r="N111" i="18"/>
  <c r="R111" i="18" s="1"/>
  <c r="N109" i="18"/>
  <c r="R109" i="18" s="1"/>
  <c r="O107" i="18"/>
  <c r="P107" i="18" s="1"/>
  <c r="O105" i="18"/>
  <c r="P105" i="18" s="1"/>
  <c r="O130" i="18"/>
  <c r="P130" i="18" s="1"/>
  <c r="L129" i="18"/>
  <c r="L125" i="18"/>
  <c r="L121" i="18"/>
  <c r="L116" i="18"/>
  <c r="O111" i="18"/>
  <c r="P111" i="18" s="1"/>
  <c r="O109" i="18"/>
  <c r="P109" i="18" s="1"/>
  <c r="O85" i="18"/>
  <c r="P85" i="18" s="1"/>
  <c r="O83" i="18"/>
  <c r="P83" i="18" s="1"/>
  <c r="O87" i="18"/>
  <c r="P87" i="18" s="1"/>
  <c r="L233" i="18"/>
  <c r="N233" i="18" s="1"/>
  <c r="R233" i="18" s="1"/>
  <c r="L229" i="18"/>
  <c r="L225" i="18"/>
  <c r="L221" i="18"/>
  <c r="L217" i="18"/>
  <c r="L213" i="18"/>
  <c r="L209" i="18"/>
  <c r="L205" i="18"/>
  <c r="L201" i="18"/>
  <c r="L196" i="18"/>
  <c r="L179" i="18"/>
  <c r="L175" i="18"/>
  <c r="L174" i="18"/>
  <c r="L169" i="18"/>
  <c r="L166" i="18"/>
  <c r="L161" i="18"/>
  <c r="L158" i="18"/>
  <c r="L37" i="18"/>
  <c r="O194" i="18"/>
  <c r="P194" i="18" s="1"/>
  <c r="L5" i="18"/>
  <c r="N234" i="18"/>
  <c r="R234" i="18" s="1"/>
  <c r="L197" i="18"/>
  <c r="L177" i="18"/>
  <c r="L176" i="18"/>
  <c r="L168" i="18"/>
  <c r="L165" i="18"/>
  <c r="L160" i="18"/>
  <c r="L157" i="18"/>
  <c r="L154" i="18"/>
  <c r="N154" i="18" s="1"/>
  <c r="R154" i="18" s="1"/>
  <c r="L128" i="18"/>
  <c r="L124" i="18"/>
  <c r="N124" i="18" s="1"/>
  <c r="R124" i="18" s="1"/>
  <c r="L120" i="18"/>
  <c r="L115" i="18"/>
  <c r="L33" i="18"/>
  <c r="L31" i="18"/>
  <c r="L29" i="18"/>
  <c r="L27" i="18"/>
  <c r="L25" i="18"/>
  <c r="L23" i="18"/>
  <c r="L21" i="18"/>
  <c r="L19" i="18"/>
  <c r="L17" i="18"/>
  <c r="L15" i="18"/>
  <c r="L13" i="18"/>
  <c r="L11" i="18"/>
  <c r="L9" i="18"/>
  <c r="L7" i="18"/>
  <c r="O193" i="18"/>
  <c r="P193" i="18" s="1"/>
  <c r="Q193" i="18" s="1"/>
  <c r="L232" i="18"/>
  <c r="L230" i="18"/>
  <c r="L228" i="18"/>
  <c r="L226" i="18"/>
  <c r="N226" i="18" s="1"/>
  <c r="R226" i="18" s="1"/>
  <c r="L224" i="18"/>
  <c r="L222" i="18"/>
  <c r="L220" i="18"/>
  <c r="L218" i="18"/>
  <c r="L216" i="18"/>
  <c r="L214" i="18"/>
  <c r="L212" i="18"/>
  <c r="L210" i="18"/>
  <c r="L208" i="18"/>
  <c r="L206" i="18"/>
  <c r="L204" i="18"/>
  <c r="L202" i="18"/>
  <c r="L200" i="18"/>
  <c r="L199" i="18"/>
  <c r="L195" i="18"/>
  <c r="L192" i="18"/>
  <c r="N192" i="18" s="1"/>
  <c r="R192" i="18" s="1"/>
  <c r="L190" i="18"/>
  <c r="L188" i="18"/>
  <c r="N188" i="18" s="1"/>
  <c r="R188" i="18" s="1"/>
  <c r="L186" i="18"/>
  <c r="N186" i="18" s="1"/>
  <c r="R186" i="18" s="1"/>
  <c r="L184" i="18"/>
  <c r="L182" i="18"/>
  <c r="L178" i="18"/>
  <c r="L172" i="18"/>
  <c r="L167" i="18"/>
  <c r="L163" i="18"/>
  <c r="L159" i="18"/>
  <c r="L153" i="18"/>
  <c r="N153" i="18" s="1"/>
  <c r="R153" i="18" s="1"/>
  <c r="L151" i="18"/>
  <c r="L149" i="18"/>
  <c r="L147" i="18"/>
  <c r="L145" i="18"/>
  <c r="L143" i="18"/>
  <c r="L141" i="18"/>
  <c r="L139" i="18"/>
  <c r="L137" i="18"/>
  <c r="L135" i="18"/>
  <c r="L133" i="18"/>
  <c r="L127" i="18"/>
  <c r="L250" i="18" s="1"/>
  <c r="O124" i="18"/>
  <c r="P124" i="18" s="1"/>
  <c r="L123" i="18"/>
  <c r="L118" i="18"/>
  <c r="L114" i="18"/>
  <c r="L110" i="18"/>
  <c r="N110" i="18" s="1"/>
  <c r="R110" i="18" s="1"/>
  <c r="L108" i="18"/>
  <c r="N108" i="18" s="1"/>
  <c r="R108" i="18" s="1"/>
  <c r="L106" i="18"/>
  <c r="N106" i="18" s="1"/>
  <c r="R106" i="18" s="1"/>
  <c r="L104" i="18"/>
  <c r="L102" i="18"/>
  <c r="L100" i="18"/>
  <c r="L98" i="18"/>
  <c r="L96" i="18"/>
  <c r="L94" i="18"/>
  <c r="L92" i="18"/>
  <c r="L90" i="18"/>
  <c r="L88" i="18"/>
  <c r="N88" i="18" s="1"/>
  <c r="R88" i="18" s="1"/>
  <c r="L86" i="18"/>
  <c r="L84" i="18"/>
  <c r="N84" i="18" s="1"/>
  <c r="R84" i="18" s="1"/>
  <c r="L82" i="18"/>
  <c r="N82" i="18" s="1"/>
  <c r="R82" i="18" s="1"/>
  <c r="L80" i="18"/>
  <c r="N80" i="18" s="1"/>
  <c r="R80" i="18" s="1"/>
  <c r="L78" i="18"/>
  <c r="L76" i="18"/>
  <c r="L74" i="18"/>
  <c r="L72" i="18"/>
  <c r="L70" i="18"/>
  <c r="L68" i="18"/>
  <c r="L66" i="18"/>
  <c r="L64" i="18"/>
  <c r="L62" i="18"/>
  <c r="L60" i="18"/>
  <c r="L58" i="18"/>
  <c r="L56" i="18"/>
  <c r="L54" i="18"/>
  <c r="L52" i="18"/>
  <c r="L50" i="18"/>
  <c r="L48" i="18"/>
  <c r="L46" i="18"/>
  <c r="L44" i="18"/>
  <c r="L42" i="18"/>
  <c r="L40" i="18"/>
  <c r="L36" i="18"/>
  <c r="O233" i="18"/>
  <c r="P233" i="18" s="1"/>
  <c r="O227" i="18"/>
  <c r="P227" i="18" s="1"/>
  <c r="O226" i="18"/>
  <c r="P226" i="18" s="1"/>
  <c r="O154" i="18"/>
  <c r="P154" i="18" s="1"/>
  <c r="O146" i="18"/>
  <c r="P146" i="18" s="1"/>
  <c r="O191" i="18"/>
  <c r="P191" i="18" s="1"/>
  <c r="O187" i="18"/>
  <c r="P187" i="18" s="1"/>
  <c r="Q187" i="18" s="1"/>
  <c r="O152" i="18"/>
  <c r="P152" i="18" s="1"/>
  <c r="O190" i="18"/>
  <c r="O188" i="18"/>
  <c r="P188" i="18" s="1"/>
  <c r="Q188" i="18" s="1"/>
  <c r="O186" i="18"/>
  <c r="P186" i="18" s="1"/>
  <c r="L171" i="18"/>
  <c r="O153" i="18"/>
  <c r="P153" i="18" s="1"/>
  <c r="Q153" i="18" s="1"/>
  <c r="O110" i="18"/>
  <c r="P110" i="18" s="1"/>
  <c r="O108" i="18"/>
  <c r="P108" i="18" s="1"/>
  <c r="O106" i="18"/>
  <c r="P106" i="18" s="1"/>
  <c r="O88" i="18"/>
  <c r="P88" i="18" s="1"/>
  <c r="O84" i="18"/>
  <c r="P84" i="18" s="1"/>
  <c r="O82" i="18"/>
  <c r="P82" i="18" s="1"/>
  <c r="O80" i="18"/>
  <c r="P80" i="18" s="1"/>
  <c r="Q81" i="18" l="1"/>
  <c r="L248" i="18"/>
  <c r="N190" i="18"/>
  <c r="L254" i="18"/>
  <c r="P190" i="18"/>
  <c r="P254" i="18" s="1"/>
  <c r="O254" i="18"/>
  <c r="L256" i="18"/>
  <c r="L252" i="18"/>
  <c r="L239" i="18"/>
  <c r="L247" i="18" s="1"/>
  <c r="L258" i="18" s="1"/>
  <c r="L235" i="18"/>
  <c r="Q111" i="18"/>
  <c r="Q109" i="18"/>
  <c r="Q186" i="18"/>
  <c r="Q190" i="18"/>
  <c r="Q191" i="18"/>
  <c r="Q194" i="18"/>
  <c r="Q106" i="18"/>
  <c r="Q110" i="18"/>
  <c r="Q226" i="18"/>
  <c r="Q233" i="18"/>
  <c r="Q88" i="18"/>
  <c r="Q108" i="18"/>
  <c r="Q146" i="18"/>
  <c r="Q124" i="18"/>
  <c r="Q227" i="18"/>
  <c r="Q152" i="18"/>
  <c r="Q154" i="18"/>
  <c r="Q87" i="18"/>
  <c r="Q85" i="18"/>
  <c r="Q107" i="18"/>
  <c r="Q82" i="18"/>
  <c r="Q80" i="18"/>
  <c r="Q84" i="18"/>
  <c r="Q192" i="18"/>
  <c r="Q83" i="18"/>
  <c r="Q130" i="18"/>
  <c r="Q105" i="18"/>
  <c r="Q234" i="18"/>
  <c r="L241" i="18"/>
  <c r="L243" i="18"/>
  <c r="L240" i="18"/>
  <c r="L242" i="18"/>
  <c r="AA115" i="17"/>
  <c r="AB115" i="17"/>
  <c r="AC115" i="17"/>
  <c r="AD115" i="17"/>
  <c r="AE115" i="17"/>
  <c r="AF115" i="17"/>
  <c r="AG115" i="17"/>
  <c r="AH115" i="17"/>
  <c r="AI115" i="17"/>
  <c r="AJ115" i="17"/>
  <c r="AK115" i="17"/>
  <c r="Z115" i="17"/>
  <c r="I115" i="17"/>
  <c r="J115" i="17"/>
  <c r="H115" i="17"/>
  <c r="L80" i="17"/>
  <c r="Y80" i="17"/>
  <c r="X80" i="17" s="1"/>
  <c r="M80" i="17" s="1"/>
  <c r="M77" i="18" s="1"/>
  <c r="L81" i="17"/>
  <c r="Y81" i="17"/>
  <c r="X81" i="17" s="1"/>
  <c r="M81" i="17" s="1"/>
  <c r="M78" i="18" s="1"/>
  <c r="O78" i="18" s="1"/>
  <c r="P78" i="18" s="1"/>
  <c r="L82" i="17"/>
  <c r="Y82" i="17"/>
  <c r="X82" i="17" s="1"/>
  <c r="M82" i="17" s="1"/>
  <c r="M79" i="18" s="1"/>
  <c r="L83" i="17"/>
  <c r="Y83" i="17"/>
  <c r="X83" i="17" s="1"/>
  <c r="M83" i="17" s="1"/>
  <c r="L84" i="17"/>
  <c r="Y84" i="17"/>
  <c r="X84" i="17" s="1"/>
  <c r="M84" i="17" s="1"/>
  <c r="L85" i="17"/>
  <c r="Y85" i="17"/>
  <c r="X85" i="17" s="1"/>
  <c r="M85" i="17" s="1"/>
  <c r="L86" i="17"/>
  <c r="Y86" i="17"/>
  <c r="X86" i="17" s="1"/>
  <c r="M86" i="17" s="1"/>
  <c r="L87" i="17"/>
  <c r="Y87" i="17"/>
  <c r="X87" i="17" s="1"/>
  <c r="M87" i="17" s="1"/>
  <c r="Y9" i="17"/>
  <c r="X9" i="17" s="1"/>
  <c r="M9" i="17" s="1"/>
  <c r="Y10" i="17"/>
  <c r="Y11" i="17"/>
  <c r="X11" i="17" s="1"/>
  <c r="M11" i="17" s="1"/>
  <c r="Y12" i="17"/>
  <c r="X12" i="17" s="1"/>
  <c r="M12" i="17" s="1"/>
  <c r="Y13" i="17"/>
  <c r="X13" i="17" s="1"/>
  <c r="M13" i="17" s="1"/>
  <c r="Y14" i="17"/>
  <c r="X14" i="17" s="1"/>
  <c r="M14" i="17" s="1"/>
  <c r="Y15" i="17"/>
  <c r="X15" i="17" s="1"/>
  <c r="M15" i="17" s="1"/>
  <c r="Y16" i="17"/>
  <c r="X16" i="17" s="1"/>
  <c r="M16" i="17" s="1"/>
  <c r="Y17" i="17"/>
  <c r="X17" i="17" s="1"/>
  <c r="M17" i="17" s="1"/>
  <c r="Y18" i="17"/>
  <c r="X18" i="17" s="1"/>
  <c r="M18" i="17" s="1"/>
  <c r="Y19" i="17"/>
  <c r="X19" i="17" s="1"/>
  <c r="M19" i="17" s="1"/>
  <c r="Y20" i="17"/>
  <c r="X20" i="17" s="1"/>
  <c r="M20" i="17" s="1"/>
  <c r="Y21" i="17"/>
  <c r="X21" i="17" s="1"/>
  <c r="M21" i="17" s="1"/>
  <c r="Y22" i="17"/>
  <c r="X22" i="17" s="1"/>
  <c r="M22" i="17" s="1"/>
  <c r="Y23" i="17"/>
  <c r="X23" i="17" s="1"/>
  <c r="M23" i="17" s="1"/>
  <c r="Y24" i="17"/>
  <c r="X24" i="17" s="1"/>
  <c r="M24" i="17" s="1"/>
  <c r="Y25" i="17"/>
  <c r="X25" i="17" s="1"/>
  <c r="M25" i="17" s="1"/>
  <c r="Y26" i="17"/>
  <c r="X26" i="17" s="1"/>
  <c r="M26" i="17" s="1"/>
  <c r="Y27" i="17"/>
  <c r="X27" i="17" s="1"/>
  <c r="M27" i="17" s="1"/>
  <c r="Y28" i="17"/>
  <c r="X28" i="17" s="1"/>
  <c r="M28" i="17" s="1"/>
  <c r="Y29" i="17"/>
  <c r="X29" i="17" s="1"/>
  <c r="M29" i="17" s="1"/>
  <c r="Y30" i="17"/>
  <c r="X30" i="17" s="1"/>
  <c r="M30" i="17" s="1"/>
  <c r="Y31" i="17"/>
  <c r="X31" i="17" s="1"/>
  <c r="M31" i="17" s="1"/>
  <c r="Y32" i="17"/>
  <c r="X32" i="17" s="1"/>
  <c r="M32" i="17" s="1"/>
  <c r="Y33" i="17"/>
  <c r="X33" i="17" s="1"/>
  <c r="M33" i="17" s="1"/>
  <c r="Y34" i="17"/>
  <c r="Y35" i="17"/>
  <c r="X35" i="17" s="1"/>
  <c r="M35" i="17" s="1"/>
  <c r="Y36" i="17"/>
  <c r="Y37" i="17"/>
  <c r="X37" i="17" s="1"/>
  <c r="M37" i="17" s="1"/>
  <c r="Y38" i="17"/>
  <c r="Y39" i="17"/>
  <c r="X39" i="17" s="1"/>
  <c r="M39" i="17" s="1"/>
  <c r="Y40" i="17"/>
  <c r="Y41" i="17"/>
  <c r="X41" i="17" s="1"/>
  <c r="M41" i="17" s="1"/>
  <c r="Y42" i="17"/>
  <c r="X42" i="17" s="1"/>
  <c r="M42" i="17" s="1"/>
  <c r="Y43" i="17"/>
  <c r="X43" i="17" s="1"/>
  <c r="M43" i="17" s="1"/>
  <c r="Y44" i="17"/>
  <c r="Y45" i="17"/>
  <c r="X45" i="17" s="1"/>
  <c r="M45" i="17" s="1"/>
  <c r="Y46" i="17"/>
  <c r="Y47" i="17"/>
  <c r="X47" i="17" s="1"/>
  <c r="M47" i="17" s="1"/>
  <c r="Y48" i="17"/>
  <c r="Y49" i="17"/>
  <c r="X49" i="17" s="1"/>
  <c r="M49" i="17" s="1"/>
  <c r="Y50" i="17"/>
  <c r="X50" i="17" s="1"/>
  <c r="M50" i="17" s="1"/>
  <c r="Y51" i="17"/>
  <c r="X51" i="17" s="1"/>
  <c r="M51" i="17" s="1"/>
  <c r="Y52" i="17"/>
  <c r="Y53" i="17"/>
  <c r="X53" i="17" s="1"/>
  <c r="M53" i="17" s="1"/>
  <c r="Y54" i="17"/>
  <c r="X54" i="17" s="1"/>
  <c r="M54" i="17" s="1"/>
  <c r="Y55" i="17"/>
  <c r="X55" i="17" s="1"/>
  <c r="M55" i="17" s="1"/>
  <c r="Y56" i="17"/>
  <c r="Y57" i="17"/>
  <c r="X57" i="17" s="1"/>
  <c r="M57" i="17" s="1"/>
  <c r="Y58" i="17"/>
  <c r="Y59" i="17"/>
  <c r="X59" i="17" s="1"/>
  <c r="M59" i="17" s="1"/>
  <c r="Y60" i="17"/>
  <c r="Y61" i="17"/>
  <c r="X61" i="17" s="1"/>
  <c r="M61" i="17" s="1"/>
  <c r="Y62" i="17"/>
  <c r="Y63" i="17"/>
  <c r="X63" i="17" s="1"/>
  <c r="M63" i="17" s="1"/>
  <c r="Y64" i="17"/>
  <c r="X64" i="17" s="1"/>
  <c r="M64" i="17" s="1"/>
  <c r="Y65" i="17"/>
  <c r="X65" i="17" s="1"/>
  <c r="M65" i="17" s="1"/>
  <c r="Y66" i="17"/>
  <c r="Y67" i="17"/>
  <c r="X67" i="17" s="1"/>
  <c r="M67" i="17" s="1"/>
  <c r="Y68" i="17"/>
  <c r="Y69" i="17"/>
  <c r="X69" i="17" s="1"/>
  <c r="M69" i="17" s="1"/>
  <c r="Y70" i="17"/>
  <c r="X70" i="17" s="1"/>
  <c r="M70" i="17" s="1"/>
  <c r="Y71" i="17"/>
  <c r="X71" i="17" s="1"/>
  <c r="M71" i="17" s="1"/>
  <c r="Y72" i="17"/>
  <c r="Y73" i="17"/>
  <c r="X73" i="17" s="1"/>
  <c r="M73" i="17" s="1"/>
  <c r="Y74" i="17"/>
  <c r="X74" i="17" s="1"/>
  <c r="M74" i="17" s="1"/>
  <c r="Y75" i="17"/>
  <c r="X75" i="17" s="1"/>
  <c r="M75" i="17" s="1"/>
  <c r="Y76" i="17"/>
  <c r="Y77" i="17"/>
  <c r="X77" i="17" s="1"/>
  <c r="M77" i="17" s="1"/>
  <c r="Y78" i="17"/>
  <c r="Y79" i="17"/>
  <c r="X79" i="17" s="1"/>
  <c r="M79" i="17" s="1"/>
  <c r="Y88" i="17"/>
  <c r="Y89" i="17"/>
  <c r="X89" i="17" s="1"/>
  <c r="M89" i="17" s="1"/>
  <c r="Y90" i="17"/>
  <c r="Y91" i="17"/>
  <c r="X91" i="17" s="1"/>
  <c r="M91" i="17" s="1"/>
  <c r="P91" i="17" s="1"/>
  <c r="Q91" i="17" s="1"/>
  <c r="Y92" i="17"/>
  <c r="Y93" i="17"/>
  <c r="X93" i="17" s="1"/>
  <c r="M93" i="17" s="1"/>
  <c r="K4" i="20" s="1"/>
  <c r="Y94" i="17"/>
  <c r="Y95" i="17"/>
  <c r="X95" i="17" s="1"/>
  <c r="M95" i="17" s="1"/>
  <c r="Y96" i="17"/>
  <c r="Y97" i="17"/>
  <c r="X97" i="17" s="1"/>
  <c r="M97" i="17" s="1"/>
  <c r="Y98" i="17"/>
  <c r="X98" i="17" s="1"/>
  <c r="M98" i="17" s="1"/>
  <c r="Y99" i="17"/>
  <c r="X99" i="17" s="1"/>
  <c r="M99" i="17" s="1"/>
  <c r="Y100" i="17"/>
  <c r="X100" i="17" s="1"/>
  <c r="M100" i="17" s="1"/>
  <c r="K34" i="20" s="1"/>
  <c r="Y101" i="17"/>
  <c r="X101" i="17" s="1"/>
  <c r="M101" i="17" s="1"/>
  <c r="Y102" i="17"/>
  <c r="X102" i="17" s="1"/>
  <c r="M102" i="17" s="1"/>
  <c r="Y103" i="17"/>
  <c r="X103" i="17" s="1"/>
  <c r="M103" i="17" s="1"/>
  <c r="K47" i="20" s="1"/>
  <c r="Y104" i="17"/>
  <c r="Y105" i="17"/>
  <c r="X105" i="17" s="1"/>
  <c r="M105" i="17" s="1"/>
  <c r="Y106" i="17"/>
  <c r="X106" i="17" s="1"/>
  <c r="M106" i="17" s="1"/>
  <c r="Y107" i="17"/>
  <c r="X107" i="17" s="1"/>
  <c r="M107" i="17" s="1"/>
  <c r="K64" i="20" s="1"/>
  <c r="Y108" i="17"/>
  <c r="Y109" i="17"/>
  <c r="X109" i="17" s="1"/>
  <c r="M109" i="17" s="1"/>
  <c r="P109" i="17" s="1"/>
  <c r="Q109" i="17" s="1"/>
  <c r="Y110" i="17"/>
  <c r="Y111" i="17"/>
  <c r="X111" i="17" s="1"/>
  <c r="M111" i="17" s="1"/>
  <c r="P111" i="17" s="1"/>
  <c r="Q111" i="17" s="1"/>
  <c r="Y112" i="17"/>
  <c r="Y113" i="17"/>
  <c r="X113" i="17" s="1"/>
  <c r="M113" i="17" s="1"/>
  <c r="P113" i="17" s="1"/>
  <c r="Q113" i="17" s="1"/>
  <c r="Y114" i="17"/>
  <c r="Y8" i="17"/>
  <c r="X8" i="17" s="1"/>
  <c r="M8" i="17" s="1"/>
  <c r="X10" i="17"/>
  <c r="M10" i="17" s="1"/>
  <c r="X34" i="17"/>
  <c r="M34" i="17" s="1"/>
  <c r="X36" i="17"/>
  <c r="M36" i="17" s="1"/>
  <c r="X38" i="17"/>
  <c r="M38" i="17" s="1"/>
  <c r="X40" i="17"/>
  <c r="M40" i="17" s="1"/>
  <c r="X44" i="17"/>
  <c r="M44" i="17" s="1"/>
  <c r="X46" i="17"/>
  <c r="M46" i="17" s="1"/>
  <c r="X48" i="17"/>
  <c r="M48" i="17" s="1"/>
  <c r="X52" i="17"/>
  <c r="M52" i="17" s="1"/>
  <c r="X56" i="17"/>
  <c r="M56" i="17" s="1"/>
  <c r="X58" i="17"/>
  <c r="M58" i="17" s="1"/>
  <c r="X60" i="17"/>
  <c r="M60" i="17" s="1"/>
  <c r="X62" i="17"/>
  <c r="M62" i="17" s="1"/>
  <c r="X66" i="17"/>
  <c r="M66" i="17" s="1"/>
  <c r="X68" i="17"/>
  <c r="M68" i="17" s="1"/>
  <c r="X72" i="17"/>
  <c r="M72" i="17" s="1"/>
  <c r="X76" i="17"/>
  <c r="M76" i="17" s="1"/>
  <c r="X78" i="17"/>
  <c r="M78" i="17" s="1"/>
  <c r="X88" i="17"/>
  <c r="M88" i="17" s="1"/>
  <c r="P88" i="17" s="1"/>
  <c r="Q88" i="17" s="1"/>
  <c r="X90" i="17"/>
  <c r="M90" i="17" s="1"/>
  <c r="P90" i="17" s="1"/>
  <c r="Q90" i="17" s="1"/>
  <c r="X92" i="17"/>
  <c r="M92" i="17" s="1"/>
  <c r="X94" i="17"/>
  <c r="M94" i="17" s="1"/>
  <c r="X96" i="17"/>
  <c r="M96" i="17" s="1"/>
  <c r="X104" i="17"/>
  <c r="M104" i="17" s="1"/>
  <c r="X108" i="17"/>
  <c r="M108" i="17" s="1"/>
  <c r="P108" i="17" s="1"/>
  <c r="Q108" i="17" s="1"/>
  <c r="X110" i="17"/>
  <c r="M110" i="17" s="1"/>
  <c r="P110" i="17" s="1"/>
  <c r="Q110" i="17" s="1"/>
  <c r="X112" i="17"/>
  <c r="M112" i="17" s="1"/>
  <c r="P112" i="17" s="1"/>
  <c r="Q112" i="17" s="1"/>
  <c r="X114" i="17"/>
  <c r="M114" i="17" s="1"/>
  <c r="P114" i="17" s="1"/>
  <c r="Q114" i="17" s="1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105" i="17"/>
  <c r="L106" i="17"/>
  <c r="L107" i="17"/>
  <c r="L108" i="17"/>
  <c r="L109" i="17"/>
  <c r="L110" i="17"/>
  <c r="L111" i="17"/>
  <c r="L112" i="17"/>
  <c r="L113" i="17"/>
  <c r="L114" i="17"/>
  <c r="L8" i="17"/>
  <c r="X241" i="18" l="1"/>
  <c r="L249" i="18"/>
  <c r="L257" i="18" s="1"/>
  <c r="L259" i="18" s="1"/>
  <c r="X242" i="18"/>
  <c r="L251" i="18"/>
  <c r="R190" i="18"/>
  <c r="N254" i="18"/>
  <c r="X243" i="18"/>
  <c r="L253" i="18"/>
  <c r="X244" i="18"/>
  <c r="L255" i="18"/>
  <c r="X240" i="18"/>
  <c r="L244" i="18"/>
  <c r="X245" i="18"/>
  <c r="N79" i="18"/>
  <c r="R79" i="18" s="1"/>
  <c r="O79" i="18"/>
  <c r="P79" i="18" s="1"/>
  <c r="Q79" i="18" s="1"/>
  <c r="N78" i="18"/>
  <c r="R78" i="18" s="1"/>
  <c r="O77" i="18"/>
  <c r="P77" i="18" s="1"/>
  <c r="N77" i="18"/>
  <c r="R77" i="18" s="1"/>
  <c r="P107" i="17"/>
  <c r="Q107" i="17" s="1"/>
  <c r="M104" i="18"/>
  <c r="P79" i="17"/>
  <c r="Q79" i="17" s="1"/>
  <c r="M76" i="18"/>
  <c r="N86" i="17"/>
  <c r="O86" i="17" s="1"/>
  <c r="N82" i="17"/>
  <c r="O82" i="17" s="1"/>
  <c r="N81" i="17"/>
  <c r="O81" i="17" s="1"/>
  <c r="N80" i="17"/>
  <c r="O80" i="17" s="1"/>
  <c r="P101" i="17"/>
  <c r="Q101" i="17" s="1"/>
  <c r="K40" i="20"/>
  <c r="M98" i="18"/>
  <c r="P97" i="17"/>
  <c r="Q97" i="17" s="1"/>
  <c r="K21" i="20"/>
  <c r="M94" i="18"/>
  <c r="P95" i="17"/>
  <c r="Q95" i="17" s="1"/>
  <c r="M92" i="18"/>
  <c r="P89" i="17"/>
  <c r="Q89" i="17" s="1"/>
  <c r="M86" i="18"/>
  <c r="P77" i="17"/>
  <c r="Q77" i="17" s="1"/>
  <c r="M74" i="18"/>
  <c r="P71" i="17"/>
  <c r="Q71" i="17" s="1"/>
  <c r="M68" i="18"/>
  <c r="P67" i="17"/>
  <c r="Q67" i="17" s="1"/>
  <c r="M64" i="18"/>
  <c r="P65" i="17"/>
  <c r="Q65" i="17" s="1"/>
  <c r="M62" i="18"/>
  <c r="P63" i="17"/>
  <c r="Q63" i="17" s="1"/>
  <c r="M60" i="18"/>
  <c r="P59" i="17"/>
  <c r="Q59" i="17" s="1"/>
  <c r="M56" i="18"/>
  <c r="P57" i="17"/>
  <c r="Q57" i="17" s="1"/>
  <c r="M54" i="18"/>
  <c r="P55" i="17"/>
  <c r="Q55" i="17" s="1"/>
  <c r="M52" i="18"/>
  <c r="P53" i="17"/>
  <c r="Q53" i="17" s="1"/>
  <c r="M50" i="18"/>
  <c r="P51" i="17"/>
  <c r="Q51" i="17" s="1"/>
  <c r="M48" i="18"/>
  <c r="P47" i="17"/>
  <c r="Q47" i="17" s="1"/>
  <c r="M44" i="18"/>
  <c r="P45" i="17"/>
  <c r="Q45" i="17" s="1"/>
  <c r="M42" i="18"/>
  <c r="P41" i="17"/>
  <c r="Q41" i="17" s="1"/>
  <c r="M38" i="18"/>
  <c r="P35" i="17"/>
  <c r="Q35" i="17" s="1"/>
  <c r="M32" i="18"/>
  <c r="P32" i="17"/>
  <c r="Q32" i="17" s="1"/>
  <c r="M29" i="18"/>
  <c r="P24" i="17"/>
  <c r="Q24" i="17" s="1"/>
  <c r="M21" i="18"/>
  <c r="P20" i="17"/>
  <c r="Q20" i="17" s="1"/>
  <c r="M17" i="18"/>
  <c r="P16" i="17"/>
  <c r="Q16" i="17" s="1"/>
  <c r="M13" i="18"/>
  <c r="P12" i="17"/>
  <c r="Q12" i="17" s="1"/>
  <c r="M9" i="18"/>
  <c r="P33" i="17"/>
  <c r="Q33" i="17" s="1"/>
  <c r="M30" i="18"/>
  <c r="P29" i="17"/>
  <c r="Q29" i="17" s="1"/>
  <c r="M26" i="18"/>
  <c r="P27" i="17"/>
  <c r="Q27" i="17" s="1"/>
  <c r="M24" i="18"/>
  <c r="P23" i="17"/>
  <c r="Q23" i="17" s="1"/>
  <c r="M20" i="18"/>
  <c r="P21" i="17"/>
  <c r="Q21" i="17" s="1"/>
  <c r="M18" i="18"/>
  <c r="P19" i="17"/>
  <c r="Q19" i="17" s="1"/>
  <c r="M16" i="18"/>
  <c r="P15" i="17"/>
  <c r="Q15" i="17" s="1"/>
  <c r="M12" i="18"/>
  <c r="P13" i="17"/>
  <c r="Q13" i="17" s="1"/>
  <c r="M10" i="18"/>
  <c r="P11" i="17"/>
  <c r="Q11" i="17" s="1"/>
  <c r="M8" i="18"/>
  <c r="N85" i="17"/>
  <c r="O85" i="17" s="1"/>
  <c r="N84" i="17"/>
  <c r="O84" i="17" s="1"/>
  <c r="P104" i="17"/>
  <c r="Q104" i="17" s="1"/>
  <c r="K52" i="20"/>
  <c r="M101" i="18"/>
  <c r="P102" i="17"/>
  <c r="Q102" i="17" s="1"/>
  <c r="K43" i="20"/>
  <c r="M99" i="18"/>
  <c r="P98" i="17"/>
  <c r="Q98" i="17" s="1"/>
  <c r="K27" i="20"/>
  <c r="M95" i="18"/>
  <c r="P92" i="17"/>
  <c r="Q92" i="17" s="1"/>
  <c r="M89" i="18"/>
  <c r="P78" i="17"/>
  <c r="Q78" i="17" s="1"/>
  <c r="M75" i="18"/>
  <c r="P76" i="17"/>
  <c r="Q76" i="17" s="1"/>
  <c r="M73" i="18"/>
  <c r="P74" i="17"/>
  <c r="Q74" i="17" s="1"/>
  <c r="M71" i="18"/>
  <c r="P68" i="17"/>
  <c r="Q68" i="17" s="1"/>
  <c r="M65" i="18"/>
  <c r="P66" i="17"/>
  <c r="Q66" i="17" s="1"/>
  <c r="M63" i="18"/>
  <c r="P62" i="17"/>
  <c r="Q62" i="17" s="1"/>
  <c r="M59" i="18"/>
  <c r="P60" i="17"/>
  <c r="Q60" i="17" s="1"/>
  <c r="M57" i="18"/>
  <c r="P58" i="17"/>
  <c r="Q58" i="17" s="1"/>
  <c r="M55" i="18"/>
  <c r="P56" i="17"/>
  <c r="Q56" i="17" s="1"/>
  <c r="M53" i="18"/>
  <c r="P54" i="17"/>
  <c r="Q54" i="17" s="1"/>
  <c r="M51" i="18"/>
  <c r="P52" i="17"/>
  <c r="Q52" i="17" s="1"/>
  <c r="M49" i="18"/>
  <c r="P50" i="17"/>
  <c r="Q50" i="17" s="1"/>
  <c r="M47" i="18"/>
  <c r="P48" i="17"/>
  <c r="Q48" i="17" s="1"/>
  <c r="M45" i="18"/>
  <c r="P46" i="17"/>
  <c r="Q46" i="17" s="1"/>
  <c r="M43" i="18"/>
  <c r="P44" i="17"/>
  <c r="Q44" i="17" s="1"/>
  <c r="M41" i="18"/>
  <c r="P42" i="17"/>
  <c r="Q42" i="17" s="1"/>
  <c r="M39" i="18"/>
  <c r="P40" i="17"/>
  <c r="Q40" i="17" s="1"/>
  <c r="M37" i="18"/>
  <c r="P38" i="17"/>
  <c r="Q38" i="17" s="1"/>
  <c r="M35" i="18"/>
  <c r="P36" i="17"/>
  <c r="Q36" i="17" s="1"/>
  <c r="M33" i="18"/>
  <c r="P34" i="17"/>
  <c r="Q34" i="17" s="1"/>
  <c r="M31" i="18"/>
  <c r="P30" i="17"/>
  <c r="Q30" i="17" s="1"/>
  <c r="M27" i="18"/>
  <c r="P26" i="17"/>
  <c r="Q26" i="17" s="1"/>
  <c r="M23" i="18"/>
  <c r="P22" i="17"/>
  <c r="Q22" i="17" s="1"/>
  <c r="M19" i="18"/>
  <c r="P18" i="17"/>
  <c r="Q18" i="17" s="1"/>
  <c r="M15" i="18"/>
  <c r="P10" i="17"/>
  <c r="Q10" i="17" s="1"/>
  <c r="M7" i="18"/>
  <c r="P25" i="17"/>
  <c r="Q25" i="17" s="1"/>
  <c r="M22" i="18"/>
  <c r="P37" i="17"/>
  <c r="Q37" i="17" s="1"/>
  <c r="M34" i="18"/>
  <c r="P64" i="17"/>
  <c r="Q64" i="17" s="1"/>
  <c r="M61" i="18"/>
  <c r="P73" i="17"/>
  <c r="Q73" i="17" s="1"/>
  <c r="M70" i="18"/>
  <c r="P70" i="17"/>
  <c r="Q70" i="17" s="1"/>
  <c r="M67" i="18"/>
  <c r="P43" i="17"/>
  <c r="Q43" i="17" s="1"/>
  <c r="M40" i="18"/>
  <c r="P8" i="17"/>
  <c r="Q8" i="17" s="1"/>
  <c r="M5" i="18"/>
  <c r="P39" i="17"/>
  <c r="Q39" i="17" s="1"/>
  <c r="M36" i="18"/>
  <c r="P14" i="17"/>
  <c r="Q14" i="17" s="1"/>
  <c r="M11" i="18"/>
  <c r="P96" i="17"/>
  <c r="Q96" i="17" s="1"/>
  <c r="K17" i="20"/>
  <c r="M93" i="18"/>
  <c r="P93" i="17"/>
  <c r="Q93" i="17" s="1"/>
  <c r="M90" i="18"/>
  <c r="P31" i="17"/>
  <c r="Q31" i="17" s="1"/>
  <c r="M28" i="18"/>
  <c r="P72" i="17"/>
  <c r="Q72" i="17" s="1"/>
  <c r="M69" i="18"/>
  <c r="P28" i="17"/>
  <c r="Q28" i="17" s="1"/>
  <c r="M25" i="18"/>
  <c r="P17" i="17"/>
  <c r="Q17" i="17" s="1"/>
  <c r="M14" i="18"/>
  <c r="P75" i="17"/>
  <c r="Q75" i="17" s="1"/>
  <c r="M72" i="18"/>
  <c r="P99" i="17"/>
  <c r="Q99" i="17" s="1"/>
  <c r="K31" i="20"/>
  <c r="M96" i="18"/>
  <c r="P94" i="17"/>
  <c r="Q94" i="17" s="1"/>
  <c r="K13" i="20"/>
  <c r="M91" i="18"/>
  <c r="P106" i="17"/>
  <c r="Q106" i="17" s="1"/>
  <c r="K61" i="20"/>
  <c r="M103" i="18"/>
  <c r="P105" i="17"/>
  <c r="Q105" i="17" s="1"/>
  <c r="K58" i="20"/>
  <c r="M102" i="18"/>
  <c r="P69" i="17"/>
  <c r="Q69" i="17" s="1"/>
  <c r="M66" i="18"/>
  <c r="P100" i="17"/>
  <c r="Q100" i="17" s="1"/>
  <c r="M97" i="18"/>
  <c r="P61" i="17"/>
  <c r="Q61" i="17" s="1"/>
  <c r="M58" i="18"/>
  <c r="P103" i="17"/>
  <c r="Q103" i="17" s="1"/>
  <c r="M100" i="18"/>
  <c r="P49" i="17"/>
  <c r="Q49" i="17" s="1"/>
  <c r="M46" i="18"/>
  <c r="P9" i="17"/>
  <c r="Q9" i="17" s="1"/>
  <c r="M6" i="18"/>
  <c r="N87" i="17"/>
  <c r="O87" i="17" s="1"/>
  <c r="N83" i="17"/>
  <c r="O83" i="17" s="1"/>
  <c r="X115" i="17"/>
  <c r="Y115" i="17"/>
  <c r="P87" i="17"/>
  <c r="Q87" i="17" s="1"/>
  <c r="P85" i="17"/>
  <c r="Q85" i="17" s="1"/>
  <c r="P83" i="17"/>
  <c r="Q83" i="17" s="1"/>
  <c r="P81" i="17"/>
  <c r="Q81" i="17" s="1"/>
  <c r="P86" i="17"/>
  <c r="Q86" i="17" s="1"/>
  <c r="P84" i="17"/>
  <c r="Q84" i="17" s="1"/>
  <c r="P82" i="17"/>
  <c r="Q82" i="17" s="1"/>
  <c r="P80" i="17"/>
  <c r="Q80" i="17" s="1"/>
  <c r="L115" i="17"/>
  <c r="M115" i="17"/>
  <c r="N113" i="17"/>
  <c r="O113" i="17" s="1"/>
  <c r="N111" i="17"/>
  <c r="O111" i="17" s="1"/>
  <c r="N109" i="17"/>
  <c r="O109" i="17" s="1"/>
  <c r="N107" i="17"/>
  <c r="N105" i="17"/>
  <c r="N103" i="17"/>
  <c r="N101" i="17"/>
  <c r="N99" i="17"/>
  <c r="N97" i="17"/>
  <c r="O97" i="17" s="1"/>
  <c r="N95" i="17"/>
  <c r="O95" i="17" s="1"/>
  <c r="N93" i="17"/>
  <c r="N91" i="17"/>
  <c r="O91" i="17" s="1"/>
  <c r="N89" i="17"/>
  <c r="O89" i="17" s="1"/>
  <c r="N79" i="17"/>
  <c r="O79" i="17" s="1"/>
  <c r="N77" i="17"/>
  <c r="O77" i="17" s="1"/>
  <c r="N75" i="17"/>
  <c r="O75" i="17" s="1"/>
  <c r="N73" i="17"/>
  <c r="O73" i="17" s="1"/>
  <c r="N71" i="17"/>
  <c r="O71" i="17" s="1"/>
  <c r="N69" i="17"/>
  <c r="O69" i="17" s="1"/>
  <c r="N114" i="17"/>
  <c r="O114" i="17" s="1"/>
  <c r="N112" i="17"/>
  <c r="O112" i="17" s="1"/>
  <c r="N110" i="17"/>
  <c r="O110" i="17" s="1"/>
  <c r="N108" i="17"/>
  <c r="O108" i="17" s="1"/>
  <c r="N106" i="17"/>
  <c r="N104" i="17"/>
  <c r="O104" i="17" s="1"/>
  <c r="N102" i="17"/>
  <c r="N100" i="17"/>
  <c r="N98" i="17"/>
  <c r="N96" i="17"/>
  <c r="N94" i="17"/>
  <c r="N90" i="17"/>
  <c r="O90" i="17" s="1"/>
  <c r="N74" i="17"/>
  <c r="O74" i="17" s="1"/>
  <c r="N66" i="17"/>
  <c r="O66" i="17" s="1"/>
  <c r="N58" i="17"/>
  <c r="O58" i="17" s="1"/>
  <c r="N50" i="17"/>
  <c r="O50" i="17" s="1"/>
  <c r="N42" i="17"/>
  <c r="O42" i="17" s="1"/>
  <c r="N34" i="17"/>
  <c r="O34" i="17" s="1"/>
  <c r="N26" i="17"/>
  <c r="O26" i="17" s="1"/>
  <c r="N18" i="17"/>
  <c r="O18" i="17" s="1"/>
  <c r="N92" i="17"/>
  <c r="O92" i="17" s="1"/>
  <c r="N88" i="17"/>
  <c r="O88" i="17" s="1"/>
  <c r="N78" i="17"/>
  <c r="O78" i="17" s="1"/>
  <c r="N76" i="17"/>
  <c r="O76" i="17" s="1"/>
  <c r="N72" i="17"/>
  <c r="O72" i="17" s="1"/>
  <c r="N70" i="17"/>
  <c r="O70" i="17" s="1"/>
  <c r="N68" i="17"/>
  <c r="O68" i="17" s="1"/>
  <c r="N64" i="17"/>
  <c r="O64" i="17" s="1"/>
  <c r="N62" i="17"/>
  <c r="O62" i="17" s="1"/>
  <c r="N60" i="17"/>
  <c r="O60" i="17" s="1"/>
  <c r="N56" i="17"/>
  <c r="O56" i="17" s="1"/>
  <c r="N54" i="17"/>
  <c r="O54" i="17" s="1"/>
  <c r="N52" i="17"/>
  <c r="O52" i="17" s="1"/>
  <c r="N48" i="17"/>
  <c r="O48" i="17" s="1"/>
  <c r="N46" i="17"/>
  <c r="O46" i="17" s="1"/>
  <c r="N44" i="17"/>
  <c r="O44" i="17" s="1"/>
  <c r="N40" i="17"/>
  <c r="O40" i="17" s="1"/>
  <c r="N38" i="17"/>
  <c r="O38" i="17" s="1"/>
  <c r="N36" i="17"/>
  <c r="O36" i="17" s="1"/>
  <c r="N32" i="17"/>
  <c r="O32" i="17" s="1"/>
  <c r="N30" i="17"/>
  <c r="O30" i="17" s="1"/>
  <c r="N28" i="17"/>
  <c r="O28" i="17" s="1"/>
  <c r="N24" i="17"/>
  <c r="O24" i="17" s="1"/>
  <c r="N22" i="17"/>
  <c r="O22" i="17" s="1"/>
  <c r="N20" i="17"/>
  <c r="O20" i="17" s="1"/>
  <c r="N16" i="17"/>
  <c r="O16" i="17" s="1"/>
  <c r="N14" i="17"/>
  <c r="O14" i="17" s="1"/>
  <c r="N12" i="17"/>
  <c r="O12" i="17" s="1"/>
  <c r="N10" i="17"/>
  <c r="O10" i="17" s="1"/>
  <c r="N67" i="17"/>
  <c r="O67" i="17" s="1"/>
  <c r="N65" i="17"/>
  <c r="O65" i="17" s="1"/>
  <c r="N63" i="17"/>
  <c r="O63" i="17" s="1"/>
  <c r="N61" i="17"/>
  <c r="O61" i="17" s="1"/>
  <c r="N59" i="17"/>
  <c r="O59" i="17" s="1"/>
  <c r="N57" i="17"/>
  <c r="O57" i="17" s="1"/>
  <c r="N55" i="17"/>
  <c r="O55" i="17" s="1"/>
  <c r="N53" i="17"/>
  <c r="O53" i="17" s="1"/>
  <c r="N51" i="17"/>
  <c r="O51" i="17" s="1"/>
  <c r="N49" i="17"/>
  <c r="O49" i="17" s="1"/>
  <c r="N47" i="17"/>
  <c r="O47" i="17" s="1"/>
  <c r="N45" i="17"/>
  <c r="O45" i="17" s="1"/>
  <c r="N43" i="17"/>
  <c r="O43" i="17" s="1"/>
  <c r="N41" i="17"/>
  <c r="O41" i="17" s="1"/>
  <c r="N39" i="17"/>
  <c r="O39" i="17" s="1"/>
  <c r="N37" i="17"/>
  <c r="O37" i="17" s="1"/>
  <c r="N35" i="17"/>
  <c r="O35" i="17" s="1"/>
  <c r="N33" i="17"/>
  <c r="O33" i="17" s="1"/>
  <c r="N31" i="17"/>
  <c r="O31" i="17" s="1"/>
  <c r="N29" i="17"/>
  <c r="O29" i="17" s="1"/>
  <c r="N27" i="17"/>
  <c r="O27" i="17" s="1"/>
  <c r="N25" i="17"/>
  <c r="O25" i="17" s="1"/>
  <c r="N23" i="17"/>
  <c r="O23" i="17" s="1"/>
  <c r="N21" i="17"/>
  <c r="O21" i="17" s="1"/>
  <c r="N19" i="17"/>
  <c r="O19" i="17" s="1"/>
  <c r="N17" i="17"/>
  <c r="O17" i="17" s="1"/>
  <c r="N15" i="17"/>
  <c r="O15" i="17" s="1"/>
  <c r="N13" i="17"/>
  <c r="O13" i="17" s="1"/>
  <c r="N11" i="17"/>
  <c r="O11" i="17" s="1"/>
  <c r="N9" i="17"/>
  <c r="O9" i="17" s="1"/>
  <c r="N8" i="17"/>
  <c r="Z50" i="15"/>
  <c r="AA50" i="15"/>
  <c r="AB50" i="15"/>
  <c r="AC50" i="15"/>
  <c r="AD50" i="15"/>
  <c r="AE50" i="15"/>
  <c r="AF50" i="15"/>
  <c r="AG50" i="15"/>
  <c r="AH50" i="15"/>
  <c r="AI50" i="15"/>
  <c r="AJ50" i="15"/>
  <c r="Y50" i="15"/>
  <c r="V50" i="15"/>
  <c r="I50" i="15"/>
  <c r="J50" i="15"/>
  <c r="H50" i="15"/>
  <c r="M248" i="18" l="1"/>
  <c r="Q78" i="18"/>
  <c r="Q77" i="18"/>
  <c r="O107" i="17"/>
  <c r="AB64" i="20"/>
  <c r="O96" i="17"/>
  <c r="AB17" i="20"/>
  <c r="O100" i="17"/>
  <c r="AB34" i="20"/>
  <c r="O98" i="17"/>
  <c r="AB27" i="20"/>
  <c r="O99" i="17"/>
  <c r="AB31" i="20"/>
  <c r="O93" i="17"/>
  <c r="AB4" i="20"/>
  <c r="O106" i="17"/>
  <c r="AB61" i="20"/>
  <c r="O94" i="17"/>
  <c r="AB13" i="20"/>
  <c r="O103" i="17"/>
  <c r="AB47" i="20"/>
  <c r="O105" i="17"/>
  <c r="AB58" i="20"/>
  <c r="O101" i="17"/>
  <c r="AB40" i="20"/>
  <c r="O102" i="17"/>
  <c r="AB43" i="20"/>
  <c r="O104" i="18"/>
  <c r="P104" i="18" s="1"/>
  <c r="Q104" i="18" s="1"/>
  <c r="N104" i="18"/>
  <c r="R104" i="18" s="1"/>
  <c r="O76" i="18"/>
  <c r="P76" i="18" s="1"/>
  <c r="Q76" i="18" s="1"/>
  <c r="N76" i="18"/>
  <c r="R76" i="18" s="1"/>
  <c r="O99" i="18"/>
  <c r="P99" i="18" s="1"/>
  <c r="Q99" i="18" s="1"/>
  <c r="N99" i="18"/>
  <c r="R99" i="18" s="1"/>
  <c r="N8" i="18"/>
  <c r="R8" i="18" s="1"/>
  <c r="O8" i="18"/>
  <c r="P8" i="18" s="1"/>
  <c r="Q8" i="18" s="1"/>
  <c r="O10" i="18"/>
  <c r="P10" i="18" s="1"/>
  <c r="Q10" i="18" s="1"/>
  <c r="N10" i="18"/>
  <c r="R10" i="18" s="1"/>
  <c r="O12" i="18"/>
  <c r="P12" i="18" s="1"/>
  <c r="N12" i="18"/>
  <c r="R12" i="18" s="1"/>
  <c r="O16" i="18"/>
  <c r="P16" i="18" s="1"/>
  <c r="N16" i="18"/>
  <c r="R16" i="18" s="1"/>
  <c r="O18" i="18"/>
  <c r="P18" i="18" s="1"/>
  <c r="Q18" i="18" s="1"/>
  <c r="N18" i="18"/>
  <c r="R18" i="18" s="1"/>
  <c r="O20" i="18"/>
  <c r="P20" i="18" s="1"/>
  <c r="Q20" i="18" s="1"/>
  <c r="N20" i="18"/>
  <c r="R20" i="18" s="1"/>
  <c r="O24" i="18"/>
  <c r="P24" i="18" s="1"/>
  <c r="N24" i="18"/>
  <c r="R24" i="18" s="1"/>
  <c r="O26" i="18"/>
  <c r="P26" i="18" s="1"/>
  <c r="Q26" i="18" s="1"/>
  <c r="N26" i="18"/>
  <c r="R26" i="18" s="1"/>
  <c r="O30" i="18"/>
  <c r="P30" i="18" s="1"/>
  <c r="Q30" i="18" s="1"/>
  <c r="N30" i="18"/>
  <c r="R30" i="18" s="1"/>
  <c r="O9" i="18"/>
  <c r="P9" i="18" s="1"/>
  <c r="Q9" i="18" s="1"/>
  <c r="N9" i="18"/>
  <c r="R9" i="18" s="1"/>
  <c r="O13" i="18"/>
  <c r="P13" i="18" s="1"/>
  <c r="N13" i="18"/>
  <c r="R13" i="18" s="1"/>
  <c r="O17" i="18"/>
  <c r="P17" i="18" s="1"/>
  <c r="Q17" i="18" s="1"/>
  <c r="N17" i="18"/>
  <c r="R17" i="18" s="1"/>
  <c r="O21" i="18"/>
  <c r="P21" i="18" s="1"/>
  <c r="Q21" i="18" s="1"/>
  <c r="N21" i="18"/>
  <c r="R21" i="18" s="1"/>
  <c r="O29" i="18"/>
  <c r="P29" i="18" s="1"/>
  <c r="Q29" i="18" s="1"/>
  <c r="N29" i="18"/>
  <c r="R29" i="18" s="1"/>
  <c r="O32" i="18"/>
  <c r="P32" i="18" s="1"/>
  <c r="N32" i="18"/>
  <c r="R32" i="18" s="1"/>
  <c r="N38" i="18"/>
  <c r="R38" i="18" s="1"/>
  <c r="O38" i="18"/>
  <c r="P38" i="18" s="1"/>
  <c r="Q38" i="18" s="1"/>
  <c r="O42" i="18"/>
  <c r="P42" i="18" s="1"/>
  <c r="N42" i="18"/>
  <c r="R42" i="18" s="1"/>
  <c r="O44" i="18"/>
  <c r="P44" i="18" s="1"/>
  <c r="N44" i="18"/>
  <c r="R44" i="18" s="1"/>
  <c r="O48" i="18"/>
  <c r="P48" i="18" s="1"/>
  <c r="N48" i="18"/>
  <c r="R48" i="18" s="1"/>
  <c r="O50" i="18"/>
  <c r="P50" i="18" s="1"/>
  <c r="N50" i="18"/>
  <c r="R50" i="18" s="1"/>
  <c r="O52" i="18"/>
  <c r="P52" i="18" s="1"/>
  <c r="Q52" i="18" s="1"/>
  <c r="N52" i="18"/>
  <c r="R52" i="18" s="1"/>
  <c r="O54" i="18"/>
  <c r="P54" i="18" s="1"/>
  <c r="Q54" i="18" s="1"/>
  <c r="N54" i="18"/>
  <c r="R54" i="18" s="1"/>
  <c r="O56" i="18"/>
  <c r="P56" i="18" s="1"/>
  <c r="Q56" i="18" s="1"/>
  <c r="N56" i="18"/>
  <c r="R56" i="18" s="1"/>
  <c r="O60" i="18"/>
  <c r="P60" i="18" s="1"/>
  <c r="Q60" i="18" s="1"/>
  <c r="N60" i="18"/>
  <c r="R60" i="18" s="1"/>
  <c r="O62" i="18"/>
  <c r="P62" i="18" s="1"/>
  <c r="N62" i="18"/>
  <c r="R62" i="18" s="1"/>
  <c r="O64" i="18"/>
  <c r="P64" i="18" s="1"/>
  <c r="Q64" i="18" s="1"/>
  <c r="N64" i="18"/>
  <c r="R64" i="18" s="1"/>
  <c r="O68" i="18"/>
  <c r="P68" i="18" s="1"/>
  <c r="Q68" i="18" s="1"/>
  <c r="N68" i="18"/>
  <c r="R68" i="18" s="1"/>
  <c r="O74" i="18"/>
  <c r="P74" i="18" s="1"/>
  <c r="Q74" i="18" s="1"/>
  <c r="N74" i="18"/>
  <c r="R74" i="18" s="1"/>
  <c r="O86" i="18"/>
  <c r="P86" i="18" s="1"/>
  <c r="N86" i="18"/>
  <c r="R86" i="18" s="1"/>
  <c r="O92" i="18"/>
  <c r="P92" i="18" s="1"/>
  <c r="N92" i="18"/>
  <c r="R92" i="18" s="1"/>
  <c r="O94" i="18"/>
  <c r="P94" i="18" s="1"/>
  <c r="N94" i="18"/>
  <c r="R94" i="18" s="1"/>
  <c r="O7" i="18"/>
  <c r="P7" i="18" s="1"/>
  <c r="N7" i="18"/>
  <c r="R7" i="18" s="1"/>
  <c r="O15" i="18"/>
  <c r="P15" i="18" s="1"/>
  <c r="N15" i="18"/>
  <c r="R15" i="18" s="1"/>
  <c r="O19" i="18"/>
  <c r="P19" i="18" s="1"/>
  <c r="Q19" i="18" s="1"/>
  <c r="N19" i="18"/>
  <c r="R19" i="18" s="1"/>
  <c r="O23" i="18"/>
  <c r="P23" i="18" s="1"/>
  <c r="Q23" i="18" s="1"/>
  <c r="N23" i="18"/>
  <c r="R23" i="18" s="1"/>
  <c r="O27" i="18"/>
  <c r="P27" i="18" s="1"/>
  <c r="Q27" i="18" s="1"/>
  <c r="N27" i="18"/>
  <c r="R27" i="18" s="1"/>
  <c r="O31" i="18"/>
  <c r="P31" i="18" s="1"/>
  <c r="N31" i="18"/>
  <c r="R31" i="18" s="1"/>
  <c r="O33" i="18"/>
  <c r="P33" i="18" s="1"/>
  <c r="N33" i="18"/>
  <c r="R33" i="18" s="1"/>
  <c r="N35" i="18"/>
  <c r="R35" i="18" s="1"/>
  <c r="O35" i="18"/>
  <c r="P35" i="18" s="1"/>
  <c r="O37" i="18"/>
  <c r="P37" i="18" s="1"/>
  <c r="Q37" i="18" s="1"/>
  <c r="N37" i="18"/>
  <c r="R37" i="18" s="1"/>
  <c r="N39" i="18"/>
  <c r="R39" i="18" s="1"/>
  <c r="O39" i="18"/>
  <c r="P39" i="18" s="1"/>
  <c r="N41" i="18"/>
  <c r="R41" i="18" s="1"/>
  <c r="O41" i="18"/>
  <c r="P41" i="18" s="1"/>
  <c r="Q41" i="18" s="1"/>
  <c r="N43" i="18"/>
  <c r="R43" i="18" s="1"/>
  <c r="O43" i="18"/>
  <c r="P43" i="18" s="1"/>
  <c r="Q43" i="18" s="1"/>
  <c r="N45" i="18"/>
  <c r="R45" i="18" s="1"/>
  <c r="O45" i="18"/>
  <c r="P45" i="18" s="1"/>
  <c r="Q45" i="18" s="1"/>
  <c r="N47" i="18"/>
  <c r="R47" i="18" s="1"/>
  <c r="O47" i="18"/>
  <c r="P47" i="18" s="1"/>
  <c r="Q47" i="18" s="1"/>
  <c r="N49" i="18"/>
  <c r="R49" i="18" s="1"/>
  <c r="O49" i="18"/>
  <c r="P49" i="18" s="1"/>
  <c r="N51" i="18"/>
  <c r="R51" i="18" s="1"/>
  <c r="O51" i="18"/>
  <c r="P51" i="18" s="1"/>
  <c r="N53" i="18"/>
  <c r="R53" i="18" s="1"/>
  <c r="O53" i="18"/>
  <c r="P53" i="18" s="1"/>
  <c r="Q53" i="18" s="1"/>
  <c r="N55" i="18"/>
  <c r="R55" i="18" s="1"/>
  <c r="O55" i="18"/>
  <c r="P55" i="18" s="1"/>
  <c r="Q55" i="18" s="1"/>
  <c r="N57" i="18"/>
  <c r="R57" i="18" s="1"/>
  <c r="O57" i="18"/>
  <c r="P57" i="18" s="1"/>
  <c r="Q57" i="18" s="1"/>
  <c r="N59" i="18"/>
  <c r="R59" i="18" s="1"/>
  <c r="O59" i="18"/>
  <c r="P59" i="18" s="1"/>
  <c r="Q59" i="18" s="1"/>
  <c r="N63" i="18"/>
  <c r="R63" i="18" s="1"/>
  <c r="O63" i="18"/>
  <c r="P63" i="18" s="1"/>
  <c r="Q63" i="18" s="1"/>
  <c r="N65" i="18"/>
  <c r="R65" i="18" s="1"/>
  <c r="O65" i="18"/>
  <c r="P65" i="18" s="1"/>
  <c r="Q65" i="18" s="1"/>
  <c r="N71" i="18"/>
  <c r="R71" i="18" s="1"/>
  <c r="O71" i="18"/>
  <c r="P71" i="18" s="1"/>
  <c r="Q71" i="18" s="1"/>
  <c r="N73" i="18"/>
  <c r="R73" i="18" s="1"/>
  <c r="O73" i="18"/>
  <c r="P73" i="18" s="1"/>
  <c r="Q73" i="18" s="1"/>
  <c r="N75" i="18"/>
  <c r="R75" i="18" s="1"/>
  <c r="O75" i="18"/>
  <c r="P75" i="18" s="1"/>
  <c r="Q75" i="18" s="1"/>
  <c r="O89" i="18"/>
  <c r="P89" i="18" s="1"/>
  <c r="N89" i="18"/>
  <c r="R89" i="18" s="1"/>
  <c r="N95" i="18"/>
  <c r="R95" i="18" s="1"/>
  <c r="O95" i="18"/>
  <c r="P95" i="18" s="1"/>
  <c r="Q95" i="18" s="1"/>
  <c r="O101" i="18"/>
  <c r="P101" i="18" s="1"/>
  <c r="N101" i="18"/>
  <c r="R101" i="18" s="1"/>
  <c r="O98" i="18"/>
  <c r="P98" i="18" s="1"/>
  <c r="N98" i="18"/>
  <c r="R98" i="18" s="1"/>
  <c r="N22" i="18"/>
  <c r="R22" i="18" s="1"/>
  <c r="O22" i="18"/>
  <c r="P22" i="18" s="1"/>
  <c r="N34" i="18"/>
  <c r="R34" i="18" s="1"/>
  <c r="O34" i="18"/>
  <c r="P34" i="18" s="1"/>
  <c r="N61" i="18"/>
  <c r="R61" i="18" s="1"/>
  <c r="O61" i="18"/>
  <c r="P61" i="18" s="1"/>
  <c r="Q61" i="18" s="1"/>
  <c r="O70" i="18"/>
  <c r="P70" i="18" s="1"/>
  <c r="Q70" i="18" s="1"/>
  <c r="N70" i="18"/>
  <c r="R70" i="18" s="1"/>
  <c r="O67" i="18"/>
  <c r="P67" i="18" s="1"/>
  <c r="Q67" i="18" s="1"/>
  <c r="N67" i="18"/>
  <c r="R67" i="18" s="1"/>
  <c r="O40" i="18"/>
  <c r="P40" i="18" s="1"/>
  <c r="N40" i="18"/>
  <c r="R40" i="18" s="1"/>
  <c r="O5" i="18"/>
  <c r="P5" i="18" s="1"/>
  <c r="N5" i="18"/>
  <c r="R5" i="18" s="1"/>
  <c r="O36" i="18"/>
  <c r="P36" i="18" s="1"/>
  <c r="Q36" i="18" s="1"/>
  <c r="N36" i="18"/>
  <c r="R36" i="18" s="1"/>
  <c r="O11" i="18"/>
  <c r="P11" i="18" s="1"/>
  <c r="N11" i="18"/>
  <c r="R11" i="18" s="1"/>
  <c r="O93" i="18"/>
  <c r="P93" i="18" s="1"/>
  <c r="N93" i="18"/>
  <c r="R93" i="18" s="1"/>
  <c r="O90" i="18"/>
  <c r="N90" i="18"/>
  <c r="N28" i="18"/>
  <c r="R28" i="18" s="1"/>
  <c r="O28" i="18"/>
  <c r="P28" i="18" s="1"/>
  <c r="Q28" i="18" s="1"/>
  <c r="N69" i="18"/>
  <c r="R69" i="18" s="1"/>
  <c r="O69" i="18"/>
  <c r="P69" i="18" s="1"/>
  <c r="Q69" i="18" s="1"/>
  <c r="O25" i="18"/>
  <c r="P25" i="18" s="1"/>
  <c r="N25" i="18"/>
  <c r="R25" i="18" s="1"/>
  <c r="O14" i="18"/>
  <c r="P14" i="18" s="1"/>
  <c r="N14" i="18"/>
  <c r="R14" i="18" s="1"/>
  <c r="O72" i="18"/>
  <c r="P72" i="18" s="1"/>
  <c r="N72" i="18"/>
  <c r="R72" i="18" s="1"/>
  <c r="O96" i="18"/>
  <c r="P96" i="18" s="1"/>
  <c r="Q96" i="18" s="1"/>
  <c r="N96" i="18"/>
  <c r="R96" i="18" s="1"/>
  <c r="O91" i="18"/>
  <c r="P91" i="18" s="1"/>
  <c r="N91" i="18"/>
  <c r="R91" i="18" s="1"/>
  <c r="N103" i="18"/>
  <c r="R103" i="18" s="1"/>
  <c r="O103" i="18"/>
  <c r="P103" i="18" s="1"/>
  <c r="Q103" i="18" s="1"/>
  <c r="O102" i="18"/>
  <c r="P102" i="18" s="1"/>
  <c r="Q102" i="18" s="1"/>
  <c r="N102" i="18"/>
  <c r="R102" i="18" s="1"/>
  <c r="O66" i="18"/>
  <c r="P66" i="18" s="1"/>
  <c r="Q66" i="18" s="1"/>
  <c r="N66" i="18"/>
  <c r="R66" i="18" s="1"/>
  <c r="N97" i="18"/>
  <c r="R97" i="18" s="1"/>
  <c r="O97" i="18"/>
  <c r="P97" i="18" s="1"/>
  <c r="O58" i="18"/>
  <c r="P58" i="18" s="1"/>
  <c r="N58" i="18"/>
  <c r="R58" i="18" s="1"/>
  <c r="O100" i="18"/>
  <c r="P100" i="18" s="1"/>
  <c r="N100" i="18"/>
  <c r="R100" i="18" s="1"/>
  <c r="O46" i="18"/>
  <c r="P46" i="18" s="1"/>
  <c r="N46" i="18"/>
  <c r="R46" i="18" s="1"/>
  <c r="P115" i="17"/>
  <c r="M239" i="18"/>
  <c r="M247" i="18" s="1"/>
  <c r="M258" i="18" s="1"/>
  <c r="O6" i="18"/>
  <c r="P6" i="18" s="1"/>
  <c r="N6" i="18"/>
  <c r="R6" i="18" s="1"/>
  <c r="Q115" i="17"/>
  <c r="O8" i="17"/>
  <c r="N115" i="17"/>
  <c r="X9" i="15"/>
  <c r="W9" i="15" s="1"/>
  <c r="M9" i="15" s="1"/>
  <c r="F9" i="22" s="1"/>
  <c r="X10" i="15"/>
  <c r="X11" i="15"/>
  <c r="X12" i="15"/>
  <c r="X13" i="15"/>
  <c r="X14" i="15"/>
  <c r="X15" i="15"/>
  <c r="X16" i="15"/>
  <c r="X17" i="15"/>
  <c r="X18" i="15"/>
  <c r="X19" i="15"/>
  <c r="X20" i="15"/>
  <c r="X21" i="15"/>
  <c r="X22" i="15"/>
  <c r="X23" i="15"/>
  <c r="X24" i="15"/>
  <c r="X25" i="15"/>
  <c r="X26" i="15"/>
  <c r="X27" i="15"/>
  <c r="X28" i="15"/>
  <c r="X29" i="15"/>
  <c r="X30" i="15"/>
  <c r="X31" i="15"/>
  <c r="X32" i="15"/>
  <c r="X33" i="15"/>
  <c r="X34" i="15"/>
  <c r="X35" i="15"/>
  <c r="X36" i="15"/>
  <c r="X37" i="15"/>
  <c r="X38" i="15"/>
  <c r="X39" i="15"/>
  <c r="X40" i="15"/>
  <c r="X41" i="15"/>
  <c r="X42" i="15"/>
  <c r="X43" i="15"/>
  <c r="X44" i="15"/>
  <c r="X45" i="15"/>
  <c r="X46" i="15"/>
  <c r="X8" i="15"/>
  <c r="W10" i="15"/>
  <c r="M10" i="15" s="1"/>
  <c r="F8" i="22" s="1"/>
  <c r="W11" i="15"/>
  <c r="M11" i="15" s="1"/>
  <c r="F11" i="22" s="1"/>
  <c r="W12" i="15"/>
  <c r="M12" i="15" s="1"/>
  <c r="F12" i="22" s="1"/>
  <c r="W13" i="15"/>
  <c r="M13" i="15" s="1"/>
  <c r="F13" i="22" s="1"/>
  <c r="W14" i="15"/>
  <c r="M14" i="15" s="1"/>
  <c r="F14" i="22" s="1"/>
  <c r="W15" i="15"/>
  <c r="M15" i="15" s="1"/>
  <c r="F15" i="22" s="1"/>
  <c r="W16" i="15"/>
  <c r="M16" i="15" s="1"/>
  <c r="F16" i="22" s="1"/>
  <c r="W17" i="15"/>
  <c r="M17" i="15" s="1"/>
  <c r="F17" i="22" s="1"/>
  <c r="W18" i="15"/>
  <c r="M18" i="15" s="1"/>
  <c r="F18" i="22" s="1"/>
  <c r="W19" i="15"/>
  <c r="W20" i="15"/>
  <c r="M20" i="15" s="1"/>
  <c r="F42" i="22" s="1"/>
  <c r="W21" i="15"/>
  <c r="M21" i="15" s="1"/>
  <c r="F20" i="22" s="1"/>
  <c r="W22" i="15"/>
  <c r="M22" i="15" s="1"/>
  <c r="F22" i="22" s="1"/>
  <c r="W23" i="15"/>
  <c r="M23" i="15" s="1"/>
  <c r="F41" i="22" s="1"/>
  <c r="W24" i="15"/>
  <c r="M24" i="15" s="1"/>
  <c r="F23" i="22" s="1"/>
  <c r="W25" i="15"/>
  <c r="M25" i="15" s="1"/>
  <c r="F24" i="22" s="1"/>
  <c r="W26" i="15"/>
  <c r="M26" i="15" s="1"/>
  <c r="F25" i="22" s="1"/>
  <c r="W27" i="15"/>
  <c r="M27" i="15" s="1"/>
  <c r="F26" i="22" s="1"/>
  <c r="W28" i="15"/>
  <c r="M28" i="15" s="1"/>
  <c r="F27" i="22" s="1"/>
  <c r="W29" i="15"/>
  <c r="M29" i="15" s="1"/>
  <c r="F29" i="22" s="1"/>
  <c r="W30" i="15"/>
  <c r="M30" i="15" s="1"/>
  <c r="F30" i="22" s="1"/>
  <c r="W31" i="15"/>
  <c r="M31" i="15" s="1"/>
  <c r="F31" i="22" s="1"/>
  <c r="W32" i="15"/>
  <c r="M32" i="15" s="1"/>
  <c r="F32" i="22" s="1"/>
  <c r="W33" i="15"/>
  <c r="M33" i="15" s="1"/>
  <c r="F33" i="22" s="1"/>
  <c r="W34" i="15"/>
  <c r="M34" i="15" s="1"/>
  <c r="F34" i="22" s="1"/>
  <c r="W35" i="15"/>
  <c r="M35" i="15" s="1"/>
  <c r="W36" i="15"/>
  <c r="M36" i="15" s="1"/>
  <c r="F35" i="22" s="1"/>
  <c r="W37" i="15"/>
  <c r="M37" i="15" s="1"/>
  <c r="F36" i="22" s="1"/>
  <c r="W38" i="15"/>
  <c r="M38" i="15" s="1"/>
  <c r="F37" i="22" s="1"/>
  <c r="W39" i="15"/>
  <c r="M39" i="15" s="1"/>
  <c r="P39" i="15" s="1"/>
  <c r="Q39" i="15" s="1"/>
  <c r="W40" i="15"/>
  <c r="M40" i="15" s="1"/>
  <c r="P40" i="15" s="1"/>
  <c r="Q40" i="15" s="1"/>
  <c r="W41" i="15"/>
  <c r="M41" i="15" s="1"/>
  <c r="W42" i="15"/>
  <c r="M42" i="15" s="1"/>
  <c r="W43" i="15"/>
  <c r="M43" i="15" s="1"/>
  <c r="F39" i="22" s="1"/>
  <c r="W44" i="15"/>
  <c r="M44" i="15" s="1"/>
  <c r="F40" i="22" s="1"/>
  <c r="W45" i="15"/>
  <c r="M45" i="15" s="1"/>
  <c r="W46" i="15"/>
  <c r="M46" i="15" s="1"/>
  <c r="P46" i="15" s="1"/>
  <c r="Q46" i="15" s="1"/>
  <c r="W8" i="15"/>
  <c r="M8" i="15" s="1"/>
  <c r="F10" i="22" s="1"/>
  <c r="P90" i="18" l="1"/>
  <c r="O248" i="18"/>
  <c r="R90" i="18"/>
  <c r="N248" i="18"/>
  <c r="Q93" i="18"/>
  <c r="F38" i="22"/>
  <c r="K88" i="24"/>
  <c r="K107" i="20"/>
  <c r="Q58" i="18"/>
  <c r="Q32" i="18"/>
  <c r="Q34" i="18"/>
  <c r="Q42" i="18"/>
  <c r="Q24" i="18"/>
  <c r="Q33" i="18"/>
  <c r="Q6" i="18"/>
  <c r="Q46" i="18"/>
  <c r="Q100" i="18"/>
  <c r="Q91" i="18"/>
  <c r="Q72" i="18"/>
  <c r="Q14" i="18"/>
  <c r="Q25" i="18"/>
  <c r="Q11" i="18"/>
  <c r="Q5" i="18"/>
  <c r="Q40" i="18"/>
  <c r="Q98" i="18"/>
  <c r="Q101" i="18"/>
  <c r="Q89" i="18"/>
  <c r="Q31" i="18"/>
  <c r="Q15" i="18"/>
  <c r="Q7" i="18"/>
  <c r="Q94" i="18"/>
  <c r="Q92" i="18"/>
  <c r="Q86" i="18"/>
  <c r="Q62" i="18"/>
  <c r="Q50" i="18"/>
  <c r="Q48" i="18"/>
  <c r="Q44" i="18"/>
  <c r="Q13" i="18"/>
  <c r="Q16" i="18"/>
  <c r="Q12" i="18"/>
  <c r="Q97" i="18"/>
  <c r="Q22" i="18"/>
  <c r="Q51" i="18"/>
  <c r="Q49" i="18"/>
  <c r="Q39" i="18"/>
  <c r="Q35" i="18"/>
  <c r="O115" i="17"/>
  <c r="J10" i="22"/>
  <c r="K10" i="22"/>
  <c r="L10" i="22" s="1"/>
  <c r="J39" i="22"/>
  <c r="K39" i="22"/>
  <c r="L39" i="22" s="1"/>
  <c r="J36" i="22"/>
  <c r="K36" i="22"/>
  <c r="L36" i="22" s="1"/>
  <c r="J31" i="22"/>
  <c r="K31" i="22"/>
  <c r="L31" i="22" s="1"/>
  <c r="J29" i="22"/>
  <c r="K29" i="22"/>
  <c r="L29" i="22" s="1"/>
  <c r="J26" i="22"/>
  <c r="K26" i="22"/>
  <c r="J24" i="22"/>
  <c r="K24" i="22"/>
  <c r="L24" i="22" s="1"/>
  <c r="K41" i="22"/>
  <c r="L41" i="22" s="1"/>
  <c r="J41" i="22"/>
  <c r="G41" i="22"/>
  <c r="H41" i="22" s="1"/>
  <c r="K20" i="22"/>
  <c r="L20" i="22" s="1"/>
  <c r="J20" i="22"/>
  <c r="G20" i="22"/>
  <c r="H20" i="22" s="1"/>
  <c r="J17" i="22"/>
  <c r="K17" i="22"/>
  <c r="L17" i="22" s="1"/>
  <c r="K15" i="22"/>
  <c r="L15" i="22" s="1"/>
  <c r="J15" i="22"/>
  <c r="G15" i="22"/>
  <c r="H15" i="22" s="1"/>
  <c r="K11" i="22"/>
  <c r="L11" i="22" s="1"/>
  <c r="J11" i="22"/>
  <c r="G11" i="22"/>
  <c r="H11" i="22" s="1"/>
  <c r="K9" i="22"/>
  <c r="L9" i="22" s="1"/>
  <c r="J9" i="22"/>
  <c r="G9" i="22"/>
  <c r="H9" i="22" s="1"/>
  <c r="J40" i="22"/>
  <c r="K40" i="22"/>
  <c r="L40" i="22" s="1"/>
  <c r="J38" i="22"/>
  <c r="K38" i="22"/>
  <c r="L38" i="22" s="1"/>
  <c r="J37" i="22"/>
  <c r="K37" i="22"/>
  <c r="L37" i="22" s="1"/>
  <c r="J35" i="22"/>
  <c r="K35" i="22"/>
  <c r="L35" i="22" s="1"/>
  <c r="J34" i="22"/>
  <c r="K34" i="22"/>
  <c r="J32" i="22"/>
  <c r="K32" i="22"/>
  <c r="L32" i="22" s="1"/>
  <c r="J30" i="22"/>
  <c r="K30" i="22"/>
  <c r="L30" i="22" s="1"/>
  <c r="K27" i="22"/>
  <c r="L27" i="22" s="1"/>
  <c r="J27" i="22"/>
  <c r="G27" i="22"/>
  <c r="H27" i="22" s="1"/>
  <c r="J25" i="22"/>
  <c r="K25" i="22"/>
  <c r="L25" i="22" s="1"/>
  <c r="J23" i="22"/>
  <c r="K23" i="22"/>
  <c r="L23" i="22" s="1"/>
  <c r="J22" i="22"/>
  <c r="K22" i="22"/>
  <c r="L22" i="22" s="1"/>
  <c r="K42" i="22"/>
  <c r="L42" i="22" s="1"/>
  <c r="J42" i="22"/>
  <c r="J18" i="22"/>
  <c r="K18" i="22"/>
  <c r="J16" i="22"/>
  <c r="K16" i="22"/>
  <c r="L16" i="22" s="1"/>
  <c r="J14" i="22"/>
  <c r="K14" i="22"/>
  <c r="L14" i="22" s="1"/>
  <c r="K12" i="22"/>
  <c r="L12" i="22" s="1"/>
  <c r="J12" i="22"/>
  <c r="G12" i="22"/>
  <c r="H12" i="22" s="1"/>
  <c r="K8" i="22"/>
  <c r="L8" i="22" s="1"/>
  <c r="J8" i="22"/>
  <c r="G8" i="22"/>
  <c r="H8" i="22" s="1"/>
  <c r="K13" i="22"/>
  <c r="L13" i="22" s="1"/>
  <c r="J13" i="22"/>
  <c r="G13" i="22"/>
  <c r="H13" i="22" s="1"/>
  <c r="K33" i="22"/>
  <c r="L33" i="22" s="1"/>
  <c r="J33" i="22"/>
  <c r="G33" i="22"/>
  <c r="H33" i="22" s="1"/>
  <c r="P44" i="15"/>
  <c r="Q44" i="15" s="1"/>
  <c r="M231" i="18"/>
  <c r="P42" i="15"/>
  <c r="M229" i="18"/>
  <c r="P38" i="15"/>
  <c r="Q38" i="15" s="1"/>
  <c r="M225" i="18"/>
  <c r="P36" i="15"/>
  <c r="Q36" i="15" s="1"/>
  <c r="M223" i="18"/>
  <c r="P34" i="15"/>
  <c r="Q34" i="15" s="1"/>
  <c r="M221" i="18"/>
  <c r="P32" i="15"/>
  <c r="Q32" i="15" s="1"/>
  <c r="M219" i="18"/>
  <c r="P30" i="15"/>
  <c r="Q30" i="15" s="1"/>
  <c r="M217" i="18"/>
  <c r="P28" i="15"/>
  <c r="Q28" i="15" s="1"/>
  <c r="M215" i="18"/>
  <c r="P26" i="15"/>
  <c r="Q26" i="15" s="1"/>
  <c r="M213" i="18"/>
  <c r="P24" i="15"/>
  <c r="Q24" i="15" s="1"/>
  <c r="M211" i="18"/>
  <c r="P22" i="15"/>
  <c r="Q22" i="15" s="1"/>
  <c r="M209" i="18"/>
  <c r="P20" i="15"/>
  <c r="Q20" i="15" s="1"/>
  <c r="M207" i="18"/>
  <c r="P18" i="15"/>
  <c r="Q18" i="15" s="1"/>
  <c r="M205" i="18"/>
  <c r="P16" i="15"/>
  <c r="Q16" i="15" s="1"/>
  <c r="M203" i="18"/>
  <c r="P14" i="15"/>
  <c r="Q14" i="15" s="1"/>
  <c r="M201" i="18"/>
  <c r="P12" i="15"/>
  <c r="Q12" i="15" s="1"/>
  <c r="M199" i="18"/>
  <c r="P10" i="15"/>
  <c r="Q10" i="15" s="1"/>
  <c r="M197" i="18"/>
  <c r="P45" i="15"/>
  <c r="Q45" i="15" s="1"/>
  <c r="M232" i="18"/>
  <c r="P43" i="15"/>
  <c r="Q43" i="15" s="1"/>
  <c r="M230" i="18"/>
  <c r="P41" i="15"/>
  <c r="Q41" i="15" s="1"/>
  <c r="M228" i="18"/>
  <c r="P37" i="15"/>
  <c r="Q37" i="15" s="1"/>
  <c r="M224" i="18"/>
  <c r="P35" i="15"/>
  <c r="Q35" i="15" s="1"/>
  <c r="M222" i="18"/>
  <c r="P33" i="15"/>
  <c r="Q33" i="15" s="1"/>
  <c r="M220" i="18"/>
  <c r="P31" i="15"/>
  <c r="Q31" i="15" s="1"/>
  <c r="M218" i="18"/>
  <c r="P29" i="15"/>
  <c r="Q29" i="15" s="1"/>
  <c r="M216" i="18"/>
  <c r="P27" i="15"/>
  <c r="Q27" i="15" s="1"/>
  <c r="M214" i="18"/>
  <c r="P25" i="15"/>
  <c r="Q25" i="15" s="1"/>
  <c r="M212" i="18"/>
  <c r="P23" i="15"/>
  <c r="Q23" i="15" s="1"/>
  <c r="M210" i="18"/>
  <c r="P21" i="15"/>
  <c r="Q21" i="15" s="1"/>
  <c r="M208" i="18"/>
  <c r="P17" i="15"/>
  <c r="Q17" i="15" s="1"/>
  <c r="M204" i="18"/>
  <c r="P15" i="15"/>
  <c r="Q15" i="15" s="1"/>
  <c r="M202" i="18"/>
  <c r="P13" i="15"/>
  <c r="Q13" i="15" s="1"/>
  <c r="M200" i="18"/>
  <c r="P11" i="15"/>
  <c r="Q11" i="15" s="1"/>
  <c r="M198" i="18"/>
  <c r="P9" i="15"/>
  <c r="Q9" i="15" s="1"/>
  <c r="M196" i="18"/>
  <c r="P8" i="15"/>
  <c r="M195" i="18"/>
  <c r="X50" i="15"/>
  <c r="M19" i="15"/>
  <c r="W50" i="15"/>
  <c r="N239" i="18"/>
  <c r="N247" i="18" s="1"/>
  <c r="N258" i="18" s="1"/>
  <c r="O239" i="18"/>
  <c r="O247" i="18" s="1"/>
  <c r="O258" i="18" s="1"/>
  <c r="L9" i="15"/>
  <c r="N9" i="15" s="1"/>
  <c r="O9" i="15" s="1"/>
  <c r="L10" i="15"/>
  <c r="N10" i="15" s="1"/>
  <c r="O10" i="15" s="1"/>
  <c r="L11" i="15"/>
  <c r="N11" i="15" s="1"/>
  <c r="O11" i="15" s="1"/>
  <c r="L12" i="15"/>
  <c r="N12" i="15" s="1"/>
  <c r="O12" i="15" s="1"/>
  <c r="L13" i="15"/>
  <c r="N13" i="15" s="1"/>
  <c r="O13" i="15" s="1"/>
  <c r="L14" i="15"/>
  <c r="N14" i="15" s="1"/>
  <c r="O14" i="15" s="1"/>
  <c r="L15" i="15"/>
  <c r="N15" i="15" s="1"/>
  <c r="O15" i="15" s="1"/>
  <c r="L16" i="15"/>
  <c r="N16" i="15" s="1"/>
  <c r="O16" i="15" s="1"/>
  <c r="L17" i="15"/>
  <c r="N17" i="15" s="1"/>
  <c r="O17" i="15" s="1"/>
  <c r="L18" i="15"/>
  <c r="N18" i="15" s="1"/>
  <c r="O18" i="15" s="1"/>
  <c r="L19" i="15"/>
  <c r="L20" i="15"/>
  <c r="N20" i="15" s="1"/>
  <c r="O20" i="15" s="1"/>
  <c r="L21" i="15"/>
  <c r="N21" i="15" s="1"/>
  <c r="O21" i="15" s="1"/>
  <c r="L22" i="15"/>
  <c r="N22" i="15" s="1"/>
  <c r="O22" i="15" s="1"/>
  <c r="L23" i="15"/>
  <c r="N23" i="15" s="1"/>
  <c r="O23" i="15" s="1"/>
  <c r="L24" i="15"/>
  <c r="N24" i="15" s="1"/>
  <c r="O24" i="15" s="1"/>
  <c r="L25" i="15"/>
  <c r="N25" i="15" s="1"/>
  <c r="O25" i="15" s="1"/>
  <c r="L26" i="15"/>
  <c r="N26" i="15" s="1"/>
  <c r="O26" i="15" s="1"/>
  <c r="L27" i="15"/>
  <c r="N27" i="15" s="1"/>
  <c r="O27" i="15" s="1"/>
  <c r="L28" i="15"/>
  <c r="N28" i="15" s="1"/>
  <c r="O28" i="15" s="1"/>
  <c r="L29" i="15"/>
  <c r="N29" i="15" s="1"/>
  <c r="O29" i="15" s="1"/>
  <c r="L30" i="15"/>
  <c r="N30" i="15" s="1"/>
  <c r="O30" i="15" s="1"/>
  <c r="L31" i="15"/>
  <c r="N31" i="15" s="1"/>
  <c r="O31" i="15" s="1"/>
  <c r="L32" i="15"/>
  <c r="N32" i="15" s="1"/>
  <c r="O32" i="15" s="1"/>
  <c r="L33" i="15"/>
  <c r="N33" i="15" s="1"/>
  <c r="O33" i="15" s="1"/>
  <c r="L34" i="15"/>
  <c r="N34" i="15" s="1"/>
  <c r="O34" i="15" s="1"/>
  <c r="L35" i="15"/>
  <c r="N35" i="15" s="1"/>
  <c r="O35" i="15" s="1"/>
  <c r="L36" i="15"/>
  <c r="N36" i="15" s="1"/>
  <c r="O36" i="15" s="1"/>
  <c r="L37" i="15"/>
  <c r="N37" i="15" s="1"/>
  <c r="O37" i="15" s="1"/>
  <c r="L38" i="15"/>
  <c r="N38" i="15" s="1"/>
  <c r="O38" i="15" s="1"/>
  <c r="L39" i="15"/>
  <c r="N39" i="15" s="1"/>
  <c r="O39" i="15" s="1"/>
  <c r="L40" i="15"/>
  <c r="N40" i="15" s="1"/>
  <c r="O40" i="15" s="1"/>
  <c r="L41" i="15"/>
  <c r="N41" i="15" s="1"/>
  <c r="O41" i="15" s="1"/>
  <c r="L42" i="15"/>
  <c r="L43" i="15"/>
  <c r="N43" i="15" s="1"/>
  <c r="O43" i="15" s="1"/>
  <c r="L44" i="15"/>
  <c r="N44" i="15" s="1"/>
  <c r="O44" i="15" s="1"/>
  <c r="L45" i="15"/>
  <c r="N45" i="15" s="1"/>
  <c r="O45" i="15" s="1"/>
  <c r="L46" i="15"/>
  <c r="N46" i="15" s="1"/>
  <c r="O46" i="15" s="1"/>
  <c r="L8" i="15"/>
  <c r="N8" i="15" s="1"/>
  <c r="O8" i="15" s="1"/>
  <c r="M256" i="18" l="1"/>
  <c r="Q90" i="18"/>
  <c r="P248" i="18"/>
  <c r="N42" i="15"/>
  <c r="J88" i="24"/>
  <c r="Q42" i="15"/>
  <c r="O88" i="24" s="1"/>
  <c r="N88" i="24"/>
  <c r="G42" i="22"/>
  <c r="H42" i="22" s="1"/>
  <c r="G35" i="22"/>
  <c r="H35" i="22" s="1"/>
  <c r="G16" i="22"/>
  <c r="H16" i="22" s="1"/>
  <c r="G22" i="22"/>
  <c r="H22" i="22" s="1"/>
  <c r="G31" i="22"/>
  <c r="H31" i="22" s="1"/>
  <c r="G25" i="22"/>
  <c r="H25" i="22" s="1"/>
  <c r="G30" i="22"/>
  <c r="H30" i="22" s="1"/>
  <c r="G38" i="22"/>
  <c r="H38" i="22" s="1"/>
  <c r="G24" i="22"/>
  <c r="H24" i="22" s="1"/>
  <c r="G39" i="22"/>
  <c r="H39" i="22" s="1"/>
  <c r="G34" i="22"/>
  <c r="H34" i="22" s="1"/>
  <c r="L34" i="22"/>
  <c r="P19" i="15"/>
  <c r="Q19" i="15" s="1"/>
  <c r="F19" i="22"/>
  <c r="G14" i="22"/>
  <c r="H14" i="22" s="1"/>
  <c r="G18" i="22"/>
  <c r="H18" i="22" s="1"/>
  <c r="L18" i="22"/>
  <c r="G23" i="22"/>
  <c r="H23" i="22" s="1"/>
  <c r="G32" i="22"/>
  <c r="H32" i="22" s="1"/>
  <c r="G37" i="22"/>
  <c r="H37" i="22" s="1"/>
  <c r="G40" i="22"/>
  <c r="H40" i="22" s="1"/>
  <c r="G17" i="22"/>
  <c r="H17" i="22" s="1"/>
  <c r="G26" i="22"/>
  <c r="H26" i="22" s="1"/>
  <c r="L26" i="22"/>
  <c r="G29" i="22"/>
  <c r="H29" i="22" s="1"/>
  <c r="G36" i="22"/>
  <c r="H36" i="22" s="1"/>
  <c r="G10" i="22"/>
  <c r="H10" i="22" s="1"/>
  <c r="O200" i="18"/>
  <c r="P200" i="18" s="1"/>
  <c r="Q200" i="18" s="1"/>
  <c r="N200" i="18"/>
  <c r="R200" i="18" s="1"/>
  <c r="O204" i="18"/>
  <c r="P204" i="18" s="1"/>
  <c r="Q204" i="18" s="1"/>
  <c r="N204" i="18"/>
  <c r="R204" i="18" s="1"/>
  <c r="O210" i="18"/>
  <c r="P210" i="18" s="1"/>
  <c r="N210" i="18"/>
  <c r="R210" i="18" s="1"/>
  <c r="O214" i="18"/>
  <c r="P214" i="18" s="1"/>
  <c r="N214" i="18"/>
  <c r="R214" i="18" s="1"/>
  <c r="O218" i="18"/>
  <c r="P218" i="18" s="1"/>
  <c r="N218" i="18"/>
  <c r="R218" i="18" s="1"/>
  <c r="O222" i="18"/>
  <c r="P222" i="18" s="1"/>
  <c r="Q222" i="18" s="1"/>
  <c r="N222" i="18"/>
  <c r="R222" i="18" s="1"/>
  <c r="O228" i="18"/>
  <c r="P228" i="18" s="1"/>
  <c r="N228" i="18"/>
  <c r="R228" i="18" s="1"/>
  <c r="O232" i="18"/>
  <c r="P232" i="18" s="1"/>
  <c r="Q232" i="18" s="1"/>
  <c r="N232" i="18"/>
  <c r="R232" i="18" s="1"/>
  <c r="O199" i="18"/>
  <c r="P199" i="18" s="1"/>
  <c r="N199" i="18"/>
  <c r="R199" i="18" s="1"/>
  <c r="O203" i="18"/>
  <c r="P203" i="18" s="1"/>
  <c r="N203" i="18"/>
  <c r="R203" i="18" s="1"/>
  <c r="N207" i="18"/>
  <c r="R207" i="18" s="1"/>
  <c r="O207" i="18"/>
  <c r="P207" i="18" s="1"/>
  <c r="Q207" i="18" s="1"/>
  <c r="O211" i="18"/>
  <c r="P211" i="18" s="1"/>
  <c r="N211" i="18"/>
  <c r="R211" i="18" s="1"/>
  <c r="O215" i="18"/>
  <c r="P215" i="18" s="1"/>
  <c r="Q215" i="18" s="1"/>
  <c r="N215" i="18"/>
  <c r="R215" i="18" s="1"/>
  <c r="O219" i="18"/>
  <c r="P219" i="18" s="1"/>
  <c r="Q219" i="18" s="1"/>
  <c r="N219" i="18"/>
  <c r="R219" i="18" s="1"/>
  <c r="N223" i="18"/>
  <c r="R223" i="18" s="1"/>
  <c r="O223" i="18"/>
  <c r="P223" i="18" s="1"/>
  <c r="Q223" i="18" s="1"/>
  <c r="O225" i="18"/>
  <c r="P225" i="18" s="1"/>
  <c r="Q225" i="18" s="1"/>
  <c r="N225" i="18"/>
  <c r="R225" i="18" s="1"/>
  <c r="O229" i="18"/>
  <c r="N229" i="18"/>
  <c r="O231" i="18"/>
  <c r="P231" i="18" s="1"/>
  <c r="Q231" i="18" s="1"/>
  <c r="N231" i="18"/>
  <c r="R231" i="18" s="1"/>
  <c r="O198" i="18"/>
  <c r="P198" i="18" s="1"/>
  <c r="Q198" i="18" s="1"/>
  <c r="N198" i="18"/>
  <c r="R198" i="18" s="1"/>
  <c r="O202" i="18"/>
  <c r="P202" i="18" s="1"/>
  <c r="Q202" i="18" s="1"/>
  <c r="N202" i="18"/>
  <c r="R202" i="18" s="1"/>
  <c r="O208" i="18"/>
  <c r="P208" i="18" s="1"/>
  <c r="N208" i="18"/>
  <c r="R208" i="18" s="1"/>
  <c r="O212" i="18"/>
  <c r="P212" i="18" s="1"/>
  <c r="Q212" i="18" s="1"/>
  <c r="N212" i="18"/>
  <c r="R212" i="18" s="1"/>
  <c r="O216" i="18"/>
  <c r="P216" i="18" s="1"/>
  <c r="Q216" i="18" s="1"/>
  <c r="N216" i="18"/>
  <c r="R216" i="18" s="1"/>
  <c r="O220" i="18"/>
  <c r="P220" i="18" s="1"/>
  <c r="Q220" i="18" s="1"/>
  <c r="N220" i="18"/>
  <c r="R220" i="18" s="1"/>
  <c r="O224" i="18"/>
  <c r="P224" i="18" s="1"/>
  <c r="Q224" i="18" s="1"/>
  <c r="N224" i="18"/>
  <c r="R224" i="18" s="1"/>
  <c r="O230" i="18"/>
  <c r="P230" i="18" s="1"/>
  <c r="Q230" i="18" s="1"/>
  <c r="N230" i="18"/>
  <c r="R230" i="18" s="1"/>
  <c r="O197" i="18"/>
  <c r="P197" i="18" s="1"/>
  <c r="Q197" i="18" s="1"/>
  <c r="N197" i="18"/>
  <c r="R197" i="18" s="1"/>
  <c r="O201" i="18"/>
  <c r="P201" i="18" s="1"/>
  <c r="N201" i="18"/>
  <c r="R201" i="18" s="1"/>
  <c r="O205" i="18"/>
  <c r="P205" i="18" s="1"/>
  <c r="N205" i="18"/>
  <c r="R205" i="18" s="1"/>
  <c r="O209" i="18"/>
  <c r="P209" i="18" s="1"/>
  <c r="N209" i="18"/>
  <c r="R209" i="18" s="1"/>
  <c r="O213" i="18"/>
  <c r="P213" i="18" s="1"/>
  <c r="N213" i="18"/>
  <c r="R213" i="18" s="1"/>
  <c r="O217" i="18"/>
  <c r="P217" i="18" s="1"/>
  <c r="Q217" i="18" s="1"/>
  <c r="N217" i="18"/>
  <c r="R217" i="18" s="1"/>
  <c r="O221" i="18"/>
  <c r="P221" i="18" s="1"/>
  <c r="Q221" i="18" s="1"/>
  <c r="N221" i="18"/>
  <c r="R221" i="18" s="1"/>
  <c r="O196" i="18"/>
  <c r="P196" i="18" s="1"/>
  <c r="Q196" i="18" s="1"/>
  <c r="N196" i="18"/>
  <c r="R196" i="18" s="1"/>
  <c r="O195" i="18"/>
  <c r="P195" i="18" s="1"/>
  <c r="Q195" i="18" s="1"/>
  <c r="N195" i="18"/>
  <c r="R195" i="18" s="1"/>
  <c r="Q8" i="15"/>
  <c r="N19" i="15"/>
  <c r="L50" i="15"/>
  <c r="M206" i="18"/>
  <c r="M50" i="15"/>
  <c r="Q50" i="15"/>
  <c r="P239" i="18"/>
  <c r="P247" i="18" s="1"/>
  <c r="P258" i="18" s="1"/>
  <c r="W8" i="14"/>
  <c r="X46" i="14"/>
  <c r="Y46" i="14"/>
  <c r="Z46" i="14"/>
  <c r="AA46" i="14"/>
  <c r="AB46" i="14"/>
  <c r="AC46" i="14"/>
  <c r="AD46" i="14"/>
  <c r="AE46" i="14"/>
  <c r="AF46" i="14"/>
  <c r="AG46" i="14"/>
  <c r="AH46" i="14"/>
  <c r="AI46" i="14"/>
  <c r="AJ46" i="14"/>
  <c r="I46" i="14"/>
  <c r="J46" i="14"/>
  <c r="H46" i="14"/>
  <c r="W41" i="14"/>
  <c r="M41" i="14" s="1"/>
  <c r="W42" i="14"/>
  <c r="M42" i="14" s="1"/>
  <c r="P42" i="14" s="1"/>
  <c r="Q42" i="14" s="1"/>
  <c r="W43" i="14"/>
  <c r="M43" i="14" s="1"/>
  <c r="P43" i="14" s="1"/>
  <c r="Q43" i="14" s="1"/>
  <c r="W44" i="14"/>
  <c r="M44" i="14" s="1"/>
  <c r="P44" i="14" s="1"/>
  <c r="Q44" i="14" s="1"/>
  <c r="W45" i="14"/>
  <c r="M45" i="14" s="1"/>
  <c r="P45" i="14" s="1"/>
  <c r="Q45" i="14" s="1"/>
  <c r="W40" i="14"/>
  <c r="M40" i="14" s="1"/>
  <c r="P40" i="14" s="1"/>
  <c r="Q40" i="14" s="1"/>
  <c r="W9" i="14"/>
  <c r="M9" i="14" s="1"/>
  <c r="W10" i="14"/>
  <c r="M10" i="14" s="1"/>
  <c r="W11" i="14"/>
  <c r="M11" i="14" s="1"/>
  <c r="W12" i="14"/>
  <c r="M12" i="14" s="1"/>
  <c r="W13" i="14"/>
  <c r="M13" i="14" s="1"/>
  <c r="W14" i="14"/>
  <c r="M14" i="14" s="1"/>
  <c r="W15" i="14"/>
  <c r="M15" i="14" s="1"/>
  <c r="M163" i="18" s="1"/>
  <c r="W16" i="14"/>
  <c r="M16" i="14" s="1"/>
  <c r="W17" i="14"/>
  <c r="M17" i="14" s="1"/>
  <c r="W18" i="14"/>
  <c r="M18" i="14" s="1"/>
  <c r="W19" i="14"/>
  <c r="M19" i="14" s="1"/>
  <c r="W20" i="14"/>
  <c r="M20" i="14" s="1"/>
  <c r="W21" i="14"/>
  <c r="M21" i="14" s="1"/>
  <c r="W22" i="14"/>
  <c r="M22" i="14" s="1"/>
  <c r="W23" i="14"/>
  <c r="M23" i="14" s="1"/>
  <c r="M171" i="18" s="1"/>
  <c r="W24" i="14"/>
  <c r="M24" i="14" s="1"/>
  <c r="W25" i="14"/>
  <c r="M25" i="14" s="1"/>
  <c r="W26" i="14"/>
  <c r="M26" i="14" s="1"/>
  <c r="W27" i="14"/>
  <c r="M27" i="14" s="1"/>
  <c r="W28" i="14"/>
  <c r="M28" i="14" s="1"/>
  <c r="W29" i="14"/>
  <c r="M29" i="14" s="1"/>
  <c r="W30" i="14"/>
  <c r="M30" i="14" s="1"/>
  <c r="W31" i="14"/>
  <c r="M31" i="14" s="1"/>
  <c r="M179" i="18" s="1"/>
  <c r="W32" i="14"/>
  <c r="M32" i="14" s="1"/>
  <c r="W33" i="14"/>
  <c r="M33" i="14" s="1"/>
  <c r="W34" i="14"/>
  <c r="M34" i="14" s="1"/>
  <c r="W35" i="14"/>
  <c r="M35" i="14" s="1"/>
  <c r="K55" i="24" s="1"/>
  <c r="W36" i="14"/>
  <c r="M36" i="14" s="1"/>
  <c r="K56" i="24" s="1"/>
  <c r="W37" i="14"/>
  <c r="M37" i="14" s="1"/>
  <c r="W38" i="14"/>
  <c r="M38" i="14" s="1"/>
  <c r="P38" i="14" s="1"/>
  <c r="Q38" i="14" s="1"/>
  <c r="W39" i="14"/>
  <c r="M39" i="14" s="1"/>
  <c r="M8" i="14"/>
  <c r="L40" i="14"/>
  <c r="L41" i="14"/>
  <c r="L42" i="14"/>
  <c r="L43" i="14"/>
  <c r="L44" i="14"/>
  <c r="L45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J55" i="24" s="1"/>
  <c r="L36" i="14"/>
  <c r="J56" i="24" s="1"/>
  <c r="L37" i="14"/>
  <c r="L38" i="14"/>
  <c r="L39" i="14"/>
  <c r="L8" i="14"/>
  <c r="Z31" i="13"/>
  <c r="AA31" i="13"/>
  <c r="AB31" i="13"/>
  <c r="AC31" i="13"/>
  <c r="AD31" i="13"/>
  <c r="AE31" i="13"/>
  <c r="AF31" i="13"/>
  <c r="AG31" i="13"/>
  <c r="AH31" i="13"/>
  <c r="AI31" i="13"/>
  <c r="AJ31" i="13"/>
  <c r="AK31" i="13"/>
  <c r="Y31" i="13"/>
  <c r="J31" i="13"/>
  <c r="I31" i="13"/>
  <c r="R229" i="18" l="1"/>
  <c r="N256" i="18"/>
  <c r="P229" i="18"/>
  <c r="O256" i="18"/>
  <c r="O42" i="15"/>
  <c r="M88" i="24" s="1"/>
  <c r="L88" i="24"/>
  <c r="Q213" i="18"/>
  <c r="Q209" i="18"/>
  <c r="Q205" i="18"/>
  <c r="Q201" i="18"/>
  <c r="Q208" i="18"/>
  <c r="Q211" i="18"/>
  <c r="Q203" i="18"/>
  <c r="Q199" i="18"/>
  <c r="Q228" i="18"/>
  <c r="Q218" i="18"/>
  <c r="Q214" i="18"/>
  <c r="Q210" i="18"/>
  <c r="P37" i="14"/>
  <c r="Q37" i="14" s="1"/>
  <c r="M185" i="18"/>
  <c r="P50" i="15"/>
  <c r="L46" i="14"/>
  <c r="P8" i="14"/>
  <c r="M156" i="18"/>
  <c r="P36" i="14"/>
  <c r="M184" i="18"/>
  <c r="P34" i="14"/>
  <c r="Q34" i="14" s="1"/>
  <c r="M182" i="18"/>
  <c r="P32" i="14"/>
  <c r="Q32" i="14" s="1"/>
  <c r="M180" i="18"/>
  <c r="P30" i="14"/>
  <c r="Q30" i="14" s="1"/>
  <c r="M178" i="18"/>
  <c r="P28" i="14"/>
  <c r="Q28" i="14" s="1"/>
  <c r="M176" i="18"/>
  <c r="P26" i="14"/>
  <c r="Q26" i="14" s="1"/>
  <c r="M174" i="18"/>
  <c r="P24" i="14"/>
  <c r="Q24" i="14" s="1"/>
  <c r="M172" i="18"/>
  <c r="P22" i="14"/>
  <c r="Q22" i="14" s="1"/>
  <c r="M170" i="18"/>
  <c r="P20" i="14"/>
  <c r="Q20" i="14" s="1"/>
  <c r="M168" i="18"/>
  <c r="P18" i="14"/>
  <c r="Q18" i="14" s="1"/>
  <c r="M166" i="18"/>
  <c r="P16" i="14"/>
  <c r="Q16" i="14" s="1"/>
  <c r="M164" i="18"/>
  <c r="P14" i="14"/>
  <c r="Q14" i="14" s="1"/>
  <c r="M162" i="18"/>
  <c r="P12" i="14"/>
  <c r="Q12" i="14" s="1"/>
  <c r="M160" i="18"/>
  <c r="P10" i="14"/>
  <c r="Q10" i="14" s="1"/>
  <c r="M158" i="18"/>
  <c r="W46" i="14"/>
  <c r="K19" i="22"/>
  <c r="L19" i="22" s="1"/>
  <c r="J19" i="22"/>
  <c r="G19" i="22"/>
  <c r="H19" i="22" s="1"/>
  <c r="P35" i="14"/>
  <c r="M183" i="18"/>
  <c r="P33" i="14"/>
  <c r="Q33" i="14" s="1"/>
  <c r="M181" i="18"/>
  <c r="O179" i="18"/>
  <c r="P179" i="18" s="1"/>
  <c r="Q179" i="18" s="1"/>
  <c r="N179" i="18"/>
  <c r="R179" i="18" s="1"/>
  <c r="P29" i="14"/>
  <c r="Q29" i="14" s="1"/>
  <c r="M177" i="18"/>
  <c r="P27" i="14"/>
  <c r="Q27" i="14" s="1"/>
  <c r="M175" i="18"/>
  <c r="P25" i="14"/>
  <c r="Q25" i="14" s="1"/>
  <c r="M173" i="18"/>
  <c r="O171" i="18"/>
  <c r="P171" i="18" s="1"/>
  <c r="Q171" i="18" s="1"/>
  <c r="N171" i="18"/>
  <c r="R171" i="18" s="1"/>
  <c r="P21" i="14"/>
  <c r="Q21" i="14" s="1"/>
  <c r="M169" i="18"/>
  <c r="P19" i="14"/>
  <c r="Q19" i="14" s="1"/>
  <c r="M167" i="18"/>
  <c r="P17" i="14"/>
  <c r="Q17" i="14" s="1"/>
  <c r="M165" i="18"/>
  <c r="O163" i="18"/>
  <c r="P163" i="18" s="1"/>
  <c r="N163" i="18"/>
  <c r="R163" i="18" s="1"/>
  <c r="P13" i="14"/>
  <c r="Q13" i="14" s="1"/>
  <c r="M161" i="18"/>
  <c r="P11" i="14"/>
  <c r="Q11" i="14" s="1"/>
  <c r="M159" i="18"/>
  <c r="P9" i="14"/>
  <c r="Q9" i="14" s="1"/>
  <c r="M157" i="18"/>
  <c r="P41" i="14"/>
  <c r="Q41" i="14" s="1"/>
  <c r="M189" i="18"/>
  <c r="M46" i="14"/>
  <c r="O206" i="18"/>
  <c r="P206" i="18" s="1"/>
  <c r="M243" i="18"/>
  <c r="M255" i="18" s="1"/>
  <c r="N206" i="18"/>
  <c r="O19" i="15"/>
  <c r="O50" i="15" s="1"/>
  <c r="N50" i="15"/>
  <c r="Q8" i="14"/>
  <c r="N45" i="14"/>
  <c r="O45" i="14" s="1"/>
  <c r="N43" i="14"/>
  <c r="O43" i="14" s="1"/>
  <c r="N41" i="14"/>
  <c r="O41" i="14" s="1"/>
  <c r="N8" i="14"/>
  <c r="N38" i="14"/>
  <c r="O38" i="14" s="1"/>
  <c r="N36" i="14"/>
  <c r="N34" i="14"/>
  <c r="O34" i="14" s="1"/>
  <c r="N32" i="14"/>
  <c r="O32" i="14" s="1"/>
  <c r="N30" i="14"/>
  <c r="O30" i="14" s="1"/>
  <c r="N28" i="14"/>
  <c r="O28" i="14" s="1"/>
  <c r="N26" i="14"/>
  <c r="O26" i="14" s="1"/>
  <c r="N24" i="14"/>
  <c r="O24" i="14" s="1"/>
  <c r="N22" i="14"/>
  <c r="O22" i="14" s="1"/>
  <c r="N20" i="14"/>
  <c r="O20" i="14" s="1"/>
  <c r="N18" i="14"/>
  <c r="O18" i="14" s="1"/>
  <c r="N16" i="14"/>
  <c r="O16" i="14" s="1"/>
  <c r="N14" i="14"/>
  <c r="O14" i="14" s="1"/>
  <c r="N12" i="14"/>
  <c r="O12" i="14" s="1"/>
  <c r="N10" i="14"/>
  <c r="O10" i="14" s="1"/>
  <c r="P39" i="14"/>
  <c r="Q39" i="14" s="1"/>
  <c r="N39" i="14"/>
  <c r="O39" i="14" s="1"/>
  <c r="P31" i="14"/>
  <c r="Q31" i="14" s="1"/>
  <c r="N31" i="14"/>
  <c r="O31" i="14" s="1"/>
  <c r="P23" i="14"/>
  <c r="Q23" i="14" s="1"/>
  <c r="N23" i="14"/>
  <c r="O23" i="14" s="1"/>
  <c r="P15" i="14"/>
  <c r="Q15" i="14" s="1"/>
  <c r="N15" i="14"/>
  <c r="O15" i="14" s="1"/>
  <c r="N35" i="14"/>
  <c r="N27" i="14"/>
  <c r="O27" i="14" s="1"/>
  <c r="N19" i="14"/>
  <c r="O19" i="14" s="1"/>
  <c r="N11" i="14"/>
  <c r="O11" i="14" s="1"/>
  <c r="N37" i="14"/>
  <c r="O37" i="14" s="1"/>
  <c r="N33" i="14"/>
  <c r="O33" i="14" s="1"/>
  <c r="N29" i="14"/>
  <c r="O29" i="14" s="1"/>
  <c r="N25" i="14"/>
  <c r="O25" i="14" s="1"/>
  <c r="N21" i="14"/>
  <c r="O21" i="14" s="1"/>
  <c r="N17" i="14"/>
  <c r="O17" i="14" s="1"/>
  <c r="N13" i="14"/>
  <c r="O13" i="14" s="1"/>
  <c r="N9" i="14"/>
  <c r="O9" i="14" s="1"/>
  <c r="N44" i="14"/>
  <c r="O44" i="14" s="1"/>
  <c r="N42" i="14"/>
  <c r="O42" i="14" s="1"/>
  <c r="N40" i="14"/>
  <c r="O40" i="14" s="1"/>
  <c r="H31" i="13"/>
  <c r="L30" i="13"/>
  <c r="X9" i="13"/>
  <c r="M9" i="13" s="1"/>
  <c r="X10" i="13"/>
  <c r="M10" i="13" s="1"/>
  <c r="X11" i="13"/>
  <c r="M11" i="13" s="1"/>
  <c r="X12" i="13"/>
  <c r="M12" i="13" s="1"/>
  <c r="X13" i="13"/>
  <c r="M13" i="13" s="1"/>
  <c r="X14" i="13"/>
  <c r="M14" i="13" s="1"/>
  <c r="X15" i="13"/>
  <c r="M15" i="13" s="1"/>
  <c r="X16" i="13"/>
  <c r="M16" i="13" s="1"/>
  <c r="X17" i="13"/>
  <c r="M17" i="13" s="1"/>
  <c r="X18" i="13"/>
  <c r="M18" i="13" s="1"/>
  <c r="X19" i="13"/>
  <c r="M19" i="13" s="1"/>
  <c r="X20" i="13"/>
  <c r="M20" i="13" s="1"/>
  <c r="X21" i="13"/>
  <c r="M21" i="13" s="1"/>
  <c r="X22" i="13"/>
  <c r="M22" i="13" s="1"/>
  <c r="P22" i="13" s="1"/>
  <c r="Q22" i="13" s="1"/>
  <c r="X23" i="13"/>
  <c r="M23" i="13" s="1"/>
  <c r="X24" i="13"/>
  <c r="M24" i="13" s="1"/>
  <c r="X25" i="13"/>
  <c r="M25" i="13" s="1"/>
  <c r="X26" i="13"/>
  <c r="M26" i="13" s="1"/>
  <c r="X27" i="13"/>
  <c r="M27" i="13" s="1"/>
  <c r="X28" i="13"/>
  <c r="M28" i="13" s="1"/>
  <c r="P28" i="13" s="1"/>
  <c r="Q28" i="13" s="1"/>
  <c r="X29" i="13"/>
  <c r="M29" i="13" s="1"/>
  <c r="P29" i="13" s="1"/>
  <c r="Q29" i="13" s="1"/>
  <c r="X30" i="13"/>
  <c r="M30" i="13" s="1"/>
  <c r="P30" i="13" s="1"/>
  <c r="Q30" i="13" s="1"/>
  <c r="X8" i="13"/>
  <c r="L28" i="13"/>
  <c r="L29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8" i="13"/>
  <c r="Q229" i="18" l="1"/>
  <c r="P256" i="18"/>
  <c r="O36" i="14"/>
  <c r="M56" i="24" s="1"/>
  <c r="L56" i="24"/>
  <c r="Q36" i="14"/>
  <c r="O56" i="24" s="1"/>
  <c r="N56" i="24"/>
  <c r="O35" i="14"/>
  <c r="M55" i="24" s="1"/>
  <c r="L55" i="24"/>
  <c r="Q35" i="14"/>
  <c r="O55" i="24" s="1"/>
  <c r="N55" i="24"/>
  <c r="P21" i="13"/>
  <c r="Q21" i="13" s="1"/>
  <c r="M145" i="18"/>
  <c r="Q163" i="18"/>
  <c r="N243" i="18"/>
  <c r="N255" i="18" s="1"/>
  <c r="R206" i="18"/>
  <c r="O243" i="18"/>
  <c r="O255" i="18" s="1"/>
  <c r="Q206" i="18"/>
  <c r="O185" i="18"/>
  <c r="P185" i="18" s="1"/>
  <c r="Q185" i="18" s="1"/>
  <c r="N185" i="18"/>
  <c r="R185" i="18" s="1"/>
  <c r="M150" i="18"/>
  <c r="O150" i="18" s="1"/>
  <c r="P150" i="18" s="1"/>
  <c r="Q150" i="18" s="1"/>
  <c r="P26" i="13"/>
  <c r="Q26" i="13" s="1"/>
  <c r="M144" i="18"/>
  <c r="N144" i="18" s="1"/>
  <c r="R144" i="18" s="1"/>
  <c r="P20" i="13"/>
  <c r="Q20" i="13" s="1"/>
  <c r="M142" i="18"/>
  <c r="O142" i="18" s="1"/>
  <c r="P142" i="18" s="1"/>
  <c r="Q142" i="18" s="1"/>
  <c r="P18" i="13"/>
  <c r="Q18" i="13" s="1"/>
  <c r="M140" i="18"/>
  <c r="N140" i="18" s="1"/>
  <c r="R140" i="18" s="1"/>
  <c r="P16" i="13"/>
  <c r="Q16" i="13" s="1"/>
  <c r="M138" i="18"/>
  <c r="N138" i="18" s="1"/>
  <c r="R138" i="18" s="1"/>
  <c r="P14" i="13"/>
  <c r="Q14" i="13" s="1"/>
  <c r="M136" i="18"/>
  <c r="N136" i="18" s="1"/>
  <c r="R136" i="18" s="1"/>
  <c r="P12" i="13"/>
  <c r="Q12" i="13" s="1"/>
  <c r="M134" i="18"/>
  <c r="O134" i="18" s="1"/>
  <c r="P134" i="18" s="1"/>
  <c r="P10" i="13"/>
  <c r="Q10" i="13" s="1"/>
  <c r="M148" i="18"/>
  <c r="P24" i="13"/>
  <c r="Q24" i="13" s="1"/>
  <c r="M151" i="18"/>
  <c r="O151" i="18" s="1"/>
  <c r="P151" i="18" s="1"/>
  <c r="P27" i="13"/>
  <c r="Q27" i="13" s="1"/>
  <c r="M149" i="18"/>
  <c r="N149" i="18" s="1"/>
  <c r="R149" i="18" s="1"/>
  <c r="P25" i="13"/>
  <c r="Q25" i="13" s="1"/>
  <c r="M147" i="18"/>
  <c r="N147" i="18" s="1"/>
  <c r="R147" i="18" s="1"/>
  <c r="P23" i="13"/>
  <c r="Q23" i="13" s="1"/>
  <c r="M143" i="18"/>
  <c r="N143" i="18" s="1"/>
  <c r="R143" i="18" s="1"/>
  <c r="P19" i="13"/>
  <c r="Q19" i="13" s="1"/>
  <c r="M141" i="18"/>
  <c r="N141" i="18" s="1"/>
  <c r="R141" i="18" s="1"/>
  <c r="P17" i="13"/>
  <c r="Q17" i="13" s="1"/>
  <c r="M139" i="18"/>
  <c r="N139" i="18" s="1"/>
  <c r="R139" i="18" s="1"/>
  <c r="P15" i="13"/>
  <c r="Q15" i="13" s="1"/>
  <c r="M137" i="18"/>
  <c r="N137" i="18" s="1"/>
  <c r="R137" i="18" s="1"/>
  <c r="P13" i="13"/>
  <c r="Q13" i="13" s="1"/>
  <c r="M135" i="18"/>
  <c r="N135" i="18" s="1"/>
  <c r="R135" i="18" s="1"/>
  <c r="P11" i="13"/>
  <c r="Q11" i="13" s="1"/>
  <c r="M133" i="18"/>
  <c r="N133" i="18" s="1"/>
  <c r="R133" i="18" s="1"/>
  <c r="P9" i="13"/>
  <c r="Q9" i="13" s="1"/>
  <c r="O144" i="18"/>
  <c r="P144" i="18" s="1"/>
  <c r="Q144" i="18" s="1"/>
  <c r="N189" i="18"/>
  <c r="R189" i="18" s="1"/>
  <c r="O189" i="18"/>
  <c r="P189" i="18" s="1"/>
  <c r="O157" i="18"/>
  <c r="P157" i="18" s="1"/>
  <c r="Q157" i="18" s="1"/>
  <c r="N157" i="18"/>
  <c r="R157" i="18" s="1"/>
  <c r="O159" i="18"/>
  <c r="P159" i="18" s="1"/>
  <c r="N159" i="18"/>
  <c r="R159" i="18" s="1"/>
  <c r="O161" i="18"/>
  <c r="P161" i="18" s="1"/>
  <c r="N161" i="18"/>
  <c r="R161" i="18" s="1"/>
  <c r="O165" i="18"/>
  <c r="P165" i="18" s="1"/>
  <c r="N165" i="18"/>
  <c r="R165" i="18" s="1"/>
  <c r="O167" i="18"/>
  <c r="P167" i="18" s="1"/>
  <c r="N167" i="18"/>
  <c r="R167" i="18" s="1"/>
  <c r="O169" i="18"/>
  <c r="P169" i="18" s="1"/>
  <c r="N169" i="18"/>
  <c r="R169" i="18" s="1"/>
  <c r="O173" i="18"/>
  <c r="P173" i="18" s="1"/>
  <c r="N173" i="18"/>
  <c r="R173" i="18" s="1"/>
  <c r="O175" i="18"/>
  <c r="P175" i="18" s="1"/>
  <c r="Q175" i="18" s="1"/>
  <c r="N175" i="18"/>
  <c r="R175" i="18" s="1"/>
  <c r="O177" i="18"/>
  <c r="P177" i="18" s="1"/>
  <c r="Q177" i="18" s="1"/>
  <c r="N177" i="18"/>
  <c r="R177" i="18" s="1"/>
  <c r="O181" i="18"/>
  <c r="P181" i="18" s="1"/>
  <c r="Q181" i="18" s="1"/>
  <c r="N181" i="18"/>
  <c r="R181" i="18" s="1"/>
  <c r="O183" i="18"/>
  <c r="P183" i="18" s="1"/>
  <c r="Q183" i="18" s="1"/>
  <c r="N183" i="18"/>
  <c r="R183" i="18" s="1"/>
  <c r="O158" i="18"/>
  <c r="P158" i="18" s="1"/>
  <c r="N158" i="18"/>
  <c r="R158" i="18" s="1"/>
  <c r="O160" i="18"/>
  <c r="P160" i="18" s="1"/>
  <c r="Q160" i="18" s="1"/>
  <c r="N160" i="18"/>
  <c r="R160" i="18" s="1"/>
  <c r="N162" i="18"/>
  <c r="R162" i="18" s="1"/>
  <c r="O162" i="18"/>
  <c r="P162" i="18" s="1"/>
  <c r="O164" i="18"/>
  <c r="P164" i="18" s="1"/>
  <c r="N164" i="18"/>
  <c r="R164" i="18" s="1"/>
  <c r="O166" i="18"/>
  <c r="P166" i="18" s="1"/>
  <c r="N166" i="18"/>
  <c r="R166" i="18" s="1"/>
  <c r="O168" i="18"/>
  <c r="P168" i="18" s="1"/>
  <c r="N168" i="18"/>
  <c r="R168" i="18" s="1"/>
  <c r="N170" i="18"/>
  <c r="R170" i="18" s="1"/>
  <c r="O170" i="18"/>
  <c r="P170" i="18" s="1"/>
  <c r="N172" i="18"/>
  <c r="R172" i="18" s="1"/>
  <c r="O172" i="18"/>
  <c r="P172" i="18" s="1"/>
  <c r="Q172" i="18" s="1"/>
  <c r="O174" i="18"/>
  <c r="P174" i="18" s="1"/>
  <c r="Q174" i="18" s="1"/>
  <c r="N174" i="18"/>
  <c r="R174" i="18" s="1"/>
  <c r="O176" i="18"/>
  <c r="P176" i="18" s="1"/>
  <c r="Q176" i="18" s="1"/>
  <c r="N176" i="18"/>
  <c r="R176" i="18" s="1"/>
  <c r="N178" i="18"/>
  <c r="R178" i="18" s="1"/>
  <c r="O178" i="18"/>
  <c r="P178" i="18" s="1"/>
  <c r="N180" i="18"/>
  <c r="R180" i="18" s="1"/>
  <c r="O180" i="18"/>
  <c r="P180" i="18" s="1"/>
  <c r="Q180" i="18" s="1"/>
  <c r="N182" i="18"/>
  <c r="R182" i="18" s="1"/>
  <c r="O182" i="18"/>
  <c r="P182" i="18" s="1"/>
  <c r="Q182" i="18" s="1"/>
  <c r="O184" i="18"/>
  <c r="P184" i="18" s="1"/>
  <c r="Q184" i="18" s="1"/>
  <c r="N184" i="18"/>
  <c r="R184" i="18" s="1"/>
  <c r="M242" i="18"/>
  <c r="M253" i="18" s="1"/>
  <c r="O156" i="18"/>
  <c r="P156" i="18" s="1"/>
  <c r="Q156" i="18" s="1"/>
  <c r="N156" i="18"/>
  <c r="R156" i="18" s="1"/>
  <c r="Q46" i="14"/>
  <c r="P46" i="14"/>
  <c r="O8" i="14"/>
  <c r="O46" i="14" s="1"/>
  <c r="N46" i="14"/>
  <c r="L31" i="13"/>
  <c r="N10" i="13"/>
  <c r="O10" i="13" s="1"/>
  <c r="M8" i="13"/>
  <c r="X31" i="13"/>
  <c r="N16" i="13"/>
  <c r="O16" i="13" s="1"/>
  <c r="N14" i="13"/>
  <c r="O14" i="13" s="1"/>
  <c r="N12" i="13"/>
  <c r="O12" i="13" s="1"/>
  <c r="N26" i="13"/>
  <c r="O26" i="13" s="1"/>
  <c r="N24" i="13"/>
  <c r="O24" i="13" s="1"/>
  <c r="N22" i="13"/>
  <c r="O22" i="13" s="1"/>
  <c r="N20" i="13"/>
  <c r="O20" i="13" s="1"/>
  <c r="N18" i="13"/>
  <c r="O18" i="13" s="1"/>
  <c r="N29" i="13"/>
  <c r="O29" i="13" s="1"/>
  <c r="N30" i="13"/>
  <c r="O30" i="13" s="1"/>
  <c r="N27" i="13"/>
  <c r="O27" i="13" s="1"/>
  <c r="N25" i="13"/>
  <c r="O25" i="13" s="1"/>
  <c r="N23" i="13"/>
  <c r="O23" i="13" s="1"/>
  <c r="N21" i="13"/>
  <c r="O21" i="13" s="1"/>
  <c r="N19" i="13"/>
  <c r="O19" i="13" s="1"/>
  <c r="N17" i="13"/>
  <c r="O17" i="13" s="1"/>
  <c r="N15" i="13"/>
  <c r="O15" i="13" s="1"/>
  <c r="N13" i="13"/>
  <c r="O13" i="13" s="1"/>
  <c r="N11" i="13"/>
  <c r="O11" i="13" s="1"/>
  <c r="N9" i="13"/>
  <c r="O9" i="13" s="1"/>
  <c r="N28" i="13"/>
  <c r="O28" i="13" s="1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J28" i="12"/>
  <c r="I28" i="12"/>
  <c r="H28" i="12"/>
  <c r="X10" i="12"/>
  <c r="W10" i="12" s="1"/>
  <c r="M10" i="12" s="1"/>
  <c r="X11" i="12"/>
  <c r="W11" i="12" s="1"/>
  <c r="M11" i="12" s="1"/>
  <c r="X12" i="12"/>
  <c r="W12" i="12" s="1"/>
  <c r="M12" i="12" s="1"/>
  <c r="M116" i="18" s="1"/>
  <c r="X13" i="12"/>
  <c r="W13" i="12" s="1"/>
  <c r="M13" i="12" s="1"/>
  <c r="X14" i="12"/>
  <c r="W14" i="12" s="1"/>
  <c r="M14" i="12" s="1"/>
  <c r="X17" i="12"/>
  <c r="W17" i="12" s="1"/>
  <c r="M17" i="12" s="1"/>
  <c r="X18" i="12"/>
  <c r="W18" i="12" s="1"/>
  <c r="M18" i="12" s="1"/>
  <c r="M121" i="18" s="1"/>
  <c r="X19" i="12"/>
  <c r="W19" i="12" s="1"/>
  <c r="M19" i="12" s="1"/>
  <c r="M123" i="18" s="1"/>
  <c r="X20" i="12"/>
  <c r="W20" i="12" s="1"/>
  <c r="M20" i="12" s="1"/>
  <c r="P20" i="12" s="1"/>
  <c r="Q20" i="12" s="1"/>
  <c r="X21" i="12"/>
  <c r="W21" i="12" s="1"/>
  <c r="M21" i="12" s="1"/>
  <c r="P21" i="12" s="1"/>
  <c r="Q21" i="12" s="1"/>
  <c r="X22" i="12"/>
  <c r="W22" i="12" s="1"/>
  <c r="M22" i="12" s="1"/>
  <c r="M125" i="18" s="1"/>
  <c r="X23" i="12"/>
  <c r="W23" i="12" s="1"/>
  <c r="M23" i="12" s="1"/>
  <c r="K70" i="20" s="1"/>
  <c r="X24" i="12"/>
  <c r="W24" i="12" s="1"/>
  <c r="M24" i="12" s="1"/>
  <c r="K81" i="20" s="1"/>
  <c r="X25" i="12"/>
  <c r="W25" i="12" s="1"/>
  <c r="M25" i="12" s="1"/>
  <c r="X26" i="12"/>
  <c r="W26" i="12" s="1"/>
  <c r="M26" i="12" s="1"/>
  <c r="X27" i="12"/>
  <c r="W27" i="12" s="1"/>
  <c r="M27" i="12" s="1"/>
  <c r="P27" i="12" s="1"/>
  <c r="Q27" i="12" s="1"/>
  <c r="X9" i="12"/>
  <c r="W9" i="12" s="1"/>
  <c r="M9" i="12" s="1"/>
  <c r="P9" i="12" s="1"/>
  <c r="L10" i="12"/>
  <c r="L11" i="12"/>
  <c r="L12" i="12"/>
  <c r="L13" i="12"/>
  <c r="L14" i="12"/>
  <c r="L17" i="12"/>
  <c r="L18" i="12"/>
  <c r="L19" i="12"/>
  <c r="L20" i="12"/>
  <c r="L21" i="12"/>
  <c r="L22" i="12"/>
  <c r="L23" i="12"/>
  <c r="L24" i="12"/>
  <c r="L25" i="12"/>
  <c r="L26" i="12"/>
  <c r="L27" i="12"/>
  <c r="L9" i="12"/>
  <c r="N148" i="18" l="1"/>
  <c r="M252" i="18"/>
  <c r="Q173" i="18"/>
  <c r="K75" i="20"/>
  <c r="M129" i="18"/>
  <c r="O123" i="18"/>
  <c r="P123" i="18" s="1"/>
  <c r="N123" i="18"/>
  <c r="R123" i="18" s="1"/>
  <c r="O145" i="18"/>
  <c r="P145" i="18" s="1"/>
  <c r="N145" i="18"/>
  <c r="R145" i="18" s="1"/>
  <c r="P243" i="18"/>
  <c r="P255" i="18" s="1"/>
  <c r="Q168" i="18"/>
  <c r="Q166" i="18"/>
  <c r="Q164" i="18"/>
  <c r="Q158" i="18"/>
  <c r="Q169" i="18"/>
  <c r="Q167" i="18"/>
  <c r="Q165" i="18"/>
  <c r="Q161" i="18"/>
  <c r="Q159" i="18"/>
  <c r="Q178" i="18"/>
  <c r="Q170" i="18"/>
  <c r="Q162" i="18"/>
  <c r="Q189" i="18"/>
  <c r="N142" i="18"/>
  <c r="R142" i="18" s="1"/>
  <c r="O138" i="18"/>
  <c r="P138" i="18" s="1"/>
  <c r="Q138" i="18" s="1"/>
  <c r="N150" i="18"/>
  <c r="R150" i="18" s="1"/>
  <c r="O141" i="18"/>
  <c r="P141" i="18" s="1"/>
  <c r="Q141" i="18" s="1"/>
  <c r="N134" i="18"/>
  <c r="R134" i="18" s="1"/>
  <c r="O137" i="18"/>
  <c r="P137" i="18" s="1"/>
  <c r="Q137" i="18" s="1"/>
  <c r="O147" i="18"/>
  <c r="P147" i="18" s="1"/>
  <c r="Q147" i="18" s="1"/>
  <c r="O133" i="18"/>
  <c r="P133" i="18" s="1"/>
  <c r="Q133" i="18" s="1"/>
  <c r="O136" i="18"/>
  <c r="P136" i="18" s="1"/>
  <c r="Q136" i="18" s="1"/>
  <c r="O140" i="18"/>
  <c r="P140" i="18" s="1"/>
  <c r="Q140" i="18" s="1"/>
  <c r="O148" i="18"/>
  <c r="N151" i="18"/>
  <c r="R151" i="18" s="1"/>
  <c r="O135" i="18"/>
  <c r="P135" i="18" s="1"/>
  <c r="Q135" i="18" s="1"/>
  <c r="O139" i="18"/>
  <c r="P139" i="18" s="1"/>
  <c r="Q139" i="18" s="1"/>
  <c r="O143" i="18"/>
  <c r="P143" i="18" s="1"/>
  <c r="Q143" i="18" s="1"/>
  <c r="O149" i="18"/>
  <c r="P149" i="18" s="1"/>
  <c r="Q149" i="18" s="1"/>
  <c r="N8" i="13"/>
  <c r="N31" i="13" s="1"/>
  <c r="P8" i="13"/>
  <c r="O242" i="18"/>
  <c r="O253" i="18" s="1"/>
  <c r="N242" i="18"/>
  <c r="N253" i="18" s="1"/>
  <c r="M31" i="13"/>
  <c r="M132" i="18"/>
  <c r="Q9" i="12"/>
  <c r="M113" i="18"/>
  <c r="P25" i="12"/>
  <c r="Q25" i="12" s="1"/>
  <c r="M128" i="18"/>
  <c r="P23" i="12"/>
  <c r="Q23" i="12" s="1"/>
  <c r="P19" i="12"/>
  <c r="Q19" i="12" s="1"/>
  <c r="M122" i="18"/>
  <c r="P17" i="12"/>
  <c r="Q17" i="12" s="1"/>
  <c r="M120" i="18"/>
  <c r="P13" i="12"/>
  <c r="Q13" i="12" s="1"/>
  <c r="M117" i="18"/>
  <c r="P11" i="12"/>
  <c r="Q11" i="12" s="1"/>
  <c r="M115" i="18"/>
  <c r="P24" i="12"/>
  <c r="Q24" i="12" s="1"/>
  <c r="M127" i="18"/>
  <c r="M250" i="18" s="1"/>
  <c r="O125" i="18"/>
  <c r="P125" i="18" s="1"/>
  <c r="N125" i="18"/>
  <c r="R125" i="18" s="1"/>
  <c r="O121" i="18"/>
  <c r="P121" i="18" s="1"/>
  <c r="N121" i="18"/>
  <c r="R121" i="18" s="1"/>
  <c r="P14" i="12"/>
  <c r="Q14" i="12" s="1"/>
  <c r="M118" i="18"/>
  <c r="O116" i="18"/>
  <c r="P116" i="18" s="1"/>
  <c r="N116" i="18"/>
  <c r="R116" i="18" s="1"/>
  <c r="P10" i="12"/>
  <c r="Q10" i="12" s="1"/>
  <c r="M114" i="18"/>
  <c r="O8" i="13"/>
  <c r="O31" i="13" s="1"/>
  <c r="L28" i="12"/>
  <c r="X28" i="12"/>
  <c r="W28" i="12"/>
  <c r="M28" i="12"/>
  <c r="N9" i="12"/>
  <c r="O9" i="12" s="1"/>
  <c r="N24" i="12"/>
  <c r="O24" i="12" s="1"/>
  <c r="N20" i="12"/>
  <c r="O20" i="12" s="1"/>
  <c r="N14" i="12"/>
  <c r="O14" i="12" s="1"/>
  <c r="N10" i="12"/>
  <c r="O10" i="12" s="1"/>
  <c r="P26" i="12"/>
  <c r="Q26" i="12" s="1"/>
  <c r="P22" i="12"/>
  <c r="Q22" i="12" s="1"/>
  <c r="P18" i="12"/>
  <c r="Q18" i="12" s="1"/>
  <c r="P12" i="12"/>
  <c r="Q12" i="12" s="1"/>
  <c r="N26" i="12"/>
  <c r="O26" i="12" s="1"/>
  <c r="N22" i="12"/>
  <c r="O22" i="12" s="1"/>
  <c r="N18" i="12"/>
  <c r="O18" i="12" s="1"/>
  <c r="N12" i="12"/>
  <c r="O12" i="12" s="1"/>
  <c r="N27" i="12"/>
  <c r="O27" i="12" s="1"/>
  <c r="N25" i="12"/>
  <c r="O25" i="12" s="1"/>
  <c r="N23" i="12"/>
  <c r="O23" i="12" s="1"/>
  <c r="N21" i="12"/>
  <c r="O21" i="12" s="1"/>
  <c r="N19" i="12"/>
  <c r="O19" i="12" s="1"/>
  <c r="N17" i="12"/>
  <c r="O17" i="12" s="1"/>
  <c r="N13" i="12"/>
  <c r="O13" i="12" s="1"/>
  <c r="N11" i="12"/>
  <c r="O11" i="12" s="1"/>
  <c r="P148" i="18" l="1"/>
  <c r="O252" i="18"/>
  <c r="R148" i="18"/>
  <c r="N252" i="18"/>
  <c r="M235" i="18"/>
  <c r="O129" i="18"/>
  <c r="P129" i="18" s="1"/>
  <c r="N129" i="18"/>
  <c r="R129" i="18" s="1"/>
  <c r="Q123" i="18"/>
  <c r="Q145" i="18"/>
  <c r="Q116" i="18"/>
  <c r="Q121" i="18"/>
  <c r="Q125" i="18"/>
  <c r="Q151" i="18"/>
  <c r="Q134" i="18"/>
  <c r="P31" i="13"/>
  <c r="Q8" i="13"/>
  <c r="Q31" i="13" s="1"/>
  <c r="P242" i="18"/>
  <c r="P253" i="18" s="1"/>
  <c r="N132" i="18"/>
  <c r="O132" i="18"/>
  <c r="P132" i="18" s="1"/>
  <c r="M241" i="18"/>
  <c r="M251" i="18" s="1"/>
  <c r="O28" i="12"/>
  <c r="O114" i="18"/>
  <c r="P114" i="18" s="1"/>
  <c r="Q114" i="18" s="1"/>
  <c r="N114" i="18"/>
  <c r="R114" i="18" s="1"/>
  <c r="O118" i="18"/>
  <c r="P118" i="18" s="1"/>
  <c r="N118" i="18"/>
  <c r="R118" i="18" s="1"/>
  <c r="O127" i="18"/>
  <c r="N127" i="18"/>
  <c r="O115" i="18"/>
  <c r="P115" i="18" s="1"/>
  <c r="Q115" i="18" s="1"/>
  <c r="N115" i="18"/>
  <c r="R115" i="18" s="1"/>
  <c r="N117" i="18"/>
  <c r="R117" i="18" s="1"/>
  <c r="O117" i="18"/>
  <c r="P117" i="18" s="1"/>
  <c r="O120" i="18"/>
  <c r="P120" i="18" s="1"/>
  <c r="N120" i="18"/>
  <c r="R120" i="18" s="1"/>
  <c r="N122" i="18"/>
  <c r="R122" i="18" s="1"/>
  <c r="O122" i="18"/>
  <c r="P122" i="18" s="1"/>
  <c r="O128" i="18"/>
  <c r="P128" i="18" s="1"/>
  <c r="N128" i="18"/>
  <c r="R128" i="18" s="1"/>
  <c r="M240" i="18"/>
  <c r="N113" i="18"/>
  <c r="R113" i="18" s="1"/>
  <c r="O113" i="18"/>
  <c r="P113" i="18" s="1"/>
  <c r="Q28" i="12"/>
  <c r="R127" i="18" l="1"/>
  <c r="N250" i="18"/>
  <c r="M244" i="18"/>
  <c r="M249" i="18"/>
  <c r="M257" i="18" s="1"/>
  <c r="M259" i="18" s="1"/>
  <c r="P127" i="18"/>
  <c r="P250" i="18" s="1"/>
  <c r="O250" i="18"/>
  <c r="Q148" i="18"/>
  <c r="P252" i="18"/>
  <c r="Q128" i="18"/>
  <c r="Q113" i="18"/>
  <c r="P235" i="18"/>
  <c r="N235" i="18"/>
  <c r="Q118" i="18"/>
  <c r="Q129" i="18"/>
  <c r="Q127" i="18"/>
  <c r="Q120" i="18"/>
  <c r="N241" i="18"/>
  <c r="N251" i="18" s="1"/>
  <c r="R132" i="18"/>
  <c r="R235" i="18" s="1"/>
  <c r="Q122" i="18"/>
  <c r="Q117" i="18"/>
  <c r="O241" i="18"/>
  <c r="O251" i="18" s="1"/>
  <c r="Q132" i="18"/>
  <c r="P241" i="18"/>
  <c r="P251" i="18" s="1"/>
  <c r="N240" i="18"/>
  <c r="N249" i="18" s="1"/>
  <c r="O240" i="18"/>
  <c r="Q34" i="3"/>
  <c r="N257" i="18" l="1"/>
  <c r="N259" i="18" s="1"/>
  <c r="O244" i="18"/>
  <c r="O249" i="18"/>
  <c r="O257" i="18" s="1"/>
  <c r="O259" i="18" s="1"/>
  <c r="N244" i="18"/>
  <c r="Q235" i="18"/>
  <c r="P240" i="18"/>
  <c r="Q85" i="3"/>
  <c r="P85" i="3"/>
  <c r="P86" i="3"/>
  <c r="R86" i="3" s="1"/>
  <c r="P87" i="3"/>
  <c r="R87" i="3" s="1"/>
  <c r="P88" i="3"/>
  <c r="R88" i="3" s="1"/>
  <c r="P89" i="3"/>
  <c r="R89" i="3" s="1"/>
  <c r="P90" i="3"/>
  <c r="R90" i="3" s="1"/>
  <c r="P84" i="3"/>
  <c r="I85" i="3"/>
  <c r="P244" i="18" l="1"/>
  <c r="P249" i="18"/>
  <c r="P257" i="18" s="1"/>
  <c r="P259" i="18" s="1"/>
  <c r="R85" i="3"/>
  <c r="Q84" i="3"/>
  <c r="Q83" i="3"/>
  <c r="Q82" i="3"/>
  <c r="Q46" i="3" l="1"/>
  <c r="Q45" i="3"/>
  <c r="Q20" i="3"/>
  <c r="Q51" i="3" l="1"/>
  <c r="Q64" i="3" l="1"/>
  <c r="Q30" i="3"/>
  <c r="Q35" i="3" l="1"/>
  <c r="Q24" i="3" l="1"/>
  <c r="V65" i="3" l="1"/>
  <c r="P65" i="3"/>
  <c r="P66" i="3"/>
  <c r="N64" i="3"/>
  <c r="P64" i="3" s="1"/>
  <c r="R66" i="3"/>
  <c r="I67" i="3"/>
  <c r="R67" i="3"/>
  <c r="G64" i="3"/>
  <c r="V64" i="3" l="1"/>
  <c r="J64" i="3" l="1"/>
  <c r="R64" i="3" l="1"/>
  <c r="R65" i="3"/>
  <c r="R68" i="3"/>
  <c r="R69" i="3"/>
  <c r="R70" i="3"/>
  <c r="R71" i="3"/>
  <c r="R72" i="3"/>
  <c r="R73" i="3"/>
  <c r="R74" i="3"/>
  <c r="V62" i="3"/>
  <c r="P62" i="3"/>
  <c r="R62" i="3" s="1"/>
  <c r="P63" i="3"/>
  <c r="R63" i="3" s="1"/>
  <c r="N61" i="3"/>
  <c r="P61" i="3" s="1"/>
  <c r="G61" i="3"/>
  <c r="Q59" i="3"/>
  <c r="Q52" i="3"/>
  <c r="Q44" i="3"/>
  <c r="Q42" i="3"/>
  <c r="Q29" i="3"/>
  <c r="Q28" i="3"/>
  <c r="Q18" i="3"/>
  <c r="Q19" i="3"/>
  <c r="V66" i="3" l="1"/>
  <c r="R61" i="3"/>
  <c r="V63" i="3" s="1"/>
  <c r="V61" i="3"/>
  <c r="Q8" i="3" l="1"/>
  <c r="Q32" i="3" l="1"/>
  <c r="Q31" i="3"/>
  <c r="Q58" i="3" l="1"/>
  <c r="Q41" i="3"/>
  <c r="Q27" i="3"/>
  <c r="V18" i="3"/>
  <c r="J99" i="3" l="1"/>
  <c r="J98" i="3"/>
  <c r="J97" i="3"/>
  <c r="J91" i="3"/>
  <c r="I91" i="3"/>
  <c r="U84" i="3"/>
  <c r="T84" i="3"/>
  <c r="R84" i="3"/>
  <c r="U83" i="3"/>
  <c r="T83" i="3"/>
  <c r="P83" i="3"/>
  <c r="R83" i="3" s="1"/>
  <c r="U82" i="3"/>
  <c r="T82" i="3"/>
  <c r="P82" i="3"/>
  <c r="R82" i="3" s="1"/>
  <c r="U81" i="3"/>
  <c r="T81" i="3"/>
  <c r="P81" i="3"/>
  <c r="R81" i="3" s="1"/>
  <c r="U80" i="3"/>
  <c r="T80" i="3"/>
  <c r="P80" i="3"/>
  <c r="R80" i="3" s="1"/>
  <c r="J80" i="3"/>
  <c r="I80" i="3"/>
  <c r="T30" i="3"/>
  <c r="P30" i="3"/>
  <c r="R30" i="3" s="1"/>
  <c r="T29" i="3"/>
  <c r="P29" i="3"/>
  <c r="R29" i="3" s="1"/>
  <c r="T28" i="3"/>
  <c r="P28" i="3"/>
  <c r="R28" i="3" s="1"/>
  <c r="T27" i="3"/>
  <c r="P27" i="3"/>
  <c r="R27" i="3" s="1"/>
  <c r="V26" i="3"/>
  <c r="T26" i="3"/>
  <c r="P26" i="3"/>
  <c r="R26" i="3" s="1"/>
  <c r="T25" i="3"/>
  <c r="P25" i="3"/>
  <c r="I25" i="3"/>
  <c r="T16" i="3"/>
  <c r="P16" i="3"/>
  <c r="R16" i="3" s="1"/>
  <c r="U16" i="3" s="1"/>
  <c r="T15" i="3"/>
  <c r="P15" i="3"/>
  <c r="R15" i="3" s="1"/>
  <c r="U15" i="3" s="1"/>
  <c r="T14" i="3"/>
  <c r="P14" i="3"/>
  <c r="R14" i="3" s="1"/>
  <c r="U14" i="3" s="1"/>
  <c r="T13" i="3"/>
  <c r="P13" i="3"/>
  <c r="R13" i="3" s="1"/>
  <c r="U13" i="3" s="1"/>
  <c r="T12" i="3"/>
  <c r="P12" i="3"/>
  <c r="R12" i="3" s="1"/>
  <c r="U12" i="3" s="1"/>
  <c r="T11" i="3"/>
  <c r="P11" i="3"/>
  <c r="R11" i="3" s="1"/>
  <c r="U11" i="3" s="1"/>
  <c r="P10" i="3"/>
  <c r="P9" i="3"/>
  <c r="R9" i="3" s="1"/>
  <c r="T9" i="3" s="1"/>
  <c r="P8" i="3"/>
  <c r="R8" i="3" s="1"/>
  <c r="I8" i="3"/>
  <c r="I71" i="3"/>
  <c r="P49" i="3"/>
  <c r="R49" i="3" s="1"/>
  <c r="P48" i="3"/>
  <c r="R48" i="3" s="1"/>
  <c r="P47" i="3"/>
  <c r="R47" i="3" s="1"/>
  <c r="V47" i="3"/>
  <c r="P46" i="3"/>
  <c r="I46" i="3"/>
  <c r="P42" i="3"/>
  <c r="R42" i="3" s="1"/>
  <c r="P41" i="3"/>
  <c r="R41" i="3" s="1"/>
  <c r="P40" i="3"/>
  <c r="R40" i="3" s="1"/>
  <c r="P39" i="3"/>
  <c r="R39" i="3" s="1"/>
  <c r="Q38" i="3"/>
  <c r="V38" i="3" s="1"/>
  <c r="P38" i="3"/>
  <c r="P37" i="3"/>
  <c r="R37" i="3" s="1"/>
  <c r="I37" i="3"/>
  <c r="I64" i="3"/>
  <c r="I61" i="3"/>
  <c r="T45" i="3"/>
  <c r="P45" i="3"/>
  <c r="R45" i="3" s="1"/>
  <c r="T44" i="3"/>
  <c r="P44" i="3"/>
  <c r="Q43" i="3"/>
  <c r="V44" i="3" s="1"/>
  <c r="P43" i="3"/>
  <c r="V43" i="3" s="1"/>
  <c r="I43" i="3"/>
  <c r="T24" i="3"/>
  <c r="P24" i="3"/>
  <c r="R24" i="3" s="1"/>
  <c r="T23" i="3"/>
  <c r="P23" i="3"/>
  <c r="R23" i="3" s="1"/>
  <c r="T22" i="3"/>
  <c r="P22" i="3"/>
  <c r="R22" i="3" s="1"/>
  <c r="Q21" i="3"/>
  <c r="V22" i="3" s="1"/>
  <c r="P21" i="3"/>
  <c r="V21" i="3" s="1"/>
  <c r="I21" i="3"/>
  <c r="P36" i="3"/>
  <c r="R36" i="3" s="1"/>
  <c r="P35" i="3"/>
  <c r="T35" i="3" s="1"/>
  <c r="I35" i="3"/>
  <c r="P60" i="3"/>
  <c r="R60" i="3" s="1"/>
  <c r="P59" i="3"/>
  <c r="P58" i="3"/>
  <c r="Q57" i="3"/>
  <c r="P57" i="3"/>
  <c r="Q56" i="3"/>
  <c r="V57" i="3" s="1"/>
  <c r="P56" i="3"/>
  <c r="P55" i="3"/>
  <c r="G55" i="3"/>
  <c r="I55" i="3" s="1"/>
  <c r="Q54" i="3"/>
  <c r="P54" i="3"/>
  <c r="Q53" i="3"/>
  <c r="P53" i="3"/>
  <c r="P52" i="3"/>
  <c r="R52" i="3" s="1"/>
  <c r="P51" i="3"/>
  <c r="P50" i="3"/>
  <c r="I50" i="3"/>
  <c r="T34" i="3"/>
  <c r="P34" i="3"/>
  <c r="R34" i="3" s="1"/>
  <c r="T33" i="3"/>
  <c r="P33" i="3"/>
  <c r="R33" i="3" s="1"/>
  <c r="V32" i="3"/>
  <c r="P32" i="3"/>
  <c r="T31" i="3"/>
  <c r="P31" i="3"/>
  <c r="V31" i="3" s="1"/>
  <c r="I31" i="3"/>
  <c r="T20" i="3"/>
  <c r="P20" i="3"/>
  <c r="R20" i="3" s="1"/>
  <c r="T19" i="3"/>
  <c r="P19" i="3"/>
  <c r="R19" i="3" s="1"/>
  <c r="T18" i="3"/>
  <c r="P18" i="3"/>
  <c r="R18" i="3" s="1"/>
  <c r="T17" i="3"/>
  <c r="S17" i="3"/>
  <c r="P17" i="3"/>
  <c r="I17" i="3"/>
  <c r="T8" i="3" l="1"/>
  <c r="U8" i="3"/>
  <c r="S8" i="3"/>
  <c r="R10" i="3"/>
  <c r="U10" i="3" s="1"/>
  <c r="V51" i="3"/>
  <c r="R53" i="3"/>
  <c r="R54" i="3"/>
  <c r="V25" i="3"/>
  <c r="R51" i="3"/>
  <c r="R32" i="3"/>
  <c r="R56" i="3"/>
  <c r="R57" i="3"/>
  <c r="R58" i="3"/>
  <c r="R59" i="3"/>
  <c r="R44" i="3"/>
  <c r="R38" i="3"/>
  <c r="V39" i="3" s="1"/>
  <c r="V50" i="3"/>
  <c r="V46" i="3"/>
  <c r="V56" i="3"/>
  <c r="R50" i="3"/>
  <c r="R17" i="3"/>
  <c r="V19" i="3" s="1"/>
  <c r="V17" i="3"/>
  <c r="T32" i="3"/>
  <c r="R35" i="3"/>
  <c r="V36" i="3" s="1"/>
  <c r="V35" i="3"/>
  <c r="T36" i="3"/>
  <c r="R21" i="3"/>
  <c r="V23" i="3" s="1"/>
  <c r="T43" i="3"/>
  <c r="V37" i="3"/>
  <c r="R46" i="3"/>
  <c r="V48" i="3" s="1"/>
  <c r="R25" i="3"/>
  <c r="V27" i="3" s="1"/>
  <c r="R31" i="3"/>
  <c r="S32" i="3"/>
  <c r="R55" i="3"/>
  <c r="T21" i="3"/>
  <c r="R43" i="3"/>
  <c r="T10" i="3" l="1"/>
  <c r="V52" i="3"/>
  <c r="V45" i="3"/>
  <c r="V58" i="3"/>
  <c r="V33" i="3"/>
  <c r="J17" i="3" l="1"/>
  <c r="J35" i="3"/>
  <c r="J37" i="3"/>
  <c r="J31" i="3"/>
  <c r="J21" i="3"/>
  <c r="J25" i="3"/>
  <c r="J55" i="3"/>
  <c r="J43" i="3"/>
  <c r="J50" i="3"/>
  <c r="J61" i="3"/>
  <c r="J46" i="3"/>
  <c r="U9" i="3" l="1"/>
</calcChain>
</file>

<file path=xl/sharedStrings.xml><?xml version="1.0" encoding="utf-8"?>
<sst xmlns="http://schemas.openxmlformats.org/spreadsheetml/2006/main" count="1845" uniqueCount="554">
  <si>
    <t>م</t>
  </si>
  <si>
    <t>الإسم</t>
  </si>
  <si>
    <t>الصفحة</t>
  </si>
  <si>
    <t>منحة 6شهور</t>
  </si>
  <si>
    <t>مقابل نقدي</t>
  </si>
  <si>
    <t>إجمالي المستحق</t>
  </si>
  <si>
    <t>المنصرف قبل الاستلام</t>
  </si>
  <si>
    <t>المتبقي</t>
  </si>
  <si>
    <t>المتبقي من المنحة</t>
  </si>
  <si>
    <t>رقم البطاقة</t>
  </si>
  <si>
    <t>المستلم عنه</t>
  </si>
  <si>
    <t>ملاحظات</t>
  </si>
  <si>
    <t>إجمالي الدفعات</t>
  </si>
  <si>
    <t>يصرف من المقابل النفدي قبل الاستلام</t>
  </si>
  <si>
    <t>هدى عبد الله حافظ</t>
  </si>
  <si>
    <t xml:space="preserve">عز حلمي محمد </t>
  </si>
  <si>
    <t>سعد عبد الرازق عبد الحليم</t>
  </si>
  <si>
    <t>محمود إبراهيم صالح</t>
  </si>
  <si>
    <t>محمد أحمد يوسف</t>
  </si>
  <si>
    <t>جمال محمد علي درة</t>
  </si>
  <si>
    <t>سعيد صادق سيد</t>
  </si>
  <si>
    <t>عبد الفتاح سلامة عبد السيد</t>
  </si>
  <si>
    <t>محمد أبو العزم علي</t>
  </si>
  <si>
    <t>محمد عبد الكريم إمام</t>
  </si>
  <si>
    <t>رضا صالح عبد الله</t>
  </si>
  <si>
    <t>سيف الدين محمد مختار</t>
  </si>
  <si>
    <t>محمد إبراهيم علي البربري</t>
  </si>
  <si>
    <t>سعيد عبد المنعم عبد الحميد</t>
  </si>
  <si>
    <t>محمود مصطفى السيد</t>
  </si>
  <si>
    <t>أحمد خليل إبراهيم</t>
  </si>
  <si>
    <t>أشرف بلال سالم</t>
  </si>
  <si>
    <t>رأفت أنيس عبد النور</t>
  </si>
  <si>
    <t>موافقة القانونية على المقابل النقدي</t>
  </si>
  <si>
    <t>يحيى محمد حسن بدير</t>
  </si>
  <si>
    <t>مصطفى حسين مصطفى</t>
  </si>
  <si>
    <t>11 و</t>
  </si>
  <si>
    <t>وارث / كريم مصطفى</t>
  </si>
  <si>
    <t>فايز محمود أحمد</t>
  </si>
  <si>
    <t>أحمد طه عواد قرطام</t>
  </si>
  <si>
    <t>عبد الهادي محمود فرج</t>
  </si>
  <si>
    <t>كمال محمدي شوشة</t>
  </si>
  <si>
    <t>و 5</t>
  </si>
  <si>
    <t>إسلام كمال محمدي شوشة</t>
  </si>
  <si>
    <t>إبراهيم بلال سالم</t>
  </si>
  <si>
    <t>محمد عبد العزيز عبد ربه</t>
  </si>
  <si>
    <t xml:space="preserve">كمال محمد سعيد </t>
  </si>
  <si>
    <t>و 3</t>
  </si>
  <si>
    <t>عواطف أحمد محمد (أرملة)</t>
  </si>
  <si>
    <t>رضا أحمد عزب</t>
  </si>
  <si>
    <t>سيد فتح الله محمد</t>
  </si>
  <si>
    <t>عيد عبد الحكيم السيد</t>
  </si>
  <si>
    <t>عبد العال إبراهيم سيد</t>
  </si>
  <si>
    <t>صلاح عبد الحليم</t>
  </si>
  <si>
    <t>إبراهيم محمد إبراهيم</t>
  </si>
  <si>
    <t>فايز عبد السلام عبد العال</t>
  </si>
  <si>
    <t>رضا حلمي علام</t>
  </si>
  <si>
    <t>راوية محمد نور الدين</t>
  </si>
  <si>
    <t>نجاح عباس إبراهيم</t>
  </si>
  <si>
    <t>عزة محمد مختار</t>
  </si>
  <si>
    <t>أمال علي عبد المجيد</t>
  </si>
  <si>
    <t>رضا رمضان مصطفى</t>
  </si>
  <si>
    <t xml:space="preserve">توكيل / نعمة  </t>
  </si>
  <si>
    <t xml:space="preserve"> (تم صرف 6/2021)</t>
  </si>
  <si>
    <t>إيناس أحمد علي الطويل</t>
  </si>
  <si>
    <t>إيناس محمد فتحي</t>
  </si>
  <si>
    <t>ناهد محمد طايع</t>
  </si>
  <si>
    <t>صباح محمد كمال</t>
  </si>
  <si>
    <t>ماجدة أحمد عبد الرحمن</t>
  </si>
  <si>
    <t>صفاء محمود محمد خاطر</t>
  </si>
  <si>
    <t>طارق إبراهيم فتحي</t>
  </si>
  <si>
    <t>محمد عبد العزيز حسين طبل</t>
  </si>
  <si>
    <t>سمير حسن رشوان</t>
  </si>
  <si>
    <t>الورثة وحالات الوفاة :</t>
  </si>
  <si>
    <t>عصام أحمد عبد الله خفاجي</t>
  </si>
  <si>
    <t>2 و</t>
  </si>
  <si>
    <t>أرملة / نجلاء فكري إسماعيل</t>
  </si>
  <si>
    <t>مشحوت فتحي البندار</t>
  </si>
  <si>
    <t>6 و</t>
  </si>
  <si>
    <t>محمد مشحوت (وارث)</t>
  </si>
  <si>
    <t>ياسين مكرم ياسين</t>
  </si>
  <si>
    <t>15 و</t>
  </si>
  <si>
    <t>إيمان ياسين وارث(بنت)</t>
  </si>
  <si>
    <t>بكر محمد عباس</t>
  </si>
  <si>
    <t>14 و</t>
  </si>
  <si>
    <t>وارث / اسلام بكر محمد عباس</t>
  </si>
  <si>
    <t>مجدة إبراهيم حافظ</t>
  </si>
  <si>
    <t>7 و</t>
  </si>
  <si>
    <t>وارث / تامر طه إبراهيم</t>
  </si>
  <si>
    <t>رضا محمد زين الدين</t>
  </si>
  <si>
    <t>و 4</t>
  </si>
  <si>
    <t>وارث / ومضان محمد زين الدين</t>
  </si>
  <si>
    <t>عماد الدين أحمد عبد الرازق</t>
  </si>
  <si>
    <t>10 و</t>
  </si>
  <si>
    <t>محمد حسين محمد أحمد</t>
  </si>
  <si>
    <t>12و</t>
  </si>
  <si>
    <t>عبير رمضان بدر</t>
  </si>
  <si>
    <t>محمد السيد شمس</t>
  </si>
  <si>
    <t>1 و</t>
  </si>
  <si>
    <t>أرملة / هناء محمد شحاتة السيد</t>
  </si>
  <si>
    <t>الاسم</t>
  </si>
  <si>
    <t>صفحة وفيات</t>
  </si>
  <si>
    <t>المبلغ</t>
  </si>
  <si>
    <t>ما تم صرفه</t>
  </si>
  <si>
    <t xml:space="preserve">الوارث </t>
  </si>
  <si>
    <t>درجة الوارث</t>
  </si>
  <si>
    <t>مبلغ الوارث</t>
  </si>
  <si>
    <t xml:space="preserve">المنصرف </t>
  </si>
  <si>
    <t>إجالي المتبقي</t>
  </si>
  <si>
    <t>منحة 3 شهور</t>
  </si>
  <si>
    <t>المنحة وغيرها</t>
  </si>
  <si>
    <t>رصيد أجازلت</t>
  </si>
  <si>
    <t>منحة 3شهور</t>
  </si>
  <si>
    <t>المنح وغيرها</t>
  </si>
  <si>
    <t>المقابل النقدي</t>
  </si>
  <si>
    <t>منحة 3 ش</t>
  </si>
  <si>
    <t>منحة وغيرها</t>
  </si>
  <si>
    <t>رصيد أجازات</t>
  </si>
  <si>
    <t>عصام خفاجى</t>
  </si>
  <si>
    <t>نجلاء فكري</t>
  </si>
  <si>
    <t>زوجة</t>
  </si>
  <si>
    <t>إسراء عصام</t>
  </si>
  <si>
    <t>ابنة</t>
  </si>
  <si>
    <t>روان عصام</t>
  </si>
  <si>
    <t>أحمد عصام</t>
  </si>
  <si>
    <t>ابن</t>
  </si>
  <si>
    <t>سنية إبراهيم</t>
  </si>
  <si>
    <t>أم</t>
  </si>
  <si>
    <t>المستحق</t>
  </si>
  <si>
    <t>حميدة عبد الخالق</t>
  </si>
  <si>
    <t>المنصرف</t>
  </si>
  <si>
    <t>محمد مشحوت</t>
  </si>
  <si>
    <t>ناهد مشحوت</t>
  </si>
  <si>
    <t>سهير محمد عبد الحميد</t>
  </si>
  <si>
    <t>محمد بكر</t>
  </si>
  <si>
    <t>إسلام بكر</t>
  </si>
  <si>
    <t>أحمد بكر</t>
  </si>
  <si>
    <t>مروة بكر</t>
  </si>
  <si>
    <t>سعاد فهمي محمد</t>
  </si>
  <si>
    <t>هدى سعيد إبراهيم</t>
  </si>
  <si>
    <t>أية ياسين</t>
  </si>
  <si>
    <t>ميار ياسين</t>
  </si>
  <si>
    <t>إيمان ياسين</t>
  </si>
  <si>
    <t>ياسر مكرم ياسين</t>
  </si>
  <si>
    <t>أخ</t>
  </si>
  <si>
    <t>مجدة ابراهيم حافظ</t>
  </si>
  <si>
    <t>تامر طه إبراهيم</t>
  </si>
  <si>
    <t>شيماء طه إبراهيم</t>
  </si>
  <si>
    <t>رضا زين الدين</t>
  </si>
  <si>
    <t>أماني عبد الفتاح محمد</t>
  </si>
  <si>
    <t>إسلام رضا محمد</t>
  </si>
  <si>
    <t>رحاب رضا محمد</t>
  </si>
  <si>
    <t>أحمد رضا محمد</t>
  </si>
  <si>
    <t>ابن (قاصر)</t>
  </si>
  <si>
    <t>صفيناز عبد العزيز مصطفى</t>
  </si>
  <si>
    <t>أية مصطفى</t>
  </si>
  <si>
    <t>كريم مصطفى</t>
  </si>
  <si>
    <t>سهير نسيم أحمد حافظ</t>
  </si>
  <si>
    <t>أحمد عماد الدين</t>
  </si>
  <si>
    <t>حسن عماد الدين</t>
  </si>
  <si>
    <t>حسين عماد</t>
  </si>
  <si>
    <t>هند عماد</t>
  </si>
  <si>
    <t>ندا عماد</t>
  </si>
  <si>
    <t xml:space="preserve">المستحق </t>
  </si>
  <si>
    <t>رمضان محمد</t>
  </si>
  <si>
    <t>ملك محمد</t>
  </si>
  <si>
    <t>منار محمد</t>
  </si>
  <si>
    <t>هناء محمد شحاته</t>
  </si>
  <si>
    <t>السيد محمد السيد</t>
  </si>
  <si>
    <t>زينب محمد السيد</t>
  </si>
  <si>
    <t>أمينة محمد السيد</t>
  </si>
  <si>
    <t>شمس الدين محمد السيد</t>
  </si>
  <si>
    <t>إسماعيل محمد السيد</t>
  </si>
  <si>
    <t>محمود محمد السيد</t>
  </si>
  <si>
    <t>مريم محمد السيد</t>
  </si>
  <si>
    <t>ابنة (قاصر)</t>
  </si>
  <si>
    <t>أحمد محمد السيد</t>
  </si>
  <si>
    <t>وجيدة إبراهيم الدسوقي</t>
  </si>
  <si>
    <t>هويدا عطية علي</t>
  </si>
  <si>
    <t>إسلام كمال محمدي</t>
  </si>
  <si>
    <t>نسمة كمال</t>
  </si>
  <si>
    <t>نهلة كمال</t>
  </si>
  <si>
    <t>أمينة كمال</t>
  </si>
  <si>
    <t>السويس</t>
  </si>
  <si>
    <t>إجمالي المتبقي</t>
  </si>
  <si>
    <t>منحة 6 شهور</t>
  </si>
  <si>
    <t>مستحقات</t>
  </si>
  <si>
    <t>دسوقي سعد حسن</t>
  </si>
  <si>
    <t>أحلام</t>
  </si>
  <si>
    <t>إبراهيم دسوقي</t>
  </si>
  <si>
    <t>احمد دسوقي سعد</t>
  </si>
  <si>
    <t>اسلام دسوق سعد</t>
  </si>
  <si>
    <t>محمد دسوقي سعد</t>
  </si>
  <si>
    <t>السيد عبد السميع</t>
  </si>
  <si>
    <t>الإسكندرية</t>
  </si>
  <si>
    <t>علي إبراهيم محمد الحمضي</t>
  </si>
  <si>
    <t>علي سيد أحمد</t>
  </si>
  <si>
    <t>عوض متولي محمد</t>
  </si>
  <si>
    <t>لا توجد دعوى قضائية</t>
  </si>
  <si>
    <t>مرفوع دعوى قضائية بالمقابل النقدي</t>
  </si>
  <si>
    <t>إمام محمد إبراهيم</t>
  </si>
  <si>
    <t>الدعوى لا تشمل 90 يوم فلا مانع من الصرف</t>
  </si>
  <si>
    <t>محمد عبد النبي عبد المعطي</t>
  </si>
  <si>
    <t>عدد أيام المقابل النقدي 78 يوم</t>
  </si>
  <si>
    <t>عبد الناصر السيد أحمد</t>
  </si>
  <si>
    <t>مصطفى زغلول جاد المولى</t>
  </si>
  <si>
    <t>نجوى محمد متولي خليل</t>
  </si>
  <si>
    <t>سهام السيد البيومي أبو النجا</t>
  </si>
  <si>
    <t>محمود فاروق محمود رمضان</t>
  </si>
  <si>
    <t>بهاء الدين عبد الفتاح إدفاوي</t>
  </si>
  <si>
    <t>سحر محمد صلاح الدين محمد</t>
  </si>
  <si>
    <t>عدد أيام الأجازات</t>
  </si>
  <si>
    <t>زينب عبد النبي عرفات</t>
  </si>
  <si>
    <t>حنان أمين عثمان (توكيل)</t>
  </si>
  <si>
    <t>حازم حسن سيد</t>
  </si>
  <si>
    <t>عبد الله محمد محمد مسلم</t>
  </si>
  <si>
    <t>يصرف من المقابل النقدي ال 90 يوم (القانونية)</t>
  </si>
  <si>
    <t>28809300104001 ريهام</t>
  </si>
  <si>
    <t>مجدي محمد سعيد زهران</t>
  </si>
  <si>
    <t>تاريخ الخروج</t>
  </si>
  <si>
    <t>محمود محمود محمد مصطفى</t>
  </si>
  <si>
    <t>تاريخ الوفاة  27/11/2020</t>
  </si>
  <si>
    <t>الوفاة نفس تاريخ الخروج</t>
  </si>
  <si>
    <t>تاريخ الوفاة 9/2/2021</t>
  </si>
  <si>
    <t>تاريخ الوفاة</t>
  </si>
  <si>
    <t>سمير جاد الكريم سعيد</t>
  </si>
  <si>
    <t>تاريخ وفاة</t>
  </si>
  <si>
    <t>الفرع</t>
  </si>
  <si>
    <t>القاهرة</t>
  </si>
  <si>
    <t>فاطمة زكي موسى</t>
  </si>
  <si>
    <t>توكيل / عبد الناصر السيد(لا توجد قضايا أجازات)</t>
  </si>
  <si>
    <t>لم يتم رفع دعاوى ويتم صرف المقابل النقدي 90يوم</t>
  </si>
  <si>
    <t>محمد فؤاد محمود</t>
  </si>
  <si>
    <t>عزة سيد محمد موسى</t>
  </si>
  <si>
    <t>يتم صرف المقابل النقدي لعدم شمول الحكم عليها(القانونية 449/8/8/2022)</t>
  </si>
  <si>
    <t>يتم صرف المقابل النقدي لعدم رفع دعوى (القانونية 449-8/8/2022)</t>
  </si>
  <si>
    <t>لا يتم صرف المقابل النقدي لرفع دعوى لحين البت في الدعوى(القانونية 449-8/8/2022)</t>
  </si>
  <si>
    <t>أحمد أبو الفتوح راشد</t>
  </si>
  <si>
    <t>و 17</t>
  </si>
  <si>
    <t>صدفة سعد السيد</t>
  </si>
  <si>
    <t>مجدي محمد توفيق</t>
  </si>
  <si>
    <t>صفاء محمد التهامي</t>
  </si>
  <si>
    <t>محمد أحمد أبو الفتوح</t>
  </si>
  <si>
    <t>هبة أحمد أبو الفتوح</t>
  </si>
  <si>
    <t>يتم صرف المقابل النقدي بناءا عل خطاب القانونية 573في9/10/2022</t>
  </si>
  <si>
    <t>عصام كمال إبراهيم</t>
  </si>
  <si>
    <t>و 18</t>
  </si>
  <si>
    <t>حياة كامل عبد الباقي</t>
  </si>
  <si>
    <t>محمد عصام كمال</t>
  </si>
  <si>
    <t>إبراهيم عصام كمال</t>
  </si>
  <si>
    <t>ما تم صرفه من 7/2021 حتى31/12/2022</t>
  </si>
  <si>
    <t>إجمالي دفعات 2023</t>
  </si>
  <si>
    <t>تم عمل توكيل بالشهر العقاري للسيد/عادل محي الدين محمد</t>
  </si>
  <si>
    <t>إجمالي المنصرف</t>
  </si>
  <si>
    <t>ما تم صرفه من7/2021 حتى12/2022</t>
  </si>
  <si>
    <t>يناير-23</t>
  </si>
  <si>
    <t>فبراير-23</t>
  </si>
  <si>
    <t>مارس-23</t>
  </si>
  <si>
    <t>أبريل-23</t>
  </si>
  <si>
    <t>مايو-23</t>
  </si>
  <si>
    <t>يونيو-23</t>
  </si>
  <si>
    <t>يوليه-23</t>
  </si>
  <si>
    <t>أغسطس-23</t>
  </si>
  <si>
    <t>سبتمبر-23</t>
  </si>
  <si>
    <t>أكتوبر-23</t>
  </si>
  <si>
    <t>نوفمبر-23</t>
  </si>
  <si>
    <t>ديسمبر-23</t>
  </si>
  <si>
    <t>محمود عبد اللاه سلامة</t>
  </si>
  <si>
    <t>أحمد عباس محمد</t>
  </si>
  <si>
    <t>أحمد نور الدين أحمد</t>
  </si>
  <si>
    <t>يتم صرف المقابل النقدي بناءا على خطاب قانونية رقم 484 ف30/8/2022</t>
  </si>
  <si>
    <t>فرج فهمي محمد يوسف</t>
  </si>
  <si>
    <t>عبد الرازق السيدعبد الرازق</t>
  </si>
  <si>
    <t>يتم صرف المقابل النقدي بناءا على خطاب قانونية رقم 493 ف50/9/2022</t>
  </si>
  <si>
    <t>ناصر فارس محمود</t>
  </si>
  <si>
    <t xml:space="preserve">محمد إسماعيل </t>
  </si>
  <si>
    <t>بدوي إبراهيم بدوي</t>
  </si>
  <si>
    <t>رشاد عثمان أحمد</t>
  </si>
  <si>
    <t>يوقف الصرف لرفع دعوى</t>
  </si>
  <si>
    <t>السيد عطا يوسف</t>
  </si>
  <si>
    <t>صفحة</t>
  </si>
  <si>
    <t>تاريخ خروج</t>
  </si>
  <si>
    <t>المنحة</t>
  </si>
  <si>
    <t>ما تم صرفة من7/2021 حتى12/2022</t>
  </si>
  <si>
    <t>عبد الحي كمال محمد</t>
  </si>
  <si>
    <t>أيات محمد علي زهران</t>
  </si>
  <si>
    <t>محمد عبد المقصود عبد الدايم</t>
  </si>
  <si>
    <t>فوزي ابراهيم حامد</t>
  </si>
  <si>
    <t>عدم وجود دعوى قضائية</t>
  </si>
  <si>
    <t>مصطفى علي مصطفى</t>
  </si>
  <si>
    <t>أحمد محمد بدوي</t>
  </si>
  <si>
    <t>مبروك السيد مبروك</t>
  </si>
  <si>
    <t>جمال عطية خضراوي</t>
  </si>
  <si>
    <t>أحمد حباشي بكر</t>
  </si>
  <si>
    <t>سعيد محمود إسماعيل</t>
  </si>
  <si>
    <t>حسن إبراهيم محمد</t>
  </si>
  <si>
    <t>سمير حلمي محمود</t>
  </si>
  <si>
    <t>شلبية السيد عبد القوي</t>
  </si>
  <si>
    <t>خضرة عبد الحليم إبراهيم</t>
  </si>
  <si>
    <t>هويدا عبد المقصود</t>
  </si>
  <si>
    <t>محمد عوض</t>
  </si>
  <si>
    <t>حمادة محمد عوض</t>
  </si>
  <si>
    <t>عدد أيام</t>
  </si>
  <si>
    <t>ما تم صرفه من 7/2021 حتى12/2022</t>
  </si>
  <si>
    <t>ناصر السيد راشد</t>
  </si>
  <si>
    <t>عبد النبي محمد الصغير</t>
  </si>
  <si>
    <t>أحمد محمد مصطفى</t>
  </si>
  <si>
    <t>يوقف صرف المقابل النقدي</t>
  </si>
  <si>
    <t>علي محمود عبد الرحيم</t>
  </si>
  <si>
    <t>سيد أحمد علي حسين</t>
  </si>
  <si>
    <t>مصطفى محمد فارس</t>
  </si>
  <si>
    <t>عبد النعيم حسين عبد النعيم</t>
  </si>
  <si>
    <t>يوقف صرف المقابل النقدي بناءا على خطاب القانونية رقم 484 في 30/8/2022</t>
  </si>
  <si>
    <t>جابر شحتو حسن</t>
  </si>
  <si>
    <t>صابر عاشور محمد</t>
  </si>
  <si>
    <t>شوقي حمدان يونس</t>
  </si>
  <si>
    <t>خميس أحمد علي</t>
  </si>
  <si>
    <t>سيد أحمد حسان</t>
  </si>
  <si>
    <t>عبد الحي أحمد سباق</t>
  </si>
  <si>
    <t>بدري عبد الستار حسن</t>
  </si>
  <si>
    <t>يتم صرف المقابل النقدي بناءا على رد القانونية بتاريخ 23/11/2022</t>
  </si>
  <si>
    <t>جمال محمود إبراهيم</t>
  </si>
  <si>
    <t>يتم صرف المقابل النقدي بناءا على خطاب القانونية رقم543 في9/10/2022</t>
  </si>
  <si>
    <t>حمدي مبارك مصطفى</t>
  </si>
  <si>
    <t>ممدوح الله جابو سعد</t>
  </si>
  <si>
    <t>عابد جاد سليمان</t>
  </si>
  <si>
    <t>سعاد أبو المجد حمزة</t>
  </si>
  <si>
    <t>محمد عبد المريد حسين</t>
  </si>
  <si>
    <t>حسن علي أحمد سلامة</t>
  </si>
  <si>
    <t>ممدوح سعد الدين محمد</t>
  </si>
  <si>
    <t>عبد الله أحمد بدوي علي</t>
  </si>
  <si>
    <t>لا يتم صرف المقابل النقدي بناءا على خطاب القانونية رقم 484في30/8/2022</t>
  </si>
  <si>
    <t>محمد حلمي إسماعيل</t>
  </si>
  <si>
    <t>رمضان محمود مبارك</t>
  </si>
  <si>
    <t>عبيد محمد أحمد قاسم</t>
  </si>
  <si>
    <t>حسين عبد الواحد حسين</t>
  </si>
  <si>
    <t>علي محمد أحمد علي</t>
  </si>
  <si>
    <t>عبده أبو الفضل عارف</t>
  </si>
  <si>
    <t>عدد الأيام</t>
  </si>
  <si>
    <t>ما تم صرفه من7/2023 حتى12/2022</t>
  </si>
  <si>
    <t>رمضان مبارك بدوي</t>
  </si>
  <si>
    <t>سريان مايز يوحنا</t>
  </si>
  <si>
    <t>عبد النبي مبارك أحمد</t>
  </si>
  <si>
    <t>أنور أحمد إبراهيم</t>
  </si>
  <si>
    <t>عبد الحي السيد أحمد</t>
  </si>
  <si>
    <t>يتم صرف المقابل النقدي بناءا على خطاب القانونية رقم549في12/10/2022</t>
  </si>
  <si>
    <t>أحمد علي محمود</t>
  </si>
  <si>
    <t>عز الدين عطا</t>
  </si>
  <si>
    <t>لا توجد دعاوى قضائية</t>
  </si>
  <si>
    <t>عوض الله جلال عبد السلام</t>
  </si>
  <si>
    <t>محمد مصطفى علي</t>
  </si>
  <si>
    <t>لا يتم صرف المقابل النقدي بناءا على خطاب قانونية رقم 484 ف30/8/2022</t>
  </si>
  <si>
    <t>شعبان سليم مبارك</t>
  </si>
  <si>
    <t>إبراهيم حسن علي</t>
  </si>
  <si>
    <t>عبد الصبور عطيتو إسماعيل</t>
  </si>
  <si>
    <t>شاذلي يوسف عبد اللطيف</t>
  </si>
  <si>
    <t>يتم الصرف بناءا على تعليمات الشركة القابضة</t>
  </si>
  <si>
    <t xml:space="preserve">عبد الغني إبراهيم أحمد </t>
  </si>
  <si>
    <t>سعيدة ثابت محمود مرسي</t>
  </si>
  <si>
    <t>أحمد بدري أحمد محمود</t>
  </si>
  <si>
    <t>عامر أحمد محمد</t>
  </si>
  <si>
    <t xml:space="preserve">يحق له صرف المقابل النقدي </t>
  </si>
  <si>
    <t>أحمد محمود طلب</t>
  </si>
  <si>
    <t>محمد حسن إسماعيل</t>
  </si>
  <si>
    <t>روماني رياض عبد الشهيد</t>
  </si>
  <si>
    <t>محمد حامد شارد</t>
  </si>
  <si>
    <t>أحمد حميد محمد</t>
  </si>
  <si>
    <t>جابر مصطفى إسماعيل</t>
  </si>
  <si>
    <t>عبد الرحمن أبو المجد محمد</t>
  </si>
  <si>
    <t>محمد حسن أحمد نصر</t>
  </si>
  <si>
    <t>علي محمد علي حسين</t>
  </si>
  <si>
    <t>محسوب عمران أحمد</t>
  </si>
  <si>
    <t>محمود أحمد الصغير</t>
  </si>
  <si>
    <t>محمد مصطفى أحمد</t>
  </si>
  <si>
    <t>عزت حسن أحمد</t>
  </si>
  <si>
    <t>رميس ناشد رميس شنودة</t>
  </si>
  <si>
    <t>مصطفى حامد حسين</t>
  </si>
  <si>
    <t>صباح أحمد</t>
  </si>
  <si>
    <t>صابر حجاجي معوض</t>
  </si>
  <si>
    <t>وفاء محمد مبارك</t>
  </si>
  <si>
    <t>منتصر حامد حسين</t>
  </si>
  <si>
    <t>أسماء عبد الغني</t>
  </si>
  <si>
    <t>محمد محمد محمد نوفل</t>
  </si>
  <si>
    <t>تم عمل توكيل بالشهر العقاري للسيد/محمد أحمد علي إسماعيل</t>
  </si>
  <si>
    <t>تم عمل توكيل بالشهر العقاري للسيد/جمال السيد محمود حشيش</t>
  </si>
  <si>
    <t>تم عمل توكيل بالشهر العقاري للسيدة/رشا عصمت</t>
  </si>
  <si>
    <t>محمود محمد محمود حسن</t>
  </si>
  <si>
    <t>فوزية عبد النبي أحمد إسماعيل</t>
  </si>
  <si>
    <t>محمود السيد عطا</t>
  </si>
  <si>
    <t>عطا السيد عطا</t>
  </si>
  <si>
    <t>أحمد السيد عطا</t>
  </si>
  <si>
    <t>رشا السيد عطا</t>
  </si>
  <si>
    <t>عبد الله السيد عطا</t>
  </si>
  <si>
    <t>منى توفيق محمد عبد العال</t>
  </si>
  <si>
    <t>فتحي عبد الوهاب إبراهيم الشرقاوي</t>
  </si>
  <si>
    <t>توفيق سيد طه عويس</t>
  </si>
  <si>
    <t>عمود1</t>
  </si>
  <si>
    <t>الإجمالي</t>
  </si>
  <si>
    <t>المتبقي من المنحة بعد  1-</t>
  </si>
  <si>
    <t>المتبقي بعد 1-</t>
  </si>
  <si>
    <t>المتبقي 1-</t>
  </si>
  <si>
    <t>المتبقي من المنحة 1-</t>
  </si>
  <si>
    <t>التبقي من المنحة بعد 1-</t>
  </si>
  <si>
    <t>المتبقي من المنحة بعد 1-</t>
  </si>
  <si>
    <t>قنا</t>
  </si>
  <si>
    <t>أيام أجازة</t>
  </si>
  <si>
    <t>اسكندرية</t>
  </si>
  <si>
    <t>سفاجا</t>
  </si>
  <si>
    <t>المتبقي من المقابل النقدي</t>
  </si>
  <si>
    <t>الفروع</t>
  </si>
  <si>
    <t>حنيدق محمد محمد يوسف</t>
  </si>
  <si>
    <t>يتم صرف المقابل النقدي بناءا على خطاب قانونية رقم 17 ف10/1/2023</t>
  </si>
  <si>
    <t>سريان مايزيوحنا</t>
  </si>
  <si>
    <t>دسوقي محمود فكري</t>
  </si>
  <si>
    <t>ربيع حمزة حسن</t>
  </si>
  <si>
    <t>تم صرف جميع المستخقات وأخر صرف دفعة 10/2022</t>
  </si>
  <si>
    <t>تم صرف جميع المستخقات وأخر صرف دفعة 12/2022</t>
  </si>
  <si>
    <t>الأرملة/ صباح أحمد السيد</t>
  </si>
  <si>
    <t>الأرملة/ وفاء محمد مبارك</t>
  </si>
  <si>
    <t>الأرملة/ أسماء عبد الغني مصطفى</t>
  </si>
  <si>
    <t>محمود أحمد إسماعيل</t>
  </si>
  <si>
    <t>تم صرف جميع المستخقات وأخر صرف دفعة 4/2022</t>
  </si>
  <si>
    <t>سعيد عبد الحميد محمد بركات</t>
  </si>
  <si>
    <t>تم عمل توكيل بالشهر العقاري للسيدة/ أمل أحمد عزت</t>
  </si>
  <si>
    <t>فدري محمد رشدي</t>
  </si>
  <si>
    <t>إبراهيم موسى حسين</t>
  </si>
  <si>
    <t>مبلغ</t>
  </si>
  <si>
    <t>شهر</t>
  </si>
  <si>
    <t>أخر صرف</t>
  </si>
  <si>
    <t xml:space="preserve">موقوف </t>
  </si>
  <si>
    <t>توكيل بالشهر العقاري للسيدة/ منال محمد طايع</t>
  </si>
  <si>
    <t>توكيل بالشهر العقاري للسيد/ عمرو فهمي زكي</t>
  </si>
  <si>
    <t>تم عمل توكيل بالشهر العقاري للسيدة/ هبة محمد أحمد</t>
  </si>
  <si>
    <t>تم عمل توكيل بالشهر العقاري للسيد/ عمرو فهمي زكي</t>
  </si>
  <si>
    <t>درجته</t>
  </si>
  <si>
    <t>عمود2</t>
  </si>
  <si>
    <t>سعيد محمد أحمد رواش</t>
  </si>
  <si>
    <t>رجب إبراهيم محمد صالح</t>
  </si>
  <si>
    <t>لا مانع من صرف المقابل النقدي لعدم شمول الدعوى عليه بناءا على رأي الفانونيةبخطاب يوم5/2/2023</t>
  </si>
  <si>
    <t>يتم صرف المقابل النقدي بناءا على خطاب قانونية رقم 41 في 1/2/2023</t>
  </si>
  <si>
    <t>إرجاء صرف المقابل النقدي بناءا على خطاب القانونية رقم41 في 1/2/2023</t>
  </si>
  <si>
    <t>محمد أحمد أبو الفتوح راشد (ابن)</t>
  </si>
  <si>
    <t>محمد يحيى عبد العال</t>
  </si>
  <si>
    <t>السيد الأستاذ مدير عام الشئون القانونية.</t>
  </si>
  <si>
    <t>تحية طيبة وبعد ،،،،،،</t>
  </si>
  <si>
    <t>برجاء التفضل بالإفادة نحو إمكانية صرف المقابل النقدي لرصيد الأجازات من عدمه للسادة الآتي أسماءهم:-</t>
  </si>
  <si>
    <t>تاريخ المعاش</t>
  </si>
  <si>
    <t>مرسل للتفضل بالإفادة</t>
  </si>
  <si>
    <t>والسلام عليكم ورحمة الله وبركاته</t>
  </si>
  <si>
    <t>مدير عام الشئون المالية</t>
  </si>
  <si>
    <t>محاسب/ أيمن صلاح الدين السباعي</t>
  </si>
  <si>
    <t>19 و</t>
  </si>
  <si>
    <t>سعدية محمود يحيى</t>
  </si>
  <si>
    <t>نعيمة محمود حنفي</t>
  </si>
  <si>
    <t>ميار محمد عبد العال</t>
  </si>
  <si>
    <t>هشام يحيى عبد العال</t>
  </si>
  <si>
    <t>زينب يحيى عبد العال</t>
  </si>
  <si>
    <t>أخت</t>
  </si>
  <si>
    <t>توكيل شهر عقاري للسيد/جمال السيد محمود بحيري حشيش</t>
  </si>
  <si>
    <t>تحريرا في/</t>
  </si>
  <si>
    <t>سهير بسيم أحمد حافظ</t>
  </si>
  <si>
    <t>محمد محمود محمد عبد الرحمن</t>
  </si>
  <si>
    <t>أمنية محمد السيد</t>
  </si>
  <si>
    <t>يتم صرف المقابل النقدي بناءا على رد القانونية يوم 7/3/2023</t>
  </si>
  <si>
    <t>باقي المستحق</t>
  </si>
  <si>
    <t>يتم صرف المقابل النقدي بناءا على خطاب القانونية رقم 88 في4/4/2023</t>
  </si>
  <si>
    <t>يتم صرف المقابل النفدي بناءا خطاب القانونية بتاريخ 5/4/2023</t>
  </si>
  <si>
    <t>عبد الناصر سيد هليل</t>
  </si>
  <si>
    <t>تم عمل توكيل بالشهر العقاري للسيد/عبد العليم سعد إبراهيم</t>
  </si>
  <si>
    <t>أحمد حسين أحمد عبد الرحمن</t>
  </si>
  <si>
    <t>أنور محمد إبراهيم</t>
  </si>
  <si>
    <t>يصرف عنه ابنه/ محمد أنور محمد إبراهيم بناءا على طلب المستحق</t>
  </si>
  <si>
    <t>محمد أحمد عبد المعبود عبد الله</t>
  </si>
  <si>
    <t>فايقة مصطفى محمد يوسف</t>
  </si>
  <si>
    <t>أسامة محمد الصغير محمد</t>
  </si>
  <si>
    <t>توكيل بالشهر العقاري للسيد عبد ربة كمال إبراهيم</t>
  </si>
  <si>
    <t>يتم صرف المقابل النقدي بناءا على خطاب القانونية رقم بدون في 7/5/2023</t>
  </si>
  <si>
    <t>يتم صرف المقابل النقدي بناءا على خطاب القانونية رقم بدون في 8/5/2023</t>
  </si>
  <si>
    <t>أمان أحمد توفيق</t>
  </si>
  <si>
    <t>هانم عبد القوي عز</t>
  </si>
  <si>
    <t>محمد عوض متولي</t>
  </si>
  <si>
    <t>أسامة عوض</t>
  </si>
  <si>
    <t>شرين عوض</t>
  </si>
  <si>
    <t>إيمان عوض</t>
  </si>
  <si>
    <t>علاء علي إبراهيم</t>
  </si>
  <si>
    <t>وائل علي</t>
  </si>
  <si>
    <t>رشا علي</t>
  </si>
  <si>
    <t>أحمد علي سيد</t>
  </si>
  <si>
    <t>محمد علي سيد</t>
  </si>
  <si>
    <t>غادة علي سيد</t>
  </si>
  <si>
    <t>نيفين علي سيد</t>
  </si>
  <si>
    <t>نورهان علي سيد</t>
  </si>
  <si>
    <t>محاسن كامل أحمد</t>
  </si>
  <si>
    <t>ام</t>
  </si>
  <si>
    <t>منيرة داوود محمد عبد الرازق</t>
  </si>
  <si>
    <t>إيمان عبد المجيد عبد الشافي</t>
  </si>
  <si>
    <t>محمود محمد عوض</t>
  </si>
  <si>
    <t>نادية محمد</t>
  </si>
  <si>
    <t>حمادة محمد</t>
  </si>
  <si>
    <t>كريم محمد</t>
  </si>
  <si>
    <t>رضا محمد</t>
  </si>
  <si>
    <t>هاجر محمد</t>
  </si>
  <si>
    <t>صباح أحمد السيد</t>
  </si>
  <si>
    <t>مروة مصطفى حامد</t>
  </si>
  <si>
    <t>مها مصطفى</t>
  </si>
  <si>
    <t>محمد مصطفى</t>
  </si>
  <si>
    <t>منال مصطفى</t>
  </si>
  <si>
    <t>منى مصطفى</t>
  </si>
  <si>
    <t>محمود مصطفى</t>
  </si>
  <si>
    <t>هبة صابر حجاجي</t>
  </si>
  <si>
    <t>فاطمة صابر</t>
  </si>
  <si>
    <t>زينب صابر</t>
  </si>
  <si>
    <t>هناء صابر</t>
  </si>
  <si>
    <t>محمد صابر</t>
  </si>
  <si>
    <t>أسماء عبد الغني مصطفى</t>
  </si>
  <si>
    <t>إسلام منتصر</t>
  </si>
  <si>
    <t>عبد الرحمن منتصر</t>
  </si>
  <si>
    <t>سلمى منتصر</t>
  </si>
  <si>
    <t>ملك منتصر</t>
  </si>
  <si>
    <t>منار منتصر</t>
  </si>
  <si>
    <t>أمل فرج عبد اللطيف</t>
  </si>
  <si>
    <t>أبو بكر محمد محمد</t>
  </si>
  <si>
    <t>محمد محمد محمد</t>
  </si>
  <si>
    <t>بلال محمد محمد</t>
  </si>
  <si>
    <t>محمد الصغير محمد إسماعيل</t>
  </si>
  <si>
    <t>أب</t>
  </si>
  <si>
    <t>جبرة يوسفعبد القادر عبد الرحيم</t>
  </si>
  <si>
    <t>هناء عبد الحافظ إبراهيم</t>
  </si>
  <si>
    <t>محمد أسامة محمد</t>
  </si>
  <si>
    <t>ياسمين أسامة</t>
  </si>
  <si>
    <t>إيمان أسامة</t>
  </si>
  <si>
    <t>رحمة أسامة</t>
  </si>
  <si>
    <t>شاذلي أسامة</t>
  </si>
  <si>
    <t>المتبقي من منحة 3 ش</t>
  </si>
  <si>
    <t>المتبقي من رصيد الأجازات</t>
  </si>
  <si>
    <t>المتبقي من منحة  6 ش وغيرها</t>
  </si>
  <si>
    <t>رقم الصفحة</t>
  </si>
  <si>
    <t xml:space="preserve">منحة </t>
  </si>
  <si>
    <t>يوليو 2022</t>
  </si>
  <si>
    <t>يتم صرف المقابل النقدي لعد شمول الدعوى عليه بناءا خطاب القانونية رقم123يوم11/5/2023</t>
  </si>
  <si>
    <t>أغسطس-22</t>
  </si>
  <si>
    <t>سبتمبر-22</t>
  </si>
  <si>
    <t>أكتوبر-22</t>
  </si>
  <si>
    <t>نوفمبر-22</t>
  </si>
  <si>
    <t>ديسمبر-22</t>
  </si>
  <si>
    <t>محمد فهيم هاشم طه</t>
  </si>
  <si>
    <t>عدد المستحقين للمعاش</t>
  </si>
  <si>
    <t xml:space="preserve">أحياء </t>
  </si>
  <si>
    <t>وفيات</t>
  </si>
  <si>
    <t>الأحياء</t>
  </si>
  <si>
    <t>الوفيات</t>
  </si>
  <si>
    <t>الحالة</t>
  </si>
  <si>
    <t>تم عمل توكيل بالشهر العقاري للسيدة/ عمرو فهمي زكي</t>
  </si>
  <si>
    <t>تاريخ أخر دفعة</t>
  </si>
  <si>
    <t>مايو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</si>
</sst>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3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sz val="18"/>
      <color rgb="FFFF0000"/>
      <name val="Calibri"/>
      <family val="2"/>
      <charset val="178"/>
      <scheme val="minor"/>
    </font>
    <font>
      <b/>
      <sz val="1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6"/>
      <color theme="0"/>
      <name val="Calibri"/>
      <family val="2"/>
      <charset val="178"/>
      <scheme val="minor"/>
    </font>
    <font>
      <sz val="18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6"/>
      <color theme="1"/>
      <name val="Arial"/>
      <family val="2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0"/>
      <name val="Calibri"/>
      <family val="2"/>
      <charset val="178"/>
      <scheme val="minor"/>
    </font>
    <font>
      <sz val="20"/>
      <color theme="0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sz val="22"/>
      <color theme="1"/>
      <name val="Calibri"/>
      <scheme val="minor"/>
    </font>
    <font>
      <sz val="18"/>
      <color theme="0"/>
      <name val="Calibri"/>
      <scheme val="minor"/>
    </font>
    <font>
      <sz val="16"/>
      <color theme="1"/>
      <name val="Calibri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0000"/>
        <bgColor theme="5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9" tint="0.59999389629810485"/>
        <bgColor theme="5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8" tint="0.59999389629810485"/>
        <bgColor theme="5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6" fillId="0" borderId="14" applyNumberFormat="0" applyFill="0" applyAlignment="0" applyProtection="0"/>
  </cellStyleXfs>
  <cellXfs count="47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7" borderId="1" xfId="0" applyFont="1" applyFill="1" applyBorder="1"/>
    <xf numFmtId="0" fontId="8" fillId="7" borderId="1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9" borderId="1" xfId="0" applyFont="1" applyFill="1" applyBorder="1"/>
    <xf numFmtId="0" fontId="8" fillId="9" borderId="1" xfId="0" applyFont="1" applyFill="1" applyBorder="1" applyAlignment="1">
      <alignment horizontal="center"/>
    </xf>
    <xf numFmtId="0" fontId="8" fillId="10" borderId="1" xfId="0" applyFont="1" applyFill="1" applyBorder="1"/>
    <xf numFmtId="0" fontId="8" fillId="10" borderId="1" xfId="0" applyFont="1" applyFill="1" applyBorder="1" applyAlignment="1">
      <alignment horizontal="center"/>
    </xf>
    <xf numFmtId="0" fontId="8" fillId="10" borderId="1" xfId="0" applyFont="1" applyFill="1" applyBorder="1" applyAlignment="1"/>
    <xf numFmtId="0" fontId="8" fillId="10" borderId="2" xfId="0" applyFont="1" applyFill="1" applyBorder="1" applyAlignment="1"/>
    <xf numFmtId="0" fontId="8" fillId="3" borderId="1" xfId="0" applyFont="1" applyFill="1" applyBorder="1" applyAlignment="1">
      <alignment vertical="center"/>
    </xf>
    <xf numFmtId="0" fontId="8" fillId="11" borderId="1" xfId="0" applyFont="1" applyFill="1" applyBorder="1"/>
    <xf numFmtId="0" fontId="8" fillId="11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vertical="center"/>
    </xf>
    <xf numFmtId="0" fontId="8" fillId="8" borderId="1" xfId="0" applyFont="1" applyFill="1" applyBorder="1"/>
    <xf numFmtId="0" fontId="8" fillId="8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5" xfId="0" applyFont="1" applyBorder="1"/>
    <xf numFmtId="1" fontId="5" fillId="0" borderId="1" xfId="0" applyNumberFormat="1" applyFont="1" applyBorder="1"/>
    <xf numFmtId="0" fontId="5" fillId="0" borderId="6" xfId="0" applyFont="1" applyBorder="1"/>
    <xf numFmtId="0" fontId="5" fillId="0" borderId="4" xfId="0" applyFont="1" applyBorder="1"/>
    <xf numFmtId="0" fontId="2" fillId="2" borderId="5" xfId="0" applyFont="1" applyFill="1" applyBorder="1"/>
    <xf numFmtId="164" fontId="2" fillId="2" borderId="1" xfId="0" applyNumberFormat="1" applyFont="1" applyFill="1" applyBorder="1"/>
    <xf numFmtId="0" fontId="11" fillId="2" borderId="0" xfId="0" applyFont="1" applyFill="1"/>
    <xf numFmtId="1" fontId="2" fillId="2" borderId="1" xfId="0" applyNumberFormat="1" applyFont="1" applyFill="1" applyBorder="1"/>
    <xf numFmtId="0" fontId="2" fillId="2" borderId="4" xfId="0" applyFont="1" applyFill="1" applyBorder="1"/>
    <xf numFmtId="0" fontId="5" fillId="0" borderId="1" xfId="0" applyFont="1" applyBorder="1" applyAlignment="1">
      <alignment horizontal="center"/>
    </xf>
    <xf numFmtId="1" fontId="5" fillId="0" borderId="5" xfId="0" applyNumberFormat="1" applyFont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9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/>
    <xf numFmtId="0" fontId="8" fillId="0" borderId="10" xfId="0" applyFont="1" applyBorder="1" applyAlignment="1"/>
    <xf numFmtId="0" fontId="8" fillId="12" borderId="10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164" fontId="5" fillId="0" borderId="5" xfId="0" applyNumberFormat="1" applyFont="1" applyBorder="1"/>
    <xf numFmtId="0" fontId="5" fillId="12" borderId="5" xfId="0" applyFont="1" applyFill="1" applyBorder="1"/>
    <xf numFmtId="0" fontId="5" fillId="12" borderId="2" xfId="0" applyFont="1" applyFill="1" applyBorder="1" applyAlignment="1">
      <alignment horizontal="center" vertical="center" wrapText="1"/>
    </xf>
    <xf numFmtId="0" fontId="0" fillId="12" borderId="0" xfId="0" applyFill="1"/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textRotation="90" wrapText="1"/>
    </xf>
    <xf numFmtId="0" fontId="6" fillId="1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7" fontId="5" fillId="0" borderId="1" xfId="0" applyNumberFormat="1" applyFont="1" applyBorder="1" applyAlignment="1">
      <alignment horizontal="center" vertical="center" wrapText="1"/>
    </xf>
    <xf numFmtId="0" fontId="5" fillId="12" borderId="0" xfId="0" applyFont="1" applyFill="1"/>
    <xf numFmtId="0" fontId="15" fillId="0" borderId="5" xfId="0" applyFont="1" applyBorder="1"/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5" fillId="0" borderId="6" xfId="0" applyFont="1" applyBorder="1"/>
    <xf numFmtId="0" fontId="5" fillId="10" borderId="1" xfId="0" applyFont="1" applyFill="1" applyBorder="1"/>
    <xf numFmtId="0" fontId="5" fillId="9" borderId="1" xfId="0" applyFont="1" applyFill="1" applyBorder="1"/>
    <xf numFmtId="0" fontId="5" fillId="11" borderId="1" xfId="0" applyFont="1" applyFill="1" applyBorder="1"/>
    <xf numFmtId="0" fontId="5" fillId="5" borderId="1" xfId="0" applyFont="1" applyFill="1" applyBorder="1"/>
    <xf numFmtId="0" fontId="5" fillId="18" borderId="1" xfId="0" applyFont="1" applyFill="1" applyBorder="1"/>
    <xf numFmtId="0" fontId="5" fillId="6" borderId="1" xfId="0" applyFont="1" applyFill="1" applyBorder="1"/>
    <xf numFmtId="0" fontId="5" fillId="4" borderId="1" xfId="0" applyFont="1" applyFill="1" applyBorder="1"/>
    <xf numFmtId="0" fontId="5" fillId="20" borderId="1" xfId="0" applyFont="1" applyFill="1" applyBorder="1"/>
    <xf numFmtId="0" fontId="2" fillId="21" borderId="1" xfId="0" applyFont="1" applyFill="1" applyBorder="1"/>
    <xf numFmtId="17" fontId="5" fillId="0" borderId="0" xfId="0" applyNumberFormat="1" applyFont="1"/>
    <xf numFmtId="17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7" fillId="19" borderId="16" xfId="1" applyFont="1" applyFill="1" applyBorder="1" applyAlignment="1">
      <alignment horizontal="center" vertical="center" wrapText="1"/>
    </xf>
    <xf numFmtId="0" fontId="5" fillId="10" borderId="17" xfId="0" applyFont="1" applyFill="1" applyBorder="1"/>
    <xf numFmtId="0" fontId="5" fillId="10" borderId="6" xfId="0" applyFont="1" applyFill="1" applyBorder="1"/>
    <xf numFmtId="0" fontId="15" fillId="10" borderId="5" xfId="0" applyFont="1" applyFill="1" applyBorder="1"/>
    <xf numFmtId="0" fontId="5" fillId="18" borderId="6" xfId="0" applyFont="1" applyFill="1" applyBorder="1"/>
    <xf numFmtId="0" fontId="15" fillId="18" borderId="5" xfId="0" applyFont="1" applyFill="1" applyBorder="1"/>
    <xf numFmtId="0" fontId="5" fillId="9" borderId="6" xfId="0" applyFont="1" applyFill="1" applyBorder="1"/>
    <xf numFmtId="0" fontId="15" fillId="9" borderId="5" xfId="0" applyFont="1" applyFill="1" applyBorder="1"/>
    <xf numFmtId="0" fontId="5" fillId="6" borderId="6" xfId="0" applyFont="1" applyFill="1" applyBorder="1"/>
    <xf numFmtId="0" fontId="15" fillId="6" borderId="5" xfId="0" applyFont="1" applyFill="1" applyBorder="1"/>
    <xf numFmtId="0" fontId="5" fillId="4" borderId="6" xfId="0" applyFont="1" applyFill="1" applyBorder="1"/>
    <xf numFmtId="0" fontId="15" fillId="4" borderId="5" xfId="0" applyFont="1" applyFill="1" applyBorder="1"/>
    <xf numFmtId="0" fontId="5" fillId="5" borderId="6" xfId="0" applyFont="1" applyFill="1" applyBorder="1"/>
    <xf numFmtId="0" fontId="15" fillId="5" borderId="5" xfId="0" applyFont="1" applyFill="1" applyBorder="1"/>
    <xf numFmtId="0" fontId="5" fillId="11" borderId="6" xfId="0" applyFont="1" applyFill="1" applyBorder="1"/>
    <xf numFmtId="0" fontId="15" fillId="11" borderId="5" xfId="0" applyFont="1" applyFill="1" applyBorder="1"/>
    <xf numFmtId="0" fontId="17" fillId="19" borderId="20" xfId="1" applyFont="1" applyFill="1" applyBorder="1" applyAlignment="1">
      <alignment horizontal="center" vertical="center" wrapText="1"/>
    </xf>
    <xf numFmtId="0" fontId="17" fillId="19" borderId="21" xfId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22" borderId="6" xfId="0" applyFont="1" applyFill="1" applyBorder="1"/>
    <xf numFmtId="0" fontId="5" fillId="22" borderId="1" xfId="0" applyFont="1" applyFill="1" applyBorder="1"/>
    <xf numFmtId="0" fontId="15" fillId="22" borderId="5" xfId="0" applyFont="1" applyFill="1" applyBorder="1"/>
    <xf numFmtId="0" fontId="5" fillId="23" borderId="6" xfId="0" applyFont="1" applyFill="1" applyBorder="1"/>
    <xf numFmtId="0" fontId="5" fillId="23" borderId="1" xfId="0" applyFont="1" applyFill="1" applyBorder="1"/>
    <xf numFmtId="0" fontId="15" fillId="23" borderId="5" xfId="0" applyFont="1" applyFill="1" applyBorder="1"/>
    <xf numFmtId="0" fontId="5" fillId="24" borderId="6" xfId="0" applyFont="1" applyFill="1" applyBorder="1" applyAlignment="1">
      <alignment horizontal="center" vertical="center"/>
    </xf>
    <xf numFmtId="0" fontId="20" fillId="24" borderId="6" xfId="0" applyFont="1" applyFill="1" applyBorder="1" applyAlignment="1">
      <alignment horizontal="center" vertical="center"/>
    </xf>
    <xf numFmtId="0" fontId="5" fillId="24" borderId="6" xfId="0" applyFont="1" applyFill="1" applyBorder="1"/>
    <xf numFmtId="0" fontId="5" fillId="12" borderId="6" xfId="0" applyFont="1" applyFill="1" applyBorder="1"/>
    <xf numFmtId="0" fontId="5" fillId="24" borderId="1" xfId="0" applyFont="1" applyFill="1" applyBorder="1"/>
    <xf numFmtId="0" fontId="15" fillId="24" borderId="5" xfId="0" applyFont="1" applyFill="1" applyBorder="1"/>
    <xf numFmtId="0" fontId="21" fillId="14" borderId="9" xfId="0" applyFont="1" applyFill="1" applyBorder="1" applyAlignment="1">
      <alignment horizontal="right" vertical="top"/>
    </xf>
    <xf numFmtId="0" fontId="21" fillId="14" borderId="5" xfId="0" applyFont="1" applyFill="1" applyBorder="1" applyAlignment="1">
      <alignment horizontal="right"/>
    </xf>
    <xf numFmtId="0" fontId="21" fillId="14" borderId="5" xfId="0" applyFont="1" applyFill="1" applyBorder="1"/>
    <xf numFmtId="0" fontId="22" fillId="15" borderId="7" xfId="0" applyFont="1" applyFill="1" applyBorder="1"/>
    <xf numFmtId="0" fontId="22" fillId="12" borderId="7" xfId="0" applyFont="1" applyFill="1" applyBorder="1"/>
    <xf numFmtId="0" fontId="5" fillId="25" borderId="6" xfId="0" applyFont="1" applyFill="1" applyBorder="1"/>
    <xf numFmtId="0" fontId="5" fillId="25" borderId="1" xfId="0" applyFont="1" applyFill="1" applyBorder="1"/>
    <xf numFmtId="0" fontId="15" fillId="25" borderId="5" xfId="0" applyFont="1" applyFill="1" applyBorder="1"/>
    <xf numFmtId="0" fontId="5" fillId="26" borderId="1" xfId="0" applyFont="1" applyFill="1" applyBorder="1" applyAlignment="1">
      <alignment horizontal="center" vertical="center"/>
    </xf>
    <xf numFmtId="0" fontId="20" fillId="26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5" fillId="3" borderId="1" xfId="0" applyFont="1" applyFill="1" applyBorder="1"/>
    <xf numFmtId="0" fontId="15" fillId="3" borderId="5" xfId="0" applyFont="1" applyFill="1" applyBorder="1"/>
    <xf numFmtId="0" fontId="0" fillId="27" borderId="0" xfId="0" applyFill="1" applyAlignment="1">
      <alignment horizontal="centerContinuous"/>
    </xf>
    <xf numFmtId="0" fontId="0" fillId="27" borderId="0" xfId="0" applyFill="1"/>
    <xf numFmtId="0" fontId="0" fillId="28" borderId="0" xfId="0" applyFill="1"/>
    <xf numFmtId="0" fontId="23" fillId="28" borderId="0" xfId="0" applyFont="1" applyFill="1" applyAlignment="1">
      <alignment horizontal="right" vertical="center" readingOrder="2"/>
    </xf>
    <xf numFmtId="0" fontId="15" fillId="28" borderId="0" xfId="0" applyFont="1" applyFill="1" applyAlignment="1">
      <alignment horizontal="centerContinuous"/>
    </xf>
    <xf numFmtId="0" fontId="15" fillId="28" borderId="0" xfId="0" applyFont="1" applyFill="1"/>
    <xf numFmtId="0" fontId="23" fillId="28" borderId="0" xfId="0" applyFont="1" applyFill="1" applyAlignment="1">
      <alignment horizontal="centerContinuous" vertical="center" readingOrder="2"/>
    </xf>
    <xf numFmtId="0" fontId="0" fillId="28" borderId="0" xfId="0" applyFill="1" applyAlignment="1">
      <alignment horizontal="centerContinuous"/>
    </xf>
    <xf numFmtId="0" fontId="15" fillId="28" borderId="0" xfId="0" applyFont="1" applyFill="1" applyAlignment="1">
      <alignment horizontal="right" vertical="top"/>
    </xf>
    <xf numFmtId="0" fontId="15" fillId="28" borderId="0" xfId="0" applyFont="1" applyFill="1" applyAlignment="1">
      <alignment horizontal="centerContinuous" vertical="top"/>
    </xf>
    <xf numFmtId="0" fontId="15" fillId="28" borderId="0" xfId="0" applyFont="1" applyFill="1" applyAlignment="1">
      <alignment horizontal="right"/>
    </xf>
    <xf numFmtId="0" fontId="15" fillId="28" borderId="0" xfId="0" applyFont="1" applyFill="1" applyAlignment="1">
      <alignment horizontal="right" vertical="center"/>
    </xf>
    <xf numFmtId="0" fontId="15" fillId="28" borderId="11" xfId="0" applyFont="1" applyFill="1" applyBorder="1"/>
    <xf numFmtId="0" fontId="15" fillId="28" borderId="9" xfId="0" applyFont="1" applyFill="1" applyBorder="1"/>
    <xf numFmtId="0" fontId="24" fillId="28" borderId="3" xfId="0" applyFont="1" applyFill="1" applyBorder="1" applyAlignment="1">
      <alignment horizontal="center"/>
    </xf>
    <xf numFmtId="0" fontId="24" fillId="28" borderId="2" xfId="0" applyFont="1" applyFill="1" applyBorder="1" applyAlignment="1">
      <alignment horizontal="center"/>
    </xf>
    <xf numFmtId="0" fontId="24" fillId="28" borderId="12" xfId="0" applyFont="1" applyFill="1" applyBorder="1" applyAlignment="1">
      <alignment horizontal="center"/>
    </xf>
    <xf numFmtId="0" fontId="5" fillId="28" borderId="0" xfId="0" applyFont="1" applyFill="1"/>
    <xf numFmtId="14" fontId="5" fillId="28" borderId="0" xfId="0" applyNumberFormat="1" applyFont="1" applyFill="1"/>
    <xf numFmtId="0" fontId="15" fillId="28" borderId="4" xfId="0" applyFont="1" applyFill="1" applyBorder="1" applyAlignment="1">
      <alignment horizontal="center" vertical="center"/>
    </xf>
    <xf numFmtId="0" fontId="5" fillId="28" borderId="1" xfId="0" applyFont="1" applyFill="1" applyBorder="1"/>
    <xf numFmtId="164" fontId="5" fillId="28" borderId="1" xfId="0" applyNumberFormat="1" applyFont="1" applyFill="1" applyBorder="1"/>
    <xf numFmtId="0" fontId="15" fillId="28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5" fillId="0" borderId="1" xfId="0" applyNumberFormat="1" applyFont="1" applyBorder="1"/>
    <xf numFmtId="0" fontId="15" fillId="0" borderId="2" xfId="0" applyNumberFormat="1" applyFont="1" applyBorder="1"/>
    <xf numFmtId="0" fontId="15" fillId="0" borderId="5" xfId="0" applyNumberFormat="1" applyFont="1" applyBorder="1"/>
    <xf numFmtId="0" fontId="15" fillId="0" borderId="2" xfId="0" applyFont="1" applyBorder="1" applyAlignment="1">
      <alignment horizontal="center" vertical="center" wrapText="1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25" fillId="13" borderId="7" xfId="0" applyFont="1" applyFill="1" applyBorder="1" applyAlignment="1">
      <alignment horizontal="right"/>
    </xf>
    <xf numFmtId="0" fontId="25" fillId="13" borderId="7" xfId="0" applyFont="1" applyFill="1" applyBorder="1"/>
    <xf numFmtId="0" fontId="25" fillId="15" borderId="9" xfId="0" applyFont="1" applyFill="1" applyBorder="1" applyAlignment="1">
      <alignment horizontal="center"/>
    </xf>
    <xf numFmtId="0" fontId="25" fillId="15" borderId="5" xfId="0" applyFont="1" applyFill="1" applyBorder="1"/>
    <xf numFmtId="0" fontId="25" fillId="15" borderId="5" xfId="0" applyFont="1" applyFill="1" applyBorder="1" applyAlignment="1">
      <alignment horizontal="center"/>
    </xf>
    <xf numFmtId="0" fontId="25" fillId="2" borderId="5" xfId="0" applyFont="1" applyFill="1" applyBorder="1"/>
    <xf numFmtId="0" fontId="18" fillId="17" borderId="19" xfId="0" applyFont="1" applyFill="1" applyBorder="1" applyAlignment="1">
      <alignment horizontal="center" vertical="center" wrapText="1"/>
    </xf>
    <xf numFmtId="0" fontId="14" fillId="17" borderId="19" xfId="0" applyFont="1" applyFill="1" applyBorder="1" applyAlignment="1">
      <alignment horizontal="center" vertical="center" wrapText="1"/>
    </xf>
    <xf numFmtId="0" fontId="5" fillId="29" borderId="6" xfId="0" applyFont="1" applyFill="1" applyBorder="1"/>
    <xf numFmtId="0" fontId="5" fillId="29" borderId="1" xfId="0" applyFont="1" applyFill="1" applyBorder="1"/>
    <xf numFmtId="0" fontId="15" fillId="29" borderId="5" xfId="0" applyFont="1" applyFill="1" applyBorder="1"/>
    <xf numFmtId="0" fontId="5" fillId="8" borderId="6" xfId="0" applyFont="1" applyFill="1" applyBorder="1"/>
    <xf numFmtId="0" fontId="5" fillId="8" borderId="1" xfId="0" applyFont="1" applyFill="1" applyBorder="1"/>
    <xf numFmtId="0" fontId="15" fillId="8" borderId="5" xfId="0" applyFont="1" applyFill="1" applyBorder="1"/>
    <xf numFmtId="0" fontId="5" fillId="32" borderId="6" xfId="0" applyFont="1" applyFill="1" applyBorder="1"/>
    <xf numFmtId="0" fontId="5" fillId="32" borderId="1" xfId="0" applyFont="1" applyFill="1" applyBorder="1"/>
    <xf numFmtId="0" fontId="15" fillId="32" borderId="5" xfId="0" applyFont="1" applyFill="1" applyBorder="1"/>
    <xf numFmtId="0" fontId="5" fillId="35" borderId="1" xfId="0" applyFont="1" applyFill="1" applyBorder="1"/>
    <xf numFmtId="0" fontId="15" fillId="35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18" fillId="19" borderId="19" xfId="0" applyFont="1" applyFill="1" applyBorder="1" applyAlignment="1">
      <alignment horizontal="center" vertical="center" wrapText="1"/>
    </xf>
    <xf numFmtId="17" fontId="5" fillId="0" borderId="2" xfId="0" applyNumberFormat="1" applyFont="1" applyBorder="1" applyAlignment="1">
      <alignment horizontal="center" vertical="center" wrapText="1"/>
    </xf>
    <xf numFmtId="17" fontId="5" fillId="0" borderId="3" xfId="0" applyNumberFormat="1" applyFont="1" applyBorder="1" applyAlignment="1">
      <alignment horizontal="center" vertical="center" wrapText="1"/>
    </xf>
    <xf numFmtId="0" fontId="5" fillId="34" borderId="11" xfId="0" applyFont="1" applyFill="1" applyBorder="1" applyAlignment="1">
      <alignment horizontal="center" vertical="center"/>
    </xf>
    <xf numFmtId="0" fontId="5" fillId="34" borderId="1" xfId="0" applyFont="1" applyFill="1" applyBorder="1"/>
    <xf numFmtId="0" fontId="5" fillId="34" borderId="1" xfId="0" applyFont="1" applyFill="1" applyBorder="1" applyAlignment="1">
      <alignment horizontal="center" vertical="center"/>
    </xf>
    <xf numFmtId="164" fontId="5" fillId="34" borderId="1" xfId="0" applyNumberFormat="1" applyFont="1" applyFill="1" applyBorder="1"/>
    <xf numFmtId="0" fontId="5" fillId="4" borderId="11" xfId="0" applyFont="1" applyFill="1" applyBorder="1" applyAlignment="1">
      <alignment horizontal="center" vertical="center"/>
    </xf>
    <xf numFmtId="164" fontId="5" fillId="4" borderId="1" xfId="0" applyNumberFormat="1" applyFont="1" applyFill="1" applyBorder="1"/>
    <xf numFmtId="0" fontId="5" fillId="35" borderId="11" xfId="0" applyFont="1" applyFill="1" applyBorder="1" applyAlignment="1">
      <alignment horizontal="center" vertical="center"/>
    </xf>
    <xf numFmtId="164" fontId="5" fillId="35" borderId="1" xfId="0" applyNumberFormat="1" applyFont="1" applyFill="1" applyBorder="1"/>
    <xf numFmtId="0" fontId="5" fillId="3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5" fillId="4" borderId="5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/>
    <xf numFmtId="0" fontId="5" fillId="3" borderId="4" xfId="0" applyFont="1" applyFill="1" applyBorder="1"/>
    <xf numFmtId="0" fontId="0" fillId="3" borderId="0" xfId="0" applyFill="1"/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Continuous" vertical="distributed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6" fillId="37" borderId="6" xfId="0" applyFont="1" applyFill="1" applyBorder="1" applyAlignment="1">
      <alignment horizontal="center" vertical="center" wrapText="1"/>
    </xf>
    <xf numFmtId="0" fontId="26" fillId="37" borderId="5" xfId="0" applyFont="1" applyFill="1" applyBorder="1" applyAlignment="1">
      <alignment horizontal="center" vertical="center" wrapText="1"/>
    </xf>
    <xf numFmtId="0" fontId="8" fillId="38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38" borderId="8" xfId="0" applyFont="1" applyFill="1" applyBorder="1" applyAlignment="1">
      <alignment horizontal="center" vertical="center"/>
    </xf>
    <xf numFmtId="0" fontId="18" fillId="16" borderId="0" xfId="0" applyFont="1" applyFill="1" applyBorder="1" applyAlignment="1">
      <alignment horizontal="center" vertical="center"/>
    </xf>
    <xf numFmtId="0" fontId="18" fillId="16" borderId="22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8" fillId="0" borderId="1" xfId="0" applyFont="1" applyBorder="1"/>
    <xf numFmtId="0" fontId="28" fillId="0" borderId="4" xfId="0" applyFont="1" applyBorder="1"/>
    <xf numFmtId="0" fontId="29" fillId="0" borderId="9" xfId="0" applyFont="1" applyBorder="1" applyAlignment="1">
      <alignment horizontal="center"/>
    </xf>
    <xf numFmtId="0" fontId="29" fillId="0" borderId="5" xfId="0" applyFont="1" applyBorder="1"/>
    <xf numFmtId="0" fontId="29" fillId="0" borderId="6" xfId="0" applyFont="1" applyBorder="1"/>
    <xf numFmtId="0" fontId="15" fillId="0" borderId="9" xfId="0" applyFont="1" applyBorder="1"/>
    <xf numFmtId="0" fontId="5" fillId="0" borderId="1" xfId="0" applyNumberFormat="1" applyFont="1" applyBorder="1"/>
    <xf numFmtId="0" fontId="0" fillId="0" borderId="0" xfId="0" applyAlignment="1">
      <alignment wrapText="1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27" fillId="39" borderId="1" xfId="0" applyFont="1" applyFill="1" applyBorder="1"/>
    <xf numFmtId="0" fontId="0" fillId="12" borderId="0" xfId="0" applyFill="1" applyAlignment="1"/>
    <xf numFmtId="0" fontId="27" fillId="40" borderId="1" xfId="0" applyFont="1" applyFill="1" applyBorder="1" applyAlignment="1">
      <alignment horizontal="center" vertical="center"/>
    </xf>
    <xf numFmtId="0" fontId="0" fillId="16" borderId="0" xfId="0" applyFill="1" applyAlignment="1">
      <alignment horizontal="center" vertical="center" wrapText="1"/>
    </xf>
    <xf numFmtId="0" fontId="0" fillId="16" borderId="0" xfId="0" applyFill="1"/>
    <xf numFmtId="0" fontId="30" fillId="16" borderId="13" xfId="0" applyFont="1" applyFill="1" applyBorder="1" applyAlignment="1">
      <alignment horizontal="center"/>
    </xf>
    <xf numFmtId="0" fontId="30" fillId="16" borderId="7" xfId="0" applyFont="1" applyFill="1" applyBorder="1"/>
    <xf numFmtId="0" fontId="30" fillId="16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10" borderId="18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5" fillId="18" borderId="7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0" fillId="10" borderId="18" xfId="0" applyFont="1" applyFill="1" applyBorder="1" applyAlignment="1">
      <alignment horizontal="center" vertical="center"/>
    </xf>
    <xf numFmtId="0" fontId="20" fillId="10" borderId="7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0" fillId="18" borderId="5" xfId="0" applyFont="1" applyFill="1" applyBorder="1" applyAlignment="1">
      <alignment horizontal="center" vertical="center"/>
    </xf>
    <xf numFmtId="0" fontId="20" fillId="18" borderId="7" xfId="0" applyFont="1" applyFill="1" applyBorder="1" applyAlignment="1">
      <alignment horizontal="center" vertical="center"/>
    </xf>
    <xf numFmtId="0" fontId="20" fillId="18" borderId="2" xfId="0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/>
    </xf>
    <xf numFmtId="0" fontId="20" fillId="11" borderId="7" xfId="0" applyFont="1" applyFill="1" applyBorder="1" applyAlignment="1">
      <alignment horizontal="center" vertical="center"/>
    </xf>
    <xf numFmtId="0" fontId="20" fillId="11" borderId="2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0" fillId="10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20" fillId="23" borderId="5" xfId="0" applyFont="1" applyFill="1" applyBorder="1" applyAlignment="1">
      <alignment horizontal="center" vertical="center"/>
    </xf>
    <xf numFmtId="0" fontId="20" fillId="23" borderId="7" xfId="0" applyFont="1" applyFill="1" applyBorder="1" applyAlignment="1">
      <alignment horizontal="center" vertical="center"/>
    </xf>
    <xf numFmtId="0" fontId="20" fillId="23" borderId="2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center" vertical="center"/>
    </xf>
    <xf numFmtId="0" fontId="20" fillId="22" borderId="5" xfId="0" applyFont="1" applyFill="1" applyBorder="1" applyAlignment="1">
      <alignment horizontal="center" vertical="center"/>
    </xf>
    <xf numFmtId="0" fontId="20" fillId="22" borderId="7" xfId="0" applyFont="1" applyFill="1" applyBorder="1" applyAlignment="1">
      <alignment horizontal="center" vertical="center"/>
    </xf>
    <xf numFmtId="0" fontId="20" fillId="22" borderId="2" xfId="0" applyFont="1" applyFill="1" applyBorder="1" applyAlignment="1">
      <alignment horizontal="center" vertical="center"/>
    </xf>
    <xf numFmtId="0" fontId="5" fillId="25" borderId="5" xfId="0" applyFont="1" applyFill="1" applyBorder="1" applyAlignment="1">
      <alignment horizontal="center" vertical="center"/>
    </xf>
    <xf numFmtId="0" fontId="5" fillId="25" borderId="7" xfId="0" applyFont="1" applyFill="1" applyBorder="1" applyAlignment="1">
      <alignment horizontal="center" vertical="center"/>
    </xf>
    <xf numFmtId="0" fontId="5" fillId="25" borderId="2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20" fillId="9" borderId="5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center" vertical="center"/>
    </xf>
    <xf numFmtId="0" fontId="20" fillId="25" borderId="5" xfId="0" applyFont="1" applyFill="1" applyBorder="1" applyAlignment="1">
      <alignment horizontal="center" vertical="center"/>
    </xf>
    <xf numFmtId="0" fontId="20" fillId="25" borderId="7" xfId="0" applyFont="1" applyFill="1" applyBorder="1" applyAlignment="1">
      <alignment horizontal="center" vertical="center"/>
    </xf>
    <xf numFmtId="0" fontId="20" fillId="25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1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0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2" borderId="1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5" fillId="32" borderId="1" xfId="0" applyFont="1" applyFill="1" applyBorder="1" applyAlignment="1">
      <alignment horizontal="center" vertical="center"/>
    </xf>
    <xf numFmtId="0" fontId="5" fillId="34" borderId="5" xfId="0" applyFont="1" applyFill="1" applyBorder="1" applyAlignment="1">
      <alignment horizontal="center" vertical="center"/>
    </xf>
    <xf numFmtId="0" fontId="5" fillId="34" borderId="7" xfId="0" applyFont="1" applyFill="1" applyBorder="1" applyAlignment="1">
      <alignment horizontal="center" vertical="center"/>
    </xf>
    <xf numFmtId="0" fontId="5" fillId="34" borderId="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0" fillId="29" borderId="1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5" fillId="33" borderId="1" xfId="0" applyFont="1" applyFill="1" applyBorder="1" applyAlignment="1">
      <alignment horizontal="center" vertical="center"/>
    </xf>
    <xf numFmtId="0" fontId="26" fillId="37" borderId="6" xfId="0" applyFont="1" applyFill="1" applyBorder="1" applyAlignment="1">
      <alignment horizontal="center" vertical="center" wrapText="1"/>
    </xf>
    <xf numFmtId="0" fontId="26" fillId="37" borderId="9" xfId="0" applyFont="1" applyFill="1" applyBorder="1" applyAlignment="1">
      <alignment horizontal="center" vertical="center" wrapText="1"/>
    </xf>
    <xf numFmtId="0" fontId="27" fillId="39" borderId="1" xfId="0" applyFont="1" applyFill="1" applyBorder="1" applyAlignment="1">
      <alignment horizontal="center" vertical="center"/>
    </xf>
    <xf numFmtId="0" fontId="27" fillId="4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1" fillId="0" borderId="1" xfId="0" applyFont="1" applyBorder="1"/>
    <xf numFmtId="0" fontId="31" fillId="3" borderId="1" xfId="0" applyFont="1" applyFill="1" applyBorder="1"/>
    <xf numFmtId="0" fontId="31" fillId="0" borderId="2" xfId="0" applyFont="1" applyBorder="1"/>
    <xf numFmtId="0" fontId="31" fillId="0" borderId="5" xfId="0" applyFont="1" applyBorder="1"/>
    <xf numFmtId="0" fontId="31" fillId="0" borderId="2" xfId="0" applyFont="1" applyBorder="1" applyAlignment="1">
      <alignment horizontal="center" vertical="center" wrapText="1"/>
    </xf>
  </cellXfs>
  <cellStyles count="2">
    <cellStyle name="Heading 2" xfId="1" builtinId="17"/>
    <cellStyle name="Normal" xfId="0" builtinId="0"/>
  </cellStyles>
  <dxfs count="361"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[$-1010000]yyyy/mm/dd;@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2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[$-1010000]yyyy/mm/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[$-1010000]yyyy/mm/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fill>
        <patternFill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top style="thick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7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rgb="FFFF0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>
          <fgColor indexed="64"/>
          <bgColor rgb="FFFF0000"/>
        </patternFill>
      </fill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rgb="FFFF0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>
          <fgColor indexed="64"/>
          <bgColor rgb="FFFF0000"/>
        </patternFill>
      </fill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>
          <fgColor indexed="64"/>
          <bgColor theme="5" tint="-0.499984740745262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rgb="FFFF0000"/>
        </patternFill>
      </fill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rgb="FFFF0000"/>
        </patternFill>
      </fill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5" tint="-0.499984740745262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rgb="FFFF0000"/>
        </patternFill>
      </fill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rgb="FFFF0000"/>
        </patternFill>
      </fill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8" tint="-0.249977111117893"/>
        </patternFill>
      </fill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8"/>
        <color theme="0"/>
        <name val="Arial"/>
        <scheme val="minor"/>
      </font>
      <fill>
        <patternFill>
          <fgColor indexed="64"/>
          <bgColor theme="8" tint="-0.249977111117893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numFmt numFmtId="0" formatCode="General"/>
      <fill>
        <patternFill patternType="solid">
          <fgColor indexed="64"/>
          <bgColor rgb="FFFF0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6"/>
        <color theme="0"/>
        <name val="Arial"/>
        <scheme val="minor"/>
      </font>
      <fill>
        <patternFill>
          <fgColor indexed="64"/>
          <bgColor theme="5" tint="-0.249977111117893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scheme val="minor"/>
      </font>
      <fill>
        <patternFill patternType="solid">
          <fgColor indexed="64"/>
          <bgColor theme="9" tint="-0.49998474074526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8"/>
        <color theme="0"/>
        <name val="Arial"/>
        <scheme val="minor"/>
      </font>
      <fill>
        <patternFill>
          <fgColor indexed="64"/>
          <bgColor theme="9" tint="-0.499984740745262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88;&#1585;&#1603;&#1577;\&#1605;&#1593;&#1575;&#1588;&#1575;&#1578;\2022\&#1603;&#1588;&#1601;%20&#1575;&#1604;&#1601;&#1585;&#1608;&#1593;%20&#1575;&#1604;&#1582;&#1575;&#1585;&#1580;&#1610;&#1577;%20&#1583;&#1601;&#1593;&#1575;&#1578;%20&#1575;&#1604;&#1605;&#1593;&#1575;&#1588;&#1575;&#1578;%20&#1593;&#1575;&#1605;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88;&#1585;&#1603;&#1577;\&#1605;&#1593;&#1575;&#1588;&#1575;&#1578;\&#1605;&#1581;&#1587;&#1606;%20&#1603;&#1588;&#1601;%20&#1589;&#1585;&#1601;%20&#1583;&#1601;&#1593;&#1577;%20&#1605;&#1606;%20&#1605;&#1603;&#1575;&#1601;&#1571;&#1577;%20&#1606;&#1607;&#1575;&#1610;&#1577;%20&#1575;&#1604;&#1582;&#1583;&#1605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مستحقين للمعاش مع التوقيع"/>
      <sheetName val="أسماء المحالين للمعاش (القاهرة)"/>
      <sheetName val="الوفيات والورثة"/>
      <sheetName val="أسماء المحالين للمعاش (السويس)"/>
      <sheetName val="أسماء المحالين للمعاش(اسكندرية)"/>
      <sheetName val="أسماء المحالين للمعاش(قنا)"/>
      <sheetName val="أسماء المحالين للمعاش(سفاجا)"/>
      <sheetName val="بيانات"/>
      <sheetName val="إجمالي المستحق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10">
          <cell r="D10" t="str">
            <v>رمضان مبارك بدوي</v>
          </cell>
          <cell r="AC10">
            <v>500</v>
          </cell>
          <cell r="AH10">
            <v>2000</v>
          </cell>
        </row>
        <row r="11">
          <cell r="D11" t="str">
            <v>سريان مايز يوحنا</v>
          </cell>
          <cell r="AC11">
            <v>500</v>
          </cell>
          <cell r="AE11">
            <v>1500</v>
          </cell>
          <cell r="AH11">
            <v>1500</v>
          </cell>
        </row>
        <row r="12">
          <cell r="D12" t="str">
            <v>عبد النبي مبارك أحمد</v>
          </cell>
          <cell r="AC12">
            <v>500</v>
          </cell>
          <cell r="AF12">
            <v>1500</v>
          </cell>
          <cell r="AH12">
            <v>3000</v>
          </cell>
        </row>
        <row r="13">
          <cell r="D13" t="str">
            <v>أنور أحمد إبراهيم</v>
          </cell>
          <cell r="AC13">
            <v>500</v>
          </cell>
        </row>
        <row r="14">
          <cell r="D14" t="str">
            <v>عبد الحي السيد أحمد</v>
          </cell>
          <cell r="AC14">
            <v>500</v>
          </cell>
          <cell r="AF14">
            <v>1500</v>
          </cell>
          <cell r="AH14">
            <v>1433.02</v>
          </cell>
        </row>
        <row r="15">
          <cell r="D15" t="str">
            <v>أحمد علي محمود</v>
          </cell>
          <cell r="AC15">
            <v>500</v>
          </cell>
          <cell r="AH15">
            <v>2500</v>
          </cell>
        </row>
        <row r="16">
          <cell r="D16" t="str">
            <v>عز الدين عطا</v>
          </cell>
          <cell r="AC16">
            <v>500</v>
          </cell>
          <cell r="AH16">
            <v>2000</v>
          </cell>
        </row>
        <row r="17">
          <cell r="D17" t="str">
            <v>عوض الله جلال عبد السلام</v>
          </cell>
          <cell r="AC17">
            <v>500</v>
          </cell>
        </row>
        <row r="18">
          <cell r="D18" t="str">
            <v>محمد مصطفى علي</v>
          </cell>
          <cell r="AC18">
            <v>500</v>
          </cell>
        </row>
        <row r="19">
          <cell r="D19" t="str">
            <v>شعبان سليم مبارك</v>
          </cell>
          <cell r="AC19">
            <v>500</v>
          </cell>
        </row>
        <row r="20">
          <cell r="D20" t="str">
            <v>إبراهيم حسن علي</v>
          </cell>
          <cell r="AC20">
            <v>500</v>
          </cell>
        </row>
        <row r="21">
          <cell r="D21" t="str">
            <v>عبد الصبور عطيتو إسماعيل</v>
          </cell>
          <cell r="AC21">
            <v>500</v>
          </cell>
          <cell r="AI21">
            <v>2000</v>
          </cell>
        </row>
        <row r="22">
          <cell r="D22" t="str">
            <v>شاذلي يوسف عبد اللطيف</v>
          </cell>
        </row>
        <row r="23">
          <cell r="D23" t="str">
            <v>محمود أحمد إسماعيل</v>
          </cell>
        </row>
        <row r="24">
          <cell r="D24" t="str">
            <v xml:space="preserve">عبد الغني إبراهيم أحمد </v>
          </cell>
          <cell r="AC24">
            <v>500</v>
          </cell>
          <cell r="AI24">
            <v>2427.7399999999998</v>
          </cell>
        </row>
        <row r="25">
          <cell r="D25" t="str">
            <v>شاذلي شعبان عباس</v>
          </cell>
          <cell r="AC25">
            <v>521.12</v>
          </cell>
        </row>
        <row r="26">
          <cell r="D26" t="str">
            <v>دسوقي محمود فكري</v>
          </cell>
          <cell r="AC26">
            <v>500</v>
          </cell>
          <cell r="AI26">
            <v>2133.38</v>
          </cell>
        </row>
        <row r="27">
          <cell r="D27" t="str">
            <v>سعيدة ثابت محمود مرسي</v>
          </cell>
          <cell r="AC27">
            <v>500</v>
          </cell>
          <cell r="AI27">
            <v>1500</v>
          </cell>
        </row>
        <row r="28">
          <cell r="D28" t="str">
            <v>مغربي عبيد أحمد</v>
          </cell>
        </row>
        <row r="29">
          <cell r="D29" t="str">
            <v>جابر عماري علي شاهين</v>
          </cell>
          <cell r="AC29">
            <v>62.32</v>
          </cell>
        </row>
        <row r="30">
          <cell r="D30" t="str">
            <v>أحمد بدري أحمد محمود</v>
          </cell>
          <cell r="AC30">
            <v>500</v>
          </cell>
        </row>
        <row r="31">
          <cell r="D31" t="str">
            <v>عامر أحمد محمد</v>
          </cell>
          <cell r="AC31">
            <v>500</v>
          </cell>
        </row>
        <row r="32">
          <cell r="D32" t="str">
            <v>أحمد محمود طلب</v>
          </cell>
          <cell r="AC32">
            <v>500</v>
          </cell>
          <cell r="AI32">
            <v>2000</v>
          </cell>
        </row>
        <row r="33">
          <cell r="D33" t="str">
            <v>محمد حسن إسماعيل</v>
          </cell>
          <cell r="AC33">
            <v>500</v>
          </cell>
          <cell r="AH33">
            <v>2000</v>
          </cell>
        </row>
        <row r="34">
          <cell r="D34" t="str">
            <v>روماني رياض عبد الشهيد</v>
          </cell>
          <cell r="AC34">
            <v>500</v>
          </cell>
        </row>
        <row r="35">
          <cell r="D35" t="str">
            <v>محمد حامد شارد</v>
          </cell>
          <cell r="AC35">
            <v>500</v>
          </cell>
        </row>
        <row r="36">
          <cell r="D36" t="str">
            <v>ربيع حمزة حسن</v>
          </cell>
          <cell r="AC36">
            <v>500</v>
          </cell>
          <cell r="AG36">
            <v>787.36</v>
          </cell>
        </row>
        <row r="37">
          <cell r="D37" t="str">
            <v>أحمد حميد محمد</v>
          </cell>
          <cell r="AC37">
            <v>500</v>
          </cell>
          <cell r="AD37">
            <v>1000</v>
          </cell>
          <cell r="AF37">
            <v>1500</v>
          </cell>
          <cell r="AH37">
            <v>1000</v>
          </cell>
        </row>
        <row r="38">
          <cell r="D38" t="str">
            <v>جابر مصطفى إسماعيل</v>
          </cell>
          <cell r="AC38">
            <v>500</v>
          </cell>
        </row>
        <row r="39">
          <cell r="D39" t="str">
            <v>عبد الرحمن أبو المجد محمد</v>
          </cell>
          <cell r="AC39">
            <v>500</v>
          </cell>
          <cell r="AF39">
            <v>1500</v>
          </cell>
          <cell r="AH39">
            <v>2000</v>
          </cell>
          <cell r="AI39">
            <v>1203.17</v>
          </cell>
        </row>
        <row r="40">
          <cell r="D40" t="str">
            <v>محمد حسن أحمد نصر</v>
          </cell>
          <cell r="AC40">
            <v>500</v>
          </cell>
          <cell r="AE40">
            <v>1000</v>
          </cell>
          <cell r="AH40">
            <v>500</v>
          </cell>
          <cell r="AI40">
            <v>1923.95</v>
          </cell>
        </row>
        <row r="41">
          <cell r="D41" t="str">
            <v>علي محمد علي حسين</v>
          </cell>
          <cell r="AC41">
            <v>500</v>
          </cell>
          <cell r="AG41">
            <v>2000</v>
          </cell>
        </row>
        <row r="42">
          <cell r="D42" t="str">
            <v>محسوب عمران أحمد</v>
          </cell>
          <cell r="AC42">
            <v>500</v>
          </cell>
          <cell r="AI42">
            <v>2086.2199999999998</v>
          </cell>
        </row>
        <row r="43">
          <cell r="D43" t="str">
            <v>خلف السيد حجازي</v>
          </cell>
        </row>
        <row r="44">
          <cell r="D44" t="str">
            <v>محمود أحمد الصغير</v>
          </cell>
          <cell r="AC44">
            <v>500</v>
          </cell>
          <cell r="AG44">
            <v>2000</v>
          </cell>
          <cell r="AI44">
            <v>955.43</v>
          </cell>
        </row>
        <row r="45">
          <cell r="D45" t="str">
            <v>محمد مصطفى أحمد</v>
          </cell>
          <cell r="AC45">
            <v>500</v>
          </cell>
          <cell r="AH45">
            <v>2000</v>
          </cell>
        </row>
        <row r="46">
          <cell r="D46" t="str">
            <v>عزت حسن أحمد</v>
          </cell>
          <cell r="AH46">
            <v>3000</v>
          </cell>
        </row>
        <row r="47">
          <cell r="D47" t="str">
            <v>رميس ناشد رميس شنودة</v>
          </cell>
          <cell r="AG47">
            <v>1000</v>
          </cell>
        </row>
        <row r="50">
          <cell r="D50" t="str">
            <v>الورثة وحالات الوفاة :</v>
          </cell>
        </row>
        <row r="51">
          <cell r="D51" t="str">
            <v>مصطفى حامد حسين</v>
          </cell>
          <cell r="AC51">
            <v>500</v>
          </cell>
          <cell r="AI51">
            <v>1500</v>
          </cell>
        </row>
        <row r="52">
          <cell r="D52" t="str">
            <v>صابر حجاجي معوض</v>
          </cell>
          <cell r="AC52">
            <v>500</v>
          </cell>
          <cell r="AI52">
            <v>1500</v>
          </cell>
        </row>
        <row r="53">
          <cell r="D53" t="str">
            <v>منتصر حامد حسين</v>
          </cell>
          <cell r="AC53">
            <v>500</v>
          </cell>
          <cell r="AI53">
            <v>1500</v>
          </cell>
        </row>
        <row r="54">
          <cell r="D54" t="str">
            <v>محمد محمد محمد نوفل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مستحقين للمعاش مع التوقيع"/>
      <sheetName val="أسماء المحالين للمعاش (القاهرة)"/>
      <sheetName val="الوفيات والورثة"/>
      <sheetName val="أسماء المحالين للمعاش (السويس)"/>
      <sheetName val="أسماء المحالين للمعاش(اسكندرية)"/>
      <sheetName val="أسماء المحالين للمعاش(قنا)"/>
      <sheetName val="أسماء المحالين للمعاش(سفاجا)"/>
      <sheetName val="إجمالي المستحق"/>
      <sheetName val="بيانات للطباعة"/>
    </sheetNames>
    <sheetDataSet>
      <sheetData sheetId="0" refreshError="1"/>
      <sheetData sheetId="1" refreshError="1"/>
      <sheetData sheetId="2" refreshError="1"/>
      <sheetData sheetId="3" refreshError="1">
        <row r="23">
          <cell r="K23">
            <v>11453</v>
          </cell>
        </row>
        <row r="26">
          <cell r="K26">
            <v>1000</v>
          </cell>
        </row>
      </sheetData>
      <sheetData sheetId="4" refreshError="1">
        <row r="28">
          <cell r="K28">
            <v>20322.490000000002</v>
          </cell>
        </row>
        <row r="31">
          <cell r="K31">
            <v>8054.07</v>
          </cell>
        </row>
        <row r="32">
          <cell r="K32">
            <v>6949.82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6" name="بيان.معاشات.القاهرة" displayName="بيان.معاشات.القاهرة" ref="C7:AK115" totalsRowCount="1" headerRowDxfId="360" dataDxfId="359" totalsRowDxfId="358">
  <autoFilter ref="C7:AK114"/>
  <tableColumns count="35">
    <tableColumn id="1" name="م" totalsRowLabel="الإجمالي" totalsRowDxfId="357"/>
    <tableColumn id="2" name="الإسم" totalsRowDxfId="356"/>
    <tableColumn id="3" name="الصفحة" totalsRowDxfId="355"/>
    <tableColumn id="4" name="تاريخ الخروج" totalsRowDxfId="354"/>
    <tableColumn id="5" name="تاريخ الوفاة" totalsRowDxfId="353"/>
    <tableColumn id="6" name="منحة 6شهور" totalsRowFunction="sum" totalsRowDxfId="352"/>
    <tableColumn id="7" name="مستحقات" totalsRowFunction="sum" totalsRowDxfId="351"/>
    <tableColumn id="8" name="مقابل نقدي" totalsRowFunction="sum" totalsRowDxfId="350"/>
    <tableColumn id="9" name="عدد أيام الأجازات" totalsRowDxfId="349"/>
    <tableColumn id="10" name="إجمالي المستحق" totalsRowFunction="sum" totalsRowDxfId="348">
      <calculatedColumnFormula>SUM(بيان.معاشات.القاهرة[[#This Row],[منحة 6شهور]:[مقابل نقدي]])</calculatedColumnFormula>
    </tableColumn>
    <tableColumn id="12" name="المنصرف" totalsRowFunction="sum" totalsRowDxfId="347">
      <calculatedColumnFormula>بيان.معاشات.القاهرة[[#This Row],[إجمالي الدفعات]]</calculatedColumnFormula>
    </tableColumn>
    <tableColumn id="13" name="المتبقي" totalsRowFunction="sum" totalsRowDxfId="346">
      <calculatedColumnFormula>بيان.معاشات.القاهرة[[#This Row],[إجمالي المستحق]]-بيان.معاشات.القاهرة[[#This Row],[المنصرف]]</calculatedColumnFormula>
    </tableColumn>
    <tableColumn id="35" name="المتبقي بعد 1-" totalsRowFunction="sum" totalsRowDxfId="345">
      <calculatedColumnFormula>IF(بيان.معاشات.القاهرة[[#This Row],[المتبقي]]&lt;0,0,بيان.معاشات.القاهرة[[#This Row],[المتبقي]])</calculatedColumnFormula>
    </tableColumn>
    <tableColumn id="14" name="المتبقي من المنحة" totalsRowFunction="sum" totalsRowDxfId="344">
      <calculatedColumnFormula>(بيان.معاشات.القاهرة[[#This Row],[منحة 6شهور]]+بيان.معاشات.القاهرة[[#This Row],[مستحقات]])-بيان.معاشات.القاهرة[[#This Row],[المنصرف]]</calculatedColumnFormula>
    </tableColumn>
    <tableColumn id="36" name="المتبقي من المنحة بعد 1-" totalsRowFunction="sum" totalsRowDxfId="343">
      <calculatedColumnFormula>IF(بيان.معاشات.القاهرة[[#This Row],[المتبقي من المنحة]]&lt;0,0,بيان.معاشات.القاهرة[[#This Row],[المتبقي من المنحة]])</calculatedColumnFormula>
    </tableColumn>
    <tableColumn id="15" name="رقم البطاقة" totalsRowDxfId="342"/>
    <tableColumn id="16" name="المستلم عنه" totalsRowDxfId="341"/>
    <tableColumn id="18" name="ملاحظات" totalsRowDxfId="340"/>
    <tableColumn id="19" name="عمود1" totalsRowDxfId="339"/>
    <tableColumn id="11" name="المنصرف قبل الاستلام" totalsRowDxfId="338"/>
    <tableColumn id="20" name="ما تم صرفه من 7/2021 حتى31/12/2022" totalsRowDxfId="337"/>
    <tableColumn id="21" name="إجمالي الدفعات" totalsRowFunction="sum" totalsRowDxfId="336">
      <calculatedColumnFormula>بيان.معاشات.القاهرة[[#This Row],[المنصرف قبل الاستلام]]+بيان.معاشات.القاهرة[[#This Row],[ما تم صرفه من 7/2021 حتى31/12/2022]]+بيان.معاشات.القاهرة[[#This Row],[إجمالي دفعات 2023]]</calculatedColumnFormula>
    </tableColumn>
    <tableColumn id="22" name="إجمالي دفعات 2023" totalsRowFunction="sum" totalsRowDxfId="335">
      <calculatedColumnFormula>SUM(بيان.معاشات.القاهرة[[#This Row],[يناير-23]:[ديسمبر-23]])</calculatedColumnFormula>
    </tableColumn>
    <tableColumn id="23" name="يناير-23" totalsRowFunction="sum" totalsRowDxfId="334"/>
    <tableColumn id="24" name="فبراير-23" totalsRowFunction="sum" totalsRowDxfId="333"/>
    <tableColumn id="25" name="مارس-23" totalsRowFunction="sum" totalsRowDxfId="332"/>
    <tableColumn id="26" name="أبريل-23" totalsRowFunction="sum" totalsRowDxfId="331"/>
    <tableColumn id="27" name="مايو-23" totalsRowFunction="sum" totalsRowDxfId="330"/>
    <tableColumn id="28" name="يونيو-23" totalsRowFunction="sum" totalsRowDxfId="329"/>
    <tableColumn id="29" name="يوليه-23" totalsRowFunction="sum" totalsRowDxfId="328"/>
    <tableColumn id="30" name="أغسطس-23" totalsRowFunction="sum" totalsRowDxfId="327"/>
    <tableColumn id="31" name="سبتمبر-23" totalsRowFunction="sum" totalsRowDxfId="326"/>
    <tableColumn id="32" name="أكتوبر-23" totalsRowFunction="sum" totalsRowDxfId="325"/>
    <tableColumn id="33" name="نوفمبر-23" totalsRowFunction="sum" totalsRowDxfId="324"/>
    <tableColumn id="34" name="ديسمبر-23" totalsRowFunction="sum" totalsRowDxfId="323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id="12" name="الجدول12" displayName="الجدول12" ref="U239:X245" totalsRowShown="0" headerRowDxfId="35" dataDxfId="34" tableBorderDxfId="33">
  <autoFilter ref="U239:X245"/>
  <tableColumns count="4">
    <tableColumn id="1" name="أحياء " dataDxfId="32"/>
    <tableColumn id="2" name="وفيات" dataDxfId="31"/>
    <tableColumn id="3" name="الفرع" dataDxfId="30"/>
    <tableColumn id="4" name="إجمالي المستحق" dataDxfId="29">
      <calculatedColumnFormula>L239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3" name="الجدول13" displayName="الجدول13" ref="K246:P257" totalsRowCount="1" headerRowDxfId="28" dataDxfId="26" totalsRowDxfId="24" headerRowBorderDxfId="27" tableBorderDxfId="25" totalsRowBorderDxfId="23">
  <autoFilter ref="K246:P256"/>
  <tableColumns count="6">
    <tableColumn id="1" name="الحالة" totalsRowLabel="الإجمالي" dataDxfId="22" totalsRowDxfId="21"/>
    <tableColumn id="2" name="إجمالي المستحق" totalsRowFunction="sum" dataDxfId="20" totalsRowDxfId="19"/>
    <tableColumn id="3" name="المنصرف" totalsRowFunction="sum" dataDxfId="18" totalsRowDxfId="17"/>
    <tableColumn id="4" name="المتبقي" totalsRowFunction="sum" dataDxfId="16" totalsRowDxfId="15"/>
    <tableColumn id="5" name="المتبقي من المنحة" totalsRowFunction="sum" dataDxfId="14" totalsRowDxfId="13"/>
    <tableColumn id="6" name="المتبقي من المقابل النقدي" totalsRowFunction="sum" dataDxfId="12" totalsRow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8" name="الجدول8" displayName="الجدول8" ref="D6:H56" totalsRowShown="0" headerRowDxfId="10" dataDxfId="8" headerRowBorderDxfId="9" tableBorderDxfId="7" totalsRowBorderDxfId="6">
  <autoFilter ref="D6:H56"/>
  <tableColumns count="5">
    <tableColumn id="1" name="م" dataDxfId="5"/>
    <tableColumn id="2" name="الاسم" dataDxfId="4"/>
    <tableColumn id="3" name="تاريخ المعاش" dataDxfId="3"/>
    <tableColumn id="4" name="الفرع" dataDxfId="2"/>
    <tableColumn id="5" name="ملاحظات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بيان.معاشات.السويس" displayName="بيان.معاشات.السويس" ref="C8:AJ28" totalsRowCount="1" headerRowDxfId="322" dataDxfId="320" totalsRowDxfId="319" headerRowBorderDxfId="321">
  <autoFilter ref="C8:AJ27"/>
  <tableColumns count="34">
    <tableColumn id="1" name="م" totalsRowLabel="الإجمالي" totalsRowDxfId="318"/>
    <tableColumn id="2" name="الإسم" dataDxfId="317" totalsRowDxfId="316"/>
    <tableColumn id="3" name="صفحة" dataDxfId="315" totalsRowDxfId="314"/>
    <tableColumn id="4" name="تاريخ الخروج" dataDxfId="313" totalsRowDxfId="312"/>
    <tableColumn id="5" name="تاريخ الوفاة" totalsRowDxfId="311"/>
    <tableColumn id="6" name="منحة 6شهور" totalsRowFunction="sum" totalsRowDxfId="310"/>
    <tableColumn id="7" name="مستحقات" totalsRowFunction="sum" totalsRowDxfId="309"/>
    <tableColumn id="8" name="مقابل نقدي" totalsRowFunction="custom" totalsRowDxfId="308">
      <totalsRowFormula>SUBTOTAL(109,بيان.معاشات.السويس[مستحقات])</totalsRowFormula>
    </tableColumn>
    <tableColumn id="9" name="رصيد أجازات" totalsRowDxfId="307"/>
    <tableColumn id="10" name="إجمالي المستحق" totalsRowFunction="sum" totalsRowDxfId="306">
      <calculatedColumnFormula>SUM(بيان.معاشات.السويس[[#This Row],[منحة 6شهور]:[مقابل نقدي]])</calculatedColumnFormula>
    </tableColumn>
    <tableColumn id="12" name="إجمالي المنصرف" totalsRowFunction="sum" totalsRowDxfId="305">
      <calculatedColumnFormula>+بيان.معاشات.السويس[[#This Row],[إجمالي الدفعات]]</calculatedColumnFormula>
    </tableColumn>
    <tableColumn id="13" name="المتبقي" totalsRowDxfId="304">
      <calculatedColumnFormula>بيان.معاشات.السويس[[#This Row],[إجمالي المستحق]]-بيان.معاشات.السويس[[#This Row],[إجمالي المنصرف]]</calculatedColumnFormula>
    </tableColumn>
    <tableColumn id="34" name="المتبقي بعد 1-" totalsRowFunction="sum" dataDxfId="303" totalsRowDxfId="302">
      <calculatedColumnFormula>IF(بيان.معاشات.السويس[[#This Row],[المتبقي]]&lt;0,0,بيان.معاشات.السويس[[#This Row],[المتبقي]])</calculatedColumnFormula>
    </tableColumn>
    <tableColumn id="14" name="المتبقي من المنحة" totalsRowDxfId="301">
      <calculatedColumnFormula>(بيان.معاشات.السويس[[#This Row],[منحة 6شهور]]+بيان.معاشات.السويس[[#This Row],[مستحقات]])-بيان.معاشات.السويس[[#This Row],[إجمالي المنصرف]]</calculatedColumnFormula>
    </tableColumn>
    <tableColumn id="33" name="المتبقي من المنحة بعد  1-" totalsRowFunction="sum" dataDxfId="300" totalsRowDxfId="299">
      <calculatedColumnFormula>IF(بيان.معاشات.السويس[[#This Row],[المتبقي من المنحة]]&lt;0,0,بيان.معاشات.السويس[[#This Row],[المتبقي من المنحة]])</calculatedColumnFormula>
    </tableColumn>
    <tableColumn id="15" name="رقم البطاقة" totalsRowDxfId="298"/>
    <tableColumn id="16" name="ملاحظات" totalsRowDxfId="297"/>
    <tableColumn id="17" name="عمود1" totalsRowDxfId="296"/>
    <tableColumn id="11" name="المنصرف قبل الاستلام" totalsRowDxfId="295"/>
    <tableColumn id="18" name="ما تم صرفه من7/2021 حتى12/2022" totalsRowDxfId="294"/>
    <tableColumn id="19" name="إجمالي الدفعات" totalsRowFunction="sum" totalsRowDxfId="293">
      <calculatedColumnFormula>بيان.معاشات.السويس[[#This Row],[المنصرف قبل الاستلام]]+بيان.معاشات.السويس[[#This Row],[ما تم صرفه من7/2021 حتى12/2022]]+بيان.معاشات.السويس[[#This Row],[إجمالي دفعات 2023]]</calculatedColumnFormula>
    </tableColumn>
    <tableColumn id="20" name="إجمالي دفعات 2023" totalsRowFunction="sum" totalsRowDxfId="292">
      <calculatedColumnFormula>SUM(بيان.معاشات.السويس[[#This Row],[يناير-23]:[ديسمبر-23]])</calculatedColumnFormula>
    </tableColumn>
    <tableColumn id="21" name="يناير-23" totalsRowFunction="sum" totalsRowDxfId="291"/>
    <tableColumn id="22" name="فبراير-23" totalsRowFunction="sum" totalsRowDxfId="290"/>
    <tableColumn id="23" name="مارس-23" totalsRowFunction="sum" totalsRowDxfId="289"/>
    <tableColumn id="24" name="أبريل-23" totalsRowFunction="sum" totalsRowDxfId="288"/>
    <tableColumn id="25" name="مايو-23" totalsRowFunction="sum" totalsRowDxfId="287"/>
    <tableColumn id="26" name="يونيو-23" totalsRowFunction="sum" totalsRowDxfId="286"/>
    <tableColumn id="27" name="يوليه-23" totalsRowFunction="sum" totalsRowDxfId="285"/>
    <tableColumn id="28" name="أغسطس-23" totalsRowFunction="sum" totalsRowDxfId="284"/>
    <tableColumn id="29" name="سبتمبر-23" totalsRowFunction="sum" totalsRowDxfId="283"/>
    <tableColumn id="30" name="أكتوبر-23" totalsRowFunction="sum" totalsRowDxfId="282"/>
    <tableColumn id="31" name="نوفمبر-23" totalsRowFunction="sum" totalsRowDxfId="281"/>
    <tableColumn id="32" name="ديسمبر-23" totalsRowFunction="sum" totalsRowDxfId="28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3" name="بيان.معاشات.اسكندرية" displayName="بيان.معاشات.اسكندرية" ref="C7:AK31" totalsRowCount="1" headerRowDxfId="279" dataDxfId="277" totalsRowDxfId="275" headerRowBorderDxfId="278" tableBorderDxfId="276" totalsRowBorderDxfId="274">
  <autoFilter ref="C7:AK30"/>
  <tableColumns count="35">
    <tableColumn id="1" name="م" totalsRowLabel="الإجمالي" dataDxfId="273" totalsRowDxfId="272"/>
    <tableColumn id="2" name="الإسم" totalsRowDxfId="271"/>
    <tableColumn id="3" name="صفحة" totalsRowDxfId="270"/>
    <tableColumn id="4" name="تاريخ خروج" totalsRowDxfId="269"/>
    <tableColumn id="5" name="تاريخ وفاة" totalsRowDxfId="268"/>
    <tableColumn id="6" name="المنحة" totalsRowFunction="sum" totalsRowDxfId="267"/>
    <tableColumn id="7" name="مستحقات" totalsRowFunction="sum" totalsRowDxfId="266"/>
    <tableColumn id="8" name="مقابل نقدي" totalsRowFunction="sum" totalsRowDxfId="265"/>
    <tableColumn id="9" name="رصيد أجازات" totalsRowDxfId="264"/>
    <tableColumn id="10" name="إجمالي المستحق" totalsRowFunction="sum" totalsRowDxfId="263">
      <calculatedColumnFormula>SUM(بيان.معاشات.اسكندرية[[#This Row],[المنحة]:[مقابل نقدي]])</calculatedColumnFormula>
    </tableColumn>
    <tableColumn id="12" name="إجمالي المنصرف" totalsRowFunction="sum" totalsRowDxfId="262">
      <calculatedColumnFormula>بيان.معاشات.اسكندرية[[#This Row],[إجمالي الدفعات]]</calculatedColumnFormula>
    </tableColumn>
    <tableColumn id="13" name="المتبقي" totalsRowFunction="sum" totalsRowDxfId="261">
      <calculatedColumnFormula>بيان.معاشات.اسكندرية[[#This Row],[إجمالي المستحق]]-بيان.معاشات.اسكندرية[[#This Row],[إجمالي المنصرف]]</calculatedColumnFormula>
    </tableColumn>
    <tableColumn id="34" name="المتبقي 1-" totalsRowFunction="sum" dataDxfId="260" totalsRowDxfId="259">
      <calculatedColumnFormula>IF(بيان.معاشات.اسكندرية[[#This Row],[المتبقي]]&lt;0,0,بيان.معاشات.اسكندرية[[#This Row],[المتبقي]])</calculatedColumnFormula>
    </tableColumn>
    <tableColumn id="14" name="المتبقي من المنحة" totalsRowFunction="sum" dataDxfId="258" totalsRowDxfId="257">
      <calculatedColumnFormula>(بيان.معاشات.اسكندرية[[#This Row],[المنحة]]+بيان.معاشات.اسكندرية[[#This Row],[مستحقات]])-بيان.معاشات.اسكندرية[[#This Row],[إجمالي المنصرف]]</calculatedColumnFormula>
    </tableColumn>
    <tableColumn id="35" name="المتبقي من المنحة 1-" totalsRowFunction="sum" dataDxfId="256" totalsRowDxfId="255">
      <calculatedColumnFormula>IF(بيان.معاشات.اسكندرية[[#This Row],[المتبقي من المنحة]]&lt;0,0,بيان.معاشات.اسكندرية[[#This Row],[المتبقي من المنحة]])</calculatedColumnFormula>
    </tableColumn>
    <tableColumn id="15" name="رقم البطاقة" dataDxfId="254" totalsRowDxfId="253"/>
    <tableColumn id="16" name="المستلم عنه" totalsRowDxfId="252"/>
    <tableColumn id="17" name="ملاحظات" totalsRowDxfId="251"/>
    <tableColumn id="18" name="عمود1" totalsRowDxfId="250"/>
    <tableColumn id="11" name="المنصرف قبل الاستلام" totalsRowDxfId="249"/>
    <tableColumn id="19" name="ما تم صرفة من7/2021 حتى12/2022" totalsRowDxfId="248"/>
    <tableColumn id="20" name="إجمالي الدفعات" totalsRowFunction="sum" totalsRowDxfId="247">
      <calculatedColumnFormula>بيان.معاشات.اسكندرية[[#This Row],[المنصرف قبل الاستلام]]+بيان.معاشات.اسكندرية[[#This Row],[ما تم صرفة من7/2021 حتى12/2022]]+بيان.معاشات.اسكندرية[[#This Row],[إجمالي دفعات 2023]]</calculatedColumnFormula>
    </tableColumn>
    <tableColumn id="21" name="إجمالي دفعات 2023" totalsRowFunction="sum" totalsRowDxfId="246">
      <calculatedColumnFormula>SUM(بيان.معاشات.اسكندرية[[#This Row],[يناير-23]:[ديسمبر-23]])</calculatedColumnFormula>
    </tableColumn>
    <tableColumn id="22" name="يناير-23" totalsRowFunction="sum" totalsRowDxfId="245"/>
    <tableColumn id="23" name="فبراير-23" totalsRowFunction="sum" totalsRowDxfId="244"/>
    <tableColumn id="24" name="مارس-23" totalsRowFunction="sum" totalsRowDxfId="243"/>
    <tableColumn id="25" name="أبريل-23" totalsRowFunction="sum" totalsRowDxfId="242"/>
    <tableColumn id="26" name="مايو-23" totalsRowFunction="sum" totalsRowDxfId="241"/>
    <tableColumn id="27" name="يونيو-23" totalsRowFunction="sum" totalsRowDxfId="240"/>
    <tableColumn id="28" name="يوليه-23" totalsRowFunction="sum" totalsRowDxfId="239"/>
    <tableColumn id="29" name="أغسطس-23" totalsRowFunction="sum" totalsRowDxfId="238"/>
    <tableColumn id="30" name="سبتمبر-23" totalsRowFunction="sum" totalsRowDxfId="237"/>
    <tableColumn id="31" name="أكتوبر-23" totalsRowFunction="sum" totalsRowDxfId="236"/>
    <tableColumn id="32" name="نوفمبر-23" totalsRowFunction="sum" totalsRowDxfId="235"/>
    <tableColumn id="33" name="ديسمبر-23" totalsRowFunction="sum" totalsRowDxfId="23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بيان.معاشات.قنا" displayName="بيان.معاشات.قنا" ref="C7:AJ46" totalsRowCount="1" headerRowDxfId="233" dataDxfId="231" totalsRowDxfId="230" headerRowBorderDxfId="232">
  <autoFilter ref="C7:AJ45"/>
  <tableColumns count="34">
    <tableColumn id="1" name="م" totalsRowLabel="الإجمالي" dataDxfId="229" totalsRowDxfId="228"/>
    <tableColumn id="2" name="الإسم" dataDxfId="227" totalsRowDxfId="226"/>
    <tableColumn id="3" name="صفحة" dataDxfId="225" totalsRowDxfId="224"/>
    <tableColumn id="4" name="تاريخ الخروج" dataDxfId="223" totalsRowDxfId="222"/>
    <tableColumn id="5" name="تاريخ الوفاة" totalsRowDxfId="221"/>
    <tableColumn id="6" name="المنحة" totalsRowFunction="sum" totalsRowDxfId="220"/>
    <tableColumn id="7" name="مستحقات" totalsRowFunction="sum" totalsRowDxfId="219"/>
    <tableColumn id="8" name="مقابل نقدي" totalsRowFunction="sum" totalsRowDxfId="218"/>
    <tableColumn id="9" name="عدد أيام" totalsRowDxfId="217"/>
    <tableColumn id="10" name="إجمالي المستحق" totalsRowFunction="sum" totalsRowDxfId="216">
      <calculatedColumnFormula>SUM(بيان.معاشات.قنا[[#This Row],[المنحة]:[مقابل نقدي]])</calculatedColumnFormula>
    </tableColumn>
    <tableColumn id="12" name="إجمالي المنصرف" totalsRowFunction="sum" totalsRowDxfId="215">
      <calculatedColumnFormula>بيان.معاشات.قنا[[#This Row],[إجمالي الدفعات]]</calculatedColumnFormula>
    </tableColumn>
    <tableColumn id="13" name="المتبقي" totalsRowFunction="sum" totalsRowDxfId="214">
      <calculatedColumnFormula>بيان.معاشات.قنا[[#This Row],[إجمالي المستحق]]-بيان.معاشات.قنا[[#This Row],[إجمالي المنصرف]]</calculatedColumnFormula>
    </tableColumn>
    <tableColumn id="33" name="المتبقي 1-" totalsRowFunction="sum" dataDxfId="213" totalsRowDxfId="212">
      <calculatedColumnFormula>IF(بيان.معاشات.قنا[[#This Row],[المتبقي]]&lt;0,0,بيان.معاشات.قنا[[#This Row],[المتبقي]])</calculatedColumnFormula>
    </tableColumn>
    <tableColumn id="14" name="المتبقي من المنحة" totalsRowFunction="sum" dataDxfId="211" totalsRowDxfId="210">
      <calculatedColumnFormula>(بيان.معاشات.قنا[[#This Row],[المنحة]]+بيان.معاشات.قنا[[#This Row],[مستحقات]])-بيان.معاشات.قنا[[#This Row],[إجمالي المنصرف]]</calculatedColumnFormula>
    </tableColumn>
    <tableColumn id="34" name="المتبقي من المنحة 1-" totalsRowFunction="sum" dataDxfId="209" totalsRowDxfId="208">
      <calculatedColumnFormula>IF(بيان.معاشات.قنا[[#This Row],[المتبقي من المنحة]]&lt;0,0,بيان.معاشات.قنا[[#This Row],[المتبقي من المنحة]])</calculatedColumnFormula>
    </tableColumn>
    <tableColumn id="15" name="رقم البطاقة" dataDxfId="207" totalsRowDxfId="206"/>
    <tableColumn id="16" name="ملاحظات" totalsRowDxfId="205"/>
    <tableColumn id="17" name="عمود1" dataDxfId="204" totalsRowDxfId="203"/>
    <tableColumn id="11" name="المنصرف قبل الاستلام" totalsRowDxfId="202"/>
    <tableColumn id="18" name="ما تم صرفه من 7/2021 حتى12/2022" totalsRowDxfId="201"/>
    <tableColumn id="19" name="إجمالي الدفعات" totalsRowFunction="sum" totalsRowDxfId="200">
      <calculatedColumnFormula>بيان.معاشات.قنا[[#This Row],[المنصرف قبل الاستلام]]+بيان.معاشات.قنا[[#This Row],[ما تم صرفه من 7/2021 حتى12/2022]]+بيان.معاشات.قنا[[#This Row],[إجمالي دفعات 2023]]</calculatedColumnFormula>
    </tableColumn>
    <tableColumn id="20" name="إجمالي دفعات 2023" totalsRowFunction="sum" totalsRowDxfId="199">
      <calculatedColumnFormula>SUM(بيان.معاشات.قنا[[#This Row],[يناير-23]:[ديسمبر-23]])</calculatedColumnFormula>
    </tableColumn>
    <tableColumn id="21" name="يناير-23" totalsRowFunction="sum" totalsRowDxfId="198"/>
    <tableColumn id="22" name="فبراير-23" totalsRowFunction="sum" totalsRowDxfId="197"/>
    <tableColumn id="23" name="مارس-23" totalsRowFunction="sum" totalsRowDxfId="196"/>
    <tableColumn id="24" name="أبريل-23" totalsRowFunction="sum" totalsRowDxfId="195"/>
    <tableColumn id="25" name="مايو-23" totalsRowFunction="sum" totalsRowDxfId="194"/>
    <tableColumn id="26" name="يونيو-23" totalsRowFunction="sum" totalsRowDxfId="193"/>
    <tableColumn id="27" name="يوليه-23" totalsRowFunction="sum" totalsRowDxfId="192"/>
    <tableColumn id="28" name="أغسطس-23" totalsRowFunction="sum" totalsRowDxfId="191"/>
    <tableColumn id="29" name="سبتمبر-23" totalsRowFunction="sum" totalsRowDxfId="190"/>
    <tableColumn id="30" name="أكتوبر-23" totalsRowFunction="sum" totalsRowDxfId="189"/>
    <tableColumn id="31" name="نوفمبر-23" totalsRowFunction="sum" totalsRowDxfId="188"/>
    <tableColumn id="32" name="ديسمبر-23" totalsRowFunction="sum" totalsRowDxfId="187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id="5" name="بيان.مغاشات.سفاجا" displayName="بيان.مغاشات.سفاجا" ref="C7:AJ50" totalsRowCount="1" headerRowDxfId="186" dataDxfId="184" totalsRowDxfId="182" headerRowBorderDxfId="185" tableBorderDxfId="183" totalsRowBorderDxfId="181">
  <autoFilter ref="C7:AJ49"/>
  <tableColumns count="34">
    <tableColumn id="1" name="م" totalsRowLabel="الإجمالي" totalsRowDxfId="180"/>
    <tableColumn id="2" name="الإسم" totalsRowDxfId="179"/>
    <tableColumn id="3" name="صفحة" totalsRowDxfId="178"/>
    <tableColumn id="4" name="تاريخ الخروج" totalsRowDxfId="177"/>
    <tableColumn id="5" name="تاريخ الوفاة" totalsRowDxfId="176"/>
    <tableColumn id="6" name="المنحة" totalsRowFunction="sum" totalsRowDxfId="175"/>
    <tableColumn id="7" name="مستحقات" totalsRowFunction="sum" totalsRowDxfId="174"/>
    <tableColumn id="8" name="مقابل نقدي" totalsRowFunction="sum" totalsRowDxfId="173"/>
    <tableColumn id="9" name="عدد الأيام" totalsRowDxfId="172"/>
    <tableColumn id="10" name="إجمالي المستحق" totalsRowFunction="sum" totalsRowDxfId="171">
      <calculatedColumnFormula>SUM(بيان.مغاشات.سفاجا[[#This Row],[المنحة]:[مقابل نقدي]])</calculatedColumnFormula>
    </tableColumn>
    <tableColumn id="12" name="إجمالي المنصرف" totalsRowFunction="sum" totalsRowDxfId="170">
      <calculatedColumnFormula>بيان.مغاشات.سفاجا[[#This Row],[إجمالي الدفعات]]</calculatedColumnFormula>
    </tableColumn>
    <tableColumn id="13" name="المتبقي" totalsRowFunction="sum" totalsRowDxfId="169">
      <calculatedColumnFormula>بيان.مغاشات.سفاجا[[#This Row],[إجمالي المستحق]]-بيان.مغاشات.سفاجا[[#This Row],[إجمالي المنصرف]]</calculatedColumnFormula>
    </tableColumn>
    <tableColumn id="33" name="المتبقي بعد 1-" totalsRowFunction="sum" dataDxfId="168" totalsRowDxfId="167">
      <calculatedColumnFormula>IF(بيان.مغاشات.سفاجا[[#This Row],[المتبقي]]&lt;0,0,بيان.مغاشات.سفاجا[[#This Row],[المتبقي]])</calculatedColumnFormula>
    </tableColumn>
    <tableColumn id="14" name="المتبقي من المنحة" totalsRowFunction="sum" dataDxfId="166" totalsRowDxfId="165">
      <calculatedColumnFormula>(بيان.مغاشات.سفاجا[[#This Row],[المنحة]]+بيان.مغاشات.سفاجا[[#This Row],[مستحقات]])-بيان.مغاشات.سفاجا[[#This Row],[إجمالي المنصرف]]</calculatedColumnFormula>
    </tableColumn>
    <tableColumn id="34" name="التبقي من المنحة بعد 1-" totalsRowFunction="custom" dataDxfId="164" totalsRowDxfId="163">
      <calculatedColumnFormula>IF(بيان.مغاشات.سفاجا[[#This Row],[المتبقي من المنحة]]&lt;0,0,بيان.مغاشات.سفاجا[[#This Row],[المتبقي من المنحة]])</calculatedColumnFormula>
      <totalsRowFormula>SUBTOTAL(109,بيان.مغاشات.سفاجا[إجمالي المنصرف])</totalsRowFormula>
    </tableColumn>
    <tableColumn id="15" name="رقم البطاقة" dataDxfId="162" totalsRowDxfId="161"/>
    <tableColumn id="16" name="ملاحظات" totalsRowDxfId="160"/>
    <tableColumn id="17" name="عمود1" totalsRowDxfId="159"/>
    <tableColumn id="11" name="المنصرف قبل الاستلام" totalsRowDxfId="158"/>
    <tableColumn id="18" name="ما تم صرفه من7/2023 حتى12/2022" totalsRowFunction="sum" totalsRowDxfId="157"/>
    <tableColumn id="19" name="إجمالي الدفعات" totalsRowFunction="sum" totalsRowDxfId="156">
      <calculatedColumnFormula>بيان.مغاشات.سفاجا[[#This Row],[المنصرف قبل الاستلام]]+بيان.مغاشات.سفاجا[[#This Row],[ما تم صرفه من7/2023 حتى12/2022]]+بيان.مغاشات.سفاجا[[#This Row],[إجمالي دفعات 2023]]</calculatedColumnFormula>
    </tableColumn>
    <tableColumn id="20" name="إجمالي دفعات 2023" totalsRowFunction="sum" totalsRowDxfId="155">
      <calculatedColumnFormula>SUM(بيان.مغاشات.سفاجا[[#This Row],[يناير-23]:[ديسمبر-23]])</calculatedColumnFormula>
    </tableColumn>
    <tableColumn id="21" name="يناير-23" totalsRowFunction="sum" totalsRowDxfId="154"/>
    <tableColumn id="22" name="فبراير-23" totalsRowFunction="sum" totalsRowDxfId="153"/>
    <tableColumn id="23" name="مارس-23" totalsRowFunction="sum" totalsRowDxfId="152"/>
    <tableColumn id="24" name="أبريل-23" totalsRowFunction="sum" totalsRowDxfId="151"/>
    <tableColumn id="25" name="مايو-23" totalsRowFunction="sum" totalsRowDxfId="150"/>
    <tableColumn id="26" name="يونيو-23" totalsRowFunction="sum" totalsRowDxfId="149"/>
    <tableColumn id="27" name="يوليه-23" totalsRowFunction="sum" totalsRowDxfId="148"/>
    <tableColumn id="28" name="أغسطس-23" totalsRowFunction="sum" totalsRowDxfId="147"/>
    <tableColumn id="29" name="سبتمبر-23" totalsRowFunction="sum" totalsRowDxfId="146"/>
    <tableColumn id="30" name="أكتوبر-23" totalsRowFunction="sum" totalsRowDxfId="145"/>
    <tableColumn id="31" name="نوفمبر-23" totalsRowFunction="sum" totalsRowDxfId="144"/>
    <tableColumn id="32" name="ديسمبر-23" totalsRowFunction="sum" totalsRowDxfId="143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7" name="الجدول7" displayName="الجدول7" ref="L3:Z137" totalsRowShown="0" headerRowDxfId="142" dataDxfId="141" tableBorderDxfId="140">
  <autoFilter ref="L3:Z137"/>
  <tableColumns count="15">
    <tableColumn id="1" name="الوارث " dataDxfId="139"/>
    <tableColumn id="2" name="درجته" dataDxfId="138"/>
    <tableColumn id="3" name="منحة 3شهور" dataDxfId="137"/>
    <tableColumn id="4" name="المنح وغيرها" dataDxfId="136"/>
    <tableColumn id="5" name="المقابل النقدي" dataDxfId="135"/>
    <tableColumn id="6" name="إجمالي المستحق" dataDxfId="134">
      <calculatedColumnFormula>SUM('الوفيات والورثة دينمك'!$N4:$P4)</calculatedColumnFormula>
    </tableColumn>
    <tableColumn id="7" name="المنصرف " dataDxfId="133"/>
    <tableColumn id="8" name="إجمالي المتبقي" dataDxfId="132">
      <calculatedColumnFormula>'الوفيات والورثة دينمك'!$Q4-'الوفيات والورثة دينمك'!$R4</calculatedColumnFormula>
    </tableColumn>
    <tableColumn id="9" name="المتبقي من منحة 3 ش" dataDxfId="131"/>
    <tableColumn id="10" name="منحة وغيرها" dataDxfId="130"/>
    <tableColumn id="17" name="المتبقي من منحة  6 ش وغيرها" dataDxfId="129">
      <calculatedColumnFormula>IF(الجدول7[[#This Row],[المنح وغيرها]]-الجدول7[[#This Row],[المنصرف ]]&lt;0,0,الجدول7[[#This Row],[المنح وغيرها]]-الجدول7[[#This Row],[المنصرف ]])</calculatedColumnFormula>
    </tableColumn>
    <tableColumn id="11" name="رصيد أجازات" dataDxfId="128"/>
    <tableColumn id="15" name="المتبقي من رصيد الأجازات" dataDxfId="127">
      <calculatedColumnFormula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calculatedColumnFormula>
    </tableColumn>
    <tableColumn id="12" name="عمود1" dataDxfId="126"/>
    <tableColumn id="13" name="عمود2" dataDxfId="12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0" name="الجدول10" displayName="الجدول10" ref="B2:AB93" totalsRowShown="0" headerRowDxfId="123" dataDxfId="121" headerRowBorderDxfId="122" tableBorderDxfId="120" totalsRowBorderDxfId="119">
  <autoFilter ref="B2:AB93"/>
  <tableColumns count="27">
    <tableColumn id="1" name="م" dataDxfId="118"/>
    <tableColumn id="2" name="الاسم" dataDxfId="117"/>
    <tableColumn id="3" name="رقم الصفحة" dataDxfId="116"/>
    <tableColumn id="4" name="الفرع" dataDxfId="115"/>
    <tableColumn id="5" name="تاريخ الخروج" dataDxfId="114"/>
    <tableColumn id="6" name="منحة " dataDxfId="113"/>
    <tableColumn id="7" name="مستحقات" dataDxfId="112"/>
    <tableColumn id="8" name="مقابل نقدي" dataDxfId="111"/>
    <tableColumn id="9" name="إجمالي المستحق" dataDxfId="110"/>
    <tableColumn id="10" name="إجمالي المنصرف" dataDxfId="109"/>
    <tableColumn id="11" name="المتبقي" dataDxfId="108"/>
    <tableColumn id="12" name="المتبقي بعد 1-" dataDxfId="107"/>
    <tableColumn id="13" name="المتبقي من المنحة" dataDxfId="106"/>
    <tableColumn id="14" name="المتبقي من المنحة بعد  1-" dataDxfId="105"/>
    <tableColumn id="15" name="عمود1" dataDxfId="104"/>
    <tableColumn id="16" name="يوليو 2022" dataDxfId="103"/>
    <tableColumn id="17" name="أغسطس-22" dataDxfId="102"/>
    <tableColumn id="18" name="سبتمبر-22" dataDxfId="101"/>
    <tableColumn id="19" name="أكتوبر-22" dataDxfId="100"/>
    <tableColumn id="20" name="نوفمبر-22" dataDxfId="99"/>
    <tableColumn id="21" name="ديسمبر-22" dataDxfId="98"/>
    <tableColumn id="22" name="يناير-23" dataDxfId="97"/>
    <tableColumn id="23" name="فبراير-23" dataDxfId="96"/>
    <tableColumn id="24" name="مارس-23" dataDxfId="95"/>
    <tableColumn id="25" name="أبريل-23" dataDxfId="94"/>
    <tableColumn id="26" name="مايو-23" dataDxfId="93"/>
    <tableColumn id="27" name="تاريخ أخر دفعة" dataDxfId="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" name="إجمالي.المعاشات" displayName="إجمالي.المعاشات" ref="C4:S235" totalsRowCount="1" headerRowDxfId="92" dataDxfId="90" headerRowBorderDxfId="91" tableBorderDxfId="89" totalsRowBorderDxfId="88">
  <autoFilter ref="C4:S234"/>
  <tableColumns count="17">
    <tableColumn id="1" name="م" totalsRowLabel="الإجمالي" dataDxfId="87" totalsRowDxfId="86"/>
    <tableColumn id="2" name="الاسم" dataDxfId="85" totalsRowDxfId="84"/>
    <tableColumn id="3" name="الصفحة" dataDxfId="83" totalsRowDxfId="82"/>
    <tableColumn id="4" name="تاريخ الخروج" dataDxfId="81" totalsRowDxfId="80"/>
    <tableColumn id="5" name="تاريخ الوفاة" dataDxfId="79" totalsRowDxfId="78"/>
    <tableColumn id="6" name="منحة 6شهور" totalsRowFunction="sum" dataDxfId="77" totalsRowDxfId="76"/>
    <tableColumn id="7" name="مستحقات" totalsRowFunction="sum" dataDxfId="75" totalsRowDxfId="74"/>
    <tableColumn id="8" name="مقابل نقدي" totalsRowFunction="sum" dataDxfId="73" totalsRowDxfId="72"/>
    <tableColumn id="9" name="أيام أجازة" dataDxfId="71" totalsRowDxfId="70"/>
    <tableColumn id="10" name="إجمالي المستحق" totalsRowFunction="sum" dataDxfId="69" totalsRowDxfId="68">
      <calculatedColumnFormula>SUM(إجمالي.المعاشات[[#This Row],[منحة 6شهور]:[مقابل نقدي]])</calculatedColumnFormula>
    </tableColumn>
    <tableColumn id="11" name="المنصرف" totalsRowFunction="sum" dataDxfId="67" totalsRowDxfId="66">
      <calculatedColumnFormula>SUMIF(بيان.معاشات.السويس[الإسم],بيانات!D5:D21,بيان.معاشات.السويس[إجمالي المنصرف])</calculatedColumnFormula>
    </tableColumn>
    <tableColumn id="12" name="المتبقي" totalsRowFunction="sum" dataDxfId="65" totalsRowDxfId="64">
      <calculatedColumnFormula>إجمالي.المعاشات[[#This Row],[إجمالي المستحق]]-إجمالي.المعاشات[[#This Row],[المنصرف]]</calculatedColumnFormula>
    </tableColumn>
    <tableColumn id="13" name="المتبقي من المنحة" dataDxfId="63" totalsRowDxfId="62">
      <calculatedColumnFormula>(إجمالي.المعاشات[[#This Row],[منحة 6شهور]]+إجمالي.المعاشات[[#This Row],[مستحقات]])-إجمالي.المعاشات[[#This Row],[المنصرف]]</calculatedColumnFormula>
    </tableColumn>
    <tableColumn id="14" name="المتبقي من المنحة بعد 1-" totalsRowFunction="sum" dataDxfId="61" totalsRowDxfId="60">
      <calculatedColumnFormula>IF(إجمالي.المعاشات[[#This Row],[المتبقي من المنحة]]&lt;0,0,إجمالي.المعاشات[[#This Row],[المتبقي من المنحة]])</calculatedColumnFormula>
    </tableColumn>
    <tableColumn id="16" name="المتبقي من المقابل النقدي" totalsRowFunction="custom" dataDxfId="59" totalsRowDxfId="58">
      <calculatedColumnFormula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calculatedColumnFormula>
      <totalsRowFormula>SUM(Q5:Q234)</totalsRowFormula>
    </tableColumn>
    <tableColumn id="17" name="باقي المستحق" totalsRowFunction="custom" dataDxfId="57" totalsRowDxfId="56">
      <calculatedColumnFormula>إجمالي.المعاشات[[#This Row],[المتبقي]]</calculatedColumnFormula>
      <totalsRowFormula>SUM(R5:R234)</totalsRowFormula>
    </tableColumn>
    <tableColumn id="18" name="الفرع" dataDxfId="55" totalsRowDxfId="54"/>
  </tableColumns>
  <tableStyleInfo name="TableStyleDark11" showFirstColumn="0" showLastColumn="0" showRowStripes="1" showColumnStripes="0"/>
</table>
</file>

<file path=xl/tables/table9.xml><?xml version="1.0" encoding="utf-8"?>
<table xmlns="http://schemas.openxmlformats.org/spreadsheetml/2006/main" id="9" name="إجماليات.فروع" displayName="إجماليات.فروع" ref="K238:P244" totalsRowCount="1" headerRowDxfId="53" dataDxfId="51" totalsRowDxfId="49" headerRowBorderDxfId="52" tableBorderDxfId="50" totalsRowBorderDxfId="48">
  <autoFilter ref="K238:P243"/>
  <tableColumns count="6">
    <tableColumn id="1" name="الفروع" totalsRowLabel="الإجمالي" dataDxfId="47" totalsRowDxfId="46"/>
    <tableColumn id="2" name="إجمالي المستحق" totalsRowFunction="sum" dataDxfId="45" totalsRowDxfId="44"/>
    <tableColumn id="3" name="المنصرف" totalsRowFunction="sum" dataDxfId="43" totalsRowDxfId="42"/>
    <tableColumn id="4" name="المتبقي" totalsRowFunction="sum" dataDxfId="41" totalsRowDxfId="40"/>
    <tableColumn id="5" name="المتبقي من المنحة" totalsRowFunction="sum" dataDxfId="39" totalsRowDxfId="38"/>
    <tableColumn id="6" name="المتبقي من المقابل النقدي" totalsRowFunction="sum" dataDxfId="37" totalsRowDxfId="36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DL115"/>
  <sheetViews>
    <sheetView rightToLeft="1" topLeftCell="C7" workbookViewId="0">
      <pane xSplit="2" ySplit="1" topLeftCell="U72" activePane="bottomRight" state="frozen"/>
      <selection activeCell="C7" sqref="C7"/>
      <selection pane="topRight" activeCell="E7" sqref="E7"/>
      <selection pane="bottomLeft" activeCell="C8" sqref="C8"/>
      <selection pane="bottomRight" activeCell="AD82" sqref="AD82"/>
    </sheetView>
  </sheetViews>
  <sheetFormatPr defaultRowHeight="15" x14ac:dyDescent="0.25"/>
  <cols>
    <col min="3" max="3" width="5.7109375" customWidth="1"/>
    <col min="4" max="4" width="30.85546875" customWidth="1"/>
    <col min="5" max="5" width="7" customWidth="1"/>
    <col min="6" max="7" width="13.7109375" customWidth="1"/>
    <col min="8" max="8" width="13.5703125" customWidth="1"/>
    <col min="9" max="10" width="12.140625" customWidth="1"/>
    <col min="11" max="11" width="8.42578125" customWidth="1"/>
    <col min="12" max="12" width="14.7109375" customWidth="1"/>
    <col min="13" max="13" width="16.28515625" customWidth="1"/>
    <col min="14" max="14" width="13.85546875" customWidth="1"/>
    <col min="15" max="15" width="16" customWidth="1"/>
    <col min="16" max="16" width="13.85546875" customWidth="1"/>
    <col min="17" max="17" width="11.5703125" customWidth="1"/>
    <col min="18" max="18" width="20.5703125" customWidth="1"/>
    <col min="19" max="19" width="52.85546875" customWidth="1"/>
    <col min="20" max="20" width="89.5703125" bestFit="1" customWidth="1"/>
    <col min="21" max="21" width="9" customWidth="1"/>
    <col min="22" max="22" width="11" customWidth="1"/>
    <col min="23" max="23" width="14.140625" customWidth="1"/>
    <col min="24" max="24" width="16.28515625" customWidth="1"/>
    <col min="25" max="25" width="12.28515625" customWidth="1"/>
    <col min="26" max="26" width="11.5703125" customWidth="1"/>
    <col min="27" max="27" width="9.28515625" customWidth="1"/>
    <col min="28" max="28" width="13.28515625" customWidth="1"/>
    <col min="29" max="29" width="14.5703125" customWidth="1"/>
    <col min="30" max="30" width="14.42578125" bestFit="1" customWidth="1"/>
    <col min="33" max="33" width="10.140625" customWidth="1"/>
  </cols>
  <sheetData>
    <row r="2" spans="1:116" ht="18.75" x14ac:dyDescent="0.3">
      <c r="C2" s="277"/>
      <c r="D2" s="277"/>
      <c r="E2" s="1"/>
      <c r="F2" s="1"/>
      <c r="G2" s="1"/>
      <c r="H2" s="94"/>
      <c r="I2" s="94"/>
      <c r="J2" s="94"/>
      <c r="K2" s="94"/>
    </row>
    <row r="3" spans="1:116" ht="18.75" x14ac:dyDescent="0.3">
      <c r="C3" s="277"/>
      <c r="D3" s="277"/>
      <c r="E3" s="1"/>
      <c r="F3" s="1"/>
      <c r="G3" s="1"/>
      <c r="H3" s="95"/>
      <c r="I3" s="95"/>
      <c r="J3" s="94"/>
      <c r="K3" s="94"/>
    </row>
    <row r="4" spans="1:116" ht="23.25" x14ac:dyDescent="0.25"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</row>
    <row r="5" spans="1:116" ht="23.25" x14ac:dyDescent="0.35"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</row>
    <row r="6" spans="1:116" ht="21" x14ac:dyDescent="0.35"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101"/>
      <c r="V6" s="15"/>
      <c r="W6" s="15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80"/>
      <c r="AI6" s="280"/>
      <c r="AJ6" s="280"/>
      <c r="AK6" s="280"/>
    </row>
    <row r="7" spans="1:116" s="98" customFormat="1" ht="105" x14ac:dyDescent="0.25">
      <c r="A7"/>
      <c r="B7"/>
      <c r="C7" s="73" t="s">
        <v>0</v>
      </c>
      <c r="D7" s="73" t="s">
        <v>1</v>
      </c>
      <c r="E7" s="87" t="s">
        <v>2</v>
      </c>
      <c r="F7" s="73" t="s">
        <v>218</v>
      </c>
      <c r="G7" s="73" t="s">
        <v>223</v>
      </c>
      <c r="H7" s="73" t="s">
        <v>3</v>
      </c>
      <c r="I7" s="73" t="s">
        <v>185</v>
      </c>
      <c r="J7" s="73" t="s">
        <v>4</v>
      </c>
      <c r="K7" s="73" t="s">
        <v>210</v>
      </c>
      <c r="L7" s="73" t="s">
        <v>5</v>
      </c>
      <c r="M7" s="73" t="s">
        <v>129</v>
      </c>
      <c r="N7" s="73" t="s">
        <v>7</v>
      </c>
      <c r="O7" s="73" t="s">
        <v>398</v>
      </c>
      <c r="P7" s="89" t="s">
        <v>8</v>
      </c>
      <c r="Q7" s="89" t="s">
        <v>402</v>
      </c>
      <c r="R7" s="73" t="s">
        <v>9</v>
      </c>
      <c r="S7" s="73" t="s">
        <v>10</v>
      </c>
      <c r="T7" s="73" t="s">
        <v>11</v>
      </c>
      <c r="U7" s="75" t="s">
        <v>395</v>
      </c>
      <c r="V7" s="73" t="s">
        <v>6</v>
      </c>
      <c r="W7" s="73" t="s">
        <v>249</v>
      </c>
      <c r="X7" s="73" t="s">
        <v>12</v>
      </c>
      <c r="Y7" s="73" t="s">
        <v>250</v>
      </c>
      <c r="Z7" s="100" t="s">
        <v>254</v>
      </c>
      <c r="AA7" s="100" t="s">
        <v>255</v>
      </c>
      <c r="AB7" s="100" t="s">
        <v>256</v>
      </c>
      <c r="AC7" s="100" t="s">
        <v>257</v>
      </c>
      <c r="AD7" s="100" t="s">
        <v>258</v>
      </c>
      <c r="AE7" s="100" t="s">
        <v>259</v>
      </c>
      <c r="AF7" s="100" t="s">
        <v>260</v>
      </c>
      <c r="AG7" s="100" t="s">
        <v>261</v>
      </c>
      <c r="AH7" s="100" t="s">
        <v>262</v>
      </c>
      <c r="AI7" s="100" t="s">
        <v>263</v>
      </c>
      <c r="AJ7" s="100" t="s">
        <v>264</v>
      </c>
      <c r="AK7" s="100" t="s">
        <v>265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s="99" customFormat="1" ht="21" x14ac:dyDescent="0.35">
      <c r="A8"/>
      <c r="B8"/>
      <c r="C8" s="61">
        <v>1</v>
      </c>
      <c r="D8" s="46" t="s">
        <v>64</v>
      </c>
      <c r="E8" s="61">
        <v>1</v>
      </c>
      <c r="F8" s="50">
        <v>43638</v>
      </c>
      <c r="G8" s="50"/>
      <c r="H8" s="46">
        <v>17907.900000000001</v>
      </c>
      <c r="I8" s="46"/>
      <c r="J8" s="46">
        <v>14597.1</v>
      </c>
      <c r="K8" s="61">
        <v>90</v>
      </c>
      <c r="L8" s="46">
        <f>SUM(بيان.معاشات.القاهرة[[#This Row],[منحة 6شهور]:[مقابل نقدي]])</f>
        <v>32505</v>
      </c>
      <c r="M8" s="46">
        <f>بيان.معاشات.القاهرة[[#This Row],[إجمالي الدفعات]]</f>
        <v>23500</v>
      </c>
      <c r="N8" s="46">
        <f>بيان.معاشات.القاهرة[[#This Row],[إجمالي المستحق]]-بيان.معاشات.القاهرة[[#This Row],[المنصرف]]</f>
        <v>9005</v>
      </c>
      <c r="O8" s="46">
        <f>IF(بيان.معاشات.القاهرة[[#This Row],[المتبقي]]&lt;0,0,بيان.معاشات.القاهرة[[#This Row],[المتبقي]])</f>
        <v>9005</v>
      </c>
      <c r="P8" s="48">
        <f>(بيان.معاشات.القاهرة[[#This Row],[منحة 6شهور]]+بيان.معاشات.القاهرة[[#This Row],[مستحقات]])-بيان.معاشات.القاهرة[[#This Row],[المنصرف]]</f>
        <v>-5592.0999999999985</v>
      </c>
      <c r="Q8" s="48">
        <f>IF(بيان.معاشات.القاهرة[[#This Row],[المتبقي من المنحة]]&lt;0,0,بيان.معاشات.القاهرة[[#This Row],[المتبقي من المنحة]])</f>
        <v>0</v>
      </c>
      <c r="R8" s="53">
        <v>25906220100522</v>
      </c>
      <c r="S8" s="46"/>
      <c r="T8" s="46" t="s">
        <v>233</v>
      </c>
      <c r="U8" s="76"/>
      <c r="V8" s="46">
        <v>11000</v>
      </c>
      <c r="W8" s="46">
        <v>8500</v>
      </c>
      <c r="X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23500</v>
      </c>
      <c r="Y8" s="46">
        <f>SUM(بيان.معاشات.القاهرة[[#This Row],[يناير-23]:[ديسمبر-23]])</f>
        <v>4000</v>
      </c>
      <c r="Z8" s="46">
        <v>500</v>
      </c>
      <c r="AA8" s="46">
        <v>500</v>
      </c>
      <c r="AB8" s="46">
        <v>500</v>
      </c>
      <c r="AC8" s="46">
        <v>2000</v>
      </c>
      <c r="AD8" s="46">
        <v>500</v>
      </c>
      <c r="AE8" s="46"/>
      <c r="AF8" s="46"/>
      <c r="AG8" s="46"/>
      <c r="AH8" s="46"/>
      <c r="AI8" s="46"/>
      <c r="AJ8" s="46"/>
      <c r="AK8" s="46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s="99" customFormat="1" ht="21" x14ac:dyDescent="0.35">
      <c r="A9"/>
      <c r="B9"/>
      <c r="C9" s="61">
        <v>2</v>
      </c>
      <c r="D9" s="46" t="s">
        <v>63</v>
      </c>
      <c r="E9" s="61">
        <v>2</v>
      </c>
      <c r="F9" s="50">
        <v>43525</v>
      </c>
      <c r="G9" s="50"/>
      <c r="H9" s="46">
        <v>19103.64</v>
      </c>
      <c r="I9" s="46"/>
      <c r="J9" s="46">
        <v>11406.3</v>
      </c>
      <c r="K9" s="61">
        <v>90</v>
      </c>
      <c r="L9" s="46">
        <f>SUM(بيان.معاشات.القاهرة[[#This Row],[منحة 6شهور]:[مقابل نقدي]])</f>
        <v>30509.94</v>
      </c>
      <c r="M9" s="46">
        <f>بيان.معاشات.القاهرة[[#This Row],[إجمالي الدفعات]]</f>
        <v>24103.64</v>
      </c>
      <c r="N9" s="46">
        <f>بيان.معاشات.القاهرة[[#This Row],[إجمالي المستحق]]-بيان.معاشات.القاهرة[[#This Row],[المنصرف]]</f>
        <v>6406.2999999999993</v>
      </c>
      <c r="O9" s="46">
        <f>IF(بيان.معاشات.القاهرة[[#This Row],[المتبقي]]&lt;0,0,بيان.معاشات.القاهرة[[#This Row],[المتبقي]])</f>
        <v>6406.2999999999993</v>
      </c>
      <c r="P9" s="48">
        <f>(بيان.معاشات.القاهرة[[#This Row],[منحة 6شهور]]+بيان.معاشات.القاهرة[[#This Row],[مستحقات]])-بيان.معاشات.القاهرة[[#This Row],[المنصرف]]</f>
        <v>-5000</v>
      </c>
      <c r="Q9" s="48">
        <f>IF(بيان.معاشات.القاهرة[[#This Row],[المتبقي من المنحة]]&lt;0,0,بيان.معاشات.القاهرة[[#This Row],[المتبقي من المنحة]])</f>
        <v>0</v>
      </c>
      <c r="R9" s="53">
        <v>25903010104321</v>
      </c>
      <c r="S9" s="46"/>
      <c r="T9" s="46" t="s">
        <v>229</v>
      </c>
      <c r="U9" s="76"/>
      <c r="V9" s="46">
        <v>13000</v>
      </c>
      <c r="W9" s="46">
        <v>8603.64</v>
      </c>
      <c r="X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24103.64</v>
      </c>
      <c r="Y9" s="46">
        <f>SUM(بيان.معاشات.القاهرة[[#This Row],[يناير-23]:[ديسمبر-23]])</f>
        <v>2500</v>
      </c>
      <c r="Z9" s="46">
        <v>500</v>
      </c>
      <c r="AA9" s="46">
        <v>500</v>
      </c>
      <c r="AB9" s="46">
        <v>500</v>
      </c>
      <c r="AC9" s="46">
        <v>500</v>
      </c>
      <c r="AD9" s="46">
        <v>500</v>
      </c>
      <c r="AE9" s="46"/>
      <c r="AF9" s="46"/>
      <c r="AG9" s="46"/>
      <c r="AH9" s="46"/>
      <c r="AI9" s="46"/>
      <c r="AJ9" s="46"/>
      <c r="AK9" s="46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s="99" customFormat="1" ht="21" x14ac:dyDescent="0.35">
      <c r="A10"/>
      <c r="B10"/>
      <c r="C10" s="61">
        <v>3</v>
      </c>
      <c r="D10" s="46" t="s">
        <v>19</v>
      </c>
      <c r="E10" s="61">
        <v>3</v>
      </c>
      <c r="F10" s="50">
        <v>43191</v>
      </c>
      <c r="G10" s="50"/>
      <c r="H10" s="46">
        <v>19738.919999999998</v>
      </c>
      <c r="I10" s="46"/>
      <c r="J10" s="46">
        <v>11580.3</v>
      </c>
      <c r="K10" s="61">
        <v>90</v>
      </c>
      <c r="L10" s="46">
        <f>SUM(بيان.معاشات.القاهرة[[#This Row],[منحة 6شهور]:[مقابل نقدي]])</f>
        <v>31319.219999999998</v>
      </c>
      <c r="M10" s="46">
        <f>بيان.معاشات.القاهرة[[#This Row],[إجمالي الدفعات]]</f>
        <v>31319.22</v>
      </c>
      <c r="N10" s="46">
        <f>بيان.معاشات.القاهرة[[#This Row],[إجمالي المستحق]]-بيان.معاشات.القاهرة[[#This Row],[المنصرف]]</f>
        <v>0</v>
      </c>
      <c r="O10" s="46">
        <f>IF(بيان.معاشات.القاهرة[[#This Row],[المتبقي]]&lt;0,0,بيان.معاشات.القاهرة[[#This Row],[المتبقي]])</f>
        <v>0</v>
      </c>
      <c r="P10" s="48">
        <f>(بيان.معاشات.القاهرة[[#This Row],[منحة 6شهور]]+بيان.معاشات.القاهرة[[#This Row],[مستحقات]])-بيان.معاشات.القاهرة[[#This Row],[المنصرف]]</f>
        <v>-11580.300000000003</v>
      </c>
      <c r="Q10" s="48">
        <f>IF(بيان.معاشات.القاهرة[[#This Row],[المتبقي من المنحة]]&lt;0,0,بيان.معاشات.القاهرة[[#This Row],[المتبقي من المنحة]])</f>
        <v>0</v>
      </c>
      <c r="R10" s="53">
        <v>25804010104871</v>
      </c>
      <c r="S10" s="46"/>
      <c r="T10" s="46"/>
      <c r="U10" s="76"/>
      <c r="V10" s="46">
        <v>19500</v>
      </c>
      <c r="W10" s="46">
        <v>9000</v>
      </c>
      <c r="X1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31319.22</v>
      </c>
      <c r="Y10" s="46">
        <f>SUM(بيان.معاشات.القاهرة[[#This Row],[يناير-23]:[ديسمبر-23]])</f>
        <v>2819.2200000000003</v>
      </c>
      <c r="Z10" s="46">
        <v>500</v>
      </c>
      <c r="AA10" s="46">
        <v>500</v>
      </c>
      <c r="AB10" s="46">
        <v>500</v>
      </c>
      <c r="AC10" s="46">
        <v>500</v>
      </c>
      <c r="AD10" s="46">
        <v>819.22</v>
      </c>
      <c r="AE10" s="46"/>
      <c r="AF10" s="46"/>
      <c r="AG10" s="46"/>
      <c r="AH10" s="46"/>
      <c r="AI10" s="46"/>
      <c r="AJ10" s="46"/>
      <c r="AK10" s="46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s="99" customFormat="1" ht="21" x14ac:dyDescent="0.35">
      <c r="A11"/>
      <c r="B11"/>
      <c r="C11" s="61">
        <v>4</v>
      </c>
      <c r="D11" s="46" t="s">
        <v>394</v>
      </c>
      <c r="E11" s="61">
        <v>4</v>
      </c>
      <c r="F11" s="50">
        <v>44404</v>
      </c>
      <c r="G11" s="50"/>
      <c r="H11" s="46">
        <v>20875.45</v>
      </c>
      <c r="I11" s="46"/>
      <c r="J11" s="46">
        <v>18195.3</v>
      </c>
      <c r="K11" s="61">
        <v>90</v>
      </c>
      <c r="L11" s="46">
        <f>SUM(بيان.معاشات.القاهرة[[#This Row],[منحة 6شهور]:[مقابل نقدي]])</f>
        <v>39070.75</v>
      </c>
      <c r="M11" s="46">
        <f>بيان.معاشات.القاهرة[[#This Row],[إجمالي الدفعات]]</f>
        <v>10500</v>
      </c>
      <c r="N11" s="46">
        <f>بيان.معاشات.القاهرة[[#This Row],[إجمالي المستحق]]-بيان.معاشات.القاهرة[[#This Row],[المنصرف]]</f>
        <v>28570.75</v>
      </c>
      <c r="O11" s="46">
        <f>IF(بيان.معاشات.القاهرة[[#This Row],[المتبقي]]&lt;0,0,بيان.معاشات.القاهرة[[#This Row],[المتبقي]])</f>
        <v>28570.75</v>
      </c>
      <c r="P11" s="48">
        <f>(بيان.معاشات.القاهرة[[#This Row],[منحة 6شهور]]+بيان.معاشات.القاهرة[[#This Row],[مستحقات]])-بيان.معاشات.القاهرة[[#This Row],[المنصرف]]</f>
        <v>10375.450000000001</v>
      </c>
      <c r="Q11" s="48">
        <f>IF(بيان.معاشات.القاهرة[[#This Row],[المتبقي من المنحة]]&lt;0,0,بيان.معاشات.القاهرة[[#This Row],[المتبقي من المنحة]])</f>
        <v>10375.450000000001</v>
      </c>
      <c r="R11" s="53">
        <v>26107270101311</v>
      </c>
      <c r="S11" s="46"/>
      <c r="T11" s="46"/>
      <c r="U11" s="76"/>
      <c r="V11" s="46">
        <v>0</v>
      </c>
      <c r="W11" s="46">
        <v>8000</v>
      </c>
      <c r="X1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10500</v>
      </c>
      <c r="Y11" s="46">
        <f>SUM(بيان.معاشات.القاهرة[[#This Row],[يناير-23]:[ديسمبر-23]])</f>
        <v>2500</v>
      </c>
      <c r="Z11" s="46">
        <v>500</v>
      </c>
      <c r="AA11" s="46">
        <v>500</v>
      </c>
      <c r="AB11" s="46">
        <v>500</v>
      </c>
      <c r="AC11" s="46">
        <v>500</v>
      </c>
      <c r="AD11" s="46">
        <v>500</v>
      </c>
      <c r="AE11" s="46"/>
      <c r="AF11" s="46"/>
      <c r="AG11" s="46"/>
      <c r="AH11" s="46"/>
      <c r="AI11" s="46"/>
      <c r="AJ11" s="46"/>
      <c r="AK11" s="46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s="99" customFormat="1" ht="21" x14ac:dyDescent="0.35">
      <c r="A12"/>
      <c r="B12"/>
      <c r="C12" s="61">
        <v>5</v>
      </c>
      <c r="D12" s="46" t="s">
        <v>71</v>
      </c>
      <c r="E12" s="61">
        <v>5</v>
      </c>
      <c r="F12" s="50">
        <v>44391</v>
      </c>
      <c r="G12" s="50"/>
      <c r="H12" s="46">
        <v>21172.62</v>
      </c>
      <c r="I12" s="46"/>
      <c r="J12" s="46">
        <v>12604.38</v>
      </c>
      <c r="K12" s="61">
        <v>62.5</v>
      </c>
      <c r="L12" s="46">
        <f>SUM(بيان.معاشات.القاهرة[[#This Row],[منحة 6شهور]:[مقابل نقدي]])</f>
        <v>33777</v>
      </c>
      <c r="M12" s="46">
        <f>بيان.معاشات.القاهرة[[#This Row],[إجمالي الدفعات]]</f>
        <v>10500</v>
      </c>
      <c r="N12" s="46">
        <f>بيان.معاشات.القاهرة[[#This Row],[إجمالي المستحق]]-بيان.معاشات.القاهرة[[#This Row],[المنصرف]]</f>
        <v>23277</v>
      </c>
      <c r="O12" s="46">
        <f>IF(بيان.معاشات.القاهرة[[#This Row],[المتبقي]]&lt;0,0,بيان.معاشات.القاهرة[[#This Row],[المتبقي]])</f>
        <v>23277</v>
      </c>
      <c r="P12" s="48">
        <f>(بيان.معاشات.القاهرة[[#This Row],[منحة 6شهور]]+بيان.معاشات.القاهرة[[#This Row],[مستحقات]])-بيان.معاشات.القاهرة[[#This Row],[المنصرف]]</f>
        <v>10672.619999999999</v>
      </c>
      <c r="Q12" s="48">
        <f>IF(بيان.معاشات.القاهرة[[#This Row],[المتبقي من المنحة]]&lt;0,0,بيان.معاشات.القاهرة[[#This Row],[المتبقي من المنحة]])</f>
        <v>10672.619999999999</v>
      </c>
      <c r="R12" s="53">
        <v>26107140100851</v>
      </c>
      <c r="S12" s="46"/>
      <c r="T12" s="46"/>
      <c r="U12" s="76"/>
      <c r="V12" s="46">
        <v>0</v>
      </c>
      <c r="W12" s="46">
        <v>8000</v>
      </c>
      <c r="X1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10500</v>
      </c>
      <c r="Y12" s="46">
        <f>SUM(بيان.معاشات.القاهرة[[#This Row],[يناير-23]:[ديسمبر-23]])</f>
        <v>2500</v>
      </c>
      <c r="Z12" s="46">
        <v>500</v>
      </c>
      <c r="AA12" s="46">
        <v>500</v>
      </c>
      <c r="AB12" s="46">
        <v>500</v>
      </c>
      <c r="AC12" s="46">
        <v>500</v>
      </c>
      <c r="AD12" s="46">
        <v>500</v>
      </c>
      <c r="AE12" s="46"/>
      <c r="AF12" s="46"/>
      <c r="AG12" s="46"/>
      <c r="AH12" s="46"/>
      <c r="AI12" s="46"/>
      <c r="AJ12" s="46"/>
      <c r="AK12" s="46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s="99" customFormat="1" ht="21" x14ac:dyDescent="0.35">
      <c r="A13"/>
      <c r="B13"/>
      <c r="C13" s="61">
        <v>6</v>
      </c>
      <c r="D13" s="46" t="s">
        <v>69</v>
      </c>
      <c r="E13" s="61">
        <v>6</v>
      </c>
      <c r="F13" s="50">
        <v>44355</v>
      </c>
      <c r="G13" s="50"/>
      <c r="H13" s="46">
        <v>13655.52</v>
      </c>
      <c r="I13" s="46"/>
      <c r="J13" s="46">
        <v>10604.7</v>
      </c>
      <c r="K13" s="61">
        <v>90</v>
      </c>
      <c r="L13" s="46">
        <f>SUM(بيان.معاشات.القاهرة[[#This Row],[منحة 6شهور]:[مقابل نقدي]])</f>
        <v>24260.22</v>
      </c>
      <c r="M13" s="46">
        <f>بيان.معاشات.القاهرة[[#This Row],[إجمالي الدفعات]]</f>
        <v>11500</v>
      </c>
      <c r="N13" s="46">
        <f>بيان.معاشات.القاهرة[[#This Row],[إجمالي المستحق]]-بيان.معاشات.القاهرة[[#This Row],[المنصرف]]</f>
        <v>12760.220000000001</v>
      </c>
      <c r="O13" s="46">
        <f>IF(بيان.معاشات.القاهرة[[#This Row],[المتبقي]]&lt;0,0,بيان.معاشات.القاهرة[[#This Row],[المتبقي]])</f>
        <v>12760.220000000001</v>
      </c>
      <c r="P13" s="48">
        <f>(بيان.معاشات.القاهرة[[#This Row],[منحة 6شهور]]+بيان.معاشات.القاهرة[[#This Row],[مستحقات]])-بيان.معاشات.القاهرة[[#This Row],[المنصرف]]</f>
        <v>2155.5200000000004</v>
      </c>
      <c r="Q13" s="48">
        <f>IF(بيان.معاشات.القاهرة[[#This Row],[المتبقي من المنحة]]&lt;0,0,بيان.معاشات.القاهرة[[#This Row],[المتبقي من المنحة]])</f>
        <v>2155.5200000000004</v>
      </c>
      <c r="R13" s="53">
        <v>26106080101776</v>
      </c>
      <c r="S13" s="46"/>
      <c r="T13" s="46" t="s">
        <v>198</v>
      </c>
      <c r="U13" s="76"/>
      <c r="V13" s="46">
        <v>0</v>
      </c>
      <c r="W13" s="46">
        <v>9000</v>
      </c>
      <c r="X1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11500</v>
      </c>
      <c r="Y13" s="46">
        <f>SUM(بيان.معاشات.القاهرة[[#This Row],[يناير-23]:[ديسمبر-23]])</f>
        <v>2500</v>
      </c>
      <c r="Z13" s="46">
        <v>500</v>
      </c>
      <c r="AA13" s="46">
        <v>500</v>
      </c>
      <c r="AB13" s="46">
        <v>500</v>
      </c>
      <c r="AC13" s="46">
        <v>500</v>
      </c>
      <c r="AD13" s="46">
        <v>500</v>
      </c>
      <c r="AE13" s="46"/>
      <c r="AF13" s="46"/>
      <c r="AG13" s="46"/>
      <c r="AH13" s="46"/>
      <c r="AI13" s="46"/>
      <c r="AJ13" s="46"/>
      <c r="AK13" s="46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s="99" customFormat="1" ht="21" x14ac:dyDescent="0.35">
      <c r="A14"/>
      <c r="B14"/>
      <c r="C14" s="61">
        <v>7</v>
      </c>
      <c r="D14" s="46" t="s">
        <v>55</v>
      </c>
      <c r="E14" s="61">
        <v>7</v>
      </c>
      <c r="F14" s="50">
        <v>43023</v>
      </c>
      <c r="G14" s="50"/>
      <c r="H14" s="46">
        <v>26082.04</v>
      </c>
      <c r="I14" s="46"/>
      <c r="J14" s="46">
        <v>10867.5</v>
      </c>
      <c r="K14" s="61">
        <v>90</v>
      </c>
      <c r="L14" s="46">
        <f>SUM(بيان.معاشات.القاهرة[[#This Row],[منحة 6شهور]:[مقابل نقدي]])</f>
        <v>36949.54</v>
      </c>
      <c r="M14" s="46">
        <f>بيان.معاشات.القاهرة[[#This Row],[إجمالي الدفعات]]</f>
        <v>33000</v>
      </c>
      <c r="N14" s="46">
        <f>بيان.معاشات.القاهرة[[#This Row],[إجمالي المستحق]]-بيان.معاشات.القاهرة[[#This Row],[المنصرف]]</f>
        <v>3949.5400000000009</v>
      </c>
      <c r="O14" s="46">
        <f>IF(بيان.معاشات.القاهرة[[#This Row],[المتبقي]]&lt;0,0,بيان.معاشات.القاهرة[[#This Row],[المتبقي]])</f>
        <v>3949.5400000000009</v>
      </c>
      <c r="P14" s="48">
        <f>(بيان.معاشات.القاهرة[[#This Row],[منحة 6شهور]]+بيان.معاشات.القاهرة[[#This Row],[مستحقات]])-بيان.معاشات.القاهرة[[#This Row],[المنصرف]]</f>
        <v>-6917.9599999999991</v>
      </c>
      <c r="Q14" s="48">
        <f>IF(بيان.معاشات.القاهرة[[#This Row],[المتبقي من المنحة]]&lt;0,0,بيان.معاشات.القاهرة[[#This Row],[المتبقي من المنحة]])</f>
        <v>0</v>
      </c>
      <c r="R14" s="53">
        <v>26702080101042</v>
      </c>
      <c r="S14" s="46"/>
      <c r="T14" s="46" t="s">
        <v>215</v>
      </c>
      <c r="U14" s="76"/>
      <c r="V14" s="46">
        <v>21500</v>
      </c>
      <c r="W14" s="46">
        <v>9000</v>
      </c>
      <c r="X1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33000</v>
      </c>
      <c r="Y14" s="46">
        <f>SUM(بيان.معاشات.القاهرة[[#This Row],[يناير-23]:[ديسمبر-23]])</f>
        <v>2500</v>
      </c>
      <c r="Z14" s="46">
        <v>500</v>
      </c>
      <c r="AA14" s="46">
        <v>500</v>
      </c>
      <c r="AB14" s="46">
        <v>500</v>
      </c>
      <c r="AC14" s="46">
        <v>500</v>
      </c>
      <c r="AD14" s="46">
        <v>500</v>
      </c>
      <c r="AE14" s="46"/>
      <c r="AF14" s="46"/>
      <c r="AG14" s="46"/>
      <c r="AH14" s="46"/>
      <c r="AI14" s="46"/>
      <c r="AJ14" s="46"/>
      <c r="AK14" s="46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s="99" customFormat="1" ht="21" x14ac:dyDescent="0.35">
      <c r="A15"/>
      <c r="B15"/>
      <c r="C15" s="61">
        <v>8</v>
      </c>
      <c r="D15" s="46" t="s">
        <v>57</v>
      </c>
      <c r="E15" s="61">
        <v>8</v>
      </c>
      <c r="F15" s="50">
        <v>43411</v>
      </c>
      <c r="G15" s="50"/>
      <c r="H15" s="46">
        <v>22242.720000000001</v>
      </c>
      <c r="I15" s="46"/>
      <c r="J15" s="46">
        <v>13024.8</v>
      </c>
      <c r="K15" s="61">
        <v>90</v>
      </c>
      <c r="L15" s="46">
        <f>SUM(بيان.معاشات.القاهرة[[#This Row],[منحة 6شهور]:[مقابل نقدي]])</f>
        <v>35267.520000000004</v>
      </c>
      <c r="M15" s="46">
        <f>بيان.معاشات.القاهرة[[#This Row],[إجمالي الدفعات]]</f>
        <v>27000</v>
      </c>
      <c r="N15" s="46">
        <f>بيان.معاشات.القاهرة[[#This Row],[إجمالي المستحق]]-بيان.معاشات.القاهرة[[#This Row],[المنصرف]]</f>
        <v>8267.5200000000041</v>
      </c>
      <c r="O15" s="46">
        <f>IF(بيان.معاشات.القاهرة[[#This Row],[المتبقي]]&lt;0,0,بيان.معاشات.القاهرة[[#This Row],[المتبقي]])</f>
        <v>8267.5200000000041</v>
      </c>
      <c r="P15" s="48">
        <f>(بيان.معاشات.القاهرة[[#This Row],[منحة 6شهور]]+بيان.معاشات.القاهرة[[#This Row],[مستحقات]])-بيان.معاشات.القاهرة[[#This Row],[المنصرف]]</f>
        <v>-4757.2799999999988</v>
      </c>
      <c r="Q15" s="48">
        <f>IF(بيان.معاشات.القاهرة[[#This Row],[المتبقي من المنحة]]&lt;0,0,بيان.معاشات.القاهرة[[#This Row],[المتبقي من المنحة]])</f>
        <v>0</v>
      </c>
      <c r="R15" s="53">
        <v>25811080101689</v>
      </c>
      <c r="S15" s="46" t="s">
        <v>216</v>
      </c>
      <c r="T15" s="46" t="s">
        <v>234</v>
      </c>
      <c r="U15" s="76"/>
      <c r="V15" s="46">
        <v>15500</v>
      </c>
      <c r="W15" s="46">
        <v>9000</v>
      </c>
      <c r="X1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27000</v>
      </c>
      <c r="Y15" s="46">
        <f>SUM(بيان.معاشات.القاهرة[[#This Row],[يناير-23]:[ديسمبر-23]])</f>
        <v>2500</v>
      </c>
      <c r="Z15" s="46">
        <v>500</v>
      </c>
      <c r="AA15" s="46">
        <v>500</v>
      </c>
      <c r="AB15" s="46">
        <v>500</v>
      </c>
      <c r="AC15" s="46">
        <v>500</v>
      </c>
      <c r="AD15" s="46">
        <v>500</v>
      </c>
      <c r="AE15" s="46"/>
      <c r="AF15" s="46"/>
      <c r="AG15" s="46"/>
      <c r="AH15" s="46"/>
      <c r="AI15" s="46"/>
      <c r="AJ15" s="46"/>
      <c r="AK15" s="46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s="99" customFormat="1" ht="21" x14ac:dyDescent="0.35">
      <c r="A16"/>
      <c r="B16"/>
      <c r="C16" s="61">
        <v>9</v>
      </c>
      <c r="D16" s="46" t="s">
        <v>56</v>
      </c>
      <c r="E16" s="61">
        <v>10</v>
      </c>
      <c r="F16" s="50">
        <v>43363</v>
      </c>
      <c r="G16" s="50"/>
      <c r="H16" s="46">
        <v>18808.68</v>
      </c>
      <c r="I16" s="46"/>
      <c r="J16" s="46">
        <v>12490.2</v>
      </c>
      <c r="K16" s="61">
        <v>90</v>
      </c>
      <c r="L16" s="46">
        <f>SUM(بيان.معاشات.القاهرة[[#This Row],[منحة 6شهور]:[مقابل نقدي]])</f>
        <v>31298.880000000001</v>
      </c>
      <c r="M16" s="46">
        <f>بيان.معاشات.القاهرة[[#This Row],[إجمالي الدفعات]]</f>
        <v>28000</v>
      </c>
      <c r="N16" s="46">
        <f>بيان.معاشات.القاهرة[[#This Row],[إجمالي المستحق]]-بيان.معاشات.القاهرة[[#This Row],[المنصرف]]</f>
        <v>3298.880000000001</v>
      </c>
      <c r="O16" s="46">
        <f>IF(بيان.معاشات.القاهرة[[#This Row],[المتبقي]]&lt;0,0,بيان.معاشات.القاهرة[[#This Row],[المتبقي]])</f>
        <v>3298.880000000001</v>
      </c>
      <c r="P16" s="48">
        <f>(بيان.معاشات.القاهرة[[#This Row],[منحة 6شهور]]+بيان.معاشات.القاهرة[[#This Row],[مستحقات]])-بيان.معاشات.القاهرة[[#This Row],[المنصرف]]</f>
        <v>-9191.32</v>
      </c>
      <c r="Q16" s="48">
        <f>IF(بيان.معاشات.القاهرة[[#This Row],[المتبقي من المنحة]]&lt;0,0,بيان.معاشات.القاهرة[[#This Row],[المتبقي من المنحة]])</f>
        <v>0</v>
      </c>
      <c r="R16" s="53">
        <v>25809200102906</v>
      </c>
      <c r="S16" s="46"/>
      <c r="T16" s="46" t="s">
        <v>197</v>
      </c>
      <c r="U16" s="76"/>
      <c r="V16" s="46">
        <v>16500</v>
      </c>
      <c r="W16" s="46">
        <v>9000</v>
      </c>
      <c r="X1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28000</v>
      </c>
      <c r="Y16" s="46">
        <f>SUM(بيان.معاشات.القاهرة[[#This Row],[يناير-23]:[ديسمبر-23]])</f>
        <v>2500</v>
      </c>
      <c r="Z16" s="46">
        <v>500</v>
      </c>
      <c r="AA16" s="46">
        <v>500</v>
      </c>
      <c r="AB16" s="46">
        <v>500</v>
      </c>
      <c r="AC16" s="46">
        <v>500</v>
      </c>
      <c r="AD16" s="46">
        <v>500</v>
      </c>
      <c r="AE16" s="46"/>
      <c r="AF16" s="46"/>
      <c r="AG16" s="46"/>
      <c r="AH16" s="46"/>
      <c r="AI16" s="46"/>
      <c r="AJ16" s="46"/>
      <c r="AK16" s="4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s="99" customFormat="1" ht="21" x14ac:dyDescent="0.35">
      <c r="A17"/>
      <c r="B17"/>
      <c r="C17" s="61">
        <v>10</v>
      </c>
      <c r="D17" s="46" t="s">
        <v>22</v>
      </c>
      <c r="E17" s="61">
        <v>11</v>
      </c>
      <c r="F17" s="50">
        <v>43316</v>
      </c>
      <c r="G17" s="50"/>
      <c r="H17" s="46">
        <v>0</v>
      </c>
      <c r="I17" s="46"/>
      <c r="J17" s="46">
        <v>11983.5</v>
      </c>
      <c r="K17" s="61">
        <v>90</v>
      </c>
      <c r="L17" s="46">
        <f>SUM(بيان.معاشات.القاهرة[[#This Row],[منحة 6شهور]:[مقابل نقدي]])</f>
        <v>11983.5</v>
      </c>
      <c r="M17" s="46">
        <f>بيان.معاشات.القاهرة[[#This Row],[إجمالي الدفعات]]</f>
        <v>11983.5</v>
      </c>
      <c r="N17" s="46">
        <f>بيان.معاشات.القاهرة[[#This Row],[إجمالي المستحق]]-بيان.معاشات.القاهرة[[#This Row],[المنصرف]]</f>
        <v>0</v>
      </c>
      <c r="O17" s="46">
        <f>IF(بيان.معاشات.القاهرة[[#This Row],[المتبقي]]&lt;0,0,بيان.معاشات.القاهرة[[#This Row],[المتبقي]])</f>
        <v>0</v>
      </c>
      <c r="P17" s="48">
        <f>(بيان.معاشات.القاهرة[[#This Row],[منحة 6شهور]]+بيان.معاشات.القاهرة[[#This Row],[مستحقات]])-بيان.معاشات.القاهرة[[#This Row],[المنصرف]]</f>
        <v>-11983.5</v>
      </c>
      <c r="Q17" s="48">
        <f>IF(بيان.معاشات.القاهرة[[#This Row],[المتبقي من المنحة]]&lt;0,0,بيان.معاشات.القاهرة[[#This Row],[المتبقي من المنحة]])</f>
        <v>0</v>
      </c>
      <c r="R17" s="53">
        <v>25808041700337</v>
      </c>
      <c r="S17" s="46"/>
      <c r="T17" s="46" t="s">
        <v>13</v>
      </c>
      <c r="U17" s="76"/>
      <c r="V17" s="46">
        <v>1415.6</v>
      </c>
      <c r="W17" s="46">
        <v>9500</v>
      </c>
      <c r="X1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11983.5</v>
      </c>
      <c r="Y17" s="46">
        <f>SUM(بيان.معاشات.القاهرة[[#This Row],[يناير-23]:[ديسمبر-23]])</f>
        <v>1067.9000000000001</v>
      </c>
      <c r="Z17" s="46">
        <v>1067.9000000000001</v>
      </c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s="99" customFormat="1" ht="21" x14ac:dyDescent="0.35">
      <c r="A18"/>
      <c r="B18"/>
      <c r="C18" s="61">
        <v>11</v>
      </c>
      <c r="D18" s="46" t="s">
        <v>21</v>
      </c>
      <c r="E18" s="61">
        <v>12</v>
      </c>
      <c r="F18" s="50">
        <v>43335</v>
      </c>
      <c r="G18" s="50"/>
      <c r="H18" s="46">
        <v>20077.5</v>
      </c>
      <c r="I18" s="46"/>
      <c r="J18" s="46">
        <v>12314.7</v>
      </c>
      <c r="K18" s="61">
        <v>90</v>
      </c>
      <c r="L18" s="46">
        <f>SUM(بيان.معاشات.القاهرة[[#This Row],[منحة 6شهور]:[مقابل نقدي]])</f>
        <v>32392.2</v>
      </c>
      <c r="M18" s="46">
        <f>بيان.معاشات.القاهرة[[#This Row],[إجمالي الدفعات]]</f>
        <v>28000</v>
      </c>
      <c r="N18" s="46">
        <f>بيان.معاشات.القاهرة[[#This Row],[إجمالي المستحق]]-بيان.معاشات.القاهرة[[#This Row],[المنصرف]]</f>
        <v>4392.2000000000007</v>
      </c>
      <c r="O18" s="46">
        <f>IF(بيان.معاشات.القاهرة[[#This Row],[المتبقي]]&lt;0,0,بيان.معاشات.القاهرة[[#This Row],[المتبقي]])</f>
        <v>4392.2000000000007</v>
      </c>
      <c r="P18" s="48">
        <f>(بيان.معاشات.القاهرة[[#This Row],[منحة 6شهور]]+بيان.معاشات.القاهرة[[#This Row],[مستحقات]])-بيان.معاشات.القاهرة[[#This Row],[المنصرف]]</f>
        <v>-7922.5</v>
      </c>
      <c r="Q18" s="48">
        <f>IF(بيان.معاشات.القاهرة[[#This Row],[المتبقي من المنحة]]&lt;0,0,بيان.معاشات.القاهرة[[#This Row],[المتبقي من المنحة]])</f>
        <v>0</v>
      </c>
      <c r="R18" s="53">
        <v>25808230102335</v>
      </c>
      <c r="S18" s="46"/>
      <c r="T18" s="46" t="s">
        <v>197</v>
      </c>
      <c r="U18" s="76"/>
      <c r="V18" s="46">
        <v>16500</v>
      </c>
      <c r="W18" s="46">
        <v>9000</v>
      </c>
      <c r="X1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28000</v>
      </c>
      <c r="Y18" s="46">
        <f>SUM(بيان.معاشات.القاهرة[[#This Row],[يناير-23]:[ديسمبر-23]])</f>
        <v>2500</v>
      </c>
      <c r="Z18" s="46">
        <v>500</v>
      </c>
      <c r="AA18" s="46">
        <v>500</v>
      </c>
      <c r="AB18" s="46">
        <v>500</v>
      </c>
      <c r="AC18" s="46">
        <v>500</v>
      </c>
      <c r="AD18" s="46">
        <v>500</v>
      </c>
      <c r="AE18" s="46"/>
      <c r="AF18" s="46"/>
      <c r="AG18" s="46"/>
      <c r="AH18" s="46"/>
      <c r="AI18" s="46"/>
      <c r="AJ18" s="46"/>
      <c r="AK18" s="46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s="99" customFormat="1" ht="21" x14ac:dyDescent="0.35">
      <c r="A19"/>
      <c r="B19"/>
      <c r="C19" s="61">
        <v>12</v>
      </c>
      <c r="D19" s="46" t="s">
        <v>18</v>
      </c>
      <c r="E19" s="61">
        <v>13</v>
      </c>
      <c r="F19" s="50">
        <v>43159</v>
      </c>
      <c r="G19" s="50"/>
      <c r="H19" s="46"/>
      <c r="I19" s="46"/>
      <c r="J19" s="46">
        <v>11330.1</v>
      </c>
      <c r="K19" s="61">
        <v>90</v>
      </c>
      <c r="L19" s="46">
        <f>SUM(بيان.معاشات.القاهرة[[#This Row],[منحة 6شهور]:[مقابل نقدي]])</f>
        <v>11330.1</v>
      </c>
      <c r="M19" s="46">
        <f>بيان.معاشات.القاهرة[[#This Row],[إجمالي الدفعات]]</f>
        <v>3000</v>
      </c>
      <c r="N19" s="46">
        <f>بيان.معاشات.القاهرة[[#This Row],[إجمالي المستحق]]-بيان.معاشات.القاهرة[[#This Row],[المنصرف]]</f>
        <v>8330.1</v>
      </c>
      <c r="O19" s="46">
        <f>IF(بيان.معاشات.القاهرة[[#This Row],[المتبقي]]&lt;0,0,بيان.معاشات.القاهرة[[#This Row],[المتبقي]])</f>
        <v>8330.1</v>
      </c>
      <c r="P19" s="48">
        <f>(بيان.معاشات.القاهرة[[#This Row],[منحة 6شهور]]+بيان.معاشات.القاهرة[[#This Row],[مستحقات]])-بيان.معاشات.القاهرة[[#This Row],[المنصرف]]</f>
        <v>-3000</v>
      </c>
      <c r="Q19" s="48">
        <f>IF(بيان.معاشات.القاهرة[[#This Row],[المتبقي من المنحة]]&lt;0,0,بيان.معاشات.القاهرة[[#This Row],[المتبقي من المنحة]])</f>
        <v>0</v>
      </c>
      <c r="R19" s="53">
        <v>25802281702118</v>
      </c>
      <c r="S19" s="46" t="s">
        <v>467</v>
      </c>
      <c r="T19" s="46" t="s">
        <v>462</v>
      </c>
      <c r="U19" s="76"/>
      <c r="V19" s="46"/>
      <c r="W19" s="46">
        <v>0</v>
      </c>
      <c r="X1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3000</v>
      </c>
      <c r="Y19" s="46">
        <f>SUM(بيان.معاشات.القاهرة[[#This Row],[يناير-23]:[ديسمبر-23]])</f>
        <v>3000</v>
      </c>
      <c r="Z19" s="46"/>
      <c r="AA19" s="46"/>
      <c r="AB19" s="46">
        <v>1000</v>
      </c>
      <c r="AC19" s="46">
        <v>1000</v>
      </c>
      <c r="AD19" s="46">
        <v>1000</v>
      </c>
      <c r="AE19" s="46"/>
      <c r="AF19" s="46"/>
      <c r="AG19" s="46"/>
      <c r="AH19" s="46"/>
      <c r="AI19" s="46"/>
      <c r="AJ19" s="46"/>
      <c r="AK19" s="46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s="99" customFormat="1" ht="21" x14ac:dyDescent="0.35">
      <c r="A20"/>
      <c r="B20"/>
      <c r="C20" s="61">
        <v>13</v>
      </c>
      <c r="D20" s="46" t="s">
        <v>53</v>
      </c>
      <c r="E20" s="61">
        <v>21</v>
      </c>
      <c r="F20" s="50">
        <v>44361</v>
      </c>
      <c r="G20" s="50"/>
      <c r="H20" s="46">
        <v>16726.740000000002</v>
      </c>
      <c r="I20" s="46"/>
      <c r="J20" s="46">
        <v>15802.2</v>
      </c>
      <c r="K20" s="61">
        <v>90</v>
      </c>
      <c r="L20" s="46">
        <f>SUM(بيان.معاشات.القاهرة[[#This Row],[منحة 6شهور]:[مقابل نقدي]])</f>
        <v>32528.940000000002</v>
      </c>
      <c r="M20" s="46">
        <f>بيان.معاشات.القاهرة[[#This Row],[إجمالي الدفعات]]</f>
        <v>11500</v>
      </c>
      <c r="N20" s="46">
        <f>بيان.معاشات.القاهرة[[#This Row],[إجمالي المستحق]]-بيان.معاشات.القاهرة[[#This Row],[المنصرف]]</f>
        <v>21028.940000000002</v>
      </c>
      <c r="O20" s="46">
        <f>IF(بيان.معاشات.القاهرة[[#This Row],[المتبقي]]&lt;0,0,بيان.معاشات.القاهرة[[#This Row],[المتبقي]])</f>
        <v>21028.940000000002</v>
      </c>
      <c r="P20" s="48">
        <f>(بيان.معاشات.القاهرة[[#This Row],[منحة 6شهور]]+بيان.معاشات.القاهرة[[#This Row],[مستحقات]])-بيان.معاشات.القاهرة[[#This Row],[المنصرف]]</f>
        <v>5226.7400000000016</v>
      </c>
      <c r="Q20" s="48">
        <f>IF(بيان.معاشات.القاهرة[[#This Row],[المتبقي من المنحة]]&lt;0,0,بيان.معاشات.القاهرة[[#This Row],[المتبقي من المنحة]])</f>
        <v>5226.7400000000016</v>
      </c>
      <c r="R20" s="53">
        <v>26106141301978</v>
      </c>
      <c r="S20" s="46"/>
      <c r="T20" s="46"/>
      <c r="U20" s="76"/>
      <c r="V20" s="46">
        <v>0</v>
      </c>
      <c r="W20" s="46">
        <v>9000</v>
      </c>
      <c r="X2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11500</v>
      </c>
      <c r="Y20" s="46">
        <f>SUM(بيان.معاشات.القاهرة[[#This Row],[يناير-23]:[ديسمبر-23]])</f>
        <v>2500</v>
      </c>
      <c r="Z20" s="46">
        <v>500</v>
      </c>
      <c r="AA20" s="46">
        <v>500</v>
      </c>
      <c r="AB20" s="46">
        <v>500</v>
      </c>
      <c r="AC20" s="46">
        <v>500</v>
      </c>
      <c r="AD20" s="46">
        <v>500</v>
      </c>
      <c r="AE20" s="46"/>
      <c r="AF20" s="46"/>
      <c r="AG20" s="46"/>
      <c r="AH20" s="46"/>
      <c r="AI20" s="46"/>
      <c r="AJ20" s="46"/>
      <c r="AK20" s="46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s="99" customFormat="1" ht="21" x14ac:dyDescent="0.35">
      <c r="A21"/>
      <c r="B21"/>
      <c r="C21" s="61">
        <v>14</v>
      </c>
      <c r="D21" s="46" t="s">
        <v>206</v>
      </c>
      <c r="E21" s="61">
        <v>22</v>
      </c>
      <c r="F21" s="50">
        <v>44348</v>
      </c>
      <c r="G21" s="50"/>
      <c r="H21" s="46">
        <v>15948.1</v>
      </c>
      <c r="I21" s="46"/>
      <c r="J21" s="46">
        <v>18240.3</v>
      </c>
      <c r="K21" s="61">
        <v>90</v>
      </c>
      <c r="L21" s="46">
        <f>SUM(بيان.معاشات.القاهرة[[#This Row],[منحة 6شهور]:[مقابل نقدي]])</f>
        <v>34188.400000000001</v>
      </c>
      <c r="M21" s="46">
        <f>بيان.معاشات.القاهرة[[#This Row],[إجمالي الدفعات]]</f>
        <v>12500</v>
      </c>
      <c r="N21" s="46">
        <f>بيان.معاشات.القاهرة[[#This Row],[إجمالي المستحق]]-بيان.معاشات.القاهرة[[#This Row],[المنصرف]]</f>
        <v>21688.400000000001</v>
      </c>
      <c r="O21" s="46">
        <f>IF(بيان.معاشات.القاهرة[[#This Row],[المتبقي]]&lt;0,0,بيان.معاشات.القاهرة[[#This Row],[المتبقي]])</f>
        <v>21688.400000000001</v>
      </c>
      <c r="P21" s="48">
        <f>(بيان.معاشات.القاهرة[[#This Row],[منحة 6شهور]]+بيان.معاشات.القاهرة[[#This Row],[مستحقات]])-بيان.معاشات.القاهرة[[#This Row],[المنصرف]]</f>
        <v>3448.1000000000004</v>
      </c>
      <c r="Q21" s="48">
        <f>IF(بيان.معاشات.القاهرة[[#This Row],[المتبقي من المنحة]]&lt;0,0,بيان.معاشات.القاهرة[[#This Row],[المتبقي من المنحة]])</f>
        <v>3448.1000000000004</v>
      </c>
      <c r="R21" s="53">
        <v>26106010103267</v>
      </c>
      <c r="S21" s="46"/>
      <c r="T21" s="46"/>
      <c r="U21" s="76"/>
      <c r="V21" s="46">
        <v>0</v>
      </c>
      <c r="W21" s="46">
        <v>9000</v>
      </c>
      <c r="X2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12500</v>
      </c>
      <c r="Y21" s="46">
        <f>SUM(بيان.معاشات.القاهرة[[#This Row],[يناير-23]:[ديسمبر-23]])</f>
        <v>3500</v>
      </c>
      <c r="Z21" s="46">
        <v>500</v>
      </c>
      <c r="AA21" s="46">
        <v>500</v>
      </c>
      <c r="AB21" s="46">
        <v>1500</v>
      </c>
      <c r="AC21" s="46">
        <v>500</v>
      </c>
      <c r="AD21" s="46">
        <v>500</v>
      </c>
      <c r="AE21" s="46"/>
      <c r="AF21" s="46"/>
      <c r="AG21" s="46"/>
      <c r="AH21" s="46"/>
      <c r="AI21" s="46"/>
      <c r="AJ21" s="46"/>
      <c r="AK21" s="46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s="99" customFormat="1" ht="21" x14ac:dyDescent="0.35">
      <c r="A22"/>
      <c r="B22"/>
      <c r="C22" s="61">
        <v>15</v>
      </c>
      <c r="D22" s="46" t="s">
        <v>49</v>
      </c>
      <c r="E22" s="61">
        <v>23</v>
      </c>
      <c r="F22" s="50">
        <v>44132</v>
      </c>
      <c r="G22" s="50"/>
      <c r="H22" s="46">
        <v>16343.42</v>
      </c>
      <c r="I22" s="46"/>
      <c r="J22" s="46">
        <v>9725.3799999999992</v>
      </c>
      <c r="K22" s="61">
        <v>60.5</v>
      </c>
      <c r="L22" s="46">
        <f>SUM(بيان.معاشات.القاهرة[[#This Row],[منحة 6شهور]:[مقابل نقدي]])</f>
        <v>26068.799999999999</v>
      </c>
      <c r="M22" s="46">
        <f>بيان.معاشات.القاهرة[[#This Row],[إجمالي الدفعات]]</f>
        <v>15320</v>
      </c>
      <c r="N22" s="46">
        <f>بيان.معاشات.القاهرة[[#This Row],[إجمالي المستحق]]-بيان.معاشات.القاهرة[[#This Row],[المنصرف]]</f>
        <v>10748.8</v>
      </c>
      <c r="O22" s="46">
        <f>IF(بيان.معاشات.القاهرة[[#This Row],[المتبقي]]&lt;0,0,بيان.معاشات.القاهرة[[#This Row],[المتبقي]])</f>
        <v>10748.8</v>
      </c>
      <c r="P22" s="48">
        <f>(بيان.معاشات.القاهرة[[#This Row],[منحة 6شهور]]+بيان.معاشات.القاهرة[[#This Row],[مستحقات]])-بيان.معاشات.القاهرة[[#This Row],[المنصرف]]</f>
        <v>1023.4200000000001</v>
      </c>
      <c r="Q22" s="48">
        <f>IF(بيان.معاشات.القاهرة[[#This Row],[المتبقي من المنحة]]&lt;0,0,بيان.معاشات.القاهرة[[#This Row],[المتبقي من المنحة]])</f>
        <v>1023.4200000000001</v>
      </c>
      <c r="R22" s="53">
        <v>26010280103814</v>
      </c>
      <c r="S22" s="46"/>
      <c r="T22" s="46"/>
      <c r="U22" s="76"/>
      <c r="V22" s="46">
        <v>4320</v>
      </c>
      <c r="W22" s="46">
        <v>8500</v>
      </c>
      <c r="X2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15320</v>
      </c>
      <c r="Y22" s="46">
        <f>SUM(بيان.معاشات.القاهرة[[#This Row],[يناير-23]:[ديسمبر-23]])</f>
        <v>2500</v>
      </c>
      <c r="Z22" s="46">
        <v>500</v>
      </c>
      <c r="AA22" s="46">
        <v>500</v>
      </c>
      <c r="AB22" s="46">
        <v>500</v>
      </c>
      <c r="AC22" s="46">
        <v>500</v>
      </c>
      <c r="AD22" s="46">
        <v>500</v>
      </c>
      <c r="AE22" s="46"/>
      <c r="AF22" s="46"/>
      <c r="AG22" s="46"/>
      <c r="AH22" s="46"/>
      <c r="AI22" s="46"/>
      <c r="AJ22" s="46"/>
      <c r="AK22" s="46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 s="99" customFormat="1" ht="21" x14ac:dyDescent="0.35">
      <c r="A23"/>
      <c r="B23"/>
      <c r="C23" s="61">
        <v>16</v>
      </c>
      <c r="D23" s="46" t="s">
        <v>59</v>
      </c>
      <c r="E23" s="61">
        <v>24</v>
      </c>
      <c r="F23" s="50">
        <v>44197</v>
      </c>
      <c r="G23" s="50"/>
      <c r="H23" s="46">
        <v>20366.18</v>
      </c>
      <c r="I23" s="46"/>
      <c r="J23" s="46">
        <v>19410.3</v>
      </c>
      <c r="K23" s="61">
        <v>90</v>
      </c>
      <c r="L23" s="46">
        <f>SUM(بيان.معاشات.القاهرة[[#This Row],[منحة 6شهور]:[مقابل نقدي]])</f>
        <v>39776.479999999996</v>
      </c>
      <c r="M23" s="46">
        <f>بيان.معاشات.القاهرة[[#This Row],[إجمالي الدفعات]]</f>
        <v>13500</v>
      </c>
      <c r="N23" s="46">
        <f>بيان.معاشات.القاهرة[[#This Row],[إجمالي المستحق]]-بيان.معاشات.القاهرة[[#This Row],[المنصرف]]</f>
        <v>26276.479999999996</v>
      </c>
      <c r="O23" s="46">
        <f>IF(بيان.معاشات.القاهرة[[#This Row],[المتبقي]]&lt;0,0,بيان.معاشات.القاهرة[[#This Row],[المتبقي]])</f>
        <v>26276.479999999996</v>
      </c>
      <c r="P23" s="48">
        <f>(بيان.معاشات.القاهرة[[#This Row],[منحة 6شهور]]+بيان.معاشات.القاهرة[[#This Row],[مستحقات]])-بيان.معاشات.القاهرة[[#This Row],[المنصرف]]</f>
        <v>6866.18</v>
      </c>
      <c r="Q23" s="48">
        <f>IF(بيان.معاشات.القاهرة[[#This Row],[المتبقي من المنحة]]&lt;0,0,بيان.معاشات.القاهرة[[#This Row],[المتبقي من المنحة]])</f>
        <v>6866.18</v>
      </c>
      <c r="R23" s="53">
        <v>26805160102353</v>
      </c>
      <c r="S23" s="46" t="s">
        <v>251</v>
      </c>
      <c r="T23" s="46"/>
      <c r="U23" s="76"/>
      <c r="V23" s="46">
        <v>2000</v>
      </c>
      <c r="W23" s="46">
        <v>9000</v>
      </c>
      <c r="X2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13500</v>
      </c>
      <c r="Y23" s="46">
        <f>SUM(بيان.معاشات.القاهرة[[#This Row],[يناير-23]:[ديسمبر-23]])</f>
        <v>2500</v>
      </c>
      <c r="Z23" s="46">
        <v>500</v>
      </c>
      <c r="AA23" s="46">
        <v>500</v>
      </c>
      <c r="AB23" s="46">
        <v>500</v>
      </c>
      <c r="AC23" s="46">
        <v>500</v>
      </c>
      <c r="AD23" s="46">
        <v>500</v>
      </c>
      <c r="AE23" s="46"/>
      <c r="AF23" s="46"/>
      <c r="AG23" s="46"/>
      <c r="AH23" s="46"/>
      <c r="AI23" s="46"/>
      <c r="AJ23" s="46"/>
      <c r="AK23" s="46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s="99" customFormat="1" ht="21" x14ac:dyDescent="0.35">
      <c r="A24"/>
      <c r="B24"/>
      <c r="C24" s="61">
        <v>17</v>
      </c>
      <c r="D24" s="46" t="s">
        <v>38</v>
      </c>
      <c r="E24" s="61">
        <v>25</v>
      </c>
      <c r="F24" s="50">
        <v>44109</v>
      </c>
      <c r="G24" s="50"/>
      <c r="H24" s="46">
        <v>19538.419999999998</v>
      </c>
      <c r="I24" s="46"/>
      <c r="J24" s="46">
        <v>19372.5</v>
      </c>
      <c r="K24" s="61">
        <v>90</v>
      </c>
      <c r="L24" s="46">
        <f>SUM(بيان.معاشات.القاهرة[[#This Row],[منحة 6شهور]:[مقابل نقدي]])</f>
        <v>38910.92</v>
      </c>
      <c r="M24" s="46">
        <f>بيان.معاشات.القاهرة[[#This Row],[إجمالي الدفعات]]</f>
        <v>15000</v>
      </c>
      <c r="N24" s="46">
        <f>بيان.معاشات.القاهرة[[#This Row],[إجمالي المستحق]]-بيان.معاشات.القاهرة[[#This Row],[المنصرف]]</f>
        <v>23910.92</v>
      </c>
      <c r="O24" s="46">
        <f>IF(بيان.معاشات.القاهرة[[#This Row],[المتبقي]]&lt;0,0,بيان.معاشات.القاهرة[[#This Row],[المتبقي]])</f>
        <v>23910.92</v>
      </c>
      <c r="P24" s="48">
        <f>(بيان.معاشات.القاهرة[[#This Row],[منحة 6شهور]]+بيان.معاشات.القاهرة[[#This Row],[مستحقات]])-بيان.معاشات.القاهرة[[#This Row],[المنصرف]]</f>
        <v>4538.4199999999983</v>
      </c>
      <c r="Q24" s="48">
        <f>IF(بيان.معاشات.القاهرة[[#This Row],[المتبقي من المنحة]]&lt;0,0,بيان.معاشات.القاهرة[[#This Row],[المتبقي من المنحة]])</f>
        <v>4538.4199999999983</v>
      </c>
      <c r="R24" s="53">
        <v>26010051401496</v>
      </c>
      <c r="S24" s="46"/>
      <c r="T24" s="46"/>
      <c r="U24" s="76"/>
      <c r="V24" s="46">
        <v>3500</v>
      </c>
      <c r="W24" s="46">
        <v>9000</v>
      </c>
      <c r="X2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15000</v>
      </c>
      <c r="Y24" s="46">
        <f>SUM(بيان.معاشات.القاهرة[[#This Row],[يناير-23]:[ديسمبر-23]])</f>
        <v>2500</v>
      </c>
      <c r="Z24" s="46">
        <v>500</v>
      </c>
      <c r="AA24" s="46">
        <v>500</v>
      </c>
      <c r="AB24" s="46">
        <v>500</v>
      </c>
      <c r="AC24" s="46">
        <v>500</v>
      </c>
      <c r="AD24" s="46">
        <v>500</v>
      </c>
      <c r="AE24" s="46"/>
      <c r="AF24" s="46"/>
      <c r="AG24" s="46"/>
      <c r="AH24" s="46"/>
      <c r="AI24" s="46"/>
      <c r="AJ24" s="46"/>
      <c r="AK24" s="46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 s="99" customFormat="1" ht="21" x14ac:dyDescent="0.35">
      <c r="A25"/>
      <c r="B25"/>
      <c r="C25" s="61">
        <v>18</v>
      </c>
      <c r="D25" s="46" t="s">
        <v>65</v>
      </c>
      <c r="E25" s="61">
        <v>26</v>
      </c>
      <c r="F25" s="50">
        <v>44176</v>
      </c>
      <c r="G25" s="50"/>
      <c r="H25" s="46">
        <v>25403.59</v>
      </c>
      <c r="I25" s="46"/>
      <c r="J25" s="46">
        <v>19806.53</v>
      </c>
      <c r="K25" s="61">
        <v>90</v>
      </c>
      <c r="L25" s="46">
        <f>SUM(بيان.معاشات.القاهرة[[#This Row],[منحة 6شهور]:[مقابل نقدي]])</f>
        <v>45210.119999999995</v>
      </c>
      <c r="M25" s="46">
        <f>بيان.معاشات.القاهرة[[#This Row],[إجمالي الدفعات]]</f>
        <v>44000</v>
      </c>
      <c r="N25" s="46">
        <f>بيان.معاشات.القاهرة[[#This Row],[إجمالي المستحق]]-بيان.معاشات.القاهرة[[#This Row],[المنصرف]]</f>
        <v>1210.1199999999953</v>
      </c>
      <c r="O25" s="46">
        <f>IF(بيان.معاشات.القاهرة[[#This Row],[المتبقي]]&lt;0,0,بيان.معاشات.القاهرة[[#This Row],[المتبقي]])</f>
        <v>1210.1199999999953</v>
      </c>
      <c r="P25" s="48">
        <f>(بيان.معاشات.القاهرة[[#This Row],[منحة 6شهور]]+بيان.معاشات.القاهرة[[#This Row],[مستحقات]])-بيان.معاشات.القاهرة[[#This Row],[المنصرف]]</f>
        <v>-18596.41</v>
      </c>
      <c r="Q25" s="48">
        <f>IF(بيان.معاشات.القاهرة[[#This Row],[المتبقي من المنحة]]&lt;0,0,بيان.معاشات.القاهرة[[#This Row],[المتبقي من المنحة]])</f>
        <v>0</v>
      </c>
      <c r="R25" s="53">
        <v>26012111301901</v>
      </c>
      <c r="S25" s="46"/>
      <c r="T25" s="46" t="s">
        <v>233</v>
      </c>
      <c r="U25" s="76"/>
      <c r="V25" s="46">
        <v>5000</v>
      </c>
      <c r="W25" s="46">
        <v>30000</v>
      </c>
      <c r="X2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44000</v>
      </c>
      <c r="Y25" s="46">
        <f>SUM(بيان.معاشات.القاهرة[[#This Row],[يناير-23]:[ديسمبر-23]])</f>
        <v>9000</v>
      </c>
      <c r="Z25" s="46">
        <v>1000</v>
      </c>
      <c r="AA25" s="46">
        <v>2000</v>
      </c>
      <c r="AB25" s="46">
        <v>2000</v>
      </c>
      <c r="AC25" s="46">
        <v>2000</v>
      </c>
      <c r="AD25" s="46">
        <v>2000</v>
      </c>
      <c r="AE25" s="46"/>
      <c r="AF25" s="46"/>
      <c r="AG25" s="46"/>
      <c r="AH25" s="46"/>
      <c r="AI25" s="46"/>
      <c r="AJ25" s="46"/>
      <c r="AK25" s="46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s="99" customFormat="1" ht="21" x14ac:dyDescent="0.35">
      <c r="A26"/>
      <c r="B26"/>
      <c r="C26" s="61">
        <v>19</v>
      </c>
      <c r="D26" s="46" t="s">
        <v>67</v>
      </c>
      <c r="E26" s="61">
        <v>27</v>
      </c>
      <c r="F26" s="50">
        <v>43857</v>
      </c>
      <c r="G26" s="50"/>
      <c r="H26" s="46">
        <v>20038.560000000001</v>
      </c>
      <c r="I26" s="46"/>
      <c r="J26" s="46">
        <v>11910</v>
      </c>
      <c r="K26" s="61">
        <v>90</v>
      </c>
      <c r="L26" s="46">
        <f>SUM(بيان.معاشات.القاهرة[[#This Row],[منحة 6شهور]:[مقابل نقدي]])</f>
        <v>31948.560000000001</v>
      </c>
      <c r="M26" s="46">
        <f>بيان.معاشات.القاهرة[[#This Row],[إجمالي الدفعات]]</f>
        <v>19500</v>
      </c>
      <c r="N26" s="46">
        <f>بيان.معاشات.القاهرة[[#This Row],[إجمالي المستحق]]-بيان.معاشات.القاهرة[[#This Row],[المنصرف]]</f>
        <v>12448.560000000001</v>
      </c>
      <c r="O26" s="46">
        <f>IF(بيان.معاشات.القاهرة[[#This Row],[المتبقي]]&lt;0,0,بيان.معاشات.القاهرة[[#This Row],[المتبقي]])</f>
        <v>12448.560000000001</v>
      </c>
      <c r="P26" s="48">
        <f>(بيان.معاشات.القاهرة[[#This Row],[منحة 6شهور]]+بيان.معاشات.القاهرة[[#This Row],[مستحقات]])-بيان.معاشات.القاهرة[[#This Row],[المنصرف]]</f>
        <v>538.56000000000131</v>
      </c>
      <c r="Q26" s="48">
        <f>IF(بيان.معاشات.القاهرة[[#This Row],[المتبقي من المنحة]]&lt;0,0,بيان.معاشات.القاهرة[[#This Row],[المتبقي من المنحة]])</f>
        <v>538.56000000000131</v>
      </c>
      <c r="R26" s="53">
        <v>26001230102303</v>
      </c>
      <c r="S26" s="46"/>
      <c r="T26" s="46" t="s">
        <v>476</v>
      </c>
      <c r="U26" s="76"/>
      <c r="V26" s="46">
        <v>8000</v>
      </c>
      <c r="W26" s="46">
        <v>9000</v>
      </c>
      <c r="X2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19500</v>
      </c>
      <c r="Y26" s="46">
        <f>SUM(بيان.معاشات.القاهرة[[#This Row],[يناير-23]:[ديسمبر-23]])</f>
        <v>2500</v>
      </c>
      <c r="Z26" s="46">
        <v>500</v>
      </c>
      <c r="AA26" s="46">
        <v>500</v>
      </c>
      <c r="AB26" s="46">
        <v>500</v>
      </c>
      <c r="AC26" s="46">
        <v>500</v>
      </c>
      <c r="AD26" s="46">
        <v>500</v>
      </c>
      <c r="AE26" s="46"/>
      <c r="AF26" s="46"/>
      <c r="AG26" s="46"/>
      <c r="AH26" s="46"/>
      <c r="AI26" s="46"/>
      <c r="AJ26" s="46"/>
      <c r="AK26" s="4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 s="99" customFormat="1" ht="21" x14ac:dyDescent="0.35">
      <c r="A27"/>
      <c r="B27"/>
      <c r="C27" s="61">
        <v>20</v>
      </c>
      <c r="D27" s="46" t="s">
        <v>39</v>
      </c>
      <c r="E27" s="61">
        <v>28</v>
      </c>
      <c r="F27" s="50">
        <v>43918</v>
      </c>
      <c r="G27" s="50"/>
      <c r="H27" s="46">
        <v>18338.099999999999</v>
      </c>
      <c r="I27" s="46"/>
      <c r="J27" s="46">
        <v>15774.3</v>
      </c>
      <c r="K27" s="61">
        <v>90</v>
      </c>
      <c r="L27" s="46">
        <f>SUM(بيان.معاشات.القاهرة[[#This Row],[منحة 6شهور]:[مقابل نقدي]])</f>
        <v>34112.399999999994</v>
      </c>
      <c r="M27" s="46">
        <f>بيان.معاشات.القاهرة[[#This Row],[إجمالي الدفعات]]</f>
        <v>18838.099999999999</v>
      </c>
      <c r="N27" s="46">
        <f>بيان.معاشات.القاهرة[[#This Row],[إجمالي المستحق]]-بيان.معاشات.القاهرة[[#This Row],[المنصرف]]</f>
        <v>15274.299999999996</v>
      </c>
      <c r="O27" s="46">
        <f>IF(بيان.معاشات.القاهرة[[#This Row],[المتبقي]]&lt;0,0,بيان.معاشات.القاهرة[[#This Row],[المتبقي]])</f>
        <v>15274.299999999996</v>
      </c>
      <c r="P27" s="48">
        <f>(بيان.معاشات.القاهرة[[#This Row],[منحة 6شهور]]+بيان.معاشات.القاهرة[[#This Row],[مستحقات]])-بيان.معاشات.القاهرة[[#This Row],[المنصرف]]</f>
        <v>-500</v>
      </c>
      <c r="Q27" s="48">
        <f>IF(بيان.معاشات.القاهرة[[#This Row],[المتبقي من المنحة]]&lt;0,0,بيان.معاشات.القاهرة[[#This Row],[المتبقي من المنحة]])</f>
        <v>0</v>
      </c>
      <c r="R27" s="53">
        <v>26003281700496</v>
      </c>
      <c r="S27" s="46"/>
      <c r="T27" s="46" t="s">
        <v>465</v>
      </c>
      <c r="U27" s="76"/>
      <c r="V27" s="46">
        <v>7000</v>
      </c>
      <c r="W27" s="46">
        <v>9000</v>
      </c>
      <c r="X2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18838.099999999999</v>
      </c>
      <c r="Y27" s="46">
        <f>SUM(بيان.معاشات.القاهرة[[#This Row],[يناير-23]:[ديسمبر-23]])</f>
        <v>2838.1</v>
      </c>
      <c r="Z27" s="46">
        <v>500</v>
      </c>
      <c r="AA27" s="46">
        <v>500</v>
      </c>
      <c r="AB27" s="46">
        <v>500</v>
      </c>
      <c r="AC27" s="46">
        <v>838.1</v>
      </c>
      <c r="AD27" s="46">
        <v>500</v>
      </c>
      <c r="AE27" s="46"/>
      <c r="AF27" s="46"/>
      <c r="AG27" s="46"/>
      <c r="AH27" s="46"/>
      <c r="AI27" s="46"/>
      <c r="AJ27" s="46"/>
      <c r="AK27" s="46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s="99" customFormat="1" ht="21" x14ac:dyDescent="0.35">
      <c r="A28"/>
      <c r="B28"/>
      <c r="C28" s="61">
        <v>21</v>
      </c>
      <c r="D28" s="46" t="s">
        <v>60</v>
      </c>
      <c r="E28" s="61">
        <v>29</v>
      </c>
      <c r="F28" s="50">
        <v>43960</v>
      </c>
      <c r="G28" s="50"/>
      <c r="H28" s="46">
        <v>16382.05</v>
      </c>
      <c r="I28" s="46"/>
      <c r="J28" s="46">
        <v>15490.4</v>
      </c>
      <c r="K28" s="61">
        <v>90</v>
      </c>
      <c r="L28" s="46">
        <f>SUM(بيان.معاشات.القاهرة[[#This Row],[منحة 6شهور]:[مقابل نقدي]])</f>
        <v>31872.449999999997</v>
      </c>
      <c r="M28" s="46">
        <f>بيان.معاشات.القاهرة[[#This Row],[إجمالي الدفعات]]</f>
        <v>17500</v>
      </c>
      <c r="N28" s="46">
        <f>بيان.معاشات.القاهرة[[#This Row],[إجمالي المستحق]]-بيان.معاشات.القاهرة[[#This Row],[المنصرف]]</f>
        <v>14372.449999999997</v>
      </c>
      <c r="O28" s="46">
        <f>IF(بيان.معاشات.القاهرة[[#This Row],[المتبقي]]&lt;0,0,بيان.معاشات.القاهرة[[#This Row],[المتبقي]])</f>
        <v>14372.449999999997</v>
      </c>
      <c r="P28" s="48">
        <f>(بيان.معاشات.القاهرة[[#This Row],[منحة 6شهور]]+بيان.معاشات.القاهرة[[#This Row],[مستحقات]])-بيان.معاشات.القاهرة[[#This Row],[المنصرف]]</f>
        <v>-1117.9500000000007</v>
      </c>
      <c r="Q28" s="48">
        <f>IF(بيان.معاشات.القاهرة[[#This Row],[المتبقي من المنحة]]&lt;0,0,بيان.معاشات.القاهرة[[#This Row],[المتبقي من المنحة]])</f>
        <v>0</v>
      </c>
      <c r="R28" s="53">
        <v>26702080101042</v>
      </c>
      <c r="S28" s="46" t="s">
        <v>61</v>
      </c>
      <c r="T28" s="46" t="s">
        <v>62</v>
      </c>
      <c r="U28" s="76"/>
      <c r="V28" s="46">
        <v>5500</v>
      </c>
      <c r="W28" s="46">
        <v>9500</v>
      </c>
      <c r="X2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17500</v>
      </c>
      <c r="Y28" s="46">
        <f>SUM(بيان.معاشات.القاهرة[[#This Row],[يناير-23]:[ديسمبر-23]])</f>
        <v>2500</v>
      </c>
      <c r="Z28" s="46">
        <v>500</v>
      </c>
      <c r="AA28" s="46">
        <v>500</v>
      </c>
      <c r="AB28" s="46">
        <v>500</v>
      </c>
      <c r="AC28" s="46">
        <v>500</v>
      </c>
      <c r="AD28" s="46">
        <v>500</v>
      </c>
      <c r="AE28" s="46"/>
      <c r="AF28" s="46"/>
      <c r="AG28" s="46"/>
      <c r="AH28" s="46"/>
      <c r="AI28" s="46"/>
      <c r="AJ28" s="46"/>
      <c r="AK28" s="46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</row>
    <row r="29" spans="1:116" s="99" customFormat="1" ht="21" x14ac:dyDescent="0.35">
      <c r="A29"/>
      <c r="B29"/>
      <c r="C29" s="61">
        <v>22</v>
      </c>
      <c r="D29" s="46" t="s">
        <v>203</v>
      </c>
      <c r="E29" s="61">
        <v>30</v>
      </c>
      <c r="F29" s="50">
        <v>44291</v>
      </c>
      <c r="G29" s="50"/>
      <c r="H29" s="46">
        <v>19057.5</v>
      </c>
      <c r="I29" s="46"/>
      <c r="J29" s="46">
        <v>20455.8</v>
      </c>
      <c r="K29" s="61">
        <v>90</v>
      </c>
      <c r="L29" s="46">
        <f>SUM(بيان.معاشات.القاهرة[[#This Row],[منحة 6شهور]:[مقابل نقدي]])</f>
        <v>39513.300000000003</v>
      </c>
      <c r="M29" s="46">
        <f>بيان.معاشات.القاهرة[[#This Row],[إجمالي الدفعات]]</f>
        <v>12500</v>
      </c>
      <c r="N29" s="46">
        <f>بيان.معاشات.القاهرة[[#This Row],[إجمالي المستحق]]-بيان.معاشات.القاهرة[[#This Row],[المنصرف]]</f>
        <v>27013.300000000003</v>
      </c>
      <c r="O29" s="46">
        <f>IF(بيان.معاشات.القاهرة[[#This Row],[المتبقي]]&lt;0,0,بيان.معاشات.القاهرة[[#This Row],[المتبقي]])</f>
        <v>27013.300000000003</v>
      </c>
      <c r="P29" s="48">
        <f>(بيان.معاشات.القاهرة[[#This Row],[منحة 6شهور]]+بيان.معاشات.القاهرة[[#This Row],[مستحقات]])-بيان.معاشات.القاهرة[[#This Row],[المنصرف]]</f>
        <v>6557.5</v>
      </c>
      <c r="Q29" s="48">
        <f>IF(بيان.معاشات.القاهرة[[#This Row],[المتبقي من المنحة]]&lt;0,0,بيان.معاشات.القاهرة[[#This Row],[المتبقي من المنحة]])</f>
        <v>6557.5</v>
      </c>
      <c r="R29" s="53">
        <v>26104051701176</v>
      </c>
      <c r="S29" s="46"/>
      <c r="T29" s="46"/>
      <c r="U29" s="76"/>
      <c r="V29" s="46">
        <v>1000</v>
      </c>
      <c r="W29" s="46">
        <v>9000</v>
      </c>
      <c r="X2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12500</v>
      </c>
      <c r="Y29" s="46">
        <f>SUM(بيان.معاشات.القاهرة[[#This Row],[يناير-23]:[ديسمبر-23]])</f>
        <v>2500</v>
      </c>
      <c r="Z29" s="46">
        <v>500</v>
      </c>
      <c r="AA29" s="46">
        <v>500</v>
      </c>
      <c r="AB29" s="46">
        <v>500</v>
      </c>
      <c r="AC29" s="46">
        <v>500</v>
      </c>
      <c r="AD29" s="46">
        <v>500</v>
      </c>
      <c r="AE29" s="46"/>
      <c r="AF29" s="46"/>
      <c r="AG29" s="46"/>
      <c r="AH29" s="46"/>
      <c r="AI29" s="46"/>
      <c r="AJ29" s="46"/>
      <c r="AK29" s="46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 s="99" customFormat="1" ht="21" x14ac:dyDescent="0.35">
      <c r="A30"/>
      <c r="B30"/>
      <c r="C30" s="61">
        <v>23</v>
      </c>
      <c r="D30" s="46" t="s">
        <v>204</v>
      </c>
      <c r="E30" s="61">
        <v>31</v>
      </c>
      <c r="F30" s="50">
        <v>44234</v>
      </c>
      <c r="G30" s="50"/>
      <c r="H30" s="46">
        <v>15088.45</v>
      </c>
      <c r="I30" s="46"/>
      <c r="J30" s="46">
        <v>7833</v>
      </c>
      <c r="K30" s="61">
        <v>42</v>
      </c>
      <c r="L30" s="46">
        <f>SUM(بيان.معاشات.القاهرة[[#This Row],[منحة 6شهور]:[مقابل نقدي]])</f>
        <v>22921.45</v>
      </c>
      <c r="M30" s="46">
        <f>بيان.معاشات.القاهرة[[#This Row],[إجمالي الدفعات]]</f>
        <v>13000</v>
      </c>
      <c r="N30" s="46">
        <f>بيان.معاشات.القاهرة[[#This Row],[إجمالي المستحق]]-بيان.معاشات.القاهرة[[#This Row],[المنصرف]]</f>
        <v>9921.4500000000007</v>
      </c>
      <c r="O30" s="46">
        <f>IF(بيان.معاشات.القاهرة[[#This Row],[المتبقي]]&lt;0,0,بيان.معاشات.القاهرة[[#This Row],[المتبقي]])</f>
        <v>9921.4500000000007</v>
      </c>
      <c r="P30" s="48">
        <f>(بيان.معاشات.القاهرة[[#This Row],[منحة 6شهور]]+بيان.معاشات.القاهرة[[#This Row],[مستحقات]])-بيان.معاشات.القاهرة[[#This Row],[المنصرف]]</f>
        <v>2088.4500000000007</v>
      </c>
      <c r="Q30" s="48">
        <f>IF(بيان.معاشات.القاهرة[[#This Row],[المتبقي من المنحة]]&lt;0,0,بيان.معاشات.القاهرة[[#This Row],[المتبقي من المنحة]])</f>
        <v>2088.4500000000007</v>
      </c>
      <c r="R30" s="53">
        <v>2602072101435</v>
      </c>
      <c r="S30" s="46"/>
      <c r="T30" s="46"/>
      <c r="U30" s="76"/>
      <c r="V30" s="46">
        <v>1500</v>
      </c>
      <c r="W30" s="46">
        <v>9000</v>
      </c>
      <c r="X3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13000</v>
      </c>
      <c r="Y30" s="46">
        <f>SUM(بيان.معاشات.القاهرة[[#This Row],[يناير-23]:[ديسمبر-23]])</f>
        <v>2500</v>
      </c>
      <c r="Z30" s="46">
        <v>500</v>
      </c>
      <c r="AA30" s="46">
        <v>500</v>
      </c>
      <c r="AB30" s="46">
        <v>500</v>
      </c>
      <c r="AC30" s="46">
        <v>500</v>
      </c>
      <c r="AD30" s="46">
        <v>500</v>
      </c>
      <c r="AE30" s="46"/>
      <c r="AF30" s="46"/>
      <c r="AG30" s="46"/>
      <c r="AH30" s="46"/>
      <c r="AI30" s="46"/>
      <c r="AJ30" s="46"/>
      <c r="AK30" s="46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</row>
    <row r="31" spans="1:116" s="99" customFormat="1" ht="21" x14ac:dyDescent="0.35">
      <c r="A31"/>
      <c r="B31"/>
      <c r="C31" s="61">
        <v>24</v>
      </c>
      <c r="D31" s="46" t="s">
        <v>208</v>
      </c>
      <c r="E31" s="61">
        <v>32</v>
      </c>
      <c r="F31" s="50">
        <v>44322</v>
      </c>
      <c r="G31" s="50"/>
      <c r="H31" s="46">
        <v>22391.52</v>
      </c>
      <c r="I31" s="46"/>
      <c r="J31" s="46">
        <v>18880.2</v>
      </c>
      <c r="K31" s="61">
        <v>90</v>
      </c>
      <c r="L31" s="46">
        <f>SUM(بيان.معاشات.القاهرة[[#This Row],[منحة 6شهور]:[مقابل نقدي]])</f>
        <v>41271.72</v>
      </c>
      <c r="M31" s="46">
        <f>بيان.معاشات.القاهرة[[#This Row],[إجمالي الدفعات]]</f>
        <v>11500</v>
      </c>
      <c r="N31" s="46">
        <f>بيان.معاشات.القاهرة[[#This Row],[إجمالي المستحق]]-بيان.معاشات.القاهرة[[#This Row],[المنصرف]]</f>
        <v>29771.72</v>
      </c>
      <c r="O31" s="46">
        <f>IF(بيان.معاشات.القاهرة[[#This Row],[المتبقي]]&lt;0,0,بيان.معاشات.القاهرة[[#This Row],[المتبقي]])</f>
        <v>29771.72</v>
      </c>
      <c r="P31" s="48">
        <f>(بيان.معاشات.القاهرة[[#This Row],[منحة 6شهور]]+بيان.معاشات.القاهرة[[#This Row],[مستحقات]])-بيان.معاشات.القاهرة[[#This Row],[المنصرف]]</f>
        <v>10891.52</v>
      </c>
      <c r="Q31" s="48">
        <f>IF(بيان.معاشات.القاهرة[[#This Row],[المتبقي من المنحة]]&lt;0,0,بيان.معاشات.القاهرة[[#This Row],[المتبقي من المنحة]])</f>
        <v>10891.52</v>
      </c>
      <c r="R31" s="53">
        <v>26105062800091</v>
      </c>
      <c r="S31" s="46"/>
      <c r="T31" s="46"/>
      <c r="U31" s="76"/>
      <c r="V31" s="46">
        <v>0</v>
      </c>
      <c r="W31" s="46">
        <v>9000</v>
      </c>
      <c r="X3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11500</v>
      </c>
      <c r="Y31" s="46">
        <f>SUM(بيان.معاشات.القاهرة[[#This Row],[يناير-23]:[ديسمبر-23]])</f>
        <v>2500</v>
      </c>
      <c r="Z31" s="46">
        <v>500</v>
      </c>
      <c r="AA31" s="46"/>
      <c r="AB31" s="46">
        <v>1000</v>
      </c>
      <c r="AC31" s="46">
        <v>500</v>
      </c>
      <c r="AD31" s="46">
        <v>500</v>
      </c>
      <c r="AE31" s="46"/>
      <c r="AF31" s="46"/>
      <c r="AG31" s="46"/>
      <c r="AH31" s="46"/>
      <c r="AI31" s="46"/>
      <c r="AJ31" s="46"/>
      <c r="AK31" s="46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 s="99" customFormat="1" ht="21" x14ac:dyDescent="0.35">
      <c r="A32"/>
      <c r="B32"/>
      <c r="C32" s="61">
        <v>25</v>
      </c>
      <c r="D32" s="46" t="s">
        <v>52</v>
      </c>
      <c r="E32" s="61">
        <v>33</v>
      </c>
      <c r="F32" s="50">
        <v>44335</v>
      </c>
      <c r="G32" s="50"/>
      <c r="H32" s="46">
        <v>13780.68</v>
      </c>
      <c r="I32" s="46"/>
      <c r="J32" s="46">
        <v>12496</v>
      </c>
      <c r="K32" s="61">
        <v>88</v>
      </c>
      <c r="L32" s="46">
        <f>SUM(بيان.معاشات.القاهرة[[#This Row],[منحة 6شهور]:[مقابل نقدي]])</f>
        <v>26276.68</v>
      </c>
      <c r="M32" s="46">
        <f>بيان.معاشات.القاهرة[[#This Row],[إجمالي الدفعات]]</f>
        <v>11500</v>
      </c>
      <c r="N32" s="46">
        <f>بيان.معاشات.القاهرة[[#This Row],[إجمالي المستحق]]-بيان.معاشات.القاهرة[[#This Row],[المنصرف]]</f>
        <v>14776.68</v>
      </c>
      <c r="O32" s="46">
        <f>IF(بيان.معاشات.القاهرة[[#This Row],[المتبقي]]&lt;0,0,بيان.معاشات.القاهرة[[#This Row],[المتبقي]])</f>
        <v>14776.68</v>
      </c>
      <c r="P32" s="48">
        <f>(بيان.معاشات.القاهرة[[#This Row],[منحة 6شهور]]+بيان.معاشات.القاهرة[[#This Row],[مستحقات]])-بيان.معاشات.القاهرة[[#This Row],[المنصرف]]</f>
        <v>2280.6800000000003</v>
      </c>
      <c r="Q32" s="48">
        <f>IF(بيان.معاشات.القاهرة[[#This Row],[المتبقي من المنحة]]&lt;0,0,بيان.معاشات.القاهرة[[#This Row],[المتبقي من المنحة]])</f>
        <v>2280.6800000000003</v>
      </c>
      <c r="R32" s="53">
        <v>26105192101578</v>
      </c>
      <c r="S32" s="46"/>
      <c r="T32" s="46"/>
      <c r="U32" s="76"/>
      <c r="V32" s="46">
        <v>0</v>
      </c>
      <c r="W32" s="46">
        <v>9000</v>
      </c>
      <c r="X3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11500</v>
      </c>
      <c r="Y32" s="46">
        <f>SUM(بيان.معاشات.القاهرة[[#This Row],[يناير-23]:[ديسمبر-23]])</f>
        <v>2500</v>
      </c>
      <c r="Z32" s="46">
        <v>500</v>
      </c>
      <c r="AA32" s="46">
        <v>500</v>
      </c>
      <c r="AB32" s="46">
        <v>500</v>
      </c>
      <c r="AC32" s="46">
        <v>500</v>
      </c>
      <c r="AD32" s="46">
        <v>500</v>
      </c>
      <c r="AE32" s="46"/>
      <c r="AF32" s="46"/>
      <c r="AG32" s="46"/>
      <c r="AH32" s="46"/>
      <c r="AI32" s="46"/>
      <c r="AJ32" s="46"/>
      <c r="AK32" s="46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 s="99" customFormat="1" ht="21" x14ac:dyDescent="0.35">
      <c r="A33"/>
      <c r="B33"/>
      <c r="C33" s="61">
        <v>26</v>
      </c>
      <c r="D33" s="46" t="s">
        <v>205</v>
      </c>
      <c r="E33" s="61">
        <v>34</v>
      </c>
      <c r="F33" s="50">
        <v>44080</v>
      </c>
      <c r="G33" s="50"/>
      <c r="H33" s="46">
        <v>17674.04</v>
      </c>
      <c r="I33" s="46"/>
      <c r="J33" s="46">
        <v>12464.05</v>
      </c>
      <c r="K33" s="61">
        <v>71</v>
      </c>
      <c r="L33" s="46">
        <f>SUM(بيان.معاشات.القاهرة[[#This Row],[منحة 6شهور]:[مقابل نقدي]])</f>
        <v>30138.09</v>
      </c>
      <c r="M33" s="46">
        <f>بيان.معاشات.القاهرة[[#This Row],[إجمالي الدفعات]]</f>
        <v>15500</v>
      </c>
      <c r="N33" s="46">
        <f>بيان.معاشات.القاهرة[[#This Row],[إجمالي المستحق]]-بيان.معاشات.القاهرة[[#This Row],[المنصرف]]</f>
        <v>14638.09</v>
      </c>
      <c r="O33" s="46">
        <f>IF(بيان.معاشات.القاهرة[[#This Row],[المتبقي]]&lt;0,0,بيان.معاشات.القاهرة[[#This Row],[المتبقي]])</f>
        <v>14638.09</v>
      </c>
      <c r="P33" s="48">
        <f>(بيان.معاشات.القاهرة[[#This Row],[منحة 6شهور]]+بيان.معاشات.القاهرة[[#This Row],[مستحقات]])-بيان.معاشات.القاهرة[[#This Row],[المنصرف]]</f>
        <v>2174.0400000000009</v>
      </c>
      <c r="Q33" s="48">
        <f>IF(بيان.معاشات.القاهرة[[#This Row],[المتبقي من المنحة]]&lt;0,0,بيان.معاشات.القاهرة[[#This Row],[المتبقي من المنحة]])</f>
        <v>2174.0400000000009</v>
      </c>
      <c r="R33" s="53">
        <v>26009070104143</v>
      </c>
      <c r="S33" s="46"/>
      <c r="T33" s="46"/>
      <c r="U33" s="76"/>
      <c r="V33" s="46">
        <v>4000</v>
      </c>
      <c r="W33" s="46">
        <v>9000</v>
      </c>
      <c r="X3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15500</v>
      </c>
      <c r="Y33" s="46">
        <f>SUM(بيان.معاشات.القاهرة[[#This Row],[يناير-23]:[ديسمبر-23]])</f>
        <v>2500</v>
      </c>
      <c r="Z33" s="46">
        <v>500</v>
      </c>
      <c r="AA33" s="46">
        <v>500</v>
      </c>
      <c r="AB33" s="46">
        <v>500</v>
      </c>
      <c r="AC33" s="46">
        <v>500</v>
      </c>
      <c r="AD33" s="46">
        <v>500</v>
      </c>
      <c r="AE33" s="46"/>
      <c r="AF33" s="46"/>
      <c r="AG33" s="46"/>
      <c r="AH33" s="46"/>
      <c r="AI33" s="46"/>
      <c r="AJ33" s="46"/>
      <c r="AK33" s="46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</row>
    <row r="34" spans="1:116" s="99" customFormat="1" ht="21" x14ac:dyDescent="0.35">
      <c r="A34"/>
      <c r="B34"/>
      <c r="C34" s="61">
        <v>27</v>
      </c>
      <c r="D34" s="46" t="s">
        <v>24</v>
      </c>
      <c r="E34" s="61">
        <v>35</v>
      </c>
      <c r="F34" s="50">
        <v>43678</v>
      </c>
      <c r="G34" s="50"/>
      <c r="H34" s="46">
        <v>21477.72</v>
      </c>
      <c r="I34" s="46"/>
      <c r="J34" s="46">
        <v>14474.7</v>
      </c>
      <c r="K34" s="61">
        <v>90</v>
      </c>
      <c r="L34" s="46">
        <f>SUM(بيان.معاشات.القاهرة[[#This Row],[منحة 6شهور]:[مقابل نقدي]])</f>
        <v>35952.42</v>
      </c>
      <c r="M34" s="46">
        <f>بيان.معاشات.القاهرة[[#This Row],[إجمالي الدفعات]]</f>
        <v>23477.72</v>
      </c>
      <c r="N34" s="46">
        <f>بيان.معاشات.القاهرة[[#This Row],[إجمالي المستحق]]-بيان.معاشات.القاهرة[[#This Row],[المنصرف]]</f>
        <v>12474.699999999997</v>
      </c>
      <c r="O34" s="46">
        <f>IF(بيان.معاشات.القاهرة[[#This Row],[المتبقي]]&lt;0,0,بيان.معاشات.القاهرة[[#This Row],[المتبقي]])</f>
        <v>12474.699999999997</v>
      </c>
      <c r="P34" s="48">
        <f>(بيان.معاشات.القاهرة[[#This Row],[منحة 6شهور]]+بيان.معاشات.القاهرة[[#This Row],[مستحقات]])-بيان.معاشات.القاهرة[[#This Row],[المنصرف]]</f>
        <v>-2000</v>
      </c>
      <c r="Q34" s="48">
        <f>IF(بيان.معاشات.القاهرة[[#This Row],[المتبقي من المنحة]]&lt;0,0,بيان.معاشات.القاهرة[[#This Row],[المتبقي من المنحة]])</f>
        <v>0</v>
      </c>
      <c r="R34" s="53">
        <v>25908010102479</v>
      </c>
      <c r="S34" s="46"/>
      <c r="T34" s="46" t="s">
        <v>437</v>
      </c>
      <c r="U34" s="76"/>
      <c r="V34" s="46">
        <v>11000</v>
      </c>
      <c r="W34" s="46">
        <v>10000</v>
      </c>
      <c r="X3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23477.72</v>
      </c>
      <c r="Y34" s="46">
        <f>SUM(بيان.معاشات.القاهرة[[#This Row],[يناير-23]:[ديسمبر-23]])</f>
        <v>2477.7200000000003</v>
      </c>
      <c r="Z34" s="46">
        <v>477.72</v>
      </c>
      <c r="AA34" s="46">
        <v>500</v>
      </c>
      <c r="AB34" s="46">
        <v>500</v>
      </c>
      <c r="AC34" s="46">
        <v>500</v>
      </c>
      <c r="AD34" s="46">
        <v>500</v>
      </c>
      <c r="AE34" s="46"/>
      <c r="AF34" s="46"/>
      <c r="AG34" s="46"/>
      <c r="AH34" s="46"/>
      <c r="AI34" s="46"/>
      <c r="AJ34" s="46"/>
      <c r="AK34" s="46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 s="99" customFormat="1" ht="21" x14ac:dyDescent="0.35">
      <c r="A35"/>
      <c r="B35"/>
      <c r="C35" s="61">
        <v>28</v>
      </c>
      <c r="D35" s="46" t="s">
        <v>66</v>
      </c>
      <c r="E35" s="61">
        <v>36</v>
      </c>
      <c r="F35" s="50">
        <v>44113</v>
      </c>
      <c r="G35" s="50"/>
      <c r="H35" s="46">
        <v>16126.09</v>
      </c>
      <c r="I35" s="46"/>
      <c r="J35" s="46">
        <v>10352.290000000001</v>
      </c>
      <c r="K35" s="61">
        <v>61.5</v>
      </c>
      <c r="L35" s="46">
        <f>SUM(بيان.معاشات.القاهرة[[#This Row],[منحة 6شهور]:[مقابل نقدي]])</f>
        <v>26478.38</v>
      </c>
      <c r="M35" s="46">
        <f>بيان.معاشات.القاهرة[[#This Row],[إجمالي الدفعات]]</f>
        <v>17126.09</v>
      </c>
      <c r="N35" s="46">
        <f>بيان.معاشات.القاهرة[[#This Row],[إجمالي المستحق]]-بيان.معاشات.القاهرة[[#This Row],[المنصرف]]</f>
        <v>9352.2900000000009</v>
      </c>
      <c r="O35" s="46">
        <f>IF(بيان.معاشات.القاهرة[[#This Row],[المتبقي]]&lt;0,0,بيان.معاشات.القاهرة[[#This Row],[المتبقي]])</f>
        <v>9352.2900000000009</v>
      </c>
      <c r="P35" s="48">
        <f>(بيان.معاشات.القاهرة[[#This Row],[منحة 6شهور]]+بيان.معاشات.القاهرة[[#This Row],[مستحقات]])-بيان.معاشات.القاهرة[[#This Row],[المنصرف]]</f>
        <v>-1000</v>
      </c>
      <c r="Q35" s="48">
        <f>IF(بيان.معاشات.القاهرة[[#This Row],[المتبقي من المنحة]]&lt;0,0,بيان.معاشات.القاهرة[[#This Row],[المتبقي من المنحة]])</f>
        <v>0</v>
      </c>
      <c r="R35" s="53">
        <v>26010090100169</v>
      </c>
      <c r="S35" s="46"/>
      <c r="T35" s="46"/>
      <c r="U35" s="76"/>
      <c r="V35" s="46">
        <v>4000</v>
      </c>
      <c r="W35" s="46">
        <v>9000</v>
      </c>
      <c r="X3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17126.09</v>
      </c>
      <c r="Y35" s="46">
        <f>SUM(بيان.معاشات.القاهرة[[#This Row],[يناير-23]:[ديسمبر-23]])</f>
        <v>4126.09</v>
      </c>
      <c r="Z35" s="46">
        <v>500</v>
      </c>
      <c r="AA35" s="46">
        <v>500</v>
      </c>
      <c r="AB35" s="46">
        <v>500</v>
      </c>
      <c r="AC35" s="46">
        <v>1626.09</v>
      </c>
      <c r="AD35" s="46">
        <v>1000</v>
      </c>
      <c r="AE35" s="46"/>
      <c r="AF35" s="46"/>
      <c r="AG35" s="46"/>
      <c r="AH35" s="46"/>
      <c r="AI35" s="46"/>
      <c r="AJ35" s="46"/>
      <c r="AK35" s="46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</row>
    <row r="36" spans="1:116" s="99" customFormat="1" ht="21" x14ac:dyDescent="0.35">
      <c r="A36"/>
      <c r="B36"/>
      <c r="C36" s="61">
        <v>29</v>
      </c>
      <c r="D36" s="46" t="s">
        <v>23</v>
      </c>
      <c r="E36" s="61">
        <v>37</v>
      </c>
      <c r="F36" s="50">
        <v>43676</v>
      </c>
      <c r="G36" s="50"/>
      <c r="H36" s="46">
        <v>22233.360000000001</v>
      </c>
      <c r="I36" s="46"/>
      <c r="J36" s="46">
        <v>14640.3</v>
      </c>
      <c r="K36" s="61">
        <v>90</v>
      </c>
      <c r="L36" s="46">
        <f>SUM(بيان.معاشات.القاهرة[[#This Row],[منحة 6شهور]:[مقابل نقدي]])</f>
        <v>36873.660000000003</v>
      </c>
      <c r="M36" s="46">
        <f>بيان.معاشات.القاهرة[[#This Row],[إجمالي الدفعات]]</f>
        <v>22233.360000000001</v>
      </c>
      <c r="N36" s="46">
        <f>بيان.معاشات.القاهرة[[#This Row],[إجمالي المستحق]]-بيان.معاشات.القاهرة[[#This Row],[المنصرف]]</f>
        <v>14640.300000000003</v>
      </c>
      <c r="O36" s="46">
        <f>IF(بيان.معاشات.القاهرة[[#This Row],[المتبقي]]&lt;0,0,بيان.معاشات.القاهرة[[#This Row],[المتبقي]])</f>
        <v>14640.300000000003</v>
      </c>
      <c r="P36" s="48">
        <f>(بيان.معاشات.القاهرة[[#This Row],[منحة 6شهور]]+بيان.معاشات.القاهرة[[#This Row],[مستحقات]])-بيان.معاشات.القاهرة[[#This Row],[المنصرف]]</f>
        <v>0</v>
      </c>
      <c r="Q36" s="48">
        <f>IF(بيان.معاشات.القاهرة[[#This Row],[المتبقي من المنحة]]&lt;0,0,بيان.معاشات.القاهرة[[#This Row],[المتبقي من المنحة]])</f>
        <v>0</v>
      </c>
      <c r="R36" s="53">
        <v>25908010102479</v>
      </c>
      <c r="S36" s="46"/>
      <c r="T36" s="46" t="s">
        <v>538</v>
      </c>
      <c r="U36" s="76"/>
      <c r="V36" s="46">
        <v>11000</v>
      </c>
      <c r="W36" s="46">
        <v>9000</v>
      </c>
      <c r="X3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22233.360000000001</v>
      </c>
      <c r="Y36" s="46">
        <f>SUM(بيان.معاشات.القاهرة[[#This Row],[يناير-23]:[ديسمبر-23]])</f>
        <v>2233.36</v>
      </c>
      <c r="Z36" s="46">
        <v>500</v>
      </c>
      <c r="AA36" s="46">
        <v>500</v>
      </c>
      <c r="AB36" s="46">
        <v>500</v>
      </c>
      <c r="AC36" s="46">
        <v>733.36</v>
      </c>
      <c r="AD36" s="46"/>
      <c r="AE36" s="46"/>
      <c r="AF36" s="46"/>
      <c r="AG36" s="46"/>
      <c r="AH36" s="46"/>
      <c r="AI36" s="46"/>
      <c r="AJ36" s="46"/>
      <c r="AK36" s="4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</row>
    <row r="37" spans="1:116" s="99" customFormat="1" ht="21" x14ac:dyDescent="0.35">
      <c r="A37"/>
      <c r="B37"/>
      <c r="C37" s="61">
        <v>30</v>
      </c>
      <c r="D37" s="46" t="s">
        <v>58</v>
      </c>
      <c r="E37" s="61">
        <v>39</v>
      </c>
      <c r="F37" s="50">
        <v>43601</v>
      </c>
      <c r="G37" s="50"/>
      <c r="H37" s="46">
        <v>22242.9</v>
      </c>
      <c r="I37" s="46"/>
      <c r="J37" s="46">
        <v>13085.66</v>
      </c>
      <c r="K37" s="61">
        <v>90</v>
      </c>
      <c r="L37" s="46">
        <f>SUM(بيان.معاشات.القاهرة[[#This Row],[منحة 6شهور]:[مقابل نقدي]])</f>
        <v>35328.559999999998</v>
      </c>
      <c r="M37" s="46">
        <f>بيان.معاشات.القاهرة[[#This Row],[إجمالي الدفعات]]</f>
        <v>23000</v>
      </c>
      <c r="N37" s="46">
        <f>بيان.معاشات.القاهرة[[#This Row],[إجمالي المستحق]]-بيان.معاشات.القاهرة[[#This Row],[المنصرف]]</f>
        <v>12328.559999999998</v>
      </c>
      <c r="O37" s="46">
        <f>IF(بيان.معاشات.القاهرة[[#This Row],[المتبقي]]&lt;0,0,بيان.معاشات.القاهرة[[#This Row],[المتبقي]])</f>
        <v>12328.559999999998</v>
      </c>
      <c r="P37" s="48">
        <f>(بيان.معاشات.القاهرة[[#This Row],[منحة 6شهور]]+بيان.معاشات.القاهرة[[#This Row],[مستحقات]])-بيان.معاشات.القاهرة[[#This Row],[المنصرف]]</f>
        <v>-757.09999999999854</v>
      </c>
      <c r="Q37" s="48">
        <f>IF(بيان.معاشات.القاهرة[[#This Row],[المتبقي من المنحة]]&lt;0,0,بيان.معاشات.القاهرة[[#This Row],[المتبقي من المنحة]])</f>
        <v>0</v>
      </c>
      <c r="R37" s="53">
        <v>25905160100084</v>
      </c>
      <c r="S37" s="46" t="s">
        <v>429</v>
      </c>
      <c r="T37" s="46" t="s">
        <v>234</v>
      </c>
      <c r="U37" s="76"/>
      <c r="V37" s="46">
        <v>12000</v>
      </c>
      <c r="W37" s="46">
        <v>9000</v>
      </c>
      <c r="X3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23000</v>
      </c>
      <c r="Y37" s="46">
        <f>SUM(بيان.معاشات.القاهرة[[#This Row],[يناير-23]:[ديسمبر-23]])</f>
        <v>2000</v>
      </c>
      <c r="Z37" s="46"/>
      <c r="AA37" s="46">
        <v>500</v>
      </c>
      <c r="AB37" s="46">
        <v>500</v>
      </c>
      <c r="AC37" s="46">
        <v>500</v>
      </c>
      <c r="AD37" s="46">
        <v>500</v>
      </c>
      <c r="AE37" s="46"/>
      <c r="AF37" s="46"/>
      <c r="AG37" s="46"/>
      <c r="AH37" s="46"/>
      <c r="AI37" s="46"/>
      <c r="AJ37" s="46"/>
      <c r="AK37" s="46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 s="99" customFormat="1" ht="21" x14ac:dyDescent="0.35">
      <c r="A38"/>
      <c r="B38"/>
      <c r="C38" s="61">
        <v>31</v>
      </c>
      <c r="D38" s="46" t="s">
        <v>26</v>
      </c>
      <c r="E38" s="61">
        <v>40</v>
      </c>
      <c r="F38" s="50">
        <v>43612</v>
      </c>
      <c r="G38" s="50"/>
      <c r="H38" s="46">
        <v>15553.44</v>
      </c>
      <c r="I38" s="46"/>
      <c r="J38" s="46">
        <v>10676.74</v>
      </c>
      <c r="K38" s="61">
        <v>75</v>
      </c>
      <c r="L38" s="46">
        <f>SUM(بيان.معاشات.القاهرة[[#This Row],[منحة 6شهور]:[مقابل نقدي]])</f>
        <v>26230.18</v>
      </c>
      <c r="M38" s="46">
        <f>بيان.معاشات.القاهرة[[#This Row],[إجمالي الدفعات]]</f>
        <v>24850</v>
      </c>
      <c r="N38" s="46">
        <f>بيان.معاشات.القاهرة[[#This Row],[إجمالي المستحق]]-بيان.معاشات.القاهرة[[#This Row],[المنصرف]]</f>
        <v>1380.1800000000003</v>
      </c>
      <c r="O38" s="46">
        <f>IF(بيان.معاشات.القاهرة[[#This Row],[المتبقي]]&lt;0,0,بيان.معاشات.القاهرة[[#This Row],[المتبقي]])</f>
        <v>1380.1800000000003</v>
      </c>
      <c r="P38" s="48">
        <f>(بيان.معاشات.القاهرة[[#This Row],[منحة 6شهور]]+بيان.معاشات.القاهرة[[#This Row],[مستحقات]])-بيان.معاشات.القاهرة[[#This Row],[المنصرف]]</f>
        <v>-9296.56</v>
      </c>
      <c r="Q38" s="48">
        <f>IF(بيان.معاشات.القاهرة[[#This Row],[المتبقي من المنحة]]&lt;0,0,بيان.معاشات.القاهرة[[#This Row],[المتبقي من المنحة]])</f>
        <v>0</v>
      </c>
      <c r="R38" s="53">
        <v>29605140102405</v>
      </c>
      <c r="S38" s="46"/>
      <c r="T38" s="46" t="s">
        <v>197</v>
      </c>
      <c r="U38" s="76"/>
      <c r="V38" s="46">
        <v>12000</v>
      </c>
      <c r="W38" s="46">
        <v>8500</v>
      </c>
      <c r="X3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24850</v>
      </c>
      <c r="Y38" s="46">
        <f>SUM(بيان.معاشات.القاهرة[[#This Row],[يناير-23]:[ديسمبر-23]])</f>
        <v>4350</v>
      </c>
      <c r="Z38" s="46"/>
      <c r="AA38" s="46">
        <v>1000</v>
      </c>
      <c r="AB38" s="46">
        <v>1000</v>
      </c>
      <c r="AC38" s="46">
        <v>1000</v>
      </c>
      <c r="AD38" s="46">
        <v>1350</v>
      </c>
      <c r="AE38" s="46"/>
      <c r="AF38" s="46"/>
      <c r="AG38" s="46"/>
      <c r="AH38" s="46"/>
      <c r="AI38" s="46"/>
      <c r="AJ38" s="46"/>
      <c r="AK38" s="46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</row>
    <row r="39" spans="1:116" s="99" customFormat="1" ht="21" x14ac:dyDescent="0.35">
      <c r="A39"/>
      <c r="B39"/>
      <c r="C39" s="61">
        <v>32</v>
      </c>
      <c r="D39" s="46" t="s">
        <v>477</v>
      </c>
      <c r="E39" s="61">
        <v>41</v>
      </c>
      <c r="F39" s="50">
        <v>44248</v>
      </c>
      <c r="G39" s="50"/>
      <c r="H39" s="46">
        <v>21789.03</v>
      </c>
      <c r="I39" s="46"/>
      <c r="J39" s="46">
        <v>2438.31</v>
      </c>
      <c r="K39" s="61">
        <v>10.5</v>
      </c>
      <c r="L39" s="46">
        <f>SUM(بيان.معاشات.القاهرة[[#This Row],[منحة 6شهور]:[مقابل نقدي]])</f>
        <v>24227.34</v>
      </c>
      <c r="M39" s="46">
        <f>بيان.معاشات.القاهرة[[#This Row],[إجمالي الدفعات]]</f>
        <v>13000</v>
      </c>
      <c r="N39" s="46">
        <f>بيان.معاشات.القاهرة[[#This Row],[إجمالي المستحق]]-بيان.معاشات.القاهرة[[#This Row],[المنصرف]]</f>
        <v>11227.34</v>
      </c>
      <c r="O39" s="46">
        <f>IF(بيان.معاشات.القاهرة[[#This Row],[المتبقي]]&lt;0,0,بيان.معاشات.القاهرة[[#This Row],[المتبقي]])</f>
        <v>11227.34</v>
      </c>
      <c r="P39" s="48">
        <f>(بيان.معاشات.القاهرة[[#This Row],[منحة 6شهور]]+بيان.معاشات.القاهرة[[#This Row],[مستحقات]])-بيان.معاشات.القاهرة[[#This Row],[المنصرف]]</f>
        <v>8789.0299999999988</v>
      </c>
      <c r="Q39" s="48">
        <f>IF(بيان.معاشات.القاهرة[[#This Row],[المتبقي من المنحة]]&lt;0,0,بيان.معاشات.القاهرة[[#This Row],[المتبقي من المنحة]])</f>
        <v>8789.0299999999988</v>
      </c>
      <c r="R39" s="53">
        <v>26102212500106</v>
      </c>
      <c r="S39" s="46"/>
      <c r="T39" s="46"/>
      <c r="U39" s="76"/>
      <c r="V39" s="46">
        <v>1500</v>
      </c>
      <c r="W39" s="46">
        <v>9000</v>
      </c>
      <c r="X3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13000</v>
      </c>
      <c r="Y39" s="46">
        <f>SUM(بيان.معاشات.القاهرة[[#This Row],[يناير-23]:[ديسمبر-23]])</f>
        <v>2500</v>
      </c>
      <c r="Z39" s="46">
        <v>500</v>
      </c>
      <c r="AA39" s="46">
        <v>500</v>
      </c>
      <c r="AB39" s="46">
        <v>500</v>
      </c>
      <c r="AC39" s="46">
        <v>500</v>
      </c>
      <c r="AD39" s="46">
        <v>500</v>
      </c>
      <c r="AE39" s="46"/>
      <c r="AF39" s="46"/>
      <c r="AG39" s="46"/>
      <c r="AH39" s="46"/>
      <c r="AI39" s="46"/>
      <c r="AJ39" s="46"/>
      <c r="AK39" s="46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</row>
    <row r="40" spans="1:116" s="99" customFormat="1" ht="21" x14ac:dyDescent="0.35">
      <c r="A40"/>
      <c r="B40"/>
      <c r="C40" s="61">
        <v>33</v>
      </c>
      <c r="D40" s="46" t="s">
        <v>33</v>
      </c>
      <c r="E40" s="61">
        <v>42</v>
      </c>
      <c r="F40" s="50">
        <v>44021</v>
      </c>
      <c r="G40" s="50"/>
      <c r="H40" s="46">
        <v>20149.38</v>
      </c>
      <c r="I40" s="46"/>
      <c r="J40" s="46">
        <v>2959</v>
      </c>
      <c r="K40" s="61">
        <v>16.5</v>
      </c>
      <c r="L40" s="46">
        <f>SUM(بيان.معاشات.القاهرة[[#This Row],[منحة 6شهور]:[مقابل نقدي]])</f>
        <v>23108.38</v>
      </c>
      <c r="M40" s="46">
        <f>بيان.معاشات.القاهرة[[#This Row],[إجمالي الدفعات]]</f>
        <v>17000</v>
      </c>
      <c r="N40" s="46">
        <f>بيان.معاشات.القاهرة[[#This Row],[إجمالي المستحق]]-بيان.معاشات.القاهرة[[#This Row],[المنصرف]]</f>
        <v>6108.380000000001</v>
      </c>
      <c r="O40" s="46">
        <f>IF(بيان.معاشات.القاهرة[[#This Row],[المتبقي]]&lt;0,0,بيان.معاشات.القاهرة[[#This Row],[المتبقي]])</f>
        <v>6108.380000000001</v>
      </c>
      <c r="P40" s="48">
        <f>(بيان.معاشات.القاهرة[[#This Row],[منحة 6شهور]]+بيان.معاشات.القاهرة[[#This Row],[مستحقات]])-بيان.معاشات.القاهرة[[#This Row],[المنصرف]]</f>
        <v>3149.380000000001</v>
      </c>
      <c r="Q40" s="48">
        <f>IF(بيان.معاشات.القاهرة[[#This Row],[المتبقي من المنحة]]&lt;0,0,بيان.معاشات.القاهرة[[#This Row],[المتبقي من المنحة]])</f>
        <v>3149.380000000001</v>
      </c>
      <c r="R40" s="53">
        <v>26007092100971</v>
      </c>
      <c r="S40" s="46"/>
      <c r="T40" s="46"/>
      <c r="U40" s="76"/>
      <c r="V40" s="46">
        <v>5500</v>
      </c>
      <c r="W40" s="46">
        <v>9000</v>
      </c>
      <c r="X4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17000</v>
      </c>
      <c r="Y40" s="46">
        <f>SUM(بيان.معاشات.القاهرة[[#This Row],[يناير-23]:[ديسمبر-23]])</f>
        <v>2500</v>
      </c>
      <c r="Z40" s="46">
        <v>500</v>
      </c>
      <c r="AA40" s="46">
        <v>500</v>
      </c>
      <c r="AB40" s="46">
        <v>500</v>
      </c>
      <c r="AC40" s="46">
        <v>500</v>
      </c>
      <c r="AD40" s="46">
        <v>500</v>
      </c>
      <c r="AE40" s="46"/>
      <c r="AF40" s="46"/>
      <c r="AG40" s="46"/>
      <c r="AH40" s="46"/>
      <c r="AI40" s="46"/>
      <c r="AJ40" s="46"/>
      <c r="AK40" s="46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</row>
    <row r="41" spans="1:116" s="99" customFormat="1" ht="21" x14ac:dyDescent="0.35">
      <c r="A41"/>
      <c r="B41"/>
      <c r="C41" s="61">
        <v>34</v>
      </c>
      <c r="D41" s="46" t="s">
        <v>68</v>
      </c>
      <c r="E41" s="61">
        <v>43</v>
      </c>
      <c r="F41" s="50">
        <v>44233</v>
      </c>
      <c r="G41" s="50"/>
      <c r="H41" s="46">
        <v>18043.97</v>
      </c>
      <c r="I41" s="46"/>
      <c r="J41" s="46">
        <v>17547.3</v>
      </c>
      <c r="K41" s="61">
        <v>90</v>
      </c>
      <c r="L41" s="46">
        <f>SUM(بيان.معاشات.القاهرة[[#This Row],[منحة 6شهور]:[مقابل نقدي]])</f>
        <v>35591.270000000004</v>
      </c>
      <c r="M41" s="46">
        <f>بيان.معاشات.القاهرة[[#This Row],[إجمالي الدفعات]]</f>
        <v>13500</v>
      </c>
      <c r="N41" s="46">
        <f>بيان.معاشات.القاهرة[[#This Row],[إجمالي المستحق]]-بيان.معاشات.القاهرة[[#This Row],[المنصرف]]</f>
        <v>22091.270000000004</v>
      </c>
      <c r="O41" s="46">
        <f>IF(بيان.معاشات.القاهرة[[#This Row],[المتبقي]]&lt;0,0,بيان.معاشات.القاهرة[[#This Row],[المتبقي]])</f>
        <v>22091.270000000004</v>
      </c>
      <c r="P41" s="48">
        <f>(بيان.معاشات.القاهرة[[#This Row],[منحة 6شهور]]+بيان.معاشات.القاهرة[[#This Row],[مستحقات]])-بيان.معاشات.القاهرة[[#This Row],[المنصرف]]</f>
        <v>4543.9700000000012</v>
      </c>
      <c r="Q41" s="48">
        <f>IF(بيان.معاشات.القاهرة[[#This Row],[المتبقي من المنحة]]&lt;0,0,بيان.معاشات.القاهرة[[#This Row],[المتبقي من المنحة]])</f>
        <v>4543.9700000000012</v>
      </c>
      <c r="R41" s="53">
        <v>26102061601169</v>
      </c>
      <c r="S41" s="46"/>
      <c r="T41" s="46"/>
      <c r="U41" s="76"/>
      <c r="V41" s="46">
        <v>2000</v>
      </c>
      <c r="W41" s="46">
        <v>9000</v>
      </c>
      <c r="X4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13500</v>
      </c>
      <c r="Y41" s="46">
        <f>SUM(بيان.معاشات.القاهرة[[#This Row],[يناير-23]:[ديسمبر-23]])</f>
        <v>2500</v>
      </c>
      <c r="Z41" s="46">
        <v>500</v>
      </c>
      <c r="AA41" s="46">
        <v>500</v>
      </c>
      <c r="AB41" s="46">
        <v>500</v>
      </c>
      <c r="AC41" s="46">
        <v>500</v>
      </c>
      <c r="AD41" s="46">
        <v>500</v>
      </c>
      <c r="AE41" s="46"/>
      <c r="AF41" s="46"/>
      <c r="AG41" s="46"/>
      <c r="AH41" s="46"/>
      <c r="AI41" s="46"/>
      <c r="AJ41" s="46"/>
      <c r="AK41" s="46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 s="99" customFormat="1" ht="21" x14ac:dyDescent="0.35">
      <c r="A42"/>
      <c r="B42"/>
      <c r="C42" s="61">
        <v>35</v>
      </c>
      <c r="D42" s="46" t="s">
        <v>219</v>
      </c>
      <c r="E42" s="61">
        <v>45</v>
      </c>
      <c r="F42" s="50">
        <v>43485</v>
      </c>
      <c r="G42" s="50"/>
      <c r="H42" s="46">
        <v>21465.96</v>
      </c>
      <c r="I42" s="46"/>
      <c r="J42" s="46">
        <v>5308.94</v>
      </c>
      <c r="K42" s="61">
        <v>90</v>
      </c>
      <c r="L42" s="46">
        <f>SUM(بيان.معاشات.القاهرة[[#This Row],[منحة 6شهور]:[مقابل نقدي]])</f>
        <v>26774.899999999998</v>
      </c>
      <c r="M42" s="46">
        <f>بيان.معاشات.القاهرة[[#This Row],[إجمالي الدفعات]]</f>
        <v>22465.96</v>
      </c>
      <c r="N42" s="46">
        <f>بيان.معاشات.القاهرة[[#This Row],[إجمالي المستحق]]-بيان.معاشات.القاهرة[[#This Row],[المنصرف]]</f>
        <v>4308.9399999999987</v>
      </c>
      <c r="O42" s="46">
        <f>IF(بيان.معاشات.القاهرة[[#This Row],[المتبقي]]&lt;0,0,بيان.معاشات.القاهرة[[#This Row],[المتبقي]])</f>
        <v>4308.9399999999987</v>
      </c>
      <c r="P42" s="48">
        <f>(بيان.معاشات.القاهرة[[#This Row],[منحة 6شهور]]+بيان.معاشات.القاهرة[[#This Row],[مستحقات]])-بيان.معاشات.القاهرة[[#This Row],[المنصرف]]</f>
        <v>-1000</v>
      </c>
      <c r="Q42" s="48">
        <f>IF(بيان.معاشات.القاهرة[[#This Row],[المتبقي من المنحة]]&lt;0,0,بيان.معاشات.القاهرة[[#This Row],[المتبقي من المنحة]])</f>
        <v>0</v>
      </c>
      <c r="R42" s="53"/>
      <c r="S42" s="46"/>
      <c r="T42" s="46" t="s">
        <v>464</v>
      </c>
      <c r="U42" s="76"/>
      <c r="V42" s="46">
        <v>13500</v>
      </c>
      <c r="W42" s="46">
        <v>7965.96</v>
      </c>
      <c r="X4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22465.96</v>
      </c>
      <c r="Y42" s="46">
        <f>SUM(بيان.معاشات.القاهرة[[#This Row],[يناير-23]:[ديسمبر-23]])</f>
        <v>1000</v>
      </c>
      <c r="Z42" s="46"/>
      <c r="AA42" s="46"/>
      <c r="AB42" s="46"/>
      <c r="AC42" s="46">
        <v>500</v>
      </c>
      <c r="AD42" s="46">
        <v>500</v>
      </c>
      <c r="AE42" s="46"/>
      <c r="AF42" s="46"/>
      <c r="AG42" s="46"/>
      <c r="AH42" s="46"/>
      <c r="AI42" s="46"/>
      <c r="AJ42" s="46"/>
      <c r="AK42" s="46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</row>
    <row r="43" spans="1:116" s="99" customFormat="1" ht="21" x14ac:dyDescent="0.35">
      <c r="A43"/>
      <c r="B43"/>
      <c r="C43" s="61">
        <v>36</v>
      </c>
      <c r="D43" s="46" t="s">
        <v>421</v>
      </c>
      <c r="E43" s="61">
        <v>46</v>
      </c>
      <c r="F43" s="50">
        <v>43546</v>
      </c>
      <c r="G43" s="50"/>
      <c r="H43" s="46">
        <v>15465.12</v>
      </c>
      <c r="I43" s="46"/>
      <c r="J43" s="46">
        <v>11117.9</v>
      </c>
      <c r="K43" s="61">
        <v>90</v>
      </c>
      <c r="L43" s="46">
        <f>SUM(بيان.معاشات.القاهرة[[#This Row],[منحة 6شهور]:[مقابل نقدي]])</f>
        <v>26583.02</v>
      </c>
      <c r="M43" s="46">
        <f>بيان.معاشات.القاهرة[[#This Row],[إجمالي الدفعات]]</f>
        <v>20500</v>
      </c>
      <c r="N43" s="46">
        <f>بيان.معاشات.القاهرة[[#This Row],[إجمالي المستحق]]-بيان.معاشات.القاهرة[[#This Row],[المنصرف]]</f>
        <v>6083.02</v>
      </c>
      <c r="O43" s="46">
        <f>IF(بيان.معاشات.القاهرة[[#This Row],[المتبقي]]&lt;0,0,بيان.معاشات.القاهرة[[#This Row],[المتبقي]])</f>
        <v>6083.02</v>
      </c>
      <c r="P43" s="48">
        <f>(بيان.معاشات.القاهرة[[#This Row],[منحة 6شهور]]+بيان.معاشات.القاهرة[[#This Row],[مستحقات]])-بيان.معاشات.القاهرة[[#This Row],[المنصرف]]</f>
        <v>-5034.8799999999992</v>
      </c>
      <c r="Q43" s="48">
        <f>IF(بيان.معاشات.القاهرة[[#This Row],[المتبقي من المنحة]]&lt;0,0,بيان.معاشات.القاهرة[[#This Row],[المتبقي من المنحة]])</f>
        <v>0</v>
      </c>
      <c r="R43" s="53">
        <v>25903221401799</v>
      </c>
      <c r="S43" s="46" t="s">
        <v>430</v>
      </c>
      <c r="T43" s="46" t="s">
        <v>233</v>
      </c>
      <c r="U43" s="76"/>
      <c r="V43" s="46">
        <v>13500</v>
      </c>
      <c r="W43" s="46">
        <v>4500</v>
      </c>
      <c r="X4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20500</v>
      </c>
      <c r="Y43" s="46">
        <f>SUM(بيان.معاشات.القاهرة[[#This Row],[يناير-23]:[ديسمبر-23]])</f>
        <v>2500</v>
      </c>
      <c r="Z43" s="46">
        <v>500</v>
      </c>
      <c r="AA43" s="46">
        <v>500</v>
      </c>
      <c r="AB43" s="46">
        <v>500</v>
      </c>
      <c r="AC43" s="46">
        <v>500</v>
      </c>
      <c r="AD43" s="46">
        <v>500</v>
      </c>
      <c r="AE43" s="46"/>
      <c r="AF43" s="46"/>
      <c r="AG43" s="46"/>
      <c r="AH43" s="46"/>
      <c r="AI43" s="46"/>
      <c r="AJ43" s="46"/>
      <c r="AK43" s="46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 s="99" customFormat="1" ht="21" x14ac:dyDescent="0.35">
      <c r="A44"/>
      <c r="B44"/>
      <c r="C44" s="61">
        <v>37</v>
      </c>
      <c r="D44" s="46" t="s">
        <v>43</v>
      </c>
      <c r="E44" s="61">
        <v>47</v>
      </c>
      <c r="F44" s="50">
        <v>44161</v>
      </c>
      <c r="G44" s="50"/>
      <c r="H44" s="46">
        <v>15318.96</v>
      </c>
      <c r="I44" s="46"/>
      <c r="J44" s="46">
        <v>11700</v>
      </c>
      <c r="K44" s="61">
        <v>90</v>
      </c>
      <c r="L44" s="46">
        <f>SUM(بيان.معاشات.القاهرة[[#This Row],[منحة 6شهور]:[مقابل نقدي]])</f>
        <v>27018.959999999999</v>
      </c>
      <c r="M44" s="46">
        <f>بيان.معاشات.القاهرة[[#This Row],[إجمالي الدفعات]]</f>
        <v>14500</v>
      </c>
      <c r="N44" s="46">
        <f>بيان.معاشات.القاهرة[[#This Row],[إجمالي المستحق]]-بيان.معاشات.القاهرة[[#This Row],[المنصرف]]</f>
        <v>12518.96</v>
      </c>
      <c r="O44" s="46">
        <f>IF(بيان.معاشات.القاهرة[[#This Row],[المتبقي]]&lt;0,0,بيان.معاشات.القاهرة[[#This Row],[المتبقي]])</f>
        <v>12518.96</v>
      </c>
      <c r="P44" s="48">
        <f>(بيان.معاشات.القاهرة[[#This Row],[منحة 6شهور]]+بيان.معاشات.القاهرة[[#This Row],[مستحقات]])-بيان.معاشات.القاهرة[[#This Row],[المنصرف]]</f>
        <v>818.95999999999913</v>
      </c>
      <c r="Q44" s="48">
        <f>IF(بيان.معاشات.القاهرة[[#This Row],[المتبقي من المنحة]]&lt;0,0,بيان.معاشات.القاهرة[[#This Row],[المتبقي من المنحة]])</f>
        <v>818.95999999999913</v>
      </c>
      <c r="R44" s="53">
        <v>26011261302713</v>
      </c>
      <c r="S44" s="46"/>
      <c r="T44" s="46" t="s">
        <v>234</v>
      </c>
      <c r="U44" s="76"/>
      <c r="V44" s="46">
        <v>3000</v>
      </c>
      <c r="W44" s="46">
        <v>9000</v>
      </c>
      <c r="X4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14500</v>
      </c>
      <c r="Y44" s="46">
        <f>SUM(بيان.معاشات.القاهرة[[#This Row],[يناير-23]:[ديسمبر-23]])</f>
        <v>2500</v>
      </c>
      <c r="Z44" s="46">
        <v>500</v>
      </c>
      <c r="AA44" s="46">
        <v>500</v>
      </c>
      <c r="AB44" s="46">
        <v>500</v>
      </c>
      <c r="AC44" s="46">
        <v>500</v>
      </c>
      <c r="AD44" s="46">
        <v>500</v>
      </c>
      <c r="AE44" s="46"/>
      <c r="AF44" s="46"/>
      <c r="AG44" s="46"/>
      <c r="AH44" s="46"/>
      <c r="AI44" s="46"/>
      <c r="AJ44" s="46"/>
      <c r="AK44" s="46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 s="99" customFormat="1" ht="21" x14ac:dyDescent="0.35">
      <c r="A45"/>
      <c r="B45"/>
      <c r="C45" s="61">
        <v>38</v>
      </c>
      <c r="D45" s="46" t="s">
        <v>51</v>
      </c>
      <c r="E45" s="61">
        <v>48</v>
      </c>
      <c r="F45" s="50">
        <v>44175</v>
      </c>
      <c r="G45" s="50"/>
      <c r="H45" s="46">
        <v>13878.42</v>
      </c>
      <c r="I45" s="46"/>
      <c r="J45" s="46">
        <v>12222</v>
      </c>
      <c r="K45" s="61">
        <v>90</v>
      </c>
      <c r="L45" s="46">
        <f>SUM(بيان.معاشات.القاهرة[[#This Row],[منحة 6شهور]:[مقابل نقدي]])</f>
        <v>26100.42</v>
      </c>
      <c r="M45" s="46">
        <f>بيان.معاشات.القاهرة[[#This Row],[إجمالي الدفعات]]</f>
        <v>14378.42</v>
      </c>
      <c r="N45" s="46">
        <f>بيان.معاشات.القاهرة[[#This Row],[إجمالي المستحق]]-بيان.معاشات.القاهرة[[#This Row],[المنصرف]]</f>
        <v>11721.999999999998</v>
      </c>
      <c r="O45" s="46">
        <f>IF(بيان.معاشات.القاهرة[[#This Row],[المتبقي]]&lt;0,0,بيان.معاشات.القاهرة[[#This Row],[المتبقي]])</f>
        <v>11721.999999999998</v>
      </c>
      <c r="P45" s="48">
        <f>(بيان.معاشات.القاهرة[[#This Row],[منحة 6شهور]]+بيان.معاشات.القاهرة[[#This Row],[مستحقات]])-بيان.معاشات.القاهرة[[#This Row],[المنصرف]]</f>
        <v>-500</v>
      </c>
      <c r="Q45" s="48">
        <f>IF(بيان.معاشات.القاهرة[[#This Row],[المتبقي من المنحة]]&lt;0,0,بيان.معاشات.القاهرة[[#This Row],[المتبقي من المنحة]])</f>
        <v>0</v>
      </c>
      <c r="R45" s="53">
        <v>26012101400537</v>
      </c>
      <c r="S45" s="46"/>
      <c r="T45" s="46" t="s">
        <v>234</v>
      </c>
      <c r="U45" s="76"/>
      <c r="V45" s="46">
        <v>2500</v>
      </c>
      <c r="W45" s="46">
        <v>9000</v>
      </c>
      <c r="X4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14378.42</v>
      </c>
      <c r="Y45" s="46">
        <f>SUM(بيان.معاشات.القاهرة[[#This Row],[يناير-23]:[ديسمبر-23]])</f>
        <v>2878.42</v>
      </c>
      <c r="Z45" s="46">
        <v>500</v>
      </c>
      <c r="AA45" s="46">
        <v>500</v>
      </c>
      <c r="AB45" s="46">
        <v>500</v>
      </c>
      <c r="AC45" s="46">
        <v>878.42</v>
      </c>
      <c r="AD45" s="46">
        <v>500</v>
      </c>
      <c r="AE45" s="46"/>
      <c r="AF45" s="46"/>
      <c r="AG45" s="46"/>
      <c r="AH45" s="46"/>
      <c r="AI45" s="46"/>
      <c r="AJ45" s="46"/>
      <c r="AK45" s="46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</row>
    <row r="46" spans="1:116" s="99" customFormat="1" ht="21" x14ac:dyDescent="0.35">
      <c r="A46"/>
      <c r="B46"/>
      <c r="C46" s="61">
        <v>39</v>
      </c>
      <c r="D46" s="46" t="s">
        <v>44</v>
      </c>
      <c r="E46" s="61">
        <v>49</v>
      </c>
      <c r="F46" s="50">
        <v>44128</v>
      </c>
      <c r="G46" s="50"/>
      <c r="H46" s="46">
        <v>21333.06</v>
      </c>
      <c r="I46" s="46"/>
      <c r="J46" s="46">
        <v>0</v>
      </c>
      <c r="K46" s="61">
        <v>0</v>
      </c>
      <c r="L46" s="46">
        <f>SUM(بيان.معاشات.القاهرة[[#This Row],[منحة 6شهور]:[مقابل نقدي]])</f>
        <v>21333.06</v>
      </c>
      <c r="M46" s="46">
        <f>بيان.معاشات.القاهرة[[#This Row],[إجمالي الدفعات]]</f>
        <v>15545.44</v>
      </c>
      <c r="N46" s="46">
        <f>بيان.معاشات.القاهرة[[#This Row],[إجمالي المستحق]]-بيان.معاشات.القاهرة[[#This Row],[المنصرف]]</f>
        <v>5787.6200000000008</v>
      </c>
      <c r="O46" s="46">
        <f>IF(بيان.معاشات.القاهرة[[#This Row],[المتبقي]]&lt;0,0,بيان.معاشات.القاهرة[[#This Row],[المتبقي]])</f>
        <v>5787.6200000000008</v>
      </c>
      <c r="P46" s="48">
        <f>(بيان.معاشات.القاهرة[[#This Row],[منحة 6شهور]]+بيان.معاشات.القاهرة[[#This Row],[مستحقات]])-بيان.معاشات.القاهرة[[#This Row],[المنصرف]]</f>
        <v>5787.6200000000008</v>
      </c>
      <c r="Q46" s="48">
        <f>IF(بيان.معاشات.القاهرة[[#This Row],[المتبقي من المنحة]]&lt;0,0,بيان.معاشات.القاهرة[[#This Row],[المتبقي من المنحة]])</f>
        <v>5787.6200000000008</v>
      </c>
      <c r="R46" s="53">
        <v>26008240103396</v>
      </c>
      <c r="S46" s="46"/>
      <c r="T46" s="46"/>
      <c r="U46" s="76"/>
      <c r="V46" s="46">
        <v>4045.44</v>
      </c>
      <c r="W46" s="46">
        <v>9000</v>
      </c>
      <c r="X4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15545.44</v>
      </c>
      <c r="Y46" s="46">
        <f>SUM(بيان.معاشات.القاهرة[[#This Row],[يناير-23]:[ديسمبر-23]])</f>
        <v>2500</v>
      </c>
      <c r="Z46" s="46">
        <v>500</v>
      </c>
      <c r="AA46" s="46">
        <v>500</v>
      </c>
      <c r="AB46" s="46">
        <v>500</v>
      </c>
      <c r="AC46" s="46">
        <v>500</v>
      </c>
      <c r="AD46" s="46">
        <v>500</v>
      </c>
      <c r="AE46" s="46"/>
      <c r="AF46" s="46"/>
      <c r="AG46" s="46"/>
      <c r="AH46" s="46"/>
      <c r="AI46" s="46"/>
      <c r="AJ46" s="46"/>
      <c r="AK46" s="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</row>
    <row r="47" spans="1:116" s="99" customFormat="1" ht="21" x14ac:dyDescent="0.35">
      <c r="A47"/>
      <c r="B47"/>
      <c r="C47" s="97">
        <v>40</v>
      </c>
      <c r="D47" s="48" t="s">
        <v>54</v>
      </c>
      <c r="E47" s="97">
        <v>50</v>
      </c>
      <c r="F47" s="57">
        <v>44335</v>
      </c>
      <c r="G47" s="57"/>
      <c r="H47" s="48">
        <v>5866.68</v>
      </c>
      <c r="I47" s="48"/>
      <c r="J47" s="48">
        <v>2975.84</v>
      </c>
      <c r="K47" s="97">
        <v>28</v>
      </c>
      <c r="L47" s="48">
        <f>SUM(بيان.معاشات.القاهرة[[#This Row],[منحة 6شهور]:[مقابل نقدي]])</f>
        <v>8842.52</v>
      </c>
      <c r="M47" s="48">
        <f>بيان.معاشات.القاهرة[[#This Row],[إجمالي الدفعات]]</f>
        <v>8842.52</v>
      </c>
      <c r="N47" s="48">
        <f>بيان.معاشات.القاهرة[[#This Row],[إجمالي المستحق]]-بيان.معاشات.القاهرة[[#This Row],[المنصرف]]</f>
        <v>0</v>
      </c>
      <c r="O47" s="48">
        <f>IF(بيان.معاشات.القاهرة[[#This Row],[المتبقي]]&lt;0,0,بيان.معاشات.القاهرة[[#This Row],[المتبقي]])</f>
        <v>0</v>
      </c>
      <c r="P47" s="48">
        <f>(بيان.معاشات.القاهرة[[#This Row],[منحة 6شهور]]+بيان.معاشات.القاهرة[[#This Row],[مستحقات]])-بيان.معاشات.القاهرة[[#This Row],[المنصرف]]</f>
        <v>-2975.84</v>
      </c>
      <c r="Q47" s="48">
        <f>IF(بيان.معاشات.القاهرة[[#This Row],[المتبقي من المنحة]]&lt;0,0,بيان.معاشات.القاهرة[[#This Row],[المتبقي من المنحة]])</f>
        <v>0</v>
      </c>
      <c r="R47" s="59">
        <v>26105191600678</v>
      </c>
      <c r="S47" s="48"/>
      <c r="T47" s="48"/>
      <c r="U47" s="48"/>
      <c r="V47" s="48">
        <v>0</v>
      </c>
      <c r="W47" s="48">
        <v>8250</v>
      </c>
      <c r="X47" s="48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8842.52</v>
      </c>
      <c r="Y47" s="48">
        <f>SUM(بيان.معاشات.القاهرة[[#This Row],[يناير-23]:[ديسمبر-23]])</f>
        <v>592.52</v>
      </c>
      <c r="Z47" s="48">
        <v>592.52</v>
      </c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 s="99" customFormat="1" ht="21" x14ac:dyDescent="0.35">
      <c r="A48"/>
      <c r="B48"/>
      <c r="C48" s="61">
        <v>41</v>
      </c>
      <c r="D48" s="46" t="s">
        <v>50</v>
      </c>
      <c r="E48" s="61">
        <v>51</v>
      </c>
      <c r="F48" s="50">
        <v>44035</v>
      </c>
      <c r="G48" s="50"/>
      <c r="H48" s="46">
        <v>16050.8</v>
      </c>
      <c r="I48" s="46"/>
      <c r="J48" s="46">
        <v>11549.7</v>
      </c>
      <c r="K48" s="61">
        <v>90</v>
      </c>
      <c r="L48" s="46">
        <f>SUM(بيان.معاشات.القاهرة[[#This Row],[منحة 6شهور]:[مقابل نقدي]])</f>
        <v>27600.5</v>
      </c>
      <c r="M48" s="46">
        <f>بيان.معاشات.القاهرة[[#This Row],[إجمالي الدفعات]]</f>
        <v>16000</v>
      </c>
      <c r="N48" s="46">
        <f>بيان.معاشات.القاهرة[[#This Row],[إجمالي المستحق]]-بيان.معاشات.القاهرة[[#This Row],[المنصرف]]</f>
        <v>11600.5</v>
      </c>
      <c r="O48" s="46">
        <f>IF(بيان.معاشات.القاهرة[[#This Row],[المتبقي]]&lt;0,0,بيان.معاشات.القاهرة[[#This Row],[المتبقي]])</f>
        <v>11600.5</v>
      </c>
      <c r="P48" s="48">
        <f>(بيان.معاشات.القاهرة[[#This Row],[منحة 6شهور]]+بيان.معاشات.القاهرة[[#This Row],[مستحقات]])-بيان.معاشات.القاهرة[[#This Row],[المنصرف]]</f>
        <v>50.799999999999272</v>
      </c>
      <c r="Q48" s="48">
        <f>IF(بيان.معاشات.القاهرة[[#This Row],[المتبقي من المنحة]]&lt;0,0,بيان.معاشات.القاهرة[[#This Row],[المتبقي من المنحة]])</f>
        <v>50.799999999999272</v>
      </c>
      <c r="R48" s="53">
        <v>26007231302495</v>
      </c>
      <c r="S48" s="46"/>
      <c r="T48" s="46" t="s">
        <v>234</v>
      </c>
      <c r="U48" s="76"/>
      <c r="V48" s="46">
        <v>5000</v>
      </c>
      <c r="W48" s="46">
        <v>9000</v>
      </c>
      <c r="X4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16000</v>
      </c>
      <c r="Y48" s="46">
        <f>SUM(بيان.معاشات.القاهرة[[#This Row],[يناير-23]:[ديسمبر-23]])</f>
        <v>2000</v>
      </c>
      <c r="Z48" s="46">
        <v>500</v>
      </c>
      <c r="AA48" s="46">
        <v>500</v>
      </c>
      <c r="AB48" s="46">
        <v>500</v>
      </c>
      <c r="AC48" s="46">
        <v>500</v>
      </c>
      <c r="AD48" s="46"/>
      <c r="AE48" s="46"/>
      <c r="AF48" s="46"/>
      <c r="AG48" s="46"/>
      <c r="AH48" s="46"/>
      <c r="AI48" s="46"/>
      <c r="AJ48" s="46"/>
      <c r="AK48" s="46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</row>
    <row r="49" spans="1:116" s="99" customFormat="1" ht="21" x14ac:dyDescent="0.35">
      <c r="A49"/>
      <c r="B49"/>
      <c r="C49" s="61">
        <v>42</v>
      </c>
      <c r="D49" s="46" t="s">
        <v>70</v>
      </c>
      <c r="E49" s="61">
        <v>52</v>
      </c>
      <c r="F49" s="50">
        <v>43760</v>
      </c>
      <c r="G49" s="50"/>
      <c r="H49" s="46">
        <v>15334.74</v>
      </c>
      <c r="I49" s="46"/>
      <c r="J49" s="46">
        <v>11721.5</v>
      </c>
      <c r="K49" s="61">
        <v>90</v>
      </c>
      <c r="L49" s="46">
        <f>SUM(بيان.معاشات.القاهرة[[#This Row],[منحة 6شهور]:[مقابل نقدي]])</f>
        <v>27056.239999999998</v>
      </c>
      <c r="M49" s="46">
        <f>بيان.معاشات.القاهرة[[#This Row],[إجمالي الدفعات]]</f>
        <v>20834.739999999998</v>
      </c>
      <c r="N49" s="46">
        <f>بيان.معاشات.القاهرة[[#This Row],[إجمالي المستحق]]-بيان.معاشات.القاهرة[[#This Row],[المنصرف]]</f>
        <v>6221.5</v>
      </c>
      <c r="O49" s="46">
        <f>IF(بيان.معاشات.القاهرة[[#This Row],[المتبقي]]&lt;0,0,بيان.معاشات.القاهرة[[#This Row],[المتبقي]])</f>
        <v>6221.5</v>
      </c>
      <c r="P49" s="48">
        <f>(بيان.معاشات.القاهرة[[#This Row],[منحة 6شهور]]+بيان.معاشات.القاهرة[[#This Row],[مستحقات]])-بيان.معاشات.القاهرة[[#This Row],[المنصرف]]</f>
        <v>-5499.9999999999982</v>
      </c>
      <c r="Q49" s="48">
        <f>IF(بيان.معاشات.القاهرة[[#This Row],[المتبقي من المنحة]]&lt;0,0,بيان.معاشات.القاهرة[[#This Row],[المتبقي من المنحة]])</f>
        <v>0</v>
      </c>
      <c r="R49" s="53">
        <v>25910221301235</v>
      </c>
      <c r="S49" s="46" t="s">
        <v>382</v>
      </c>
      <c r="T49" s="46" t="s">
        <v>230</v>
      </c>
      <c r="U49" s="76"/>
      <c r="V49" s="46">
        <v>9500</v>
      </c>
      <c r="W49" s="46">
        <v>8834.74</v>
      </c>
      <c r="X4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20834.739999999998</v>
      </c>
      <c r="Y49" s="46">
        <f>SUM(بيان.معاشات.القاهرة[[#This Row],[يناير-23]:[ديسمبر-23]])</f>
        <v>2500</v>
      </c>
      <c r="Z49" s="46">
        <v>500</v>
      </c>
      <c r="AA49" s="46">
        <v>500</v>
      </c>
      <c r="AB49" s="46">
        <v>500</v>
      </c>
      <c r="AC49" s="46">
        <v>500</v>
      </c>
      <c r="AD49" s="46">
        <v>500</v>
      </c>
      <c r="AE49" s="46"/>
      <c r="AF49" s="46"/>
      <c r="AG49" s="46"/>
      <c r="AH49" s="46"/>
      <c r="AI49" s="46"/>
      <c r="AJ49" s="46"/>
      <c r="AK49" s="46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 s="99" customFormat="1" ht="21" x14ac:dyDescent="0.35">
      <c r="A50"/>
      <c r="B50"/>
      <c r="C50" s="61">
        <v>43</v>
      </c>
      <c r="D50" s="46" t="s">
        <v>213</v>
      </c>
      <c r="E50" s="61">
        <v>54</v>
      </c>
      <c r="F50" s="50">
        <v>44441</v>
      </c>
      <c r="G50" s="50"/>
      <c r="H50" s="46">
        <v>17949.18</v>
      </c>
      <c r="I50" s="46"/>
      <c r="J50" s="46">
        <v>17330.400000000001</v>
      </c>
      <c r="K50" s="61">
        <v>90</v>
      </c>
      <c r="L50" s="46">
        <f>SUM(بيان.معاشات.القاهرة[[#This Row],[منحة 6شهور]:[مقابل نقدي]])</f>
        <v>35279.58</v>
      </c>
      <c r="M50" s="46">
        <f>بيان.معاشات.القاهرة[[#This Row],[إجمالي الدفعات]]</f>
        <v>10000</v>
      </c>
      <c r="N50" s="46">
        <f>بيان.معاشات.القاهرة[[#This Row],[إجمالي المستحق]]-بيان.معاشات.القاهرة[[#This Row],[المنصرف]]</f>
        <v>25279.58</v>
      </c>
      <c r="O50" s="46">
        <f>IF(بيان.معاشات.القاهرة[[#This Row],[المتبقي]]&lt;0,0,بيان.معاشات.القاهرة[[#This Row],[المتبقي]])</f>
        <v>25279.58</v>
      </c>
      <c r="P50" s="48">
        <f>(بيان.معاشات.القاهرة[[#This Row],[منحة 6شهور]]+بيان.معاشات.القاهرة[[#This Row],[مستحقات]])-بيان.معاشات.القاهرة[[#This Row],[المنصرف]]</f>
        <v>7949.18</v>
      </c>
      <c r="Q50" s="48">
        <f>IF(بيان.معاشات.القاهرة[[#This Row],[المتبقي من المنحة]]&lt;0,0,بيان.معاشات.القاهرة[[#This Row],[المتبقي من المنحة]])</f>
        <v>7949.18</v>
      </c>
      <c r="R50" s="53">
        <v>26109020101059</v>
      </c>
      <c r="S50" s="46"/>
      <c r="T50" s="46"/>
      <c r="U50" s="76"/>
      <c r="V50" s="46">
        <v>0</v>
      </c>
      <c r="W50" s="46">
        <v>7500</v>
      </c>
      <c r="X5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10000</v>
      </c>
      <c r="Y50" s="46">
        <f>SUM(بيان.معاشات.القاهرة[[#This Row],[يناير-23]:[ديسمبر-23]])</f>
        <v>2500</v>
      </c>
      <c r="Z50" s="46">
        <v>500</v>
      </c>
      <c r="AA50" s="46">
        <v>500</v>
      </c>
      <c r="AB50" s="46">
        <v>500</v>
      </c>
      <c r="AC50" s="46">
        <v>500</v>
      </c>
      <c r="AD50" s="46">
        <v>500</v>
      </c>
      <c r="AE50" s="46"/>
      <c r="AF50" s="46"/>
      <c r="AG50" s="46"/>
      <c r="AH50" s="46"/>
      <c r="AI50" s="46"/>
      <c r="AJ50" s="46"/>
      <c r="AK50" s="46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 s="99" customFormat="1" ht="21" x14ac:dyDescent="0.35">
      <c r="A51"/>
      <c r="B51"/>
      <c r="C51" s="61">
        <v>44</v>
      </c>
      <c r="D51" s="46" t="s">
        <v>27</v>
      </c>
      <c r="E51" s="61">
        <v>59</v>
      </c>
      <c r="F51" s="50">
        <v>43616</v>
      </c>
      <c r="G51" s="50"/>
      <c r="H51" s="46">
        <v>13568.28</v>
      </c>
      <c r="I51" s="46"/>
      <c r="J51" s="46">
        <v>12191.22</v>
      </c>
      <c r="K51" s="61">
        <v>90</v>
      </c>
      <c r="L51" s="46">
        <f>SUM(بيان.معاشات.القاهرة[[#This Row],[منحة 6شهور]:[مقابل نقدي]])</f>
        <v>25759.5</v>
      </c>
      <c r="M51" s="46">
        <f>بيان.معاشات.القاهرة[[#This Row],[إجمالي الدفعات]]</f>
        <v>25759.5</v>
      </c>
      <c r="N51" s="46">
        <f>بيان.معاشات.القاهرة[[#This Row],[إجمالي المستحق]]-بيان.معاشات.القاهرة[[#This Row],[المنصرف]]</f>
        <v>0</v>
      </c>
      <c r="O51" s="46">
        <f>IF(بيان.معاشات.القاهرة[[#This Row],[المتبقي]]&lt;0,0,بيان.معاشات.القاهرة[[#This Row],[المتبقي]])</f>
        <v>0</v>
      </c>
      <c r="P51" s="48">
        <f>(بيان.معاشات.القاهرة[[#This Row],[منحة 6شهور]]+بيان.معاشات.القاهرة[[#This Row],[مستحقات]])-بيان.معاشات.القاهرة[[#This Row],[المنصرف]]</f>
        <v>-12191.22</v>
      </c>
      <c r="Q51" s="48">
        <f>IF(بيان.معاشات.القاهرة[[#This Row],[المتبقي من المنحة]]&lt;0,0,بيان.معاشات.القاهرة[[#This Row],[المتبقي من المنحة]])</f>
        <v>0</v>
      </c>
      <c r="R51" s="53">
        <v>29303061701836</v>
      </c>
      <c r="S51" s="46"/>
      <c r="T51" s="46" t="s">
        <v>234</v>
      </c>
      <c r="U51" s="76"/>
      <c r="V51" s="46">
        <v>12500</v>
      </c>
      <c r="W51" s="46">
        <v>9500</v>
      </c>
      <c r="X5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25759.5</v>
      </c>
      <c r="Y51" s="46">
        <f>SUM(بيان.معاشات.القاهرة[[#This Row],[يناير-23]:[ديسمبر-23]])</f>
        <v>3759.5</v>
      </c>
      <c r="Z51" s="46">
        <v>500</v>
      </c>
      <c r="AA51" s="46">
        <v>500</v>
      </c>
      <c r="AB51" s="46">
        <v>500</v>
      </c>
      <c r="AC51" s="46">
        <v>2259.5</v>
      </c>
      <c r="AD51" s="76"/>
      <c r="AE51" s="76"/>
      <c r="AF51" s="76"/>
      <c r="AG51" s="76"/>
      <c r="AH51" s="76"/>
      <c r="AI51" s="76"/>
      <c r="AJ51" s="76"/>
      <c r="AK51" s="76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</row>
    <row r="52" spans="1:116" s="99" customFormat="1" ht="21" x14ac:dyDescent="0.35">
      <c r="A52"/>
      <c r="B52"/>
      <c r="C52" s="61">
        <v>45</v>
      </c>
      <c r="D52" s="46" t="s">
        <v>207</v>
      </c>
      <c r="E52" s="61">
        <v>63</v>
      </c>
      <c r="F52" s="50">
        <v>43750</v>
      </c>
      <c r="G52" s="50"/>
      <c r="H52" s="46">
        <v>13527.35</v>
      </c>
      <c r="I52" s="46"/>
      <c r="J52" s="46">
        <v>12667.5</v>
      </c>
      <c r="K52" s="61">
        <v>90</v>
      </c>
      <c r="L52" s="46">
        <f>SUM(بيان.معاشات.القاهرة[[#This Row],[منحة 6شهور]:[مقابل نقدي]])</f>
        <v>26194.85</v>
      </c>
      <c r="M52" s="46">
        <f>بيان.معاشات.القاهرة[[#This Row],[إجمالي الدفعات]]</f>
        <v>21000</v>
      </c>
      <c r="N52" s="46">
        <f>بيان.معاشات.القاهرة[[#This Row],[إجمالي المستحق]]-بيان.معاشات.القاهرة[[#This Row],[المنصرف]]</f>
        <v>5194.8499999999985</v>
      </c>
      <c r="O52" s="46">
        <f>IF(بيان.معاشات.القاهرة[[#This Row],[المتبقي]]&lt;0,0,بيان.معاشات.القاهرة[[#This Row],[المتبقي]])</f>
        <v>5194.8499999999985</v>
      </c>
      <c r="P52" s="48">
        <f>(بيان.معاشات.القاهرة[[#This Row],[منحة 6شهور]]+بيان.معاشات.القاهرة[[#This Row],[مستحقات]])-بيان.معاشات.القاهرة[[#This Row],[المنصرف]]</f>
        <v>-7472.65</v>
      </c>
      <c r="Q52" s="48">
        <f>IF(بيان.معاشات.القاهرة[[#This Row],[المتبقي من المنحة]]&lt;0,0,بيان.معاشات.القاهرة[[#This Row],[المتبقي من المنحة]])</f>
        <v>0</v>
      </c>
      <c r="R52" s="53">
        <v>25910121200156</v>
      </c>
      <c r="S52" s="46"/>
      <c r="T52" s="46" t="s">
        <v>197</v>
      </c>
      <c r="U52" s="76"/>
      <c r="V52" s="46">
        <v>9500</v>
      </c>
      <c r="W52" s="46">
        <v>9000</v>
      </c>
      <c r="X5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21000</v>
      </c>
      <c r="Y52" s="46">
        <f>SUM(بيان.معاشات.القاهرة[[#This Row],[يناير-23]:[ديسمبر-23]])</f>
        <v>2500</v>
      </c>
      <c r="Z52" s="46">
        <v>500</v>
      </c>
      <c r="AA52" s="46">
        <v>500</v>
      </c>
      <c r="AB52" s="46">
        <v>500</v>
      </c>
      <c r="AC52" s="46">
        <v>500</v>
      </c>
      <c r="AD52" s="46">
        <v>500</v>
      </c>
      <c r="AE52" s="46"/>
      <c r="AF52" s="46"/>
      <c r="AG52" s="46"/>
      <c r="AH52" s="46"/>
      <c r="AI52" s="46"/>
      <c r="AJ52" s="46"/>
      <c r="AK52" s="46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</row>
    <row r="53" spans="1:116" s="99" customFormat="1" ht="21" x14ac:dyDescent="0.35">
      <c r="A53"/>
      <c r="B53"/>
      <c r="C53" s="61">
        <v>46</v>
      </c>
      <c r="D53" s="46" t="s">
        <v>48</v>
      </c>
      <c r="E53" s="61">
        <v>65</v>
      </c>
      <c r="F53" s="50">
        <v>43934</v>
      </c>
      <c r="G53" s="50"/>
      <c r="H53" s="46">
        <v>10258.450000000001</v>
      </c>
      <c r="I53" s="46"/>
      <c r="J53" s="46">
        <v>10514.7</v>
      </c>
      <c r="K53" s="61">
        <v>90</v>
      </c>
      <c r="L53" s="46">
        <f>SUM(بيان.معاشات.القاهرة[[#This Row],[منحة 6شهور]:[مقابل نقدي]])</f>
        <v>20773.150000000001</v>
      </c>
      <c r="M53" s="46">
        <f>بيان.معاشات.القاهرة[[#This Row],[إجمالي الدفعات]]</f>
        <v>18000</v>
      </c>
      <c r="N53" s="46">
        <f>بيان.معاشات.القاهرة[[#This Row],[إجمالي المستحق]]-بيان.معاشات.القاهرة[[#This Row],[المنصرف]]</f>
        <v>2773.1500000000015</v>
      </c>
      <c r="O53" s="46">
        <f>IF(بيان.معاشات.القاهرة[[#This Row],[المتبقي]]&lt;0,0,بيان.معاشات.القاهرة[[#This Row],[المتبقي]])</f>
        <v>2773.1500000000015</v>
      </c>
      <c r="P53" s="48">
        <f>(بيان.معاشات.القاهرة[[#This Row],[منحة 6شهور]]+بيان.معاشات.القاهرة[[#This Row],[مستحقات]])-بيان.معاشات.القاهرة[[#This Row],[المنصرف]]</f>
        <v>-7741.5499999999993</v>
      </c>
      <c r="Q53" s="48">
        <f>IF(بيان.معاشات.القاهرة[[#This Row],[المتبقي من المنحة]]&lt;0,0,بيان.معاشات.القاهرة[[#This Row],[المتبقي من المنحة]])</f>
        <v>0</v>
      </c>
      <c r="R53" s="53">
        <v>26004131200211</v>
      </c>
      <c r="S53" s="46"/>
      <c r="T53" s="46" t="s">
        <v>197</v>
      </c>
      <c r="U53" s="76"/>
      <c r="V53" s="46">
        <v>6500</v>
      </c>
      <c r="W53" s="46">
        <v>9000</v>
      </c>
      <c r="X5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18000</v>
      </c>
      <c r="Y53" s="46">
        <f>SUM(بيان.معاشات.القاهرة[[#This Row],[يناير-23]:[ديسمبر-23]])</f>
        <v>2500</v>
      </c>
      <c r="Z53" s="46">
        <v>500</v>
      </c>
      <c r="AA53" s="46">
        <v>500</v>
      </c>
      <c r="AB53" s="46">
        <v>500</v>
      </c>
      <c r="AC53" s="46">
        <v>500</v>
      </c>
      <c r="AD53" s="46">
        <v>500</v>
      </c>
      <c r="AE53" s="46"/>
      <c r="AF53" s="46"/>
      <c r="AG53" s="46"/>
      <c r="AH53" s="46"/>
      <c r="AI53" s="46"/>
      <c r="AJ53" s="46"/>
      <c r="AK53" s="46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 s="99" customFormat="1" ht="21" x14ac:dyDescent="0.35">
      <c r="A54"/>
      <c r="B54"/>
      <c r="C54" s="61">
        <v>47</v>
      </c>
      <c r="D54" s="46" t="s">
        <v>28</v>
      </c>
      <c r="E54" s="61">
        <v>68</v>
      </c>
      <c r="F54" s="50">
        <v>43936</v>
      </c>
      <c r="G54" s="50"/>
      <c r="H54" s="46">
        <v>13109.28</v>
      </c>
      <c r="I54" s="46"/>
      <c r="J54" s="46">
        <v>11073.36</v>
      </c>
      <c r="K54" s="61">
        <v>86</v>
      </c>
      <c r="L54" s="46">
        <f>SUM(بيان.معاشات.القاهرة[[#This Row],[منحة 6شهور]:[مقابل نقدي]])</f>
        <v>24182.639999999999</v>
      </c>
      <c r="M54" s="46">
        <f>بيان.معاشات.القاهرة[[#This Row],[إجمالي الدفعات]]</f>
        <v>18000</v>
      </c>
      <c r="N54" s="46">
        <f>بيان.معاشات.القاهرة[[#This Row],[إجمالي المستحق]]-بيان.معاشات.القاهرة[[#This Row],[المنصرف]]</f>
        <v>6182.6399999999994</v>
      </c>
      <c r="O54" s="46">
        <f>IF(بيان.معاشات.القاهرة[[#This Row],[المتبقي]]&lt;0,0,بيان.معاشات.القاهرة[[#This Row],[المتبقي]])</f>
        <v>6182.6399999999994</v>
      </c>
      <c r="P54" s="48">
        <f>(بيان.معاشات.القاهرة[[#This Row],[منحة 6شهور]]+بيان.معاشات.القاهرة[[#This Row],[مستحقات]])-بيان.معاشات.القاهرة[[#This Row],[المنصرف]]</f>
        <v>-4890.7199999999993</v>
      </c>
      <c r="Q54" s="48">
        <f>IF(بيان.معاشات.القاهرة[[#This Row],[المتبقي من المنحة]]&lt;0,0,بيان.معاشات.القاهرة[[#This Row],[المتبقي من المنحة]])</f>
        <v>0</v>
      </c>
      <c r="R54" s="53">
        <v>26004150102611</v>
      </c>
      <c r="S54" s="46"/>
      <c r="T54" s="46"/>
      <c r="U54" s="76"/>
      <c r="V54" s="46">
        <v>6500</v>
      </c>
      <c r="W54" s="46">
        <v>9000</v>
      </c>
      <c r="X5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18000</v>
      </c>
      <c r="Y54" s="46">
        <f>SUM(بيان.معاشات.القاهرة[[#This Row],[يناير-23]:[ديسمبر-23]])</f>
        <v>2500</v>
      </c>
      <c r="Z54" s="46">
        <v>500</v>
      </c>
      <c r="AA54" s="46">
        <v>500</v>
      </c>
      <c r="AB54" s="46">
        <v>500</v>
      </c>
      <c r="AC54" s="46">
        <v>500</v>
      </c>
      <c r="AD54" s="46">
        <v>500</v>
      </c>
      <c r="AE54" s="46"/>
      <c r="AF54" s="46"/>
      <c r="AG54" s="46"/>
      <c r="AH54" s="46"/>
      <c r="AI54" s="46"/>
      <c r="AJ54" s="46"/>
      <c r="AK54" s="46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 s="99" customFormat="1" ht="21" x14ac:dyDescent="0.35">
      <c r="A55"/>
      <c r="B55"/>
      <c r="C55" s="61">
        <v>48</v>
      </c>
      <c r="D55" s="46" t="s">
        <v>14</v>
      </c>
      <c r="E55" s="61">
        <v>69</v>
      </c>
      <c r="F55" s="50">
        <v>44494</v>
      </c>
      <c r="G55" s="50"/>
      <c r="H55" s="46">
        <v>24171.06</v>
      </c>
      <c r="I55" s="46"/>
      <c r="J55" s="46">
        <v>22162.5</v>
      </c>
      <c r="K55" s="61">
        <v>90</v>
      </c>
      <c r="L55" s="46">
        <f>SUM(بيان.معاشات.القاهرة[[#This Row],[منحة 6شهور]:[مقابل نقدي]])</f>
        <v>46333.56</v>
      </c>
      <c r="M55" s="46">
        <f>بيان.معاشات.القاهرة[[#This Row],[إجمالي الدفعات]]</f>
        <v>11000</v>
      </c>
      <c r="N55" s="46">
        <f>بيان.معاشات.القاهرة[[#This Row],[إجمالي المستحق]]-بيان.معاشات.القاهرة[[#This Row],[المنصرف]]</f>
        <v>35333.56</v>
      </c>
      <c r="O55" s="46">
        <f>IF(بيان.معاشات.القاهرة[[#This Row],[المتبقي]]&lt;0,0,بيان.معاشات.القاهرة[[#This Row],[المتبقي]])</f>
        <v>35333.56</v>
      </c>
      <c r="P55" s="48">
        <f>(بيان.معاشات.القاهرة[[#This Row],[منحة 6شهور]]+بيان.معاشات.القاهرة[[#This Row],[مستحقات]])-بيان.معاشات.القاهرة[[#This Row],[المنصرف]]</f>
        <v>13171.060000000001</v>
      </c>
      <c r="Q55" s="48">
        <f>IF(بيان.معاشات.القاهرة[[#This Row],[المتبقي من المنحة]]&lt;0,0,بيان.معاشات.القاهرة[[#This Row],[المتبقي من المنحة]])</f>
        <v>13171.060000000001</v>
      </c>
      <c r="R55" s="53">
        <v>26110251401622</v>
      </c>
      <c r="S55" s="46"/>
      <c r="T55" s="46"/>
      <c r="U55" s="76"/>
      <c r="V55" s="46"/>
      <c r="W55" s="46">
        <v>7500</v>
      </c>
      <c r="X5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11000</v>
      </c>
      <c r="Y55" s="46">
        <f>SUM(بيان.معاشات.القاهرة[[#This Row],[يناير-23]:[ديسمبر-23]])</f>
        <v>3500</v>
      </c>
      <c r="Z55" s="46">
        <v>500</v>
      </c>
      <c r="AA55" s="46">
        <v>500</v>
      </c>
      <c r="AB55" s="46">
        <v>1000</v>
      </c>
      <c r="AC55" s="46">
        <v>1000</v>
      </c>
      <c r="AD55" s="46">
        <v>500</v>
      </c>
      <c r="AE55" s="46"/>
      <c r="AF55" s="46"/>
      <c r="AG55" s="46"/>
      <c r="AH55" s="46"/>
      <c r="AI55" s="46"/>
      <c r="AJ55" s="46"/>
      <c r="AK55" s="46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</row>
    <row r="56" spans="1:116" s="99" customFormat="1" ht="21" x14ac:dyDescent="0.35">
      <c r="A56"/>
      <c r="B56"/>
      <c r="C56" s="61">
        <v>49</v>
      </c>
      <c r="D56" s="46" t="s">
        <v>209</v>
      </c>
      <c r="E56" s="61">
        <v>70</v>
      </c>
      <c r="F56" s="50">
        <v>44508</v>
      </c>
      <c r="G56" s="50"/>
      <c r="H56" s="46">
        <v>20916.96</v>
      </c>
      <c r="I56" s="46"/>
      <c r="J56" s="46">
        <v>20634.3</v>
      </c>
      <c r="K56" s="61">
        <v>90</v>
      </c>
      <c r="L56" s="46">
        <f>SUM(بيان.معاشات.القاهرة[[#This Row],[منحة 6شهور]:[مقابل نقدي]])</f>
        <v>41551.259999999995</v>
      </c>
      <c r="M56" s="46">
        <f>بيان.معاشات.القاهرة[[#This Row],[إجمالي الدفعات]]</f>
        <v>16500</v>
      </c>
      <c r="N56" s="46">
        <f>بيان.معاشات.القاهرة[[#This Row],[إجمالي المستحق]]-بيان.معاشات.القاهرة[[#This Row],[المنصرف]]</f>
        <v>25051.259999999995</v>
      </c>
      <c r="O56" s="46">
        <f>IF(بيان.معاشات.القاهرة[[#This Row],[المتبقي]]&lt;0,0,بيان.معاشات.القاهرة[[#This Row],[المتبقي]])</f>
        <v>25051.259999999995</v>
      </c>
      <c r="P56" s="48">
        <f>(بيان.معاشات.القاهرة[[#This Row],[منحة 6شهور]]+بيان.معاشات.القاهرة[[#This Row],[مستحقات]])-بيان.معاشات.القاهرة[[#This Row],[المنصرف]]</f>
        <v>4416.9599999999991</v>
      </c>
      <c r="Q56" s="48">
        <f>IF(بيان.معاشات.القاهرة[[#This Row],[المتبقي من المنحة]]&lt;0,0,بيان.معاشات.القاهرة[[#This Row],[المتبقي من المنحة]])</f>
        <v>4416.9599999999991</v>
      </c>
      <c r="R56" s="53">
        <v>26111080104507</v>
      </c>
      <c r="S56" s="46"/>
      <c r="T56" s="46"/>
      <c r="U56" s="76"/>
      <c r="V56" s="46"/>
      <c r="W56" s="46">
        <v>11000</v>
      </c>
      <c r="X5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16500</v>
      </c>
      <c r="Y56" s="46">
        <f>SUM(بيان.معاشات.القاهرة[[#This Row],[يناير-23]:[ديسمبر-23]])</f>
        <v>5500</v>
      </c>
      <c r="Z56" s="46">
        <v>500</v>
      </c>
      <c r="AA56" s="46">
        <v>1000</v>
      </c>
      <c r="AB56" s="46">
        <v>1000</v>
      </c>
      <c r="AC56" s="46">
        <v>1000</v>
      </c>
      <c r="AD56" s="46">
        <v>2000</v>
      </c>
      <c r="AE56" s="46"/>
      <c r="AF56" s="46"/>
      <c r="AG56" s="46"/>
      <c r="AH56" s="46"/>
      <c r="AI56" s="46"/>
      <c r="AJ56" s="46"/>
      <c r="AK56" s="4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</row>
    <row r="57" spans="1:116" s="99" customFormat="1" ht="21" x14ac:dyDescent="0.35">
      <c r="A57"/>
      <c r="B57"/>
      <c r="C57" s="61">
        <v>50</v>
      </c>
      <c r="D57" s="46" t="s">
        <v>15</v>
      </c>
      <c r="E57" s="61">
        <v>71</v>
      </c>
      <c r="F57" s="50">
        <v>44489</v>
      </c>
      <c r="G57" s="50"/>
      <c r="H57" s="46">
        <v>19395.04</v>
      </c>
      <c r="I57" s="46"/>
      <c r="J57" s="46">
        <v>18967.5</v>
      </c>
      <c r="K57" s="61">
        <v>90</v>
      </c>
      <c r="L57" s="46">
        <f>SUM(بيان.معاشات.القاهرة[[#This Row],[منحة 6شهور]:[مقابل نقدي]])</f>
        <v>38362.54</v>
      </c>
      <c r="M57" s="46">
        <f>بيان.معاشات.القاهرة[[#This Row],[إجمالي الدفعات]]</f>
        <v>9500</v>
      </c>
      <c r="N57" s="46">
        <f>بيان.معاشات.القاهرة[[#This Row],[إجمالي المستحق]]-بيان.معاشات.القاهرة[[#This Row],[المنصرف]]</f>
        <v>28862.54</v>
      </c>
      <c r="O57" s="46">
        <f>IF(بيان.معاشات.القاهرة[[#This Row],[المتبقي]]&lt;0,0,بيان.معاشات.القاهرة[[#This Row],[المتبقي]])</f>
        <v>28862.54</v>
      </c>
      <c r="P57" s="48">
        <f>(بيان.معاشات.القاهرة[[#This Row],[منحة 6شهور]]+بيان.معاشات.القاهرة[[#This Row],[مستحقات]])-بيان.معاشات.القاهرة[[#This Row],[المنصرف]]</f>
        <v>9895.0400000000009</v>
      </c>
      <c r="Q57" s="48">
        <f>IF(بيان.معاشات.القاهرة[[#This Row],[المتبقي من المنحة]]&lt;0,0,بيان.معاشات.القاهرة[[#This Row],[المتبقي من المنحة]])</f>
        <v>9895.0400000000009</v>
      </c>
      <c r="R57" s="53">
        <v>26110200103449</v>
      </c>
      <c r="S57" s="46"/>
      <c r="T57" s="46"/>
      <c r="U57" s="76"/>
      <c r="V57" s="46"/>
      <c r="W57" s="46">
        <v>7000</v>
      </c>
      <c r="X5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9500</v>
      </c>
      <c r="Y57" s="46">
        <f>SUM(بيان.معاشات.القاهرة[[#This Row],[يناير-23]:[ديسمبر-23]])</f>
        <v>2500</v>
      </c>
      <c r="Z57" s="46">
        <v>500</v>
      </c>
      <c r="AA57" s="46">
        <v>500</v>
      </c>
      <c r="AB57" s="46">
        <v>500</v>
      </c>
      <c r="AC57" s="46">
        <v>500</v>
      </c>
      <c r="AD57" s="46">
        <v>500</v>
      </c>
      <c r="AE57" s="46"/>
      <c r="AF57" s="46"/>
      <c r="AG57" s="46"/>
      <c r="AH57" s="46"/>
      <c r="AI57" s="46"/>
      <c r="AJ57" s="46"/>
      <c r="AK57" s="46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</row>
    <row r="58" spans="1:116" s="99" customFormat="1" ht="21" x14ac:dyDescent="0.35">
      <c r="A58"/>
      <c r="B58"/>
      <c r="C58" s="61">
        <v>51</v>
      </c>
      <c r="D58" s="46" t="s">
        <v>16</v>
      </c>
      <c r="E58" s="61">
        <v>72</v>
      </c>
      <c r="F58" s="50">
        <v>44504</v>
      </c>
      <c r="G58" s="50"/>
      <c r="H58" s="46">
        <v>11960.64</v>
      </c>
      <c r="I58" s="46"/>
      <c r="J58" s="46">
        <v>13850.1</v>
      </c>
      <c r="K58" s="61">
        <v>90</v>
      </c>
      <c r="L58" s="46">
        <f>SUM(بيان.معاشات.القاهرة[[#This Row],[منحة 6شهور]:[مقابل نقدي]])</f>
        <v>25810.739999999998</v>
      </c>
      <c r="M58" s="46">
        <f>بيان.معاشات.القاهرة[[#This Row],[إجمالي الدفعات]]</f>
        <v>8500</v>
      </c>
      <c r="N58" s="46">
        <f>بيان.معاشات.القاهرة[[#This Row],[إجمالي المستحق]]-بيان.معاشات.القاهرة[[#This Row],[المنصرف]]</f>
        <v>17310.739999999998</v>
      </c>
      <c r="O58" s="46">
        <f>IF(بيان.معاشات.القاهرة[[#This Row],[المتبقي]]&lt;0,0,بيان.معاشات.القاهرة[[#This Row],[المتبقي]])</f>
        <v>17310.739999999998</v>
      </c>
      <c r="P58" s="48">
        <f>(بيان.معاشات.القاهرة[[#This Row],[منحة 6شهور]]+بيان.معاشات.القاهرة[[#This Row],[مستحقات]])-بيان.معاشات.القاهرة[[#This Row],[المنصرف]]</f>
        <v>3460.6399999999994</v>
      </c>
      <c r="Q58" s="48">
        <f>IF(بيان.معاشات.القاهرة[[#This Row],[المتبقي من المنحة]]&lt;0,0,بيان.معاشات.القاهرة[[#This Row],[المتبقي من المنحة]])</f>
        <v>3460.6399999999994</v>
      </c>
      <c r="R58" s="53">
        <v>26111041700771</v>
      </c>
      <c r="S58" s="46"/>
      <c r="T58" s="46"/>
      <c r="U58" s="76"/>
      <c r="V58" s="46"/>
      <c r="W58" s="46">
        <v>6500</v>
      </c>
      <c r="X5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8500</v>
      </c>
      <c r="Y58" s="46">
        <f>SUM(بيان.معاشات.القاهرة[[#This Row],[يناير-23]:[ديسمبر-23]])</f>
        <v>2000</v>
      </c>
      <c r="Z58" s="46">
        <v>500</v>
      </c>
      <c r="AA58" s="46">
        <v>500</v>
      </c>
      <c r="AB58" s="46"/>
      <c r="AC58" s="46">
        <v>1000</v>
      </c>
      <c r="AD58" s="46"/>
      <c r="AE58" s="46"/>
      <c r="AF58" s="46"/>
      <c r="AG58" s="46"/>
      <c r="AH58" s="46"/>
      <c r="AI58" s="46"/>
      <c r="AJ58" s="46"/>
      <c r="AK58" s="46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</row>
    <row r="59" spans="1:116" s="99" customFormat="1" ht="21" x14ac:dyDescent="0.35">
      <c r="A59"/>
      <c r="B59"/>
      <c r="C59" s="61">
        <v>52</v>
      </c>
      <c r="D59" s="46" t="s">
        <v>17</v>
      </c>
      <c r="E59" s="61">
        <v>73</v>
      </c>
      <c r="F59" s="50">
        <v>44515</v>
      </c>
      <c r="G59" s="50"/>
      <c r="H59" s="46">
        <v>19258.27</v>
      </c>
      <c r="I59" s="46"/>
      <c r="J59" s="46">
        <v>5423.09</v>
      </c>
      <c r="K59" s="61">
        <v>25.5</v>
      </c>
      <c r="L59" s="46">
        <f>SUM(بيان.معاشات.القاهرة[[#This Row],[منحة 6شهور]:[مقابل نقدي]])</f>
        <v>24681.360000000001</v>
      </c>
      <c r="M59" s="46">
        <f>بيان.معاشات.القاهرة[[#This Row],[إجمالي الدفعات]]</f>
        <v>8500</v>
      </c>
      <c r="N59" s="46">
        <f>بيان.معاشات.القاهرة[[#This Row],[إجمالي المستحق]]-بيان.معاشات.القاهرة[[#This Row],[المنصرف]]</f>
        <v>16181.36</v>
      </c>
      <c r="O59" s="46">
        <f>IF(بيان.معاشات.القاهرة[[#This Row],[المتبقي]]&lt;0,0,بيان.معاشات.القاهرة[[#This Row],[المتبقي]])</f>
        <v>16181.36</v>
      </c>
      <c r="P59" s="48">
        <f>(بيان.معاشات.القاهرة[[#This Row],[منحة 6شهور]]+بيان.معاشات.القاهرة[[#This Row],[مستحقات]])-بيان.معاشات.القاهرة[[#This Row],[المنصرف]]</f>
        <v>10758.27</v>
      </c>
      <c r="Q59" s="48">
        <f>IF(بيان.معاشات.القاهرة[[#This Row],[المتبقي من المنحة]]&lt;0,0,بيان.معاشات.القاهرة[[#This Row],[المتبقي من المنحة]])</f>
        <v>10758.27</v>
      </c>
      <c r="R59" s="53">
        <v>26111512020939</v>
      </c>
      <c r="S59" s="46"/>
      <c r="T59" s="46"/>
      <c r="U59" s="76"/>
      <c r="V59" s="46"/>
      <c r="W59" s="46">
        <v>6000</v>
      </c>
      <c r="X5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8500</v>
      </c>
      <c r="Y59" s="46">
        <f>SUM(بيان.معاشات.القاهرة[[#This Row],[يناير-23]:[ديسمبر-23]])</f>
        <v>2500</v>
      </c>
      <c r="Z59" s="46">
        <v>500</v>
      </c>
      <c r="AA59" s="46">
        <v>500</v>
      </c>
      <c r="AB59" s="46">
        <v>500</v>
      </c>
      <c r="AC59" s="46">
        <v>500</v>
      </c>
      <c r="AD59" s="46">
        <v>500</v>
      </c>
      <c r="AE59" s="46"/>
      <c r="AF59" s="46"/>
      <c r="AG59" s="46"/>
      <c r="AH59" s="46"/>
      <c r="AI59" s="46"/>
      <c r="AJ59" s="46"/>
      <c r="AK59" s="46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 s="99" customFormat="1" ht="21" x14ac:dyDescent="0.35">
      <c r="A60"/>
      <c r="B60"/>
      <c r="C60" s="61">
        <v>53</v>
      </c>
      <c r="D60" s="46" t="s">
        <v>20</v>
      </c>
      <c r="E60" s="61">
        <v>74</v>
      </c>
      <c r="F60" s="50">
        <v>44530</v>
      </c>
      <c r="G60" s="50"/>
      <c r="H60" s="46">
        <v>14761.2</v>
      </c>
      <c r="I60" s="46"/>
      <c r="J60" s="46">
        <v>11712.89</v>
      </c>
      <c r="K60" s="61">
        <v>74.5</v>
      </c>
      <c r="L60" s="46">
        <f>SUM(بيان.معاشات.القاهرة[[#This Row],[منحة 6شهور]:[مقابل نقدي]])</f>
        <v>26474.09</v>
      </c>
      <c r="M60" s="46">
        <f>بيان.معاشات.القاهرة[[#This Row],[إجمالي الدفعات]]</f>
        <v>10000</v>
      </c>
      <c r="N60" s="46">
        <f>بيان.معاشات.القاهرة[[#This Row],[إجمالي المستحق]]-بيان.معاشات.القاهرة[[#This Row],[المنصرف]]</f>
        <v>16474.09</v>
      </c>
      <c r="O60" s="46">
        <f>IF(بيان.معاشات.القاهرة[[#This Row],[المتبقي]]&lt;0,0,بيان.معاشات.القاهرة[[#This Row],[المتبقي]])</f>
        <v>16474.09</v>
      </c>
      <c r="P60" s="48">
        <f>(بيان.معاشات.القاهرة[[#This Row],[منحة 6شهور]]+بيان.معاشات.القاهرة[[#This Row],[مستحقات]])-بيان.معاشات.القاهرة[[#This Row],[المنصرف]]</f>
        <v>4761.2000000000007</v>
      </c>
      <c r="Q60" s="48">
        <f>IF(بيان.معاشات.القاهرة[[#This Row],[المتبقي من المنحة]]&lt;0,0,بيان.معاشات.القاهرة[[#This Row],[المتبقي من المنحة]])</f>
        <v>4761.2000000000007</v>
      </c>
      <c r="R60" s="53">
        <v>26111301700355</v>
      </c>
      <c r="S60" s="46"/>
      <c r="T60" s="46"/>
      <c r="U60" s="76"/>
      <c r="V60" s="46"/>
      <c r="W60" s="46">
        <v>7500</v>
      </c>
      <c r="X6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10000</v>
      </c>
      <c r="Y60" s="46">
        <f>SUM(بيان.معاشات.القاهرة[[#This Row],[يناير-23]:[ديسمبر-23]])</f>
        <v>2500</v>
      </c>
      <c r="Z60" s="46">
        <v>500</v>
      </c>
      <c r="AA60" s="46">
        <v>500</v>
      </c>
      <c r="AB60" s="46">
        <v>500</v>
      </c>
      <c r="AC60" s="46">
        <v>500</v>
      </c>
      <c r="AD60" s="46">
        <v>500</v>
      </c>
      <c r="AE60" s="46"/>
      <c r="AF60" s="46"/>
      <c r="AG60" s="46"/>
      <c r="AH60" s="46"/>
      <c r="AI60" s="46"/>
      <c r="AJ60" s="46"/>
      <c r="AK60" s="46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</row>
    <row r="61" spans="1:116" s="99" customFormat="1" ht="21" x14ac:dyDescent="0.35">
      <c r="A61"/>
      <c r="B61"/>
      <c r="C61" s="61">
        <v>54</v>
      </c>
      <c r="D61" s="46" t="s">
        <v>25</v>
      </c>
      <c r="E61" s="61">
        <v>75</v>
      </c>
      <c r="F61" s="50">
        <v>44553</v>
      </c>
      <c r="G61" s="50"/>
      <c r="H61" s="46">
        <v>16721.45</v>
      </c>
      <c r="I61" s="46"/>
      <c r="J61" s="46">
        <v>19007.099999999999</v>
      </c>
      <c r="K61" s="61">
        <v>90</v>
      </c>
      <c r="L61" s="46">
        <f>SUM(بيان.معاشات.القاهرة[[#This Row],[منحة 6شهور]:[مقابل نقدي]])</f>
        <v>35728.550000000003</v>
      </c>
      <c r="M61" s="46">
        <f>بيان.معاشات.القاهرة[[#This Row],[إجمالي الدفعات]]</f>
        <v>17721.45</v>
      </c>
      <c r="N61" s="46">
        <f>بيان.معاشات.القاهرة[[#This Row],[إجمالي المستحق]]-بيان.معاشات.القاهرة[[#This Row],[المنصرف]]</f>
        <v>18007.100000000002</v>
      </c>
      <c r="O61" s="46">
        <f>IF(بيان.معاشات.القاهرة[[#This Row],[المتبقي]]&lt;0,0,بيان.معاشات.القاهرة[[#This Row],[المتبقي]])</f>
        <v>18007.100000000002</v>
      </c>
      <c r="P61" s="48">
        <f>(بيان.معاشات.القاهرة[[#This Row],[منحة 6شهور]]+بيان.معاشات.القاهرة[[#This Row],[مستحقات]])-بيان.معاشات.القاهرة[[#This Row],[المنصرف]]</f>
        <v>-1000</v>
      </c>
      <c r="Q61" s="48">
        <f>IF(بيان.معاشات.القاهرة[[#This Row],[المتبقي من المنحة]]&lt;0,0,بيان.معاشات.القاهرة[[#This Row],[المتبقي من المنحة]])</f>
        <v>0</v>
      </c>
      <c r="R61" s="53">
        <v>26112230100277</v>
      </c>
      <c r="S61" s="46"/>
      <c r="T61" s="46" t="s">
        <v>475</v>
      </c>
      <c r="U61" s="76"/>
      <c r="V61" s="46"/>
      <c r="W61" s="46">
        <v>12221.45</v>
      </c>
      <c r="X6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17721.45</v>
      </c>
      <c r="Y61" s="46">
        <f>SUM(بيان.معاشات.القاهرة[[#This Row],[يناير-23]:[ديسمبر-23]])</f>
        <v>5500</v>
      </c>
      <c r="Z61" s="46">
        <v>500</v>
      </c>
      <c r="AA61" s="46">
        <v>1000</v>
      </c>
      <c r="AB61" s="46">
        <v>1000</v>
      </c>
      <c r="AC61" s="46">
        <v>2000</v>
      </c>
      <c r="AD61" s="46">
        <v>1000</v>
      </c>
      <c r="AE61" s="46"/>
      <c r="AF61" s="46"/>
      <c r="AG61" s="46"/>
      <c r="AH61" s="46"/>
      <c r="AI61" s="46"/>
      <c r="AJ61" s="46"/>
      <c r="AK61" s="46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</row>
    <row r="62" spans="1:116" s="99" customFormat="1" ht="21" x14ac:dyDescent="0.35">
      <c r="A62"/>
      <c r="B62"/>
      <c r="C62" s="61">
        <v>55</v>
      </c>
      <c r="D62" s="46" t="s">
        <v>29</v>
      </c>
      <c r="E62" s="61">
        <v>76</v>
      </c>
      <c r="F62" s="50">
        <v>44429</v>
      </c>
      <c r="G62" s="50"/>
      <c r="H62" s="46">
        <v>22082.02</v>
      </c>
      <c r="I62" s="46"/>
      <c r="J62" s="46">
        <v>15704.96</v>
      </c>
      <c r="K62" s="61">
        <v>64</v>
      </c>
      <c r="L62" s="46">
        <f>SUM(بيان.معاشات.القاهرة[[#This Row],[منحة 6شهور]:[مقابل نقدي]])</f>
        <v>37786.979999999996</v>
      </c>
      <c r="M62" s="46">
        <f>بيان.معاشات.القاهرة[[#This Row],[إجمالي الدفعات]]</f>
        <v>8500</v>
      </c>
      <c r="N62" s="46">
        <f>بيان.معاشات.القاهرة[[#This Row],[إجمالي المستحق]]-بيان.معاشات.القاهرة[[#This Row],[المنصرف]]</f>
        <v>29286.979999999996</v>
      </c>
      <c r="O62" s="46">
        <f>IF(بيان.معاشات.القاهرة[[#This Row],[المتبقي]]&lt;0,0,بيان.معاشات.القاهرة[[#This Row],[المتبقي]])</f>
        <v>29286.979999999996</v>
      </c>
      <c r="P62" s="48">
        <f>(بيان.معاشات.القاهرة[[#This Row],[منحة 6شهور]]+بيان.معاشات.القاهرة[[#This Row],[مستحقات]])-بيان.معاشات.القاهرة[[#This Row],[المنصرف]]</f>
        <v>13582.02</v>
      </c>
      <c r="Q62" s="48">
        <f>IF(بيان.معاشات.القاهرة[[#This Row],[المتبقي من المنحة]]&lt;0,0,بيان.معاشات.القاهرة[[#This Row],[المتبقي من المنحة]])</f>
        <v>13582.02</v>
      </c>
      <c r="R62" s="53">
        <v>26111210102579</v>
      </c>
      <c r="S62" s="46"/>
      <c r="T62" s="46" t="s">
        <v>197</v>
      </c>
      <c r="U62" s="76"/>
      <c r="V62" s="46"/>
      <c r="W62" s="46">
        <v>6000</v>
      </c>
      <c r="X6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8500</v>
      </c>
      <c r="Y62" s="46">
        <f>SUM(بيان.معاشات.القاهرة[[#This Row],[يناير-23]:[ديسمبر-23]])</f>
        <v>2500</v>
      </c>
      <c r="Z62" s="46">
        <v>500</v>
      </c>
      <c r="AA62" s="46">
        <v>500</v>
      </c>
      <c r="AB62" s="46">
        <v>500</v>
      </c>
      <c r="AC62" s="46">
        <v>500</v>
      </c>
      <c r="AD62" s="46">
        <v>500</v>
      </c>
      <c r="AE62" s="46"/>
      <c r="AF62" s="46"/>
      <c r="AG62" s="46"/>
      <c r="AH62" s="46"/>
      <c r="AI62" s="46"/>
      <c r="AJ62" s="46"/>
      <c r="AK62" s="46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  <row r="63" spans="1:116" s="99" customFormat="1" ht="21" x14ac:dyDescent="0.35">
      <c r="A63"/>
      <c r="B63"/>
      <c r="C63" s="61">
        <v>56</v>
      </c>
      <c r="D63" s="46" t="s">
        <v>30</v>
      </c>
      <c r="E63" s="61">
        <v>77</v>
      </c>
      <c r="F63" s="50">
        <v>44367</v>
      </c>
      <c r="G63" s="50"/>
      <c r="H63" s="46">
        <v>11342.22</v>
      </c>
      <c r="I63" s="46"/>
      <c r="J63" s="46">
        <v>8822</v>
      </c>
      <c r="K63" s="61">
        <v>81</v>
      </c>
      <c r="L63" s="46">
        <f>SUM(بيان.معاشات.القاهرة[[#This Row],[منحة 6شهور]:[مقابل نقدي]])</f>
        <v>20164.22</v>
      </c>
      <c r="M63" s="46">
        <f>بيان.معاشات.القاهرة[[#This Row],[إجمالي الدفعات]]</f>
        <v>9500</v>
      </c>
      <c r="N63" s="46">
        <f>بيان.معاشات.القاهرة[[#This Row],[إجمالي المستحق]]-بيان.معاشات.القاهرة[[#This Row],[المنصرف]]</f>
        <v>10664.220000000001</v>
      </c>
      <c r="O63" s="46">
        <f>IF(بيان.معاشات.القاهرة[[#This Row],[المتبقي]]&lt;0,0,بيان.معاشات.القاهرة[[#This Row],[المتبقي]])</f>
        <v>10664.220000000001</v>
      </c>
      <c r="P63" s="48">
        <f>(بيان.معاشات.القاهرة[[#This Row],[منحة 6شهور]]+بيان.معاشات.القاهرة[[#This Row],[مستحقات]])-بيان.معاشات.القاهرة[[#This Row],[المنصرف]]</f>
        <v>1842.2199999999993</v>
      </c>
      <c r="Q63" s="48">
        <f>IF(بيان.معاشات.القاهرة[[#This Row],[المتبقي من المنحة]]&lt;0,0,بيان.معاشات.القاهرة[[#This Row],[المتبقي من المنحة]])</f>
        <v>1842.2199999999993</v>
      </c>
      <c r="R63" s="53">
        <v>26711191301279</v>
      </c>
      <c r="S63" s="46"/>
      <c r="T63" s="46"/>
      <c r="U63" s="76"/>
      <c r="V63" s="46"/>
      <c r="W63" s="46">
        <v>7000</v>
      </c>
      <c r="X6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9500</v>
      </c>
      <c r="Y63" s="46">
        <f>SUM(بيان.معاشات.القاهرة[[#This Row],[يناير-23]:[ديسمبر-23]])</f>
        <v>2500</v>
      </c>
      <c r="Z63" s="46">
        <v>500</v>
      </c>
      <c r="AA63" s="46">
        <v>500</v>
      </c>
      <c r="AB63" s="46">
        <v>500</v>
      </c>
      <c r="AC63" s="46">
        <v>500</v>
      </c>
      <c r="AD63" s="46">
        <v>500</v>
      </c>
      <c r="AE63" s="46"/>
      <c r="AF63" s="46"/>
      <c r="AG63" s="46"/>
      <c r="AH63" s="46"/>
      <c r="AI63" s="46"/>
      <c r="AJ63" s="46"/>
      <c r="AK63" s="46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</row>
    <row r="64" spans="1:116" s="99" customFormat="1" ht="21" x14ac:dyDescent="0.35">
      <c r="A64"/>
      <c r="B64"/>
      <c r="C64" s="61">
        <v>57</v>
      </c>
      <c r="D64" s="46" t="s">
        <v>37</v>
      </c>
      <c r="E64" s="61">
        <v>78</v>
      </c>
      <c r="F64" s="50">
        <v>44512</v>
      </c>
      <c r="G64" s="50"/>
      <c r="H64" s="46">
        <v>14284.3</v>
      </c>
      <c r="I64" s="46"/>
      <c r="J64" s="46">
        <v>13030.2</v>
      </c>
      <c r="K64" s="61">
        <v>90</v>
      </c>
      <c r="L64" s="46">
        <f>SUM(بيان.معاشات.القاهرة[[#This Row],[منحة 6شهور]:[مقابل نقدي]])</f>
        <v>27314.5</v>
      </c>
      <c r="M64" s="46">
        <f>بيان.معاشات.القاهرة[[#This Row],[إجمالي الدفعات]]</f>
        <v>9000</v>
      </c>
      <c r="N64" s="46">
        <f>بيان.معاشات.القاهرة[[#This Row],[إجمالي المستحق]]-بيان.معاشات.القاهرة[[#This Row],[المنصرف]]</f>
        <v>18314.5</v>
      </c>
      <c r="O64" s="46">
        <f>IF(بيان.معاشات.القاهرة[[#This Row],[المتبقي]]&lt;0,0,بيان.معاشات.القاهرة[[#This Row],[المتبقي]])</f>
        <v>18314.5</v>
      </c>
      <c r="P64" s="48">
        <f>(بيان.معاشات.القاهرة[[#This Row],[منحة 6شهور]]+بيان.معاشات.القاهرة[[#This Row],[مستحقات]])-بيان.معاشات.القاهرة[[#This Row],[المنصرف]]</f>
        <v>5284.2999999999993</v>
      </c>
      <c r="Q64" s="48">
        <f>IF(بيان.معاشات.القاهرة[[#This Row],[المتبقي من المنحة]]&lt;0,0,بيان.معاشات.القاهرة[[#This Row],[المتبقي من المنحة]])</f>
        <v>5284.2999999999993</v>
      </c>
      <c r="R64" s="53">
        <v>29402192201659</v>
      </c>
      <c r="S64" s="46"/>
      <c r="T64" s="46"/>
      <c r="U64" s="76"/>
      <c r="V64" s="46"/>
      <c r="W64" s="46">
        <v>6500</v>
      </c>
      <c r="X6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9000</v>
      </c>
      <c r="Y64" s="46">
        <f>SUM(بيان.معاشات.القاهرة[[#This Row],[يناير-23]:[ديسمبر-23]])</f>
        <v>2500</v>
      </c>
      <c r="Z64" s="46">
        <v>500</v>
      </c>
      <c r="AA64" s="46">
        <v>500</v>
      </c>
      <c r="AB64" s="46">
        <v>500</v>
      </c>
      <c r="AC64" s="46">
        <v>500</v>
      </c>
      <c r="AD64" s="46">
        <v>500</v>
      </c>
      <c r="AE64" s="46"/>
      <c r="AF64" s="46"/>
      <c r="AG64" s="46"/>
      <c r="AH64" s="46"/>
      <c r="AI64" s="46"/>
      <c r="AJ64" s="46"/>
      <c r="AK64" s="46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</row>
    <row r="65" spans="1:116" s="99" customFormat="1" ht="21" x14ac:dyDescent="0.35">
      <c r="A65"/>
      <c r="B65"/>
      <c r="C65" s="61">
        <v>58</v>
      </c>
      <c r="D65" s="46" t="s">
        <v>31</v>
      </c>
      <c r="E65" s="61">
        <v>79</v>
      </c>
      <c r="F65" s="50">
        <v>42736</v>
      </c>
      <c r="G65" s="50">
        <v>44828</v>
      </c>
      <c r="H65" s="46">
        <v>20289.54</v>
      </c>
      <c r="I65" s="46"/>
      <c r="J65" s="46">
        <v>9869.4</v>
      </c>
      <c r="K65" s="61">
        <v>90</v>
      </c>
      <c r="L65" s="46">
        <f>SUM(بيان.معاشات.القاهرة[[#This Row],[منحة 6شهور]:[مقابل نقدي]])</f>
        <v>30158.940000000002</v>
      </c>
      <c r="M65" s="46">
        <f>بيان.معاشات.القاهرة[[#This Row],[إجمالي الدفعات]]</f>
        <v>27289.54</v>
      </c>
      <c r="N65" s="46">
        <f>بيان.معاشات.القاهرة[[#This Row],[إجمالي المستحق]]-بيان.معاشات.القاهرة[[#This Row],[المنصرف]]</f>
        <v>2869.4000000000015</v>
      </c>
      <c r="O65" s="46">
        <f>IF(بيان.معاشات.القاهرة[[#This Row],[المتبقي]]&lt;0,0,بيان.معاشات.القاهرة[[#This Row],[المتبقي]])</f>
        <v>2869.4000000000015</v>
      </c>
      <c r="P65" s="48">
        <f>(بيان.معاشات.القاهرة[[#This Row],[منحة 6شهور]]+بيان.معاشات.القاهرة[[#This Row],[مستحقات]])-بيان.معاشات.القاهرة[[#This Row],[المنصرف]]</f>
        <v>-7000</v>
      </c>
      <c r="Q65" s="48">
        <f>IF(بيان.معاشات.القاهرة[[#This Row],[المتبقي من المنحة]]&lt;0,0,بيان.معاشات.القاهرة[[#This Row],[المتبقي من المنحة]])</f>
        <v>0</v>
      </c>
      <c r="R65" s="53">
        <v>25701012605393</v>
      </c>
      <c r="S65" s="46"/>
      <c r="T65" s="46" t="s">
        <v>32</v>
      </c>
      <c r="U65" s="76"/>
      <c r="V65" s="46">
        <v>20289.54</v>
      </c>
      <c r="W65" s="46">
        <v>4000</v>
      </c>
      <c r="X6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27289.54</v>
      </c>
      <c r="Y65" s="46">
        <f>SUM(بيان.معاشات.القاهرة[[#This Row],[يناير-23]:[ديسمبر-23]])</f>
        <v>3000</v>
      </c>
      <c r="Z65" s="46"/>
      <c r="AA65" s="46"/>
      <c r="AB65" s="46">
        <v>1000</v>
      </c>
      <c r="AC65" s="46">
        <v>1000</v>
      </c>
      <c r="AD65" s="46">
        <v>1000</v>
      </c>
      <c r="AE65" s="46"/>
      <c r="AF65" s="46"/>
      <c r="AG65" s="46"/>
      <c r="AH65" s="46"/>
      <c r="AI65" s="46"/>
      <c r="AJ65" s="46"/>
      <c r="AK65" s="46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</row>
    <row r="66" spans="1:116" s="99" customFormat="1" ht="21" x14ac:dyDescent="0.35">
      <c r="A66"/>
      <c r="B66"/>
      <c r="C66" s="61">
        <v>59</v>
      </c>
      <c r="D66" s="46" t="s">
        <v>201</v>
      </c>
      <c r="E66" s="61">
        <v>80</v>
      </c>
      <c r="F66" s="50">
        <v>44575</v>
      </c>
      <c r="G66" s="50"/>
      <c r="H66" s="46">
        <v>21023.78</v>
      </c>
      <c r="I66" s="46"/>
      <c r="J66" s="46">
        <v>17940</v>
      </c>
      <c r="K66" s="61">
        <v>78</v>
      </c>
      <c r="L66" s="46">
        <f>SUM(بيان.معاشات.القاهرة[[#This Row],[منحة 6شهور]:[مقابل نقدي]])</f>
        <v>38963.78</v>
      </c>
      <c r="M66" s="46">
        <f>بيان.معاشات.القاهرة[[#This Row],[إجمالي الدفعات]]</f>
        <v>8000</v>
      </c>
      <c r="N66" s="46">
        <f>بيان.معاشات.القاهرة[[#This Row],[إجمالي المستحق]]-بيان.معاشات.القاهرة[[#This Row],[المنصرف]]</f>
        <v>30963.78</v>
      </c>
      <c r="O66" s="46">
        <f>IF(بيان.معاشات.القاهرة[[#This Row],[المتبقي]]&lt;0,0,بيان.معاشات.القاهرة[[#This Row],[المتبقي]])</f>
        <v>30963.78</v>
      </c>
      <c r="P66" s="48">
        <f>(بيان.معاشات.القاهرة[[#This Row],[منحة 6شهور]]+بيان.معاشات.القاهرة[[#This Row],[مستحقات]])-بيان.معاشات.القاهرة[[#This Row],[المنصرف]]</f>
        <v>13023.779999999999</v>
      </c>
      <c r="Q66" s="48">
        <f>IF(بيان.معاشات.القاهرة[[#This Row],[المتبقي من المنحة]]&lt;0,0,بيان.معاشات.القاهرة[[#This Row],[المتبقي من المنحة]])</f>
        <v>13023.779999999999</v>
      </c>
      <c r="R66" s="53">
        <v>26201140102419</v>
      </c>
      <c r="S66" s="46"/>
      <c r="T66" s="46" t="s">
        <v>202</v>
      </c>
      <c r="U66" s="76"/>
      <c r="V66" s="46">
        <v>0</v>
      </c>
      <c r="W66" s="46">
        <v>5500</v>
      </c>
      <c r="X6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8000</v>
      </c>
      <c r="Y66" s="46">
        <f>SUM(بيان.معاشات.القاهرة[[#This Row],[يناير-23]:[ديسمبر-23]])</f>
        <v>2500</v>
      </c>
      <c r="Z66" s="46">
        <v>500</v>
      </c>
      <c r="AA66" s="46">
        <v>500</v>
      </c>
      <c r="AB66" s="46">
        <v>500</v>
      </c>
      <c r="AC66" s="46">
        <v>500</v>
      </c>
      <c r="AD66" s="46">
        <v>500</v>
      </c>
      <c r="AE66" s="46"/>
      <c r="AF66" s="46"/>
      <c r="AG66" s="46"/>
      <c r="AH66" s="46"/>
      <c r="AI66" s="46"/>
      <c r="AJ66" s="46"/>
      <c r="AK66" s="4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</row>
    <row r="67" spans="1:116" s="99" customFormat="1" ht="21" x14ac:dyDescent="0.35">
      <c r="A67"/>
      <c r="B67"/>
      <c r="C67" s="61">
        <v>60</v>
      </c>
      <c r="D67" s="46" t="s">
        <v>211</v>
      </c>
      <c r="E67" s="61">
        <v>81</v>
      </c>
      <c r="F67" s="50">
        <v>44610</v>
      </c>
      <c r="G67" s="50"/>
      <c r="H67" s="46">
        <v>20200.240000000002</v>
      </c>
      <c r="I67" s="46"/>
      <c r="J67" s="46">
        <v>11382.28</v>
      </c>
      <c r="K67" s="61">
        <v>52</v>
      </c>
      <c r="L67" s="46">
        <f>SUM(بيان.معاشات.القاهرة[[#This Row],[منحة 6شهور]:[مقابل نقدي]])</f>
        <v>31582.520000000004</v>
      </c>
      <c r="M67" s="46">
        <f>بيان.معاشات.القاهرة[[#This Row],[إجمالي الدفعات]]</f>
        <v>7500</v>
      </c>
      <c r="N67" s="46">
        <f>بيان.معاشات.القاهرة[[#This Row],[إجمالي المستحق]]-بيان.معاشات.القاهرة[[#This Row],[المنصرف]]</f>
        <v>24082.520000000004</v>
      </c>
      <c r="O67" s="46">
        <f>IF(بيان.معاشات.القاهرة[[#This Row],[المتبقي]]&lt;0,0,بيان.معاشات.القاهرة[[#This Row],[المتبقي]])</f>
        <v>24082.520000000004</v>
      </c>
      <c r="P67" s="48">
        <f>(بيان.معاشات.القاهرة[[#This Row],[منحة 6شهور]]+بيان.معاشات.القاهرة[[#This Row],[مستحقات]])-بيان.معاشات.القاهرة[[#This Row],[المنصرف]]</f>
        <v>12700.240000000002</v>
      </c>
      <c r="Q67" s="48">
        <f>IF(بيان.معاشات.القاهرة[[#This Row],[المتبقي من المنحة]]&lt;0,0,بيان.معاشات.القاهرة[[#This Row],[المتبقي من المنحة]])</f>
        <v>12700.240000000002</v>
      </c>
      <c r="R67" s="53">
        <v>26202180101047</v>
      </c>
      <c r="S67" s="46" t="s">
        <v>212</v>
      </c>
      <c r="T67" s="46"/>
      <c r="U67" s="76"/>
      <c r="V67" s="46">
        <v>0</v>
      </c>
      <c r="W67" s="46">
        <v>5000</v>
      </c>
      <c r="X6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7500</v>
      </c>
      <c r="Y67" s="46">
        <f>SUM(بيان.معاشات.القاهرة[[#This Row],[يناير-23]:[ديسمبر-23]])</f>
        <v>2500</v>
      </c>
      <c r="Z67" s="46">
        <v>500</v>
      </c>
      <c r="AA67" s="46">
        <v>500</v>
      </c>
      <c r="AB67" s="46">
        <v>500</v>
      </c>
      <c r="AC67" s="46">
        <v>500</v>
      </c>
      <c r="AD67" s="46">
        <v>500</v>
      </c>
      <c r="AE67" s="46"/>
      <c r="AF67" s="46"/>
      <c r="AG67" s="46"/>
      <c r="AH67" s="46"/>
      <c r="AI67" s="46"/>
      <c r="AJ67" s="46"/>
      <c r="AK67" s="46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</row>
    <row r="68" spans="1:116" s="99" customFormat="1" ht="21" x14ac:dyDescent="0.35">
      <c r="A68"/>
      <c r="B68"/>
      <c r="C68" s="61">
        <v>61</v>
      </c>
      <c r="D68" s="46" t="s">
        <v>217</v>
      </c>
      <c r="E68" s="61">
        <v>82</v>
      </c>
      <c r="F68" s="50">
        <v>44596</v>
      </c>
      <c r="G68" s="50"/>
      <c r="H68" s="46">
        <v>20283.25</v>
      </c>
      <c r="I68" s="46"/>
      <c r="J68" s="46">
        <v>19575</v>
      </c>
      <c r="K68" s="61">
        <v>90</v>
      </c>
      <c r="L68" s="46">
        <f>SUM(بيان.معاشات.القاهرة[[#This Row],[منحة 6شهور]:[مقابل نقدي]])</f>
        <v>39858.25</v>
      </c>
      <c r="M68" s="46">
        <f>بيان.معاشات.القاهرة[[#This Row],[إجمالي الدفعات]]</f>
        <v>7500</v>
      </c>
      <c r="N68" s="46">
        <f>بيان.معاشات.القاهرة[[#This Row],[إجمالي المستحق]]-بيان.معاشات.القاهرة[[#This Row],[المنصرف]]</f>
        <v>32358.25</v>
      </c>
      <c r="O68" s="46">
        <f>IF(بيان.معاشات.القاهرة[[#This Row],[المتبقي]]&lt;0,0,بيان.معاشات.القاهرة[[#This Row],[المتبقي]])</f>
        <v>32358.25</v>
      </c>
      <c r="P68" s="48">
        <f>(بيان.معاشات.القاهرة[[#This Row],[منحة 6شهور]]+بيان.معاشات.القاهرة[[#This Row],[مستحقات]])-بيان.معاشات.القاهرة[[#This Row],[المنصرف]]</f>
        <v>12783.25</v>
      </c>
      <c r="Q68" s="48">
        <f>IF(بيان.معاشات.القاهرة[[#This Row],[المتبقي من المنحة]]&lt;0,0,بيان.معاشات.القاهرة[[#This Row],[المتبقي من المنحة]])</f>
        <v>12783.25</v>
      </c>
      <c r="R68" s="53">
        <v>26202041700475</v>
      </c>
      <c r="S68" s="46"/>
      <c r="T68" s="46"/>
      <c r="U68" s="76"/>
      <c r="V68" s="46">
        <v>0</v>
      </c>
      <c r="W68" s="46">
        <v>5000</v>
      </c>
      <c r="X6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7500</v>
      </c>
      <c r="Y68" s="46">
        <f>SUM(بيان.معاشات.القاهرة[[#This Row],[يناير-23]:[ديسمبر-23]])</f>
        <v>2500</v>
      </c>
      <c r="Z68" s="46">
        <v>500</v>
      </c>
      <c r="AA68" s="46">
        <v>500</v>
      </c>
      <c r="AB68" s="46">
        <v>500</v>
      </c>
      <c r="AC68" s="46">
        <v>500</v>
      </c>
      <c r="AD68" s="46">
        <v>500</v>
      </c>
      <c r="AE68" s="46"/>
      <c r="AF68" s="46"/>
      <c r="AG68" s="46"/>
      <c r="AH68" s="46"/>
      <c r="AI68" s="46"/>
      <c r="AJ68" s="46"/>
      <c r="AK68" s="46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</row>
    <row r="69" spans="1:116" s="99" customFormat="1" ht="21" x14ac:dyDescent="0.35">
      <c r="A69"/>
      <c r="B69"/>
      <c r="C69" s="61">
        <v>62</v>
      </c>
      <c r="D69" s="46" t="s">
        <v>214</v>
      </c>
      <c r="E69" s="61">
        <v>83</v>
      </c>
      <c r="F69" s="50">
        <v>44629</v>
      </c>
      <c r="G69" s="50"/>
      <c r="H69" s="46">
        <v>15009.4</v>
      </c>
      <c r="I69" s="46"/>
      <c r="J69" s="46">
        <v>15499.8</v>
      </c>
      <c r="K69" s="61">
        <v>90</v>
      </c>
      <c r="L69" s="46">
        <f>SUM(بيان.معاشات.القاهرة[[#This Row],[منحة 6شهور]:[مقابل نقدي]])</f>
        <v>30509.199999999997</v>
      </c>
      <c r="M69" s="46">
        <f>بيان.معاشات.القاهرة[[#This Row],[إجمالي الدفعات]]</f>
        <v>6500</v>
      </c>
      <c r="N69" s="46">
        <f>بيان.معاشات.القاهرة[[#This Row],[إجمالي المستحق]]-بيان.معاشات.القاهرة[[#This Row],[المنصرف]]</f>
        <v>24009.199999999997</v>
      </c>
      <c r="O69" s="46">
        <f>IF(بيان.معاشات.القاهرة[[#This Row],[المتبقي]]&lt;0,0,بيان.معاشات.القاهرة[[#This Row],[المتبقي]])</f>
        <v>24009.199999999997</v>
      </c>
      <c r="P69" s="48">
        <f>(بيان.معاشات.القاهرة[[#This Row],[منحة 6شهور]]+بيان.معاشات.القاهرة[[#This Row],[مستحقات]])-بيان.معاشات.القاهرة[[#This Row],[المنصرف]]</f>
        <v>8509.4</v>
      </c>
      <c r="Q69" s="48">
        <f>IF(بيان.معاشات.القاهرة[[#This Row],[المتبقي من المنحة]]&lt;0,0,بيان.معاشات.القاهرة[[#This Row],[المتبقي من المنحة]])</f>
        <v>8509.4</v>
      </c>
      <c r="R69" s="53">
        <v>26203091400231</v>
      </c>
      <c r="S69" s="46"/>
      <c r="T69" s="46"/>
      <c r="U69" s="76"/>
      <c r="V69" s="46">
        <v>0</v>
      </c>
      <c r="W69" s="46">
        <v>4000</v>
      </c>
      <c r="X6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6500</v>
      </c>
      <c r="Y69" s="46">
        <f>SUM(بيان.معاشات.القاهرة[[#This Row],[يناير-23]:[ديسمبر-23]])</f>
        <v>2500</v>
      </c>
      <c r="Z69" s="46">
        <v>500</v>
      </c>
      <c r="AA69" s="46">
        <v>500</v>
      </c>
      <c r="AB69" s="46">
        <v>500</v>
      </c>
      <c r="AC69" s="46">
        <v>500</v>
      </c>
      <c r="AD69" s="46">
        <v>500</v>
      </c>
      <c r="AE69" s="46"/>
      <c r="AF69" s="46"/>
      <c r="AG69" s="46"/>
      <c r="AH69" s="46"/>
      <c r="AI69" s="46"/>
      <c r="AJ69" s="46"/>
      <c r="AK69" s="46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</row>
    <row r="70" spans="1:116" s="99" customFormat="1" ht="21" x14ac:dyDescent="0.35">
      <c r="A70"/>
      <c r="B70"/>
      <c r="C70" s="61">
        <v>63</v>
      </c>
      <c r="D70" s="46" t="s">
        <v>224</v>
      </c>
      <c r="E70" s="61">
        <v>84</v>
      </c>
      <c r="F70" s="50">
        <v>44717</v>
      </c>
      <c r="G70" s="50"/>
      <c r="H70" s="46">
        <v>13038.02</v>
      </c>
      <c r="I70" s="46"/>
      <c r="J70" s="46">
        <v>20525.400000000001</v>
      </c>
      <c r="K70" s="61">
        <v>90</v>
      </c>
      <c r="L70" s="46">
        <f>SUM(بيان.معاشات.القاهرة[[#This Row],[منحة 6شهور]:[مقابل نقدي]])</f>
        <v>33563.42</v>
      </c>
      <c r="M70" s="46">
        <f>بيان.معاشات.القاهرة[[#This Row],[إجمالي الدفعات]]</f>
        <v>5500</v>
      </c>
      <c r="N70" s="46">
        <f>بيان.معاشات.القاهرة[[#This Row],[إجمالي المستحق]]-بيان.معاشات.القاهرة[[#This Row],[المنصرف]]</f>
        <v>28063.42</v>
      </c>
      <c r="O70" s="46">
        <f>IF(بيان.معاشات.القاهرة[[#This Row],[المتبقي]]&lt;0,0,بيان.معاشات.القاهرة[[#This Row],[المتبقي]])</f>
        <v>28063.42</v>
      </c>
      <c r="P70" s="48">
        <f>(بيان.معاشات.القاهرة[[#This Row],[منحة 6شهور]]+بيان.معاشات.القاهرة[[#This Row],[مستحقات]])-بيان.معاشات.القاهرة[[#This Row],[المنصرف]]</f>
        <v>7538.02</v>
      </c>
      <c r="Q70" s="48">
        <f>IF(بيان.معاشات.القاهرة[[#This Row],[المتبقي من المنحة]]&lt;0,0,بيان.معاشات.القاهرة[[#This Row],[المتبقي من المنحة]])</f>
        <v>7538.02</v>
      </c>
      <c r="R70" s="53">
        <v>26206052600478</v>
      </c>
      <c r="S70" s="46" t="s">
        <v>432</v>
      </c>
      <c r="T70" s="46" t="s">
        <v>200</v>
      </c>
      <c r="U70" s="76"/>
      <c r="V70" s="46"/>
      <c r="W70" s="46">
        <v>3000</v>
      </c>
      <c r="X7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5500</v>
      </c>
      <c r="Y70" s="46">
        <f>SUM(بيان.معاشات.القاهرة[[#This Row],[يناير-23]:[ديسمبر-23]])</f>
        <v>2500</v>
      </c>
      <c r="Z70" s="46">
        <v>500</v>
      </c>
      <c r="AA70" s="46">
        <v>500</v>
      </c>
      <c r="AB70" s="46">
        <v>500</v>
      </c>
      <c r="AC70" s="46">
        <v>500</v>
      </c>
      <c r="AD70" s="46">
        <v>500</v>
      </c>
      <c r="AE70" s="46"/>
      <c r="AF70" s="46"/>
      <c r="AG70" s="46"/>
      <c r="AH70" s="46"/>
      <c r="AI70" s="46"/>
      <c r="AJ70" s="46"/>
      <c r="AK70" s="46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</row>
    <row r="71" spans="1:116" s="99" customFormat="1" ht="21" x14ac:dyDescent="0.35">
      <c r="A71"/>
      <c r="B71"/>
      <c r="C71" s="61">
        <v>64</v>
      </c>
      <c r="D71" s="46" t="s">
        <v>228</v>
      </c>
      <c r="E71" s="61">
        <v>85</v>
      </c>
      <c r="F71" s="50">
        <v>44734</v>
      </c>
      <c r="G71" s="50"/>
      <c r="H71" s="46">
        <v>22151.200000000001</v>
      </c>
      <c r="I71" s="46"/>
      <c r="J71" s="46">
        <v>20500.2</v>
      </c>
      <c r="K71" s="61">
        <v>90</v>
      </c>
      <c r="L71" s="46">
        <f>SUM(بيان.معاشات.القاهرة[[#This Row],[منحة 6شهور]:[مقابل نقدي]])</f>
        <v>42651.4</v>
      </c>
      <c r="M71" s="46">
        <f>بيان.معاشات.القاهرة[[#This Row],[إجمالي الدفعات]]</f>
        <v>6500</v>
      </c>
      <c r="N71" s="46">
        <f>بيان.معاشات.القاهرة[[#This Row],[إجمالي المستحق]]-بيان.معاشات.القاهرة[[#This Row],[المنصرف]]</f>
        <v>36151.4</v>
      </c>
      <c r="O71" s="46">
        <f>IF(بيان.معاشات.القاهرة[[#This Row],[المتبقي]]&lt;0,0,بيان.معاشات.القاهرة[[#This Row],[المتبقي]])</f>
        <v>36151.4</v>
      </c>
      <c r="P71" s="48">
        <f>(بيان.معاشات.القاهرة[[#This Row],[منحة 6شهور]]+بيان.معاشات.القاهرة[[#This Row],[مستحقات]])-بيان.معاشات.القاهرة[[#This Row],[المنصرف]]</f>
        <v>15651.2</v>
      </c>
      <c r="Q71" s="48">
        <f>IF(بيان.معاشات.القاهرة[[#This Row],[المتبقي من المنحة]]&lt;0,0,بيان.معاشات.القاهرة[[#This Row],[المتبقي من المنحة]])</f>
        <v>15651.2</v>
      </c>
      <c r="R71" s="53">
        <v>26206220103825</v>
      </c>
      <c r="S71" s="46"/>
      <c r="T71" s="46"/>
      <c r="U71" s="76"/>
      <c r="V71" s="46"/>
      <c r="W71" s="46">
        <v>3000</v>
      </c>
      <c r="X7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6500</v>
      </c>
      <c r="Y71" s="46">
        <f>SUM(بيان.معاشات.القاهرة[[#This Row],[يناير-23]:[ديسمبر-23]])</f>
        <v>3500</v>
      </c>
      <c r="Z71" s="46">
        <v>500</v>
      </c>
      <c r="AA71" s="46">
        <v>1000</v>
      </c>
      <c r="AB71" s="46">
        <v>500</v>
      </c>
      <c r="AC71" s="46">
        <v>500</v>
      </c>
      <c r="AD71" s="46">
        <v>1000</v>
      </c>
      <c r="AE71" s="46"/>
      <c r="AF71" s="46"/>
      <c r="AG71" s="46"/>
      <c r="AH71" s="46"/>
      <c r="AI71" s="46"/>
      <c r="AJ71" s="46"/>
      <c r="AK71" s="46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</row>
    <row r="72" spans="1:116" s="99" customFormat="1" ht="21" x14ac:dyDescent="0.35">
      <c r="A72"/>
      <c r="B72"/>
      <c r="C72" s="61">
        <v>65</v>
      </c>
      <c r="D72" s="46" t="s">
        <v>231</v>
      </c>
      <c r="E72" s="61">
        <v>86</v>
      </c>
      <c r="F72" s="50">
        <v>44760</v>
      </c>
      <c r="G72" s="50"/>
      <c r="H72" s="46">
        <v>24529.54</v>
      </c>
      <c r="I72" s="46"/>
      <c r="J72" s="46">
        <v>23100.3</v>
      </c>
      <c r="K72" s="61">
        <v>90</v>
      </c>
      <c r="L72" s="46">
        <f>SUM(بيان.معاشات.القاهرة[[#This Row],[منحة 6شهور]:[مقابل نقدي]])</f>
        <v>47629.84</v>
      </c>
      <c r="M72" s="46">
        <f>بيان.معاشات.القاهرة[[#This Row],[إجمالي الدفعات]]</f>
        <v>5000</v>
      </c>
      <c r="N72" s="46">
        <f>بيان.معاشات.القاهرة[[#This Row],[إجمالي المستحق]]-بيان.معاشات.القاهرة[[#This Row],[المنصرف]]</f>
        <v>42629.84</v>
      </c>
      <c r="O72" s="46">
        <f>IF(بيان.معاشات.القاهرة[[#This Row],[المتبقي]]&lt;0,0,بيان.معاشات.القاهرة[[#This Row],[المتبقي]])</f>
        <v>42629.84</v>
      </c>
      <c r="P72" s="48">
        <f>(بيان.معاشات.القاهرة[[#This Row],[منحة 6شهور]]+بيان.معاشات.القاهرة[[#This Row],[مستحقات]])-بيان.معاشات.القاهرة[[#This Row],[المنصرف]]</f>
        <v>19529.54</v>
      </c>
      <c r="Q72" s="48">
        <f>IF(بيان.معاشات.القاهرة[[#This Row],[المتبقي من المنحة]]&lt;0,0,بيان.معاشات.القاهرة[[#This Row],[المتبقي من المنحة]])</f>
        <v>19529.54</v>
      </c>
      <c r="R72" s="53">
        <v>28809250106466</v>
      </c>
      <c r="S72" s="46" t="s">
        <v>384</v>
      </c>
      <c r="T72" s="46"/>
      <c r="U72" s="76"/>
      <c r="V72" s="46"/>
      <c r="W72" s="46">
        <v>2500</v>
      </c>
      <c r="X7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5000</v>
      </c>
      <c r="Y72" s="46">
        <f>SUM(بيان.معاشات.القاهرة[[#This Row],[يناير-23]:[ديسمبر-23]])</f>
        <v>2500</v>
      </c>
      <c r="Z72" s="46">
        <v>500</v>
      </c>
      <c r="AA72" s="46">
        <v>500</v>
      </c>
      <c r="AB72" s="46">
        <v>500</v>
      </c>
      <c r="AC72" s="46">
        <v>500</v>
      </c>
      <c r="AD72" s="46">
        <v>500</v>
      </c>
      <c r="AE72" s="46"/>
      <c r="AF72" s="46"/>
      <c r="AG72" s="46"/>
      <c r="AH72" s="46"/>
      <c r="AI72" s="46"/>
      <c r="AJ72" s="46"/>
      <c r="AK72" s="46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</row>
    <row r="73" spans="1:116" s="99" customFormat="1" ht="21" x14ac:dyDescent="0.35">
      <c r="A73"/>
      <c r="B73"/>
      <c r="C73" s="61">
        <v>66</v>
      </c>
      <c r="D73" s="46" t="s">
        <v>232</v>
      </c>
      <c r="E73" s="61">
        <v>87</v>
      </c>
      <c r="F73" s="50">
        <v>44765</v>
      </c>
      <c r="G73" s="50"/>
      <c r="H73" s="46">
        <v>21454.87</v>
      </c>
      <c r="I73" s="46"/>
      <c r="J73" s="46">
        <v>8201.7900000000009</v>
      </c>
      <c r="K73" s="61">
        <v>37</v>
      </c>
      <c r="L73" s="46">
        <f>SUM(بيان.معاشات.القاهرة[[#This Row],[منحة 6شهور]:[مقابل نقدي]])</f>
        <v>29656.66</v>
      </c>
      <c r="M73" s="46">
        <f>بيان.معاشات.القاهرة[[#This Row],[إجمالي الدفعات]]</f>
        <v>5000</v>
      </c>
      <c r="N73" s="46">
        <f>بيان.معاشات.القاهرة[[#This Row],[إجمالي المستحق]]-بيان.معاشات.القاهرة[[#This Row],[المنصرف]]</f>
        <v>24656.66</v>
      </c>
      <c r="O73" s="46">
        <f>IF(بيان.معاشات.القاهرة[[#This Row],[المتبقي]]&lt;0,0,بيان.معاشات.القاهرة[[#This Row],[المتبقي]])</f>
        <v>24656.66</v>
      </c>
      <c r="P73" s="48">
        <f>(بيان.معاشات.القاهرة[[#This Row],[منحة 6شهور]]+بيان.معاشات.القاهرة[[#This Row],[مستحقات]])-بيان.معاشات.القاهرة[[#This Row],[المنصرف]]</f>
        <v>16454.87</v>
      </c>
      <c r="Q73" s="48">
        <f>IF(بيان.معاشات.القاهرة[[#This Row],[المتبقي من المنحة]]&lt;0,0,بيان.معاشات.القاهرة[[#This Row],[المتبقي من المنحة]])</f>
        <v>16454.87</v>
      </c>
      <c r="R73" s="53">
        <v>26207230107183</v>
      </c>
      <c r="S73" s="46" t="s">
        <v>422</v>
      </c>
      <c r="T73" s="46"/>
      <c r="U73" s="76"/>
      <c r="V73" s="46"/>
      <c r="W73" s="46">
        <v>2500</v>
      </c>
      <c r="X7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5000</v>
      </c>
      <c r="Y73" s="46">
        <f>SUM(بيان.معاشات.القاهرة[[#This Row],[يناير-23]:[ديسمبر-23]])</f>
        <v>2500</v>
      </c>
      <c r="Z73" s="46">
        <v>500</v>
      </c>
      <c r="AA73" s="46">
        <v>500</v>
      </c>
      <c r="AB73" s="46">
        <v>500</v>
      </c>
      <c r="AC73" s="46">
        <v>500</v>
      </c>
      <c r="AD73" s="46">
        <v>500</v>
      </c>
      <c r="AE73" s="46"/>
      <c r="AF73" s="46"/>
      <c r="AG73" s="46"/>
      <c r="AH73" s="46"/>
      <c r="AI73" s="46"/>
      <c r="AJ73" s="46"/>
      <c r="AK73" s="46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</row>
    <row r="74" spans="1:116" s="99" customFormat="1" ht="21" x14ac:dyDescent="0.35">
      <c r="A74"/>
      <c r="B74"/>
      <c r="C74" s="61">
        <v>67</v>
      </c>
      <c r="D74" s="46" t="s">
        <v>238</v>
      </c>
      <c r="E74" s="61">
        <v>88</v>
      </c>
      <c r="F74" s="50">
        <v>44819</v>
      </c>
      <c r="G74" s="50"/>
      <c r="H74" s="46">
        <v>23192.36</v>
      </c>
      <c r="I74" s="46"/>
      <c r="J74" s="46">
        <v>21999.599999999999</v>
      </c>
      <c r="K74" s="61">
        <v>90</v>
      </c>
      <c r="L74" s="46">
        <f>SUM(بيان.معاشات.القاهرة[[#This Row],[منحة 6شهور]:[مقابل نقدي]])</f>
        <v>45191.96</v>
      </c>
      <c r="M74" s="46">
        <f>بيان.معاشات.القاهرة[[#This Row],[إجمالي الدفعات]]</f>
        <v>5000</v>
      </c>
      <c r="N74" s="46">
        <f>بيان.معاشات.القاهرة[[#This Row],[إجمالي المستحق]]-بيان.معاشات.القاهرة[[#This Row],[المنصرف]]</f>
        <v>40191.96</v>
      </c>
      <c r="O74" s="46">
        <f>IF(بيان.معاشات.القاهرة[[#This Row],[المتبقي]]&lt;0,0,بيان.معاشات.القاهرة[[#This Row],[المتبقي]])</f>
        <v>40191.96</v>
      </c>
      <c r="P74" s="48">
        <f>(بيان.معاشات.القاهرة[[#This Row],[منحة 6شهور]]+بيان.معاشات.القاهرة[[#This Row],[مستحقات]])-بيان.معاشات.القاهرة[[#This Row],[المنصرف]]</f>
        <v>18192.36</v>
      </c>
      <c r="Q74" s="48">
        <f>IF(بيان.معاشات.القاهرة[[#This Row],[المتبقي من المنحة]]&lt;0,0,بيان.معاشات.القاهرة[[#This Row],[المتبقي من المنحة]])</f>
        <v>18192.36</v>
      </c>
      <c r="R74" s="53">
        <v>26209150201041</v>
      </c>
      <c r="S74" s="46"/>
      <c r="T74" s="46"/>
      <c r="U74" s="76"/>
      <c r="V74" s="46"/>
      <c r="W74" s="46">
        <v>1500</v>
      </c>
      <c r="X7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5000</v>
      </c>
      <c r="Y74" s="46">
        <f>SUM(بيان.معاشات.القاهرة[[#This Row],[يناير-23]:[ديسمبر-23]])</f>
        <v>3500</v>
      </c>
      <c r="Z74" s="46">
        <v>500</v>
      </c>
      <c r="AA74" s="46">
        <v>500</v>
      </c>
      <c r="AB74" s="46">
        <v>500</v>
      </c>
      <c r="AC74" s="46">
        <v>1000</v>
      </c>
      <c r="AD74" s="46">
        <v>1000</v>
      </c>
      <c r="AE74" s="46"/>
      <c r="AF74" s="46"/>
      <c r="AG74" s="46"/>
      <c r="AH74" s="46"/>
      <c r="AI74" s="46"/>
      <c r="AJ74" s="46"/>
      <c r="AK74" s="46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</row>
    <row r="75" spans="1:116" s="99" customFormat="1" ht="21" x14ac:dyDescent="0.35">
      <c r="A75"/>
      <c r="B75"/>
      <c r="C75" s="61">
        <v>68</v>
      </c>
      <c r="D75" s="46" t="s">
        <v>239</v>
      </c>
      <c r="E75" s="61">
        <v>89</v>
      </c>
      <c r="F75" s="50">
        <v>43493</v>
      </c>
      <c r="G75" s="50"/>
      <c r="H75" s="46">
        <v>0</v>
      </c>
      <c r="I75" s="46">
        <v>0</v>
      </c>
      <c r="J75" s="46">
        <v>12490.96</v>
      </c>
      <c r="K75" s="61">
        <v>90</v>
      </c>
      <c r="L75" s="46">
        <f>SUM(بيان.معاشات.القاهرة[[#This Row],[منحة 6شهور]:[مقابل نقدي]])</f>
        <v>12490.96</v>
      </c>
      <c r="M75" s="46">
        <f>بيان.معاشات.القاهرة[[#This Row],[إجمالي الدفعات]]</f>
        <v>8000</v>
      </c>
      <c r="N75" s="46">
        <f>بيان.معاشات.القاهرة[[#This Row],[إجمالي المستحق]]-بيان.معاشات.القاهرة[[#This Row],[المنصرف]]</f>
        <v>4490.9599999999991</v>
      </c>
      <c r="O75" s="46">
        <f>IF(بيان.معاشات.القاهرة[[#This Row],[المتبقي]]&lt;0,0,بيان.معاشات.القاهرة[[#This Row],[المتبقي]])</f>
        <v>4490.9599999999991</v>
      </c>
      <c r="P75" s="48">
        <f>(بيان.معاشات.القاهرة[[#This Row],[منحة 6شهور]]+بيان.معاشات.القاهرة[[#This Row],[مستحقات]])-بيان.معاشات.القاهرة[[#This Row],[المنصرف]]</f>
        <v>-8000</v>
      </c>
      <c r="Q75" s="48">
        <f>IF(بيان.معاشات.القاهرة[[#This Row],[المتبقي من المنحة]]&lt;0,0,بيان.معاشات.القاهرة[[#This Row],[المتبقي من المنحة]])</f>
        <v>0</v>
      </c>
      <c r="R75" s="53">
        <v>25901280100813</v>
      </c>
      <c r="S75" s="46"/>
      <c r="T75" s="46" t="s">
        <v>243</v>
      </c>
      <c r="U75" s="76"/>
      <c r="V75" s="46"/>
      <c r="W75" s="46">
        <v>3000</v>
      </c>
      <c r="X7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8000</v>
      </c>
      <c r="Y75" s="46">
        <f>SUM(بيان.معاشات.القاهرة[[#This Row],[يناير-23]:[ديسمبر-23]])</f>
        <v>5000</v>
      </c>
      <c r="Z75" s="46">
        <v>1000</v>
      </c>
      <c r="AA75" s="46">
        <v>1000</v>
      </c>
      <c r="AB75" s="46">
        <v>1000</v>
      </c>
      <c r="AC75" s="46">
        <v>1000</v>
      </c>
      <c r="AD75" s="46">
        <v>1000</v>
      </c>
      <c r="AE75" s="46"/>
      <c r="AF75" s="46"/>
      <c r="AG75" s="46"/>
      <c r="AH75" s="46"/>
      <c r="AI75" s="46"/>
      <c r="AJ75" s="46"/>
      <c r="AK75" s="46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</row>
    <row r="76" spans="1:116" s="99" customFormat="1" ht="21" x14ac:dyDescent="0.35">
      <c r="A76"/>
      <c r="B76"/>
      <c r="C76" s="61">
        <v>69</v>
      </c>
      <c r="D76" s="46" t="s">
        <v>393</v>
      </c>
      <c r="E76" s="61">
        <v>90</v>
      </c>
      <c r="F76" s="50">
        <v>44825</v>
      </c>
      <c r="G76" s="50"/>
      <c r="H76" s="46">
        <v>18373.98</v>
      </c>
      <c r="I76" s="46">
        <v>0</v>
      </c>
      <c r="J76" s="46">
        <v>10750.98</v>
      </c>
      <c r="K76" s="61">
        <v>59</v>
      </c>
      <c r="L76" s="46">
        <f>SUM(بيان.معاشات.القاهرة[[#This Row],[منحة 6شهور]:[مقابل نقدي]])</f>
        <v>29124.959999999999</v>
      </c>
      <c r="M76" s="46">
        <f>بيان.معاشات.القاهرة[[#This Row],[إجمالي الدفعات]]</f>
        <v>3500</v>
      </c>
      <c r="N76" s="46">
        <f>بيان.معاشات.القاهرة[[#This Row],[إجمالي المستحق]]-بيان.معاشات.القاهرة[[#This Row],[المنصرف]]</f>
        <v>25624.959999999999</v>
      </c>
      <c r="O76" s="46">
        <f>IF(بيان.معاشات.القاهرة[[#This Row],[المتبقي]]&lt;0,0,بيان.معاشات.القاهرة[[#This Row],[المتبقي]])</f>
        <v>25624.959999999999</v>
      </c>
      <c r="P76" s="48">
        <f>(بيان.معاشات.القاهرة[[#This Row],[منحة 6شهور]]+بيان.معاشات.القاهرة[[#This Row],[مستحقات]])-بيان.معاشات.القاهرة[[#This Row],[المنصرف]]</f>
        <v>14873.98</v>
      </c>
      <c r="Q76" s="48">
        <f>IF(بيان.معاشات.القاهرة[[#This Row],[المتبقي من المنحة]]&lt;0,0,بيان.معاشات.القاهرة[[#This Row],[المتبقي من المنحة]])</f>
        <v>14873.98</v>
      </c>
      <c r="R76" s="53">
        <v>26209211700232</v>
      </c>
      <c r="S76" s="46"/>
      <c r="T76" s="46"/>
      <c r="U76" s="76"/>
      <c r="V76" s="46"/>
      <c r="W76" s="46">
        <v>1000</v>
      </c>
      <c r="X7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3500</v>
      </c>
      <c r="Y76" s="46">
        <f>SUM(بيان.معاشات.القاهرة[[#This Row],[يناير-23]:[ديسمبر-23]])</f>
        <v>2500</v>
      </c>
      <c r="Z76" s="46">
        <v>500</v>
      </c>
      <c r="AA76" s="46">
        <v>500</v>
      </c>
      <c r="AB76" s="46">
        <v>500</v>
      </c>
      <c r="AC76" s="46">
        <v>500</v>
      </c>
      <c r="AD76" s="46">
        <v>500</v>
      </c>
      <c r="AE76" s="46"/>
      <c r="AF76" s="46"/>
      <c r="AG76" s="46"/>
      <c r="AH76" s="46"/>
      <c r="AI76" s="46"/>
      <c r="AJ76" s="46"/>
      <c r="AK76" s="4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</row>
    <row r="77" spans="1:116" s="99" customFormat="1" ht="21" x14ac:dyDescent="0.35">
      <c r="A77"/>
      <c r="B77"/>
      <c r="C77" s="61">
        <v>70</v>
      </c>
      <c r="D77" s="46" t="s">
        <v>385</v>
      </c>
      <c r="E77" s="61">
        <v>91</v>
      </c>
      <c r="F77" s="50">
        <v>44918</v>
      </c>
      <c r="G77" s="50"/>
      <c r="H77" s="46">
        <v>24103.5</v>
      </c>
      <c r="I77" s="46">
        <v>0</v>
      </c>
      <c r="J77" s="46">
        <v>10537.43</v>
      </c>
      <c r="K77" s="61">
        <v>67.5</v>
      </c>
      <c r="L77" s="46">
        <f>SUM(بيان.معاشات.القاهرة[[#This Row],[منحة 6شهور]:[مقابل نقدي]])</f>
        <v>34640.93</v>
      </c>
      <c r="M77" s="46">
        <f>بيان.معاشات.القاهرة[[#This Row],[إجمالي الدفعات]]</f>
        <v>2500</v>
      </c>
      <c r="N77" s="46">
        <f>بيان.معاشات.القاهرة[[#This Row],[إجمالي المستحق]]-بيان.معاشات.القاهرة[[#This Row],[المنصرف]]</f>
        <v>32140.93</v>
      </c>
      <c r="O77" s="46">
        <f>IF(بيان.معاشات.القاهرة[[#This Row],[المتبقي]]&lt;0,0,بيان.معاشات.القاهرة[[#This Row],[المتبقي]])</f>
        <v>32140.93</v>
      </c>
      <c r="P77" s="48">
        <f>(بيان.معاشات.القاهرة[[#This Row],[منحة 6شهور]]+بيان.معاشات.القاهرة[[#This Row],[مستحقات]])-بيان.معاشات.القاهرة[[#This Row],[المنصرف]]</f>
        <v>21603.5</v>
      </c>
      <c r="Q77" s="48">
        <f>IF(بيان.معاشات.القاهرة[[#This Row],[المتبقي من المنحة]]&lt;0,0,بيان.معاشات.القاهرة[[#This Row],[المتبقي من المنحة]])</f>
        <v>21603.5</v>
      </c>
      <c r="R77" s="53">
        <v>26212230103874</v>
      </c>
      <c r="S77" s="46"/>
      <c r="T77" s="46"/>
      <c r="U77" s="76"/>
      <c r="V77" s="46"/>
      <c r="W77" s="46">
        <v>0</v>
      </c>
      <c r="X7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2500</v>
      </c>
      <c r="Y77" s="46">
        <f>SUM(بيان.معاشات.القاهرة[[#This Row],[يناير-23]:[ديسمبر-23]])</f>
        <v>2500</v>
      </c>
      <c r="Z77" s="46">
        <v>500</v>
      </c>
      <c r="AA77" s="46">
        <v>500</v>
      </c>
      <c r="AB77" s="46">
        <v>500</v>
      </c>
      <c r="AC77" s="46">
        <v>500</v>
      </c>
      <c r="AD77" s="46">
        <v>500</v>
      </c>
      <c r="AE77" s="46"/>
      <c r="AF77" s="46"/>
      <c r="AG77" s="46"/>
      <c r="AH77" s="46"/>
      <c r="AI77" s="46"/>
      <c r="AJ77" s="46"/>
      <c r="AK77" s="46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</row>
    <row r="78" spans="1:116" s="99" customFormat="1" ht="21" x14ac:dyDescent="0.35">
      <c r="A78"/>
      <c r="B78"/>
      <c r="C78" s="61">
        <v>71</v>
      </c>
      <c r="D78" s="46" t="s">
        <v>392</v>
      </c>
      <c r="E78" s="61">
        <v>92</v>
      </c>
      <c r="F78" s="50">
        <v>44917</v>
      </c>
      <c r="G78" s="50"/>
      <c r="H78" s="46">
        <v>24043.24</v>
      </c>
      <c r="I78" s="46">
        <v>0</v>
      </c>
      <c r="J78" s="46">
        <v>17585.64</v>
      </c>
      <c r="K78" s="61">
        <v>76</v>
      </c>
      <c r="L78" s="46">
        <f>SUM(بيان.معاشات.القاهرة[[#This Row],[منحة 6شهور]:[مقابل نقدي]])</f>
        <v>41628.880000000005</v>
      </c>
      <c r="M78" s="46">
        <f>بيان.معاشات.القاهرة[[#This Row],[إجمالي الدفعات]]</f>
        <v>2500</v>
      </c>
      <c r="N78" s="46">
        <f>بيان.معاشات.القاهرة[[#This Row],[إجمالي المستحق]]-بيان.معاشات.القاهرة[[#This Row],[المنصرف]]</f>
        <v>39128.880000000005</v>
      </c>
      <c r="O78" s="46">
        <f>IF(بيان.معاشات.القاهرة[[#This Row],[المتبقي]]&lt;0,0,بيان.معاشات.القاهرة[[#This Row],[المتبقي]])</f>
        <v>39128.880000000005</v>
      </c>
      <c r="P78" s="48">
        <f>(بيان.معاشات.القاهرة[[#This Row],[منحة 6شهور]]+بيان.معاشات.القاهرة[[#This Row],[مستحقات]])-بيان.معاشات.القاهرة[[#This Row],[المنصرف]]</f>
        <v>21543.24</v>
      </c>
      <c r="Q78" s="48">
        <f>IF(بيان.معاشات.القاهرة[[#This Row],[المتبقي من المنحة]]&lt;0,0,بيان.معاشات.القاهرة[[#This Row],[المتبقي من المنحة]])</f>
        <v>21543.24</v>
      </c>
      <c r="R78" s="53">
        <v>26212220102187</v>
      </c>
      <c r="S78" s="46"/>
      <c r="T78" s="46"/>
      <c r="U78" s="76"/>
      <c r="V78" s="46"/>
      <c r="W78" s="46">
        <v>0</v>
      </c>
      <c r="X7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2500</v>
      </c>
      <c r="Y78" s="46">
        <f>SUM(بيان.معاشات.القاهرة[[#This Row],[يناير-23]:[ديسمبر-23]])</f>
        <v>2500</v>
      </c>
      <c r="Z78" s="46">
        <v>500</v>
      </c>
      <c r="AA78" s="46">
        <v>500</v>
      </c>
      <c r="AB78" s="46">
        <v>500</v>
      </c>
      <c r="AC78" s="46">
        <v>500</v>
      </c>
      <c r="AD78" s="46">
        <v>500</v>
      </c>
      <c r="AE78" s="46"/>
      <c r="AF78" s="46"/>
      <c r="AG78" s="46"/>
      <c r="AH78" s="46"/>
      <c r="AI78" s="46"/>
      <c r="AJ78" s="46"/>
      <c r="AK78" s="46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</row>
    <row r="79" spans="1:116" s="99" customFormat="1" ht="21" x14ac:dyDescent="0.35">
      <c r="A79"/>
      <c r="B79"/>
      <c r="C79" s="61">
        <v>72</v>
      </c>
      <c r="D79" s="46" t="s">
        <v>435</v>
      </c>
      <c r="E79" s="61">
        <v>93</v>
      </c>
      <c r="F79" s="50">
        <v>44940</v>
      </c>
      <c r="G79" s="50"/>
      <c r="H79" s="46">
        <v>12610.3</v>
      </c>
      <c r="I79" s="46"/>
      <c r="J79" s="46"/>
      <c r="K79" s="61"/>
      <c r="L79" s="46">
        <f>SUM(بيان.معاشات.القاهرة[[#This Row],[منحة 6شهور]:[مقابل نقدي]])</f>
        <v>12610.3</v>
      </c>
      <c r="M79" s="46">
        <f>بيان.معاشات.القاهرة[[#This Row],[إجمالي الدفعات]]</f>
        <v>4000</v>
      </c>
      <c r="N79" s="46">
        <f>بيان.معاشات.القاهرة[[#This Row],[إجمالي المستحق]]-بيان.معاشات.القاهرة[[#This Row],[المنصرف]]</f>
        <v>8610.2999999999993</v>
      </c>
      <c r="O79" s="46">
        <f>IF(بيان.معاشات.القاهرة[[#This Row],[المتبقي]]&lt;0,0,بيان.معاشات.القاهرة[[#This Row],[المتبقي]])</f>
        <v>8610.2999999999993</v>
      </c>
      <c r="P79" s="48">
        <f>(بيان.معاشات.القاهرة[[#This Row],[منحة 6شهور]]+بيان.معاشات.القاهرة[[#This Row],[مستحقات]])-بيان.معاشات.القاهرة[[#This Row],[المنصرف]]</f>
        <v>8610.2999999999993</v>
      </c>
      <c r="Q79" s="48">
        <f>IF(بيان.معاشات.القاهرة[[#This Row],[المتبقي من المنحة]]&lt;0,0,بيان.معاشات.القاهرة[[#This Row],[المتبقي من المنحة]])</f>
        <v>8610.2999999999993</v>
      </c>
      <c r="R79" s="53">
        <v>26301141701337</v>
      </c>
      <c r="S79" s="46"/>
      <c r="T79" s="46"/>
      <c r="U79" s="76"/>
      <c r="V79" s="46"/>
      <c r="W79" s="46">
        <v>0</v>
      </c>
      <c r="X7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4000</v>
      </c>
      <c r="Y79" s="46">
        <f>SUM(بيان.معاشات.القاهرة[[#This Row],[يناير-23]:[ديسمبر-23]])</f>
        <v>4000</v>
      </c>
      <c r="Z79" s="46"/>
      <c r="AA79" s="46">
        <v>500</v>
      </c>
      <c r="AB79" s="46">
        <v>500</v>
      </c>
      <c r="AC79" s="46">
        <v>1000</v>
      </c>
      <c r="AD79" s="46">
        <v>2000</v>
      </c>
      <c r="AE79" s="46"/>
      <c r="AF79" s="46"/>
      <c r="AG79" s="46"/>
      <c r="AH79" s="46"/>
      <c r="AI79" s="46"/>
      <c r="AJ79" s="46"/>
      <c r="AK79" s="46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</row>
    <row r="80" spans="1:116" s="99" customFormat="1" ht="21" x14ac:dyDescent="0.35">
      <c r="A80"/>
      <c r="B80"/>
      <c r="C80" s="61">
        <v>73</v>
      </c>
      <c r="D80" s="46" t="s">
        <v>471</v>
      </c>
      <c r="E80" s="61">
        <v>94</v>
      </c>
      <c r="F80" s="50">
        <v>45010</v>
      </c>
      <c r="G80" s="50"/>
      <c r="H80" s="46">
        <v>18768.3</v>
      </c>
      <c r="I80" s="46"/>
      <c r="J80" s="46">
        <v>6705.3</v>
      </c>
      <c r="K80" s="61">
        <v>90</v>
      </c>
      <c r="L80" s="46">
        <f>SUM(بيان.معاشات.القاهرة[[#This Row],[منحة 6شهور]:[مقابل نقدي]])</f>
        <v>25473.599999999999</v>
      </c>
      <c r="M80" s="46">
        <f>بيان.معاشات.القاهرة[[#This Row],[إجمالي الدفعات]]</f>
        <v>0</v>
      </c>
      <c r="N80" s="46">
        <f>بيان.معاشات.القاهرة[[#This Row],[إجمالي المستحق]]-بيان.معاشات.القاهرة[[#This Row],[المنصرف]]</f>
        <v>25473.599999999999</v>
      </c>
      <c r="O80" s="46">
        <f>IF(بيان.معاشات.القاهرة[[#This Row],[المتبقي]]&lt;0,0,بيان.معاشات.القاهرة[[#This Row],[المتبقي]])</f>
        <v>25473.599999999999</v>
      </c>
      <c r="P80" s="48">
        <f>(بيان.معاشات.القاهرة[[#This Row],[منحة 6شهور]]+بيان.معاشات.القاهرة[[#This Row],[مستحقات]])-بيان.معاشات.القاهرة[[#This Row],[المنصرف]]</f>
        <v>18768.3</v>
      </c>
      <c r="Q80" s="48">
        <f>IF(بيان.معاشات.القاهرة[[#This Row],[المتبقي من المنحة]]&lt;0,0,بيان.معاشات.القاهرة[[#This Row],[المتبقي من المنحة]])</f>
        <v>18768.3</v>
      </c>
      <c r="R80" s="53"/>
      <c r="S80" s="46"/>
      <c r="T80" s="46"/>
      <c r="U80" s="76"/>
      <c r="V80" s="46"/>
      <c r="W80" s="46"/>
      <c r="X8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0" s="46">
        <f>SUM(بيان.معاشات.القاهرة[[#This Row],[يناير-23]:[ديسمبر-23]])</f>
        <v>0</v>
      </c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</row>
    <row r="81" spans="1:116" s="99" customFormat="1" ht="21" x14ac:dyDescent="0.35">
      <c r="A81"/>
      <c r="B81"/>
      <c r="C81" s="61">
        <v>74</v>
      </c>
      <c r="D81" s="46" t="s">
        <v>472</v>
      </c>
      <c r="E81" s="61">
        <v>94</v>
      </c>
      <c r="F81" s="50">
        <v>45023</v>
      </c>
      <c r="G81" s="50"/>
      <c r="H81" s="46">
        <v>23836.560000000001</v>
      </c>
      <c r="I81" s="46"/>
      <c r="J81" s="46">
        <v>9518.4</v>
      </c>
      <c r="K81" s="61"/>
      <c r="L81" s="46">
        <f>SUM(بيان.معاشات.القاهرة[[#This Row],[منحة 6شهور]:[مقابل نقدي]])</f>
        <v>33354.959999999999</v>
      </c>
      <c r="M81" s="46">
        <f>بيان.معاشات.القاهرة[[#This Row],[إجمالي الدفعات]]</f>
        <v>0</v>
      </c>
      <c r="N81" s="46">
        <f>بيان.معاشات.القاهرة[[#This Row],[إجمالي المستحق]]-بيان.معاشات.القاهرة[[#This Row],[المنصرف]]</f>
        <v>33354.959999999999</v>
      </c>
      <c r="O81" s="46">
        <f>IF(بيان.معاشات.القاهرة[[#This Row],[المتبقي]]&lt;0,0,بيان.معاشات.القاهرة[[#This Row],[المتبقي]])</f>
        <v>33354.959999999999</v>
      </c>
      <c r="P81" s="48">
        <f>(بيان.معاشات.القاهرة[[#This Row],[منحة 6شهور]]+بيان.معاشات.القاهرة[[#This Row],[مستحقات]])-بيان.معاشات.القاهرة[[#This Row],[المنصرف]]</f>
        <v>23836.560000000001</v>
      </c>
      <c r="Q81" s="48">
        <f>IF(بيان.معاشات.القاهرة[[#This Row],[المتبقي من المنحة]]&lt;0,0,بيان.معاشات.القاهرة[[#This Row],[المتبقي من المنحة]])</f>
        <v>23836.560000000001</v>
      </c>
      <c r="R81" s="53"/>
      <c r="S81" s="46"/>
      <c r="T81" s="46"/>
      <c r="U81" s="76"/>
      <c r="V81" s="46"/>
      <c r="W81" s="46"/>
      <c r="X8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1" s="46">
        <f>SUM(بيان.معاشات.القاهرة[[#This Row],[يناير-23]:[ديسمبر-23]])</f>
        <v>0</v>
      </c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</row>
    <row r="82" spans="1:116" s="99" customFormat="1" ht="21" x14ac:dyDescent="0.35">
      <c r="A82"/>
      <c r="B82"/>
      <c r="C82" s="61">
        <v>75</v>
      </c>
      <c r="D82" s="46" t="s">
        <v>544</v>
      </c>
      <c r="E82" s="61">
        <v>95</v>
      </c>
      <c r="F82" s="50">
        <v>45042</v>
      </c>
      <c r="G82" s="50"/>
      <c r="H82" s="46">
        <v>22909.41</v>
      </c>
      <c r="I82" s="46">
        <v>0</v>
      </c>
      <c r="J82" s="46">
        <v>8547.42</v>
      </c>
      <c r="K82" s="61">
        <v>90</v>
      </c>
      <c r="L82" s="46">
        <f>SUM(بيان.معاشات.القاهرة[[#This Row],[منحة 6شهور]:[مقابل نقدي]])</f>
        <v>31456.83</v>
      </c>
      <c r="M82" s="46">
        <f>بيان.معاشات.القاهرة[[#This Row],[إجمالي الدفعات]]</f>
        <v>500</v>
      </c>
      <c r="N82" s="46">
        <f>بيان.معاشات.القاهرة[[#This Row],[إجمالي المستحق]]-بيان.معاشات.القاهرة[[#This Row],[المنصرف]]</f>
        <v>30956.83</v>
      </c>
      <c r="O82" s="46">
        <f>IF(بيان.معاشات.القاهرة[[#This Row],[المتبقي]]&lt;0,0,بيان.معاشات.القاهرة[[#This Row],[المتبقي]])</f>
        <v>30956.83</v>
      </c>
      <c r="P82" s="48">
        <f>(بيان.معاشات.القاهرة[[#This Row],[منحة 6شهور]]+بيان.معاشات.القاهرة[[#This Row],[مستحقات]])-بيان.معاشات.القاهرة[[#This Row],[المنصرف]]</f>
        <v>22409.41</v>
      </c>
      <c r="Q82" s="48">
        <f>IF(بيان.معاشات.القاهرة[[#This Row],[المتبقي من المنحة]]&lt;0,0,بيان.معاشات.القاهرة[[#This Row],[المتبقي من المنحة]])</f>
        <v>22409.41</v>
      </c>
      <c r="R82" s="53"/>
      <c r="S82" s="46" t="s">
        <v>551</v>
      </c>
      <c r="T82" s="46"/>
      <c r="U82" s="76"/>
      <c r="V82" s="46"/>
      <c r="W82" s="46"/>
      <c r="X8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500</v>
      </c>
      <c r="Y82" s="46">
        <f>SUM(بيان.معاشات.القاهرة[[#This Row],[يناير-23]:[ديسمبر-23]])</f>
        <v>500</v>
      </c>
      <c r="Z82" s="46"/>
      <c r="AA82" s="46"/>
      <c r="AB82" s="46"/>
      <c r="AC82" s="46"/>
      <c r="AD82" s="46">
        <v>500</v>
      </c>
      <c r="AE82" s="46"/>
      <c r="AF82" s="46"/>
      <c r="AG82" s="46"/>
      <c r="AH82" s="46"/>
      <c r="AI82" s="46"/>
      <c r="AJ82" s="46"/>
      <c r="AK82" s="46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</row>
    <row r="83" spans="1:116" s="99" customFormat="1" ht="21" x14ac:dyDescent="0.35">
      <c r="A83"/>
      <c r="B83"/>
      <c r="C83" s="61"/>
      <c r="D83" s="46"/>
      <c r="E83" s="61"/>
      <c r="F83" s="50"/>
      <c r="G83" s="50"/>
      <c r="H83" s="46"/>
      <c r="I83" s="46"/>
      <c r="J83" s="46"/>
      <c r="K83" s="61"/>
      <c r="L83" s="46">
        <f>SUM(بيان.معاشات.القاهرة[[#This Row],[منحة 6شهور]:[مقابل نقدي]])</f>
        <v>0</v>
      </c>
      <c r="M83" s="46">
        <f>بيان.معاشات.القاهرة[[#This Row],[إجمالي الدفعات]]</f>
        <v>0</v>
      </c>
      <c r="N83" s="46">
        <f>بيان.معاشات.القاهرة[[#This Row],[إجمالي المستحق]]-بيان.معاشات.القاهرة[[#This Row],[المنصرف]]</f>
        <v>0</v>
      </c>
      <c r="O83" s="46">
        <f>IF(بيان.معاشات.القاهرة[[#This Row],[المتبقي]]&lt;0,0,بيان.معاشات.القاهرة[[#This Row],[المتبقي]])</f>
        <v>0</v>
      </c>
      <c r="P83" s="48">
        <f>(بيان.معاشات.القاهرة[[#This Row],[منحة 6شهور]]+بيان.معاشات.القاهرة[[#This Row],[مستحقات]])-بيان.معاشات.القاهرة[[#This Row],[المنصرف]]</f>
        <v>0</v>
      </c>
      <c r="Q83" s="48">
        <f>IF(بيان.معاشات.القاهرة[[#This Row],[المتبقي من المنحة]]&lt;0,0,بيان.معاشات.القاهرة[[#This Row],[المتبقي من المنحة]])</f>
        <v>0</v>
      </c>
      <c r="R83" s="53"/>
      <c r="S83" s="46"/>
      <c r="T83" s="46"/>
      <c r="U83" s="76"/>
      <c r="V83" s="46"/>
      <c r="W83" s="46"/>
      <c r="X8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3" s="46">
        <f>SUM(بيان.معاشات.القاهرة[[#This Row],[يناير-23]:[ديسمبر-23]])</f>
        <v>0</v>
      </c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</row>
    <row r="84" spans="1:116" s="99" customFormat="1" ht="21" x14ac:dyDescent="0.35">
      <c r="A84"/>
      <c r="B84"/>
      <c r="C84" s="61"/>
      <c r="D84" s="46"/>
      <c r="E84" s="61"/>
      <c r="F84" s="50"/>
      <c r="G84" s="50"/>
      <c r="H84" s="46"/>
      <c r="I84" s="46"/>
      <c r="J84" s="46"/>
      <c r="K84" s="61"/>
      <c r="L84" s="46">
        <f>SUM(بيان.معاشات.القاهرة[[#This Row],[منحة 6شهور]:[مقابل نقدي]])</f>
        <v>0</v>
      </c>
      <c r="M84" s="46">
        <f>بيان.معاشات.القاهرة[[#This Row],[إجمالي الدفعات]]</f>
        <v>0</v>
      </c>
      <c r="N84" s="46">
        <f>بيان.معاشات.القاهرة[[#This Row],[إجمالي المستحق]]-بيان.معاشات.القاهرة[[#This Row],[المنصرف]]</f>
        <v>0</v>
      </c>
      <c r="O84" s="46">
        <f>IF(بيان.معاشات.القاهرة[[#This Row],[المتبقي]]&lt;0,0,بيان.معاشات.القاهرة[[#This Row],[المتبقي]])</f>
        <v>0</v>
      </c>
      <c r="P84" s="48">
        <f>(بيان.معاشات.القاهرة[[#This Row],[منحة 6شهور]]+بيان.معاشات.القاهرة[[#This Row],[مستحقات]])-بيان.معاشات.القاهرة[[#This Row],[المنصرف]]</f>
        <v>0</v>
      </c>
      <c r="Q84" s="48">
        <f>IF(بيان.معاشات.القاهرة[[#This Row],[المتبقي من المنحة]]&lt;0,0,بيان.معاشات.القاهرة[[#This Row],[المتبقي من المنحة]])</f>
        <v>0</v>
      </c>
      <c r="R84" s="53"/>
      <c r="S84" s="46"/>
      <c r="T84" s="46"/>
      <c r="U84" s="76"/>
      <c r="V84" s="46"/>
      <c r="W84" s="46"/>
      <c r="X8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4" s="46">
        <f>SUM(بيان.معاشات.القاهرة[[#This Row],[يناير-23]:[ديسمبر-23]])</f>
        <v>0</v>
      </c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</row>
    <row r="85" spans="1:116" s="99" customFormat="1" ht="21" x14ac:dyDescent="0.35">
      <c r="A85"/>
      <c r="B85"/>
      <c r="C85" s="61"/>
      <c r="D85" s="46"/>
      <c r="E85" s="61"/>
      <c r="F85" s="50"/>
      <c r="G85" s="50"/>
      <c r="H85" s="46"/>
      <c r="I85" s="46"/>
      <c r="J85" s="46"/>
      <c r="K85" s="61"/>
      <c r="L85" s="46">
        <f>SUM(بيان.معاشات.القاهرة[[#This Row],[منحة 6شهور]:[مقابل نقدي]])</f>
        <v>0</v>
      </c>
      <c r="M85" s="46">
        <f>بيان.معاشات.القاهرة[[#This Row],[إجمالي الدفعات]]</f>
        <v>0</v>
      </c>
      <c r="N85" s="46">
        <f>بيان.معاشات.القاهرة[[#This Row],[إجمالي المستحق]]-بيان.معاشات.القاهرة[[#This Row],[المنصرف]]</f>
        <v>0</v>
      </c>
      <c r="O85" s="46">
        <f>IF(بيان.معاشات.القاهرة[[#This Row],[المتبقي]]&lt;0,0,بيان.معاشات.القاهرة[[#This Row],[المتبقي]])</f>
        <v>0</v>
      </c>
      <c r="P85" s="48">
        <f>(بيان.معاشات.القاهرة[[#This Row],[منحة 6شهور]]+بيان.معاشات.القاهرة[[#This Row],[مستحقات]])-بيان.معاشات.القاهرة[[#This Row],[المنصرف]]</f>
        <v>0</v>
      </c>
      <c r="Q85" s="48">
        <f>IF(بيان.معاشات.القاهرة[[#This Row],[المتبقي من المنحة]]&lt;0,0,بيان.معاشات.القاهرة[[#This Row],[المتبقي من المنحة]])</f>
        <v>0</v>
      </c>
      <c r="R85" s="53"/>
      <c r="S85" s="46"/>
      <c r="T85" s="46"/>
      <c r="U85" s="76"/>
      <c r="V85" s="46"/>
      <c r="W85" s="46"/>
      <c r="X8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5" s="46">
        <f>SUM(بيان.معاشات.القاهرة[[#This Row],[يناير-23]:[ديسمبر-23]])</f>
        <v>0</v>
      </c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</row>
    <row r="86" spans="1:116" s="99" customFormat="1" ht="21" x14ac:dyDescent="0.35">
      <c r="A86"/>
      <c r="B86"/>
      <c r="C86" s="61"/>
      <c r="D86" s="46"/>
      <c r="E86" s="61"/>
      <c r="F86" s="50"/>
      <c r="G86" s="50"/>
      <c r="H86" s="46"/>
      <c r="I86" s="46"/>
      <c r="J86" s="46"/>
      <c r="K86" s="61"/>
      <c r="L86" s="46">
        <f>SUM(بيان.معاشات.القاهرة[[#This Row],[منحة 6شهور]:[مقابل نقدي]])</f>
        <v>0</v>
      </c>
      <c r="M86" s="46">
        <f>بيان.معاشات.القاهرة[[#This Row],[إجمالي الدفعات]]</f>
        <v>0</v>
      </c>
      <c r="N86" s="46">
        <f>بيان.معاشات.القاهرة[[#This Row],[إجمالي المستحق]]-بيان.معاشات.القاهرة[[#This Row],[المنصرف]]</f>
        <v>0</v>
      </c>
      <c r="O86" s="46">
        <f>IF(بيان.معاشات.القاهرة[[#This Row],[المتبقي]]&lt;0,0,بيان.معاشات.القاهرة[[#This Row],[المتبقي]])</f>
        <v>0</v>
      </c>
      <c r="P86" s="48">
        <f>(بيان.معاشات.القاهرة[[#This Row],[منحة 6شهور]]+بيان.معاشات.القاهرة[[#This Row],[مستحقات]])-بيان.معاشات.القاهرة[[#This Row],[المنصرف]]</f>
        <v>0</v>
      </c>
      <c r="Q86" s="48">
        <f>IF(بيان.معاشات.القاهرة[[#This Row],[المتبقي من المنحة]]&lt;0,0,بيان.معاشات.القاهرة[[#This Row],[المتبقي من المنحة]])</f>
        <v>0</v>
      </c>
      <c r="R86" s="53"/>
      <c r="S86" s="46"/>
      <c r="T86" s="46"/>
      <c r="U86" s="76"/>
      <c r="V86" s="46"/>
      <c r="W86" s="46"/>
      <c r="X8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6" s="46">
        <f>SUM(بيان.معاشات.القاهرة[[#This Row],[يناير-23]:[ديسمبر-23]])</f>
        <v>0</v>
      </c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</row>
    <row r="87" spans="1:116" s="99" customFormat="1" ht="21" x14ac:dyDescent="0.35">
      <c r="A87"/>
      <c r="B87"/>
      <c r="C87" s="61"/>
      <c r="D87" s="46"/>
      <c r="E87" s="61"/>
      <c r="F87" s="50"/>
      <c r="G87" s="50"/>
      <c r="H87" s="46"/>
      <c r="I87" s="46"/>
      <c r="J87" s="46"/>
      <c r="K87" s="61"/>
      <c r="L87" s="46">
        <f>SUM(بيان.معاشات.القاهرة[[#This Row],[منحة 6شهور]:[مقابل نقدي]])</f>
        <v>0</v>
      </c>
      <c r="M87" s="46">
        <f>بيان.معاشات.القاهرة[[#This Row],[إجمالي الدفعات]]</f>
        <v>0</v>
      </c>
      <c r="N87" s="46">
        <f>بيان.معاشات.القاهرة[[#This Row],[إجمالي المستحق]]-بيان.معاشات.القاهرة[[#This Row],[المنصرف]]</f>
        <v>0</v>
      </c>
      <c r="O87" s="46">
        <f>IF(بيان.معاشات.القاهرة[[#This Row],[المتبقي]]&lt;0,0,بيان.معاشات.القاهرة[[#This Row],[المتبقي]])</f>
        <v>0</v>
      </c>
      <c r="P87" s="48">
        <f>(بيان.معاشات.القاهرة[[#This Row],[منحة 6شهور]]+بيان.معاشات.القاهرة[[#This Row],[مستحقات]])-بيان.معاشات.القاهرة[[#This Row],[المنصرف]]</f>
        <v>0</v>
      </c>
      <c r="Q87" s="48">
        <f>IF(بيان.معاشات.القاهرة[[#This Row],[المتبقي من المنحة]]&lt;0,0,بيان.معاشات.القاهرة[[#This Row],[المتبقي من المنحة]])</f>
        <v>0</v>
      </c>
      <c r="R87" s="53"/>
      <c r="S87" s="46"/>
      <c r="T87" s="46"/>
      <c r="U87" s="76"/>
      <c r="V87" s="46"/>
      <c r="W87" s="46"/>
      <c r="X8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7" s="46">
        <f>SUM(بيان.معاشات.القاهرة[[#This Row],[يناير-23]:[ديسمبر-23]])</f>
        <v>0</v>
      </c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</row>
    <row r="88" spans="1:116" s="99" customFormat="1" ht="21" x14ac:dyDescent="0.35">
      <c r="A88"/>
      <c r="B88"/>
      <c r="C88" s="61"/>
      <c r="D88" s="46"/>
      <c r="E88" s="61"/>
      <c r="F88" s="50"/>
      <c r="G88" s="50"/>
      <c r="H88" s="46"/>
      <c r="I88" s="46"/>
      <c r="J88" s="46"/>
      <c r="K88" s="61"/>
      <c r="L88" s="46">
        <f>SUM(بيان.معاشات.القاهرة[[#This Row],[منحة 6شهور]:[مقابل نقدي]])</f>
        <v>0</v>
      </c>
      <c r="M88" s="46">
        <f>بيان.معاشات.القاهرة[[#This Row],[إجمالي الدفعات]]</f>
        <v>0</v>
      </c>
      <c r="N88" s="46">
        <f>بيان.معاشات.القاهرة[[#This Row],[إجمالي المستحق]]-بيان.معاشات.القاهرة[[#This Row],[المنصرف]]</f>
        <v>0</v>
      </c>
      <c r="O88" s="46">
        <f>IF(بيان.معاشات.القاهرة[[#This Row],[المتبقي]]&lt;0,0,بيان.معاشات.القاهرة[[#This Row],[المتبقي]])</f>
        <v>0</v>
      </c>
      <c r="P88" s="48">
        <f>(بيان.معاشات.القاهرة[[#This Row],[منحة 6شهور]]+بيان.معاشات.القاهرة[[#This Row],[مستحقات]])-بيان.معاشات.القاهرة[[#This Row],[المنصرف]]</f>
        <v>0</v>
      </c>
      <c r="Q88" s="48">
        <f>IF(بيان.معاشات.القاهرة[[#This Row],[المتبقي من المنحة]]&lt;0,0,بيان.معاشات.القاهرة[[#This Row],[المتبقي من المنحة]])</f>
        <v>0</v>
      </c>
      <c r="R88" s="53"/>
      <c r="S88" s="46"/>
      <c r="T88" s="46"/>
      <c r="U88" s="76"/>
      <c r="V88" s="46"/>
      <c r="W88" s="46">
        <v>0</v>
      </c>
      <c r="X8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8" s="46">
        <f>SUM(بيان.معاشات.القاهرة[[#This Row],[يناير-23]:[ديسمبر-23]])</f>
        <v>0</v>
      </c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</row>
    <row r="89" spans="1:116" s="99" customFormat="1" ht="21" x14ac:dyDescent="0.35">
      <c r="A89"/>
      <c r="B89"/>
      <c r="C89" s="61"/>
      <c r="D89" s="46" t="s">
        <v>199</v>
      </c>
      <c r="E89" s="61"/>
      <c r="F89" s="50"/>
      <c r="G89" s="50"/>
      <c r="H89" s="46"/>
      <c r="I89" s="46"/>
      <c r="J89" s="46"/>
      <c r="K89" s="61"/>
      <c r="L89" s="46">
        <f>SUM(بيان.معاشات.القاهرة[[#This Row],[منحة 6شهور]:[مقابل نقدي]])</f>
        <v>0</v>
      </c>
      <c r="M89" s="46">
        <f>بيان.معاشات.القاهرة[[#This Row],[إجمالي الدفعات]]</f>
        <v>0</v>
      </c>
      <c r="N89" s="46">
        <f>بيان.معاشات.القاهرة[[#This Row],[إجمالي المستحق]]-بيان.معاشات.القاهرة[[#This Row],[المنصرف]]</f>
        <v>0</v>
      </c>
      <c r="O89" s="46">
        <f>IF(بيان.معاشات.القاهرة[[#This Row],[المتبقي]]&lt;0,0,بيان.معاشات.القاهرة[[#This Row],[المتبقي]])</f>
        <v>0</v>
      </c>
      <c r="P89" s="48">
        <f>(بيان.معاشات.القاهرة[[#This Row],[منحة 6شهور]]+بيان.معاشات.القاهرة[[#This Row],[مستحقات]])-بيان.معاشات.القاهرة[[#This Row],[المنصرف]]</f>
        <v>0</v>
      </c>
      <c r="Q89" s="48">
        <f>IF(بيان.معاشات.القاهرة[[#This Row],[المتبقي من المنحة]]&lt;0,0,بيان.معاشات.القاهرة[[#This Row],[المتبقي من المنحة]])</f>
        <v>0</v>
      </c>
      <c r="R89" s="53"/>
      <c r="S89" s="46"/>
      <c r="T89" s="46"/>
      <c r="U89" s="76"/>
      <c r="V89" s="46"/>
      <c r="W89" s="46">
        <v>0</v>
      </c>
      <c r="X8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89" s="46">
        <f>SUM(بيان.معاشات.القاهرة[[#This Row],[يناير-23]:[ديسمبر-23]])</f>
        <v>0</v>
      </c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</row>
    <row r="90" spans="1:116" s="99" customFormat="1" ht="21" x14ac:dyDescent="0.35">
      <c r="A90"/>
      <c r="B90"/>
      <c r="C90" s="61"/>
      <c r="D90" s="46"/>
      <c r="E90" s="61"/>
      <c r="F90" s="50"/>
      <c r="G90" s="50"/>
      <c r="H90" s="46"/>
      <c r="I90" s="46"/>
      <c r="J90" s="46"/>
      <c r="K90" s="61"/>
      <c r="L90" s="46">
        <f>SUM(بيان.معاشات.القاهرة[[#This Row],[منحة 6شهور]:[مقابل نقدي]])</f>
        <v>0</v>
      </c>
      <c r="M90" s="46">
        <f>بيان.معاشات.القاهرة[[#This Row],[إجمالي الدفعات]]</f>
        <v>0</v>
      </c>
      <c r="N90" s="46">
        <f>بيان.معاشات.القاهرة[[#This Row],[إجمالي المستحق]]-بيان.معاشات.القاهرة[[#This Row],[المنصرف]]</f>
        <v>0</v>
      </c>
      <c r="O90" s="46">
        <f>IF(بيان.معاشات.القاهرة[[#This Row],[المتبقي]]&lt;0,0,بيان.معاشات.القاهرة[[#This Row],[المتبقي]])</f>
        <v>0</v>
      </c>
      <c r="P90" s="48">
        <f>(بيان.معاشات.القاهرة[[#This Row],[منحة 6شهور]]+بيان.معاشات.القاهرة[[#This Row],[مستحقات]])-بيان.معاشات.القاهرة[[#This Row],[المنصرف]]</f>
        <v>0</v>
      </c>
      <c r="Q90" s="48">
        <f>IF(بيان.معاشات.القاهرة[[#This Row],[المتبقي من المنحة]]&lt;0,0,بيان.معاشات.القاهرة[[#This Row],[المتبقي من المنحة]])</f>
        <v>0</v>
      </c>
      <c r="R90" s="53"/>
      <c r="S90" s="46"/>
      <c r="T90" s="46"/>
      <c r="U90" s="76"/>
      <c r="V90" s="46"/>
      <c r="W90" s="46">
        <v>0</v>
      </c>
      <c r="X9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90" s="46">
        <f>SUM(بيان.معاشات.القاهرة[[#This Row],[يناير-23]:[ديسمبر-23]])</f>
        <v>0</v>
      </c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</row>
    <row r="91" spans="1:116" s="99" customFormat="1" ht="21" x14ac:dyDescent="0.35">
      <c r="A91"/>
      <c r="B91"/>
      <c r="C91" s="61"/>
      <c r="D91" s="46"/>
      <c r="E91" s="61"/>
      <c r="F91" s="50"/>
      <c r="G91" s="50"/>
      <c r="H91" s="46"/>
      <c r="I91" s="46"/>
      <c r="J91" s="46"/>
      <c r="K91" s="61"/>
      <c r="L91" s="46">
        <f>SUM(بيان.معاشات.القاهرة[[#This Row],[منحة 6شهور]:[مقابل نقدي]])</f>
        <v>0</v>
      </c>
      <c r="M91" s="46">
        <f>بيان.معاشات.القاهرة[[#This Row],[إجمالي الدفعات]]</f>
        <v>0</v>
      </c>
      <c r="N91" s="46">
        <f>بيان.معاشات.القاهرة[[#This Row],[إجمالي المستحق]]-بيان.معاشات.القاهرة[[#This Row],[المنصرف]]</f>
        <v>0</v>
      </c>
      <c r="O91" s="46">
        <f>IF(بيان.معاشات.القاهرة[[#This Row],[المتبقي]]&lt;0,0,بيان.معاشات.القاهرة[[#This Row],[المتبقي]])</f>
        <v>0</v>
      </c>
      <c r="P91" s="48">
        <f>(بيان.معاشات.القاهرة[[#This Row],[منحة 6شهور]]+بيان.معاشات.القاهرة[[#This Row],[مستحقات]])-بيان.معاشات.القاهرة[[#This Row],[المنصرف]]</f>
        <v>0</v>
      </c>
      <c r="Q91" s="48">
        <f>IF(بيان.معاشات.القاهرة[[#This Row],[المتبقي من المنحة]]&lt;0,0,بيان.معاشات.القاهرة[[#This Row],[المتبقي من المنحة]])</f>
        <v>0</v>
      </c>
      <c r="R91" s="53"/>
      <c r="S91" s="46"/>
      <c r="T91" s="46"/>
      <c r="U91" s="76"/>
      <c r="V91" s="46"/>
      <c r="W91" s="46">
        <v>0</v>
      </c>
      <c r="X9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91" s="46">
        <f>SUM(بيان.معاشات.القاهرة[[#This Row],[يناير-23]:[ديسمبر-23]])</f>
        <v>0</v>
      </c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</row>
    <row r="92" spans="1:116" s="99" customFormat="1" ht="21" x14ac:dyDescent="0.35">
      <c r="A92"/>
      <c r="B92"/>
      <c r="C92" s="61"/>
      <c r="D92" s="46" t="s">
        <v>72</v>
      </c>
      <c r="E92" s="61"/>
      <c r="F92" s="50"/>
      <c r="G92" s="50"/>
      <c r="H92" s="46"/>
      <c r="I92" s="46"/>
      <c r="J92" s="46"/>
      <c r="K92" s="61"/>
      <c r="L92" s="46">
        <f>SUM(بيان.معاشات.القاهرة[[#This Row],[منحة 6شهور]:[مقابل نقدي]])</f>
        <v>0</v>
      </c>
      <c r="M92" s="46">
        <f>بيان.معاشات.القاهرة[[#This Row],[إجمالي الدفعات]]</f>
        <v>0</v>
      </c>
      <c r="N92" s="46">
        <f>بيان.معاشات.القاهرة[[#This Row],[إجمالي المستحق]]-بيان.معاشات.القاهرة[[#This Row],[المنصرف]]</f>
        <v>0</v>
      </c>
      <c r="O92" s="46">
        <f>IF(بيان.معاشات.القاهرة[[#This Row],[المتبقي]]&lt;0,0,بيان.معاشات.القاهرة[[#This Row],[المتبقي]])</f>
        <v>0</v>
      </c>
      <c r="P92" s="48">
        <f>(بيان.معاشات.القاهرة[[#This Row],[منحة 6شهور]]+بيان.معاشات.القاهرة[[#This Row],[مستحقات]])-بيان.معاشات.القاهرة[[#This Row],[المنصرف]]</f>
        <v>0</v>
      </c>
      <c r="Q92" s="48">
        <f>IF(بيان.معاشات.القاهرة[[#This Row],[المتبقي من المنحة]]&lt;0,0,بيان.معاشات.القاهرة[[#This Row],[المتبقي من المنحة]])</f>
        <v>0</v>
      </c>
      <c r="R92" s="53"/>
      <c r="S92" s="46"/>
      <c r="T92" s="46"/>
      <c r="U92" s="76"/>
      <c r="V92" s="46">
        <v>0</v>
      </c>
      <c r="W92" s="46">
        <v>0</v>
      </c>
      <c r="X9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92" s="46">
        <f>SUM(بيان.معاشات.القاهرة[[#This Row],[يناير-23]:[ديسمبر-23]])</f>
        <v>0</v>
      </c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</row>
    <row r="93" spans="1:116" s="99" customFormat="1" ht="21" x14ac:dyDescent="0.35">
      <c r="A93"/>
      <c r="B93"/>
      <c r="C93" s="61">
        <v>1</v>
      </c>
      <c r="D93" s="46" t="s">
        <v>96</v>
      </c>
      <c r="E93" s="61" t="s">
        <v>97</v>
      </c>
      <c r="F93" s="50">
        <v>44335</v>
      </c>
      <c r="G93" s="50"/>
      <c r="H93" s="46">
        <v>38680.239999999998</v>
      </c>
      <c r="I93" s="46"/>
      <c r="J93" s="46">
        <v>15519.6</v>
      </c>
      <c r="K93" s="61">
        <v>90</v>
      </c>
      <c r="L93" s="46">
        <f>SUM(بيان.معاشات.القاهرة[[#This Row],[منحة 6شهور]:[مقابل نقدي]])</f>
        <v>54199.839999999997</v>
      </c>
      <c r="M93" s="46">
        <f>بيان.معاشات.القاهرة[[#This Row],[إجمالي الدفعات]]</f>
        <v>33895.35</v>
      </c>
      <c r="N93" s="46">
        <f>بيان.معاشات.القاهرة[[#This Row],[إجمالي المستحق]]-بيان.معاشات.القاهرة[[#This Row],[المنصرف]]</f>
        <v>20304.489999999998</v>
      </c>
      <c r="O93" s="46">
        <f>IF(بيان.معاشات.القاهرة[[#This Row],[المتبقي]]&lt;0,0,بيان.معاشات.القاهرة[[#This Row],[المتبقي]])</f>
        <v>20304.489999999998</v>
      </c>
      <c r="P93" s="48">
        <f>(بيان.معاشات.القاهرة[[#This Row],[منحة 6شهور]]+بيان.معاشات.القاهرة[[#This Row],[مستحقات]])-بيان.معاشات.القاهرة[[#This Row],[المنصرف]]</f>
        <v>4784.8899999999994</v>
      </c>
      <c r="Q93" s="48">
        <f>IF(بيان.معاشات.القاهرة[[#This Row],[المتبقي من المنحة]]&lt;0,0,بيان.معاشات.القاهرة[[#This Row],[المتبقي من المنحة]])</f>
        <v>4784.8899999999994</v>
      </c>
      <c r="R93" s="53">
        <v>27501081300985</v>
      </c>
      <c r="S93" s="46" t="s">
        <v>98</v>
      </c>
      <c r="T93" s="46"/>
      <c r="U93" s="76"/>
      <c r="V93" s="46">
        <v>0</v>
      </c>
      <c r="W93" s="46">
        <v>26479.72</v>
      </c>
      <c r="X9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33895.35</v>
      </c>
      <c r="Y93" s="46">
        <f>SUM(بيان.معاشات.القاهرة[[#This Row],[يناير-23]:[ديسمبر-23]])</f>
        <v>7415.63</v>
      </c>
      <c r="Z93" s="46">
        <v>1500</v>
      </c>
      <c r="AA93" s="46"/>
      <c r="AB93" s="46">
        <v>2000</v>
      </c>
      <c r="AC93" s="46">
        <v>1915.63</v>
      </c>
      <c r="AD93" s="46">
        <v>2000</v>
      </c>
      <c r="AE93" s="46"/>
      <c r="AF93" s="46"/>
      <c r="AG93" s="46"/>
      <c r="AH93" s="46"/>
      <c r="AI93" s="46"/>
      <c r="AJ93" s="46"/>
      <c r="AK93" s="46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</row>
    <row r="94" spans="1:116" s="99" customFormat="1" ht="21" x14ac:dyDescent="0.35">
      <c r="A94"/>
      <c r="B94"/>
      <c r="C94" s="61">
        <v>2</v>
      </c>
      <c r="D94" s="46" t="s">
        <v>73</v>
      </c>
      <c r="E94" s="61" t="s">
        <v>74</v>
      </c>
      <c r="F94" s="50">
        <v>43620</v>
      </c>
      <c r="G94" s="50"/>
      <c r="H94" s="46">
        <v>44532.01</v>
      </c>
      <c r="I94" s="46"/>
      <c r="J94" s="46">
        <v>13045.5</v>
      </c>
      <c r="K94" s="61">
        <v>90</v>
      </c>
      <c r="L94" s="46">
        <f>SUM(بيان.معاشات.القاهرة[[#This Row],[منحة 6شهور]:[مقابل نقدي]])</f>
        <v>57577.51</v>
      </c>
      <c r="M94" s="46">
        <f>بيان.معاشات.القاهرة[[#This Row],[إجمالي الدفعات]]</f>
        <v>49767.360000000001</v>
      </c>
      <c r="N94" s="46">
        <f>بيان.معاشات.القاهرة[[#This Row],[إجمالي المستحق]]-بيان.معاشات.القاهرة[[#This Row],[المنصرف]]</f>
        <v>7810.1500000000015</v>
      </c>
      <c r="O94" s="46">
        <f>IF(بيان.معاشات.القاهرة[[#This Row],[المتبقي]]&lt;0,0,بيان.معاشات.القاهرة[[#This Row],[المتبقي]])</f>
        <v>7810.1500000000015</v>
      </c>
      <c r="P94" s="48">
        <f>(بيان.معاشات.القاهرة[[#This Row],[منحة 6شهور]]+بيان.معاشات.القاهرة[[#This Row],[مستحقات]])-بيان.معاشات.القاهرة[[#This Row],[المنصرف]]</f>
        <v>-5235.3499999999985</v>
      </c>
      <c r="Q94" s="48">
        <f>IF(بيان.معاشات.القاهرة[[#This Row],[المتبقي من المنحة]]&lt;0,0,بيان.معاشات.القاهرة[[#This Row],[المتبقي من المنحة]])</f>
        <v>0</v>
      </c>
      <c r="R94" s="53">
        <v>27112170100306</v>
      </c>
      <c r="S94" s="46" t="s">
        <v>75</v>
      </c>
      <c r="T94" s="46"/>
      <c r="U94" s="76"/>
      <c r="V94" s="46">
        <v>26767.360000000001</v>
      </c>
      <c r="W94" s="46">
        <v>18000</v>
      </c>
      <c r="X9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49767.360000000001</v>
      </c>
      <c r="Y94" s="46">
        <f>SUM(بيان.معاشات.القاهرة[[#This Row],[يناير-23]:[ديسمبر-23]])</f>
        <v>5000</v>
      </c>
      <c r="Z94" s="46">
        <v>1000</v>
      </c>
      <c r="AA94" s="46">
        <v>1000</v>
      </c>
      <c r="AB94" s="46">
        <v>1000</v>
      </c>
      <c r="AC94" s="46">
        <v>1000</v>
      </c>
      <c r="AD94" s="46">
        <v>1000</v>
      </c>
      <c r="AE94" s="46"/>
      <c r="AF94" s="46"/>
      <c r="AG94" s="46"/>
      <c r="AH94" s="46"/>
      <c r="AI94" s="46"/>
      <c r="AJ94" s="46"/>
      <c r="AK94" s="46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</row>
    <row r="95" spans="1:116" s="99" customFormat="1" ht="21" x14ac:dyDescent="0.35">
      <c r="A95"/>
      <c r="B95"/>
      <c r="C95" s="61">
        <v>3</v>
      </c>
      <c r="D95" s="46" t="s">
        <v>45</v>
      </c>
      <c r="E95" s="61" t="s">
        <v>46</v>
      </c>
      <c r="F95" s="50">
        <v>42978</v>
      </c>
      <c r="G95" s="50"/>
      <c r="H95" s="46">
        <v>20031.96</v>
      </c>
      <c r="I95" s="46"/>
      <c r="J95" s="46">
        <v>10642.5</v>
      </c>
      <c r="K95" s="61">
        <v>90</v>
      </c>
      <c r="L95" s="46">
        <f>SUM(بيان.معاشات.القاهرة[[#This Row],[منحة 6شهور]:[مقابل نقدي]])</f>
        <v>30674.46</v>
      </c>
      <c r="M95" s="46">
        <f>بيان.معاشات.القاهرة[[#This Row],[إجمالي الدفعات]]</f>
        <v>30674.46</v>
      </c>
      <c r="N95" s="46">
        <f>بيان.معاشات.القاهرة[[#This Row],[إجمالي المستحق]]-بيان.معاشات.القاهرة[[#This Row],[المنصرف]]</f>
        <v>0</v>
      </c>
      <c r="O95" s="46">
        <f>IF(بيان.معاشات.القاهرة[[#This Row],[المتبقي]]&lt;0,0,بيان.معاشات.القاهرة[[#This Row],[المتبقي]])</f>
        <v>0</v>
      </c>
      <c r="P95" s="48">
        <f>(بيان.معاشات.القاهرة[[#This Row],[منحة 6شهور]]+بيان.معاشات.القاهرة[[#This Row],[مستحقات]])-بيان.معاشات.القاهرة[[#This Row],[المنصرف]]</f>
        <v>-10642.5</v>
      </c>
      <c r="Q95" s="48">
        <f>IF(بيان.معاشات.القاهرة[[#This Row],[المتبقي من المنحة]]&lt;0,0,بيان.معاشات.القاهرة[[#This Row],[المتبقي من المنحة]])</f>
        <v>0</v>
      </c>
      <c r="R95" s="53">
        <v>26812100101729</v>
      </c>
      <c r="S95" s="46" t="s">
        <v>47</v>
      </c>
      <c r="T95" s="46" t="s">
        <v>220</v>
      </c>
      <c r="U95" s="76"/>
      <c r="V95" s="46">
        <v>22146</v>
      </c>
      <c r="W95" s="46">
        <v>8528.4599999999991</v>
      </c>
      <c r="X9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30674.46</v>
      </c>
      <c r="Y95" s="46">
        <f>SUM(بيان.معاشات.القاهرة[[#This Row],[يناير-23]:[ديسمبر-23]])</f>
        <v>0</v>
      </c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</row>
    <row r="96" spans="1:116" s="99" customFormat="1" ht="21" x14ac:dyDescent="0.35">
      <c r="A96"/>
      <c r="B96"/>
      <c r="C96" s="61">
        <v>4</v>
      </c>
      <c r="D96" s="46" t="s">
        <v>88</v>
      </c>
      <c r="E96" s="61" t="s">
        <v>89</v>
      </c>
      <c r="F96" s="50">
        <v>43874</v>
      </c>
      <c r="G96" s="50"/>
      <c r="H96" s="46">
        <v>28660.17</v>
      </c>
      <c r="I96" s="46"/>
      <c r="J96" s="46">
        <v>15650.1</v>
      </c>
      <c r="K96" s="61">
        <v>90</v>
      </c>
      <c r="L96" s="46">
        <f>SUM(بيان.معاشات.القاهرة[[#This Row],[منحة 6شهور]:[مقابل نقدي]])</f>
        <v>44310.27</v>
      </c>
      <c r="M96" s="46">
        <f>بيان.معاشات.القاهرة[[#This Row],[إجمالي الدفعات]]</f>
        <v>28660.17</v>
      </c>
      <c r="N96" s="46">
        <f>بيان.معاشات.القاهرة[[#This Row],[إجمالي المستحق]]-بيان.معاشات.القاهرة[[#This Row],[المنصرف]]</f>
        <v>15650.099999999999</v>
      </c>
      <c r="O96" s="46">
        <f>IF(بيان.معاشات.القاهرة[[#This Row],[المتبقي]]&lt;0,0,بيان.معاشات.القاهرة[[#This Row],[المتبقي]])</f>
        <v>15650.099999999999</v>
      </c>
      <c r="P96" s="48">
        <f>(بيان.معاشات.القاهرة[[#This Row],[منحة 6شهور]]+بيان.معاشات.القاهرة[[#This Row],[مستحقات]])-بيان.معاشات.القاهرة[[#This Row],[المنصرف]]</f>
        <v>0</v>
      </c>
      <c r="Q96" s="48">
        <f>IF(بيان.معاشات.القاهرة[[#This Row],[المتبقي من المنحة]]&lt;0,0,بيان.معاشات.القاهرة[[#This Row],[المتبقي من المنحة]])</f>
        <v>0</v>
      </c>
      <c r="R96" s="53">
        <v>28506041700374</v>
      </c>
      <c r="S96" s="46" t="s">
        <v>90</v>
      </c>
      <c r="T96" s="46" t="s">
        <v>235</v>
      </c>
      <c r="U96" s="76"/>
      <c r="V96" s="46">
        <v>11977.74</v>
      </c>
      <c r="W96" s="46">
        <v>12518</v>
      </c>
      <c r="X9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28660.17</v>
      </c>
      <c r="Y96" s="46">
        <f>SUM(بيان.معاشات.القاهرة[[#This Row],[يناير-23]:[ديسمبر-23]])</f>
        <v>4164.43</v>
      </c>
      <c r="Z96" s="46">
        <v>1000</v>
      </c>
      <c r="AA96" s="46">
        <v>1000</v>
      </c>
      <c r="AB96" s="46">
        <v>1000</v>
      </c>
      <c r="AC96" s="46"/>
      <c r="AD96" s="46">
        <v>1164.43</v>
      </c>
      <c r="AE96" s="46"/>
      <c r="AF96" s="46"/>
      <c r="AG96" s="46"/>
      <c r="AH96" s="46"/>
      <c r="AI96" s="46"/>
      <c r="AJ96" s="46"/>
      <c r="AK96" s="4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</row>
    <row r="97" spans="1:116" s="99" customFormat="1" ht="21" x14ac:dyDescent="0.35">
      <c r="A97"/>
      <c r="B97"/>
      <c r="C97" s="61">
        <v>5</v>
      </c>
      <c r="D97" s="46" t="s">
        <v>40</v>
      </c>
      <c r="E97" s="61" t="s">
        <v>41</v>
      </c>
      <c r="F97" s="50">
        <v>43991</v>
      </c>
      <c r="G97" s="50"/>
      <c r="H97" s="46">
        <v>15128.4</v>
      </c>
      <c r="I97" s="46"/>
      <c r="J97" s="46">
        <v>10932.3</v>
      </c>
      <c r="K97" s="61">
        <v>90</v>
      </c>
      <c r="L97" s="46">
        <f>SUM(بيان.معاشات.القاهرة[[#This Row],[منحة 6شهور]:[مقابل نقدي]])</f>
        <v>26060.699999999997</v>
      </c>
      <c r="M97" s="46">
        <f>بيان.معاشات.القاهرة[[#This Row],[إجمالي الدفعات]]</f>
        <v>22217.25</v>
      </c>
      <c r="N97" s="46">
        <f>بيان.معاشات.القاهرة[[#This Row],[إجمالي المستحق]]-بيان.معاشات.القاهرة[[#This Row],[المنصرف]]</f>
        <v>3843.4499999999971</v>
      </c>
      <c r="O97" s="46">
        <f>IF(بيان.معاشات.القاهرة[[#This Row],[المتبقي]]&lt;0,0,بيان.معاشات.القاهرة[[#This Row],[المتبقي]])</f>
        <v>3843.4499999999971</v>
      </c>
      <c r="P97" s="48">
        <f>(بيان.معاشات.القاهرة[[#This Row],[منحة 6شهور]]+بيان.معاشات.القاهرة[[#This Row],[مستحقات]])-بيان.معاشات.القاهرة[[#This Row],[المنصرف]]</f>
        <v>-7088.85</v>
      </c>
      <c r="Q97" s="48">
        <f>IF(بيان.معاشات.القاهرة[[#This Row],[المتبقي من المنحة]]&lt;0,0,بيان.معاشات.القاهرة[[#This Row],[المتبقي من المنحة]])</f>
        <v>0</v>
      </c>
      <c r="R97" s="53">
        <v>28912240103251</v>
      </c>
      <c r="S97" s="46" t="s">
        <v>42</v>
      </c>
      <c r="T97" s="46" t="s">
        <v>234</v>
      </c>
      <c r="U97" s="76"/>
      <c r="V97" s="46">
        <v>5882.59</v>
      </c>
      <c r="W97" s="46">
        <v>16334.66</v>
      </c>
      <c r="X9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22217.25</v>
      </c>
      <c r="Y97" s="46">
        <f>SUM(بيان.معاشات.القاهرة[[#This Row],[يناير-23]:[ديسمبر-23]])</f>
        <v>0</v>
      </c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</row>
    <row r="98" spans="1:116" s="99" customFormat="1" ht="21" x14ac:dyDescent="0.35">
      <c r="A98"/>
      <c r="B98"/>
      <c r="C98" s="61">
        <v>6</v>
      </c>
      <c r="D98" s="46" t="s">
        <v>76</v>
      </c>
      <c r="E98" s="61" t="s">
        <v>77</v>
      </c>
      <c r="F98" s="50">
        <v>43843</v>
      </c>
      <c r="G98" s="50"/>
      <c r="H98" s="46">
        <v>34874.01</v>
      </c>
      <c r="I98" s="46"/>
      <c r="J98" s="46">
        <v>2713.26</v>
      </c>
      <c r="K98" s="61">
        <v>22</v>
      </c>
      <c r="L98" s="46">
        <f>SUM(بيان.معاشات.القاهرة[[#This Row],[منحة 6شهور]:[مقابل نقدي]])</f>
        <v>37587.270000000004</v>
      </c>
      <c r="M98" s="46">
        <f>بيان.معاشات.القاهرة[[#This Row],[إجمالي الدفعات]]</f>
        <v>24362.14</v>
      </c>
      <c r="N98" s="46">
        <f>بيان.معاشات.القاهرة[[#This Row],[إجمالي المستحق]]-بيان.معاشات.القاهرة[[#This Row],[المنصرف]]</f>
        <v>13225.130000000005</v>
      </c>
      <c r="O98" s="46">
        <f>IF(بيان.معاشات.القاهرة[[#This Row],[المتبقي]]&lt;0,0,بيان.معاشات.القاهرة[[#This Row],[المتبقي]])</f>
        <v>13225.130000000005</v>
      </c>
      <c r="P98" s="48">
        <f>(بيان.معاشات.القاهرة[[#This Row],[منحة 6شهور]]+بيان.معاشات.القاهرة[[#This Row],[مستحقات]])-بيان.معاشات.القاهرة[[#This Row],[المنصرف]]</f>
        <v>10511.870000000003</v>
      </c>
      <c r="Q98" s="48">
        <f>IF(بيان.معاشات.القاهرة[[#This Row],[المتبقي من المنحة]]&lt;0,0,بيان.معاشات.القاهرة[[#This Row],[المتبقي من المنحة]])</f>
        <v>10511.870000000003</v>
      </c>
      <c r="R98" s="53">
        <v>28405011702495</v>
      </c>
      <c r="S98" s="46" t="s">
        <v>78</v>
      </c>
      <c r="T98" s="46" t="s">
        <v>221</v>
      </c>
      <c r="U98" s="76"/>
      <c r="V98" s="46">
        <v>6500</v>
      </c>
      <c r="W98" s="46">
        <v>13556.18</v>
      </c>
      <c r="X9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24362.14</v>
      </c>
      <c r="Y98" s="46">
        <f>SUM(بيان.معاشات.القاهرة[[#This Row],[يناير-23]:[ديسمبر-23]])</f>
        <v>4305.96</v>
      </c>
      <c r="Z98" s="46">
        <v>805.96</v>
      </c>
      <c r="AA98" s="46">
        <v>500</v>
      </c>
      <c r="AB98" s="46">
        <v>1000</v>
      </c>
      <c r="AC98" s="46">
        <v>1000</v>
      </c>
      <c r="AD98" s="46">
        <v>1000</v>
      </c>
      <c r="AE98" s="46"/>
      <c r="AF98" s="46"/>
      <c r="AG98" s="46"/>
      <c r="AH98" s="46"/>
      <c r="AI98" s="46"/>
      <c r="AJ98" s="46"/>
      <c r="AK98" s="46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</row>
    <row r="99" spans="1:116" s="99" customFormat="1" ht="21" x14ac:dyDescent="0.35">
      <c r="A99"/>
      <c r="B99"/>
      <c r="C99" s="61">
        <v>7</v>
      </c>
      <c r="D99" s="46" t="s">
        <v>85</v>
      </c>
      <c r="E99" s="61" t="s">
        <v>86</v>
      </c>
      <c r="F99" s="50">
        <v>43948</v>
      </c>
      <c r="G99" s="50"/>
      <c r="H99" s="46">
        <v>54086.5</v>
      </c>
      <c r="I99" s="46"/>
      <c r="J99" s="46">
        <v>8458.48</v>
      </c>
      <c r="K99" s="61">
        <v>46</v>
      </c>
      <c r="L99" s="46">
        <f>SUM(بيان.معاشات.القاهرة[[#This Row],[منحة 6شهور]:[مقابل نقدي]])</f>
        <v>62544.979999999996</v>
      </c>
      <c r="M99" s="46">
        <f>بيان.معاشات.القاهرة[[#This Row],[إجمالي الدفعات]]</f>
        <v>22150.34</v>
      </c>
      <c r="N99" s="46">
        <f>بيان.معاشات.القاهرة[[#This Row],[إجمالي المستحق]]-بيان.معاشات.القاهرة[[#This Row],[المنصرف]]</f>
        <v>40394.639999999999</v>
      </c>
      <c r="O99" s="46">
        <f>IF(بيان.معاشات.القاهرة[[#This Row],[المتبقي]]&lt;0,0,بيان.معاشات.القاهرة[[#This Row],[المتبقي]])</f>
        <v>40394.639999999999</v>
      </c>
      <c r="P99" s="48">
        <f>(بيان.معاشات.القاهرة[[#This Row],[منحة 6شهور]]+بيان.معاشات.القاهرة[[#This Row],[مستحقات]])-بيان.معاشات.القاهرة[[#This Row],[المنصرف]]</f>
        <v>31936.16</v>
      </c>
      <c r="Q99" s="48">
        <f>IF(بيان.معاشات.القاهرة[[#This Row],[المتبقي من المنحة]]&lt;0,0,بيان.معاشات.القاهرة[[#This Row],[المتبقي من المنحة]])</f>
        <v>31936.16</v>
      </c>
      <c r="R99" s="53">
        <v>28303050101175</v>
      </c>
      <c r="S99" s="46" t="s">
        <v>87</v>
      </c>
      <c r="T99" s="46" t="s">
        <v>221</v>
      </c>
      <c r="U99" s="76"/>
      <c r="V99" s="46">
        <v>3953.69</v>
      </c>
      <c r="W99" s="46">
        <v>13196.65</v>
      </c>
      <c r="X9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22150.34</v>
      </c>
      <c r="Y99" s="46">
        <f>SUM(بيان.معاشات.القاهرة[[#This Row],[يناير-23]:[ديسمبر-23]])</f>
        <v>5000</v>
      </c>
      <c r="Z99" s="46">
        <v>1000</v>
      </c>
      <c r="AA99" s="46">
        <v>1000</v>
      </c>
      <c r="AB99" s="46">
        <v>1000</v>
      </c>
      <c r="AC99" s="46">
        <v>1000</v>
      </c>
      <c r="AD99" s="46">
        <v>1000</v>
      </c>
      <c r="AE99" s="46"/>
      <c r="AF99" s="46"/>
      <c r="AG99" s="46"/>
      <c r="AH99" s="46"/>
      <c r="AI99" s="46"/>
      <c r="AJ99" s="46"/>
      <c r="AK99" s="46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</row>
    <row r="100" spans="1:116" s="99" customFormat="1" ht="21" x14ac:dyDescent="0.35">
      <c r="A100"/>
      <c r="B100"/>
      <c r="C100" s="61">
        <v>8</v>
      </c>
      <c r="D100" s="46" t="s">
        <v>91</v>
      </c>
      <c r="E100" s="61" t="s">
        <v>92</v>
      </c>
      <c r="F100" s="50">
        <v>43590</v>
      </c>
      <c r="G100" s="50"/>
      <c r="H100" s="46">
        <v>19225.740000000002</v>
      </c>
      <c r="I100" s="46"/>
      <c r="J100" s="46">
        <v>14940</v>
      </c>
      <c r="K100" s="61">
        <v>90</v>
      </c>
      <c r="L100" s="46">
        <f>SUM(بيان.معاشات.القاهرة[[#This Row],[منحة 6شهور]:[مقابل نقدي]])</f>
        <v>34165.740000000005</v>
      </c>
      <c r="M100" s="46">
        <f>بيان.معاشات.القاهرة[[#This Row],[إجمالي الدفعات]]</f>
        <v>31165.74</v>
      </c>
      <c r="N100" s="46">
        <f>بيان.معاشات.القاهرة[[#This Row],[إجمالي المستحق]]-بيان.معاشات.القاهرة[[#This Row],[المنصرف]]</f>
        <v>3000.0000000000036</v>
      </c>
      <c r="O100" s="46">
        <f>IF(بيان.معاشات.القاهرة[[#This Row],[المتبقي]]&lt;0,0,بيان.معاشات.القاهرة[[#This Row],[المتبقي]])</f>
        <v>3000.0000000000036</v>
      </c>
      <c r="P100" s="48">
        <f>(بيان.معاشات.القاهرة[[#This Row],[منحة 6شهور]]+بيان.معاشات.القاهرة[[#This Row],[مستحقات]])-بيان.معاشات.القاهرة[[#This Row],[المنصرف]]</f>
        <v>-11940</v>
      </c>
      <c r="Q100" s="48">
        <f>IF(بيان.معاشات.القاهرة[[#This Row],[المتبقي من المنحة]]&lt;0,0,بيان.معاشات.القاهرة[[#This Row],[المتبقي من المنحة]])</f>
        <v>0</v>
      </c>
      <c r="R100" s="53">
        <v>27004091600088</v>
      </c>
      <c r="S100" s="46" t="s">
        <v>459</v>
      </c>
      <c r="T100" s="46" t="s">
        <v>234</v>
      </c>
      <c r="U100" s="76"/>
      <c r="V100" s="46">
        <v>9895.7099999999991</v>
      </c>
      <c r="W100" s="46">
        <v>16135.01</v>
      </c>
      <c r="X10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31165.74</v>
      </c>
      <c r="Y100" s="46">
        <f>SUM(بيان.معاشات.القاهرة[[#This Row],[يناير-23]:[ديسمبر-23]])</f>
        <v>5135.0200000000004</v>
      </c>
      <c r="Z100" s="46">
        <v>500</v>
      </c>
      <c r="AA100" s="46">
        <v>1317.51</v>
      </c>
      <c r="AB100" s="46">
        <v>1000</v>
      </c>
      <c r="AC100" s="46">
        <v>1317.51</v>
      </c>
      <c r="AD100" s="46">
        <v>1000</v>
      </c>
      <c r="AE100" s="46"/>
      <c r="AF100" s="46"/>
      <c r="AG100" s="46"/>
      <c r="AH100" s="46"/>
      <c r="AI100" s="46"/>
      <c r="AJ100" s="46"/>
      <c r="AK100" s="46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</row>
    <row r="101" spans="1:116" s="99" customFormat="1" ht="21" x14ac:dyDescent="0.35">
      <c r="A101"/>
      <c r="B101"/>
      <c r="C101" s="61">
        <v>9</v>
      </c>
      <c r="D101" s="46" t="s">
        <v>34</v>
      </c>
      <c r="E101" s="61" t="s">
        <v>35</v>
      </c>
      <c r="F101" s="50">
        <v>43989</v>
      </c>
      <c r="G101" s="50"/>
      <c r="H101" s="46">
        <v>19208.759999999998</v>
      </c>
      <c r="I101" s="46"/>
      <c r="J101" s="46">
        <v>15250.5</v>
      </c>
      <c r="K101" s="61">
        <v>90</v>
      </c>
      <c r="L101" s="46">
        <f>SUM(بيان.معاشات.القاهرة[[#This Row],[منحة 6شهور]:[مقابل نقدي]])</f>
        <v>34459.259999999995</v>
      </c>
      <c r="M101" s="46">
        <f>بيان.معاشات.القاهرة[[#This Row],[إجمالي الدفعات]]</f>
        <v>23000</v>
      </c>
      <c r="N101" s="46">
        <f>بيان.معاشات.القاهرة[[#This Row],[إجمالي المستحق]]-بيان.معاشات.القاهرة[[#This Row],[المنصرف]]</f>
        <v>11459.259999999995</v>
      </c>
      <c r="O101" s="46">
        <f>IF(بيان.معاشات.القاهرة[[#This Row],[المتبقي]]&lt;0,0,بيان.معاشات.القاهرة[[#This Row],[المتبقي]])</f>
        <v>11459.259999999995</v>
      </c>
      <c r="P101" s="48">
        <f>(بيان.معاشات.القاهرة[[#This Row],[منحة 6شهور]]+بيان.معاشات.القاهرة[[#This Row],[مستحقات]])-بيان.معاشات.القاهرة[[#This Row],[المنصرف]]</f>
        <v>-3791.2400000000016</v>
      </c>
      <c r="Q101" s="48">
        <f>IF(بيان.معاشات.القاهرة[[#This Row],[المتبقي من المنحة]]&lt;0,0,بيان.معاشات.القاهرة[[#This Row],[المتبقي من المنحة]])</f>
        <v>0</v>
      </c>
      <c r="R101" s="53">
        <v>29701010116756</v>
      </c>
      <c r="S101" s="46" t="s">
        <v>36</v>
      </c>
      <c r="T101" s="46" t="s">
        <v>222</v>
      </c>
      <c r="U101" s="76"/>
      <c r="V101" s="46">
        <v>5000</v>
      </c>
      <c r="W101" s="46">
        <v>13000</v>
      </c>
      <c r="X10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23000</v>
      </c>
      <c r="Y101" s="46">
        <f>SUM(بيان.معاشات.القاهرة[[#This Row],[يناير-23]:[ديسمبر-23]])</f>
        <v>5000</v>
      </c>
      <c r="Z101" s="46">
        <v>1000</v>
      </c>
      <c r="AA101" s="46">
        <v>1000</v>
      </c>
      <c r="AB101" s="46">
        <v>1000</v>
      </c>
      <c r="AC101" s="46">
        <v>1000</v>
      </c>
      <c r="AD101" s="46">
        <v>1000</v>
      </c>
      <c r="AE101" s="46"/>
      <c r="AF101" s="46"/>
      <c r="AG101" s="46"/>
      <c r="AH101" s="46"/>
      <c r="AI101" s="46"/>
      <c r="AJ101" s="46"/>
      <c r="AK101" s="46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</row>
    <row r="102" spans="1:116" s="99" customFormat="1" ht="21" x14ac:dyDescent="0.35">
      <c r="A102"/>
      <c r="B102"/>
      <c r="C102" s="61">
        <v>10</v>
      </c>
      <c r="D102" s="46" t="s">
        <v>93</v>
      </c>
      <c r="E102" s="61" t="s">
        <v>94</v>
      </c>
      <c r="F102" s="50">
        <v>44237</v>
      </c>
      <c r="G102" s="50"/>
      <c r="H102" s="46">
        <v>32326.959999999999</v>
      </c>
      <c r="I102" s="46"/>
      <c r="J102" s="46">
        <v>12724.2</v>
      </c>
      <c r="K102" s="61">
        <v>90</v>
      </c>
      <c r="L102" s="46">
        <f>SUM(بيان.معاشات.القاهرة[[#This Row],[منحة 6شهور]:[مقابل نقدي]])</f>
        <v>45051.16</v>
      </c>
      <c r="M102" s="46">
        <f>بيان.معاشات.القاهرة[[#This Row],[إجمالي الدفعات]]</f>
        <v>19500</v>
      </c>
      <c r="N102" s="46">
        <f>بيان.معاشات.القاهرة[[#This Row],[إجمالي المستحق]]-بيان.معاشات.القاهرة[[#This Row],[المنصرف]]</f>
        <v>25551.160000000003</v>
      </c>
      <c r="O102" s="46">
        <f>IF(بيان.معاشات.القاهرة[[#This Row],[المتبقي]]&lt;0,0,بيان.معاشات.القاهرة[[#This Row],[المتبقي]])</f>
        <v>25551.160000000003</v>
      </c>
      <c r="P102" s="48">
        <f>(بيان.معاشات.القاهرة[[#This Row],[منحة 6شهور]]+بيان.معاشات.القاهرة[[#This Row],[مستحقات]])-بيان.معاشات.القاهرة[[#This Row],[المنصرف]]</f>
        <v>12826.96</v>
      </c>
      <c r="Q102" s="48">
        <f>IF(بيان.معاشات.القاهرة[[#This Row],[المتبقي من المنحة]]&lt;0,0,بيان.معاشات.القاهرة[[#This Row],[المتبقي من المنحة]])</f>
        <v>12826.96</v>
      </c>
      <c r="R102" s="53">
        <v>27403041902961</v>
      </c>
      <c r="S102" s="46" t="s">
        <v>95</v>
      </c>
      <c r="T102" s="46" t="s">
        <v>234</v>
      </c>
      <c r="U102" s="76"/>
      <c r="V102" s="46">
        <v>4000</v>
      </c>
      <c r="W102" s="46">
        <v>10500</v>
      </c>
      <c r="X10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19500</v>
      </c>
      <c r="Y102" s="46">
        <f>SUM(بيان.معاشات.القاهرة[[#This Row],[يناير-23]:[ديسمبر-23]])</f>
        <v>5000</v>
      </c>
      <c r="Z102" s="46">
        <v>1000</v>
      </c>
      <c r="AA102" s="46">
        <v>1000</v>
      </c>
      <c r="AB102" s="46">
        <v>1000</v>
      </c>
      <c r="AC102" s="46">
        <v>1000</v>
      </c>
      <c r="AD102" s="46">
        <v>1000</v>
      </c>
      <c r="AE102" s="46"/>
      <c r="AF102" s="46"/>
      <c r="AG102" s="46"/>
      <c r="AH102" s="46"/>
      <c r="AI102" s="46"/>
      <c r="AJ102" s="46"/>
      <c r="AK102" s="46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</row>
    <row r="103" spans="1:116" s="99" customFormat="1" ht="21" x14ac:dyDescent="0.35">
      <c r="A103"/>
      <c r="B103"/>
      <c r="C103" s="61">
        <v>11</v>
      </c>
      <c r="D103" s="46" t="s">
        <v>82</v>
      </c>
      <c r="E103" s="61" t="s">
        <v>83</v>
      </c>
      <c r="F103" s="50">
        <v>42852</v>
      </c>
      <c r="G103" s="50"/>
      <c r="H103" s="46">
        <v>26604.59</v>
      </c>
      <c r="I103" s="46"/>
      <c r="J103" s="46">
        <v>10019.700000000001</v>
      </c>
      <c r="K103" s="61">
        <v>90</v>
      </c>
      <c r="L103" s="46">
        <f>SUM(بيان.معاشات.القاهرة[[#This Row],[منحة 6شهور]:[مقابل نقدي]])</f>
        <v>36624.29</v>
      </c>
      <c r="M103" s="46">
        <f>بيان.معاشات.القاهرة[[#This Row],[إجمالي الدفعات]]</f>
        <v>31380.47</v>
      </c>
      <c r="N103" s="46">
        <f>بيان.معاشات.القاهرة[[#This Row],[إجمالي المستحق]]-بيان.معاشات.القاهرة[[#This Row],[المنصرف]]</f>
        <v>5243.82</v>
      </c>
      <c r="O103" s="46">
        <f>IF(بيان.معاشات.القاهرة[[#This Row],[المتبقي]]&lt;0,0,بيان.معاشات.القاهرة[[#This Row],[المتبقي]])</f>
        <v>5243.82</v>
      </c>
      <c r="P103" s="48">
        <f>(بيان.معاشات.القاهرة[[#This Row],[منحة 6شهور]]+بيان.معاشات.القاهرة[[#This Row],[مستحقات]])-بيان.معاشات.القاهرة[[#This Row],[المنصرف]]</f>
        <v>-4775.880000000001</v>
      </c>
      <c r="Q103" s="48">
        <f>IF(بيان.معاشات.القاهرة[[#This Row],[المتبقي من المنحة]]&lt;0,0,بيان.معاشات.القاهرة[[#This Row],[المتبقي من المنحة]])</f>
        <v>0</v>
      </c>
      <c r="R103" s="53">
        <v>28905010103311</v>
      </c>
      <c r="S103" s="46" t="s">
        <v>84</v>
      </c>
      <c r="T103" s="46" t="s">
        <v>234</v>
      </c>
      <c r="U103" s="76"/>
      <c r="V103" s="46">
        <v>14380.47</v>
      </c>
      <c r="W103" s="46">
        <v>12500</v>
      </c>
      <c r="X10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31380.47</v>
      </c>
      <c r="Y103" s="46">
        <f>SUM(بيان.معاشات.القاهرة[[#This Row],[يناير-23]:[ديسمبر-23]])</f>
        <v>4500</v>
      </c>
      <c r="Z103" s="46">
        <v>500</v>
      </c>
      <c r="AA103" s="46">
        <v>1000</v>
      </c>
      <c r="AB103" s="46">
        <v>1000</v>
      </c>
      <c r="AC103" s="46">
        <v>1000</v>
      </c>
      <c r="AD103" s="46">
        <v>1000</v>
      </c>
      <c r="AE103" s="46"/>
      <c r="AF103" s="46"/>
      <c r="AG103" s="46"/>
      <c r="AH103" s="46"/>
      <c r="AI103" s="46"/>
      <c r="AJ103" s="46"/>
      <c r="AK103" s="46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</row>
    <row r="104" spans="1:116" s="99" customFormat="1" ht="21" x14ac:dyDescent="0.35">
      <c r="A104"/>
      <c r="B104"/>
      <c r="C104" s="61">
        <v>12</v>
      </c>
      <c r="D104" s="46" t="s">
        <v>79</v>
      </c>
      <c r="E104" s="61" t="s">
        <v>80</v>
      </c>
      <c r="F104" s="50">
        <v>43259</v>
      </c>
      <c r="G104" s="50"/>
      <c r="H104" s="46">
        <v>19685.439999999999</v>
      </c>
      <c r="I104" s="46"/>
      <c r="J104" s="46">
        <v>7127.68</v>
      </c>
      <c r="K104" s="61">
        <v>64</v>
      </c>
      <c r="L104" s="46">
        <f>SUM(بيان.معاشات.القاهرة[[#This Row],[منحة 6شهور]:[مقابل نقدي]])</f>
        <v>26813.119999999999</v>
      </c>
      <c r="M104" s="46">
        <f>بيان.معاشات.القاهرة[[#This Row],[إجمالي الدفعات]]</f>
        <v>21227.05</v>
      </c>
      <c r="N104" s="46">
        <f>بيان.معاشات.القاهرة[[#This Row],[إجمالي المستحق]]-بيان.معاشات.القاهرة[[#This Row],[المنصرف]]</f>
        <v>5586.07</v>
      </c>
      <c r="O104" s="46">
        <f>IF(بيان.معاشات.القاهرة[[#This Row],[المتبقي]]&lt;0,0,بيان.معاشات.القاهرة[[#This Row],[المتبقي]])</f>
        <v>5586.07</v>
      </c>
      <c r="P104" s="48">
        <f>(بيان.معاشات.القاهرة[[#This Row],[منحة 6شهور]]+بيان.معاشات.القاهرة[[#This Row],[مستحقات]])-بيان.معاشات.القاهرة[[#This Row],[المنصرف]]</f>
        <v>-1541.6100000000006</v>
      </c>
      <c r="Q104" s="48">
        <f>IF(بيان.معاشات.القاهرة[[#This Row],[المتبقي من المنحة]]&lt;0,0,بيان.معاشات.القاهرة[[#This Row],[المتبقي من المنحة]])</f>
        <v>0</v>
      </c>
      <c r="R104" s="53"/>
      <c r="S104" s="46" t="s">
        <v>81</v>
      </c>
      <c r="T104" s="46" t="s">
        <v>221</v>
      </c>
      <c r="U104" s="76"/>
      <c r="V104" s="46">
        <v>14588.02</v>
      </c>
      <c r="W104" s="46">
        <v>6639.03</v>
      </c>
      <c r="X10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21227.05</v>
      </c>
      <c r="Y104" s="46">
        <f>SUM(بيان.معاشات.القاهرة[[#This Row],[يناير-23]:[ديسمبر-23]])</f>
        <v>0</v>
      </c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</row>
    <row r="105" spans="1:116" s="99" customFormat="1" ht="21" x14ac:dyDescent="0.35">
      <c r="A105"/>
      <c r="B105"/>
      <c r="C105" s="61">
        <v>13</v>
      </c>
      <c r="D105" s="46" t="s">
        <v>236</v>
      </c>
      <c r="E105" s="61" t="s">
        <v>237</v>
      </c>
      <c r="F105" s="50">
        <v>44731</v>
      </c>
      <c r="G105" s="50">
        <v>44731</v>
      </c>
      <c r="H105" s="46">
        <v>19784.64</v>
      </c>
      <c r="I105" s="46">
        <v>18468.990000000002</v>
      </c>
      <c r="J105" s="46">
        <v>11600.1</v>
      </c>
      <c r="K105" s="61">
        <v>90</v>
      </c>
      <c r="L105" s="46">
        <f>SUM(بيان.معاشات.القاهرة[[#This Row],[منحة 6شهور]:[مقابل نقدي]])</f>
        <v>49853.73</v>
      </c>
      <c r="M105" s="46">
        <f>بيان.معاشات.القاهرة[[#This Row],[إجمالي الدفعات]]</f>
        <v>18181.05</v>
      </c>
      <c r="N105" s="46">
        <f>بيان.معاشات.القاهرة[[#This Row],[إجمالي المستحق]]-بيان.معاشات.القاهرة[[#This Row],[المنصرف]]</f>
        <v>31672.680000000004</v>
      </c>
      <c r="O105" s="46">
        <f>IF(بيان.معاشات.القاهرة[[#This Row],[المتبقي]]&lt;0,0,بيان.معاشات.القاهرة[[#This Row],[المتبقي]])</f>
        <v>31672.680000000004</v>
      </c>
      <c r="P105" s="48">
        <f>(بيان.معاشات.القاهرة[[#This Row],[منحة 6شهور]]+بيان.معاشات.القاهرة[[#This Row],[مستحقات]])-بيان.معاشات.القاهرة[[#This Row],[المنصرف]]</f>
        <v>20072.580000000005</v>
      </c>
      <c r="Q105" s="48">
        <f>IF(بيان.معاشات.القاهرة[[#This Row],[المتبقي من المنحة]]&lt;0,0,بيان.معاشات.القاهرة[[#This Row],[المتبقي من المنحة]])</f>
        <v>20072.580000000005</v>
      </c>
      <c r="R105" s="53">
        <v>30008280102933</v>
      </c>
      <c r="S105" s="46" t="s">
        <v>440</v>
      </c>
      <c r="T105" s="46"/>
      <c r="U105" s="76"/>
      <c r="V105" s="46"/>
      <c r="W105" s="46">
        <v>9181.0499999999993</v>
      </c>
      <c r="X105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18181.05</v>
      </c>
      <c r="Y105" s="46">
        <f>SUM(بيان.معاشات.القاهرة[[#This Row],[يناير-23]:[ديسمبر-23]])</f>
        <v>9000</v>
      </c>
      <c r="Z105" s="46">
        <v>1000</v>
      </c>
      <c r="AA105" s="46">
        <v>2000</v>
      </c>
      <c r="AB105" s="46">
        <v>2000</v>
      </c>
      <c r="AC105" s="46">
        <v>2000</v>
      </c>
      <c r="AD105" s="46">
        <v>2000</v>
      </c>
      <c r="AE105" s="46"/>
      <c r="AF105" s="46"/>
      <c r="AG105" s="46"/>
      <c r="AH105" s="46"/>
      <c r="AI105" s="46"/>
      <c r="AJ105" s="46"/>
      <c r="AK105" s="46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</row>
    <row r="106" spans="1:116" s="99" customFormat="1" ht="21" x14ac:dyDescent="0.35">
      <c r="A106"/>
      <c r="B106"/>
      <c r="C106" s="61">
        <v>14</v>
      </c>
      <c r="D106" s="46" t="s">
        <v>244</v>
      </c>
      <c r="E106" s="61" t="s">
        <v>245</v>
      </c>
      <c r="F106" s="50">
        <v>44825</v>
      </c>
      <c r="G106" s="50">
        <v>44825</v>
      </c>
      <c r="H106" s="46">
        <v>17265.599999999999</v>
      </c>
      <c r="I106" s="46">
        <f>22614.62+7913.71</f>
        <v>30528.329999999998</v>
      </c>
      <c r="J106" s="46">
        <v>15399.9</v>
      </c>
      <c r="K106" s="61">
        <v>90</v>
      </c>
      <c r="L106" s="46">
        <f>SUM(بيان.معاشات.القاهرة[[#This Row],[منحة 6شهور]:[مقابل نقدي]])</f>
        <v>63193.829999999994</v>
      </c>
      <c r="M106" s="46">
        <f>بيان.معاشات.القاهرة[[#This Row],[إجمالي الدفعات]]</f>
        <v>13000</v>
      </c>
      <c r="N106" s="46">
        <f>بيان.معاشات.القاهرة[[#This Row],[إجمالي المستحق]]-بيان.معاشات.القاهرة[[#This Row],[المنصرف]]</f>
        <v>50193.829999999994</v>
      </c>
      <c r="O106" s="46">
        <f>IF(بيان.معاشات.القاهرة[[#This Row],[المتبقي]]&lt;0,0,بيان.معاشات.القاهرة[[#This Row],[المتبقي]])</f>
        <v>50193.829999999994</v>
      </c>
      <c r="P106" s="48">
        <f>(بيان.معاشات.القاهرة[[#This Row],[منحة 6شهور]]+بيان.معاشات.القاهرة[[#This Row],[مستحقات]])-بيان.معاشات.القاهرة[[#This Row],[المنصرف]]</f>
        <v>34793.929999999993</v>
      </c>
      <c r="Q106" s="48">
        <f>IF(بيان.معاشات.القاهرة[[#This Row],[المتبقي من المنحة]]&lt;0,0,بيان.معاشات.القاهرة[[#This Row],[المتبقي من المنحة]])</f>
        <v>34793.929999999993</v>
      </c>
      <c r="R106" s="53">
        <v>25212242700971</v>
      </c>
      <c r="S106" s="46" t="s">
        <v>474</v>
      </c>
      <c r="T106" s="46"/>
      <c r="U106" s="76"/>
      <c r="V106" s="46"/>
      <c r="W106" s="46">
        <v>2500</v>
      </c>
      <c r="X106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13000</v>
      </c>
      <c r="Y106" s="46">
        <f>SUM(بيان.معاشات.القاهرة[[#This Row],[يناير-23]:[ديسمبر-23]])</f>
        <v>10500</v>
      </c>
      <c r="Z106" s="46">
        <v>2000</v>
      </c>
      <c r="AA106" s="46">
        <v>2000</v>
      </c>
      <c r="AB106" s="46">
        <v>2000</v>
      </c>
      <c r="AC106" s="46">
        <v>2500</v>
      </c>
      <c r="AD106" s="46">
        <v>2000</v>
      </c>
      <c r="AE106" s="46"/>
      <c r="AF106" s="46"/>
      <c r="AG106" s="46"/>
      <c r="AH106" s="46"/>
      <c r="AI106" s="46"/>
      <c r="AJ106" s="46"/>
      <c r="AK106" s="4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</row>
    <row r="107" spans="1:116" s="99" customFormat="1" ht="21" x14ac:dyDescent="0.35">
      <c r="A107"/>
      <c r="B107"/>
      <c r="C107" s="61">
        <v>15</v>
      </c>
      <c r="D107" s="46" t="s">
        <v>441</v>
      </c>
      <c r="E107" s="61" t="s">
        <v>450</v>
      </c>
      <c r="F107" s="50">
        <v>43873</v>
      </c>
      <c r="G107" s="50">
        <v>43873</v>
      </c>
      <c r="H107" s="46">
        <v>9169.66</v>
      </c>
      <c r="I107" s="46">
        <f>2624.08+5184.27+972.96+1047.97</f>
        <v>9829.2800000000007</v>
      </c>
      <c r="J107" s="46">
        <v>3453.52</v>
      </c>
      <c r="K107" s="61">
        <v>28</v>
      </c>
      <c r="L107" s="46">
        <f>SUM(بيان.معاشات.القاهرة[[#This Row],[منحة 6شهور]:[مقابل نقدي]])</f>
        <v>22452.460000000003</v>
      </c>
      <c r="M107" s="46">
        <f>بيان.معاشات.القاهرة[[#This Row],[إجمالي الدفعات]]</f>
        <v>5408.14</v>
      </c>
      <c r="N107" s="46">
        <f>بيان.معاشات.القاهرة[[#This Row],[إجمالي المستحق]]-بيان.معاشات.القاهرة[[#This Row],[المنصرف]]</f>
        <v>17044.320000000003</v>
      </c>
      <c r="O107" s="46">
        <f>IF(بيان.معاشات.القاهرة[[#This Row],[المتبقي]]&lt;0,0,بيان.معاشات.القاهرة[[#This Row],[المتبقي]])</f>
        <v>17044.320000000003</v>
      </c>
      <c r="P107" s="48">
        <f>(بيان.معاشات.القاهرة[[#This Row],[منحة 6شهور]]+بيان.معاشات.القاهرة[[#This Row],[مستحقات]])-بيان.معاشات.القاهرة[[#This Row],[المنصرف]]</f>
        <v>13590.800000000003</v>
      </c>
      <c r="Q107" s="48">
        <f>IF(بيان.معاشات.القاهرة[[#This Row],[المتبقي من المنحة]]&lt;0,0,بيان.معاشات.القاهرة[[#This Row],[المتبقي من المنحة]])</f>
        <v>13590.800000000003</v>
      </c>
      <c r="R107" s="53"/>
      <c r="S107" s="46"/>
      <c r="T107" s="46"/>
      <c r="U107" s="76"/>
      <c r="V107" s="46"/>
      <c r="W107" s="46">
        <v>0</v>
      </c>
      <c r="X107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5408.14</v>
      </c>
      <c r="Y107" s="46">
        <f>SUM(بيان.معاشات.القاهرة[[#This Row],[يناير-23]:[ديسمبر-23]])</f>
        <v>5408.14</v>
      </c>
      <c r="Z107" s="46"/>
      <c r="AA107" s="46"/>
      <c r="AB107" s="46">
        <v>5408.14</v>
      </c>
      <c r="AC107" s="46"/>
      <c r="AD107" s="46"/>
      <c r="AE107" s="46"/>
      <c r="AF107" s="46"/>
      <c r="AG107" s="46"/>
      <c r="AH107" s="46"/>
      <c r="AI107" s="46"/>
      <c r="AJ107" s="46"/>
      <c r="AK107" s="46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</row>
    <row r="108" spans="1:116" s="99" customFormat="1" ht="21" x14ac:dyDescent="0.35">
      <c r="A108"/>
      <c r="B108"/>
      <c r="C108" s="61"/>
      <c r="D108" s="46"/>
      <c r="E108" s="61"/>
      <c r="F108" s="50"/>
      <c r="G108" s="50"/>
      <c r="H108" s="46"/>
      <c r="I108" s="46"/>
      <c r="J108" s="46"/>
      <c r="K108" s="61"/>
      <c r="L108" s="46">
        <f>SUM(بيان.معاشات.القاهرة[[#This Row],[منحة 6شهور]:[مقابل نقدي]])</f>
        <v>0</v>
      </c>
      <c r="M108" s="46">
        <f>بيان.معاشات.القاهرة[[#This Row],[إجمالي الدفعات]]</f>
        <v>0</v>
      </c>
      <c r="N108" s="46">
        <f>بيان.معاشات.القاهرة[[#This Row],[إجمالي المستحق]]-بيان.معاشات.القاهرة[[#This Row],[المنصرف]]</f>
        <v>0</v>
      </c>
      <c r="O108" s="46">
        <f>IF(بيان.معاشات.القاهرة[[#This Row],[المتبقي]]&lt;0,0,بيان.معاشات.القاهرة[[#This Row],[المتبقي]])</f>
        <v>0</v>
      </c>
      <c r="P108" s="48">
        <f>(بيان.معاشات.القاهرة[[#This Row],[منحة 6شهور]]+بيان.معاشات.القاهرة[[#This Row],[مستحقات]])-بيان.معاشات.القاهرة[[#This Row],[المنصرف]]</f>
        <v>0</v>
      </c>
      <c r="Q108" s="48">
        <f>IF(بيان.معاشات.القاهرة[[#This Row],[المتبقي من المنحة]]&lt;0,0,بيان.معاشات.القاهرة[[#This Row],[المتبقي من المنحة]])</f>
        <v>0</v>
      </c>
      <c r="R108" s="53"/>
      <c r="S108" s="46"/>
      <c r="T108" s="46"/>
      <c r="U108" s="76"/>
      <c r="V108" s="46"/>
      <c r="W108" s="46"/>
      <c r="X108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08" s="46">
        <f>SUM(بيان.معاشات.القاهرة[[#This Row],[يناير-23]:[ديسمبر-23]])</f>
        <v>0</v>
      </c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</row>
    <row r="109" spans="1:116" s="99" customFormat="1" ht="21" x14ac:dyDescent="0.35">
      <c r="A109"/>
      <c r="B109"/>
      <c r="C109" s="61"/>
      <c r="D109" s="46"/>
      <c r="E109" s="61"/>
      <c r="F109" s="50"/>
      <c r="G109" s="50"/>
      <c r="H109" s="46"/>
      <c r="I109" s="46"/>
      <c r="J109" s="46"/>
      <c r="K109" s="61"/>
      <c r="L109" s="46">
        <f>SUM(بيان.معاشات.القاهرة[[#This Row],[منحة 6شهور]:[مقابل نقدي]])</f>
        <v>0</v>
      </c>
      <c r="M109" s="46">
        <f>بيان.معاشات.القاهرة[[#This Row],[إجمالي الدفعات]]</f>
        <v>0</v>
      </c>
      <c r="N109" s="46">
        <f>بيان.معاشات.القاهرة[[#This Row],[إجمالي المستحق]]-بيان.معاشات.القاهرة[[#This Row],[المنصرف]]</f>
        <v>0</v>
      </c>
      <c r="O109" s="46">
        <f>IF(بيان.معاشات.القاهرة[[#This Row],[المتبقي]]&lt;0,0,بيان.معاشات.القاهرة[[#This Row],[المتبقي]])</f>
        <v>0</v>
      </c>
      <c r="P109" s="48">
        <f>(بيان.معاشات.القاهرة[[#This Row],[منحة 6شهور]]+بيان.معاشات.القاهرة[[#This Row],[مستحقات]])-بيان.معاشات.القاهرة[[#This Row],[المنصرف]]</f>
        <v>0</v>
      </c>
      <c r="Q109" s="48">
        <f>IF(بيان.معاشات.القاهرة[[#This Row],[المتبقي من المنحة]]&lt;0,0,بيان.معاشات.القاهرة[[#This Row],[المتبقي من المنحة]])</f>
        <v>0</v>
      </c>
      <c r="R109" s="53"/>
      <c r="S109" s="46"/>
      <c r="T109" s="46"/>
      <c r="U109" s="76"/>
      <c r="V109" s="46"/>
      <c r="W109" s="46"/>
      <c r="X109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09" s="46">
        <f>SUM(بيان.معاشات.القاهرة[[#This Row],[يناير-23]:[ديسمبر-23]])</f>
        <v>0</v>
      </c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</row>
    <row r="110" spans="1:116" s="99" customFormat="1" ht="21" x14ac:dyDescent="0.35">
      <c r="A110"/>
      <c r="B110"/>
      <c r="C110" s="61"/>
      <c r="D110" s="46"/>
      <c r="E110" s="61"/>
      <c r="F110" s="50"/>
      <c r="G110" s="50"/>
      <c r="H110" s="46"/>
      <c r="I110" s="46"/>
      <c r="J110" s="46"/>
      <c r="K110" s="61"/>
      <c r="L110" s="46">
        <f>SUM(بيان.معاشات.القاهرة[[#This Row],[منحة 6شهور]:[مقابل نقدي]])</f>
        <v>0</v>
      </c>
      <c r="M110" s="46">
        <f>بيان.معاشات.القاهرة[[#This Row],[إجمالي الدفعات]]</f>
        <v>0</v>
      </c>
      <c r="N110" s="46">
        <f>بيان.معاشات.القاهرة[[#This Row],[إجمالي المستحق]]-بيان.معاشات.القاهرة[[#This Row],[المنصرف]]</f>
        <v>0</v>
      </c>
      <c r="O110" s="46">
        <f>IF(بيان.معاشات.القاهرة[[#This Row],[المتبقي]]&lt;0,0,بيان.معاشات.القاهرة[[#This Row],[المتبقي]])</f>
        <v>0</v>
      </c>
      <c r="P110" s="48">
        <f>(بيان.معاشات.القاهرة[[#This Row],[منحة 6شهور]]+بيان.معاشات.القاهرة[[#This Row],[مستحقات]])-بيان.معاشات.القاهرة[[#This Row],[المنصرف]]</f>
        <v>0</v>
      </c>
      <c r="Q110" s="48">
        <f>IF(بيان.معاشات.القاهرة[[#This Row],[المتبقي من المنحة]]&lt;0,0,بيان.معاشات.القاهرة[[#This Row],[المتبقي من المنحة]])</f>
        <v>0</v>
      </c>
      <c r="R110" s="53"/>
      <c r="S110" s="46"/>
      <c r="T110" s="46"/>
      <c r="U110" s="76"/>
      <c r="V110" s="46"/>
      <c r="W110" s="46"/>
      <c r="X110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10" s="46">
        <f>SUM(بيان.معاشات.القاهرة[[#This Row],[يناير-23]:[ديسمبر-23]])</f>
        <v>0</v>
      </c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</row>
    <row r="111" spans="1:116" s="99" customFormat="1" ht="21" x14ac:dyDescent="0.35">
      <c r="A111"/>
      <c r="B111"/>
      <c r="C111" s="61"/>
      <c r="D111" s="46"/>
      <c r="E111" s="61"/>
      <c r="F111" s="50"/>
      <c r="G111" s="50"/>
      <c r="H111" s="46"/>
      <c r="I111" s="46"/>
      <c r="J111" s="46"/>
      <c r="K111" s="61"/>
      <c r="L111" s="46">
        <f>SUM(بيان.معاشات.القاهرة[[#This Row],[منحة 6شهور]:[مقابل نقدي]])</f>
        <v>0</v>
      </c>
      <c r="M111" s="46">
        <f>بيان.معاشات.القاهرة[[#This Row],[إجمالي الدفعات]]</f>
        <v>0</v>
      </c>
      <c r="N111" s="46">
        <f>بيان.معاشات.القاهرة[[#This Row],[إجمالي المستحق]]-بيان.معاشات.القاهرة[[#This Row],[المنصرف]]</f>
        <v>0</v>
      </c>
      <c r="O111" s="46">
        <f>IF(بيان.معاشات.القاهرة[[#This Row],[المتبقي]]&lt;0,0,بيان.معاشات.القاهرة[[#This Row],[المتبقي]])</f>
        <v>0</v>
      </c>
      <c r="P111" s="48">
        <f>(بيان.معاشات.القاهرة[[#This Row],[منحة 6شهور]]+بيان.معاشات.القاهرة[[#This Row],[مستحقات]])-بيان.معاشات.القاهرة[[#This Row],[المنصرف]]</f>
        <v>0</v>
      </c>
      <c r="Q111" s="48">
        <f>IF(بيان.معاشات.القاهرة[[#This Row],[المتبقي من المنحة]]&lt;0,0,بيان.معاشات.القاهرة[[#This Row],[المتبقي من المنحة]])</f>
        <v>0</v>
      </c>
      <c r="R111" s="53"/>
      <c r="S111" s="46"/>
      <c r="T111" s="46"/>
      <c r="U111" s="76"/>
      <c r="V111" s="46"/>
      <c r="W111" s="46"/>
      <c r="X111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11" s="46">
        <f>SUM(بيان.معاشات.القاهرة[[#This Row],[يناير-23]:[ديسمبر-23]])</f>
        <v>0</v>
      </c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</row>
    <row r="112" spans="1:116" s="99" customFormat="1" ht="21" x14ac:dyDescent="0.35">
      <c r="A112"/>
      <c r="B112"/>
      <c r="C112" s="61"/>
      <c r="D112" s="46"/>
      <c r="E112" s="61"/>
      <c r="F112" s="50"/>
      <c r="G112" s="50"/>
      <c r="H112" s="46"/>
      <c r="I112" s="46"/>
      <c r="J112" s="46"/>
      <c r="K112" s="61"/>
      <c r="L112" s="46">
        <f>SUM(بيان.معاشات.القاهرة[[#This Row],[منحة 6شهور]:[مقابل نقدي]])</f>
        <v>0</v>
      </c>
      <c r="M112" s="46">
        <f>بيان.معاشات.القاهرة[[#This Row],[إجمالي الدفعات]]</f>
        <v>0</v>
      </c>
      <c r="N112" s="46">
        <f>بيان.معاشات.القاهرة[[#This Row],[إجمالي المستحق]]-بيان.معاشات.القاهرة[[#This Row],[المنصرف]]</f>
        <v>0</v>
      </c>
      <c r="O112" s="46">
        <f>IF(بيان.معاشات.القاهرة[[#This Row],[المتبقي]]&lt;0,0,بيان.معاشات.القاهرة[[#This Row],[المتبقي]])</f>
        <v>0</v>
      </c>
      <c r="P112" s="48">
        <f>(بيان.معاشات.القاهرة[[#This Row],[منحة 6شهور]]+بيان.معاشات.القاهرة[[#This Row],[مستحقات]])-بيان.معاشات.القاهرة[[#This Row],[المنصرف]]</f>
        <v>0</v>
      </c>
      <c r="Q112" s="48">
        <f>IF(بيان.معاشات.القاهرة[[#This Row],[المتبقي من المنحة]]&lt;0,0,بيان.معاشات.القاهرة[[#This Row],[المتبقي من المنحة]])</f>
        <v>0</v>
      </c>
      <c r="R112" s="53"/>
      <c r="S112" s="46"/>
      <c r="T112" s="46"/>
      <c r="U112" s="76"/>
      <c r="V112" s="46"/>
      <c r="W112" s="46"/>
      <c r="X112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12" s="46">
        <f>SUM(بيان.معاشات.القاهرة[[#This Row],[يناير-23]:[ديسمبر-23]])</f>
        <v>0</v>
      </c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</row>
    <row r="113" spans="1:116" s="99" customFormat="1" ht="21" x14ac:dyDescent="0.35">
      <c r="A113"/>
      <c r="B113"/>
      <c r="C113" s="61"/>
      <c r="D113" s="46"/>
      <c r="E113" s="61"/>
      <c r="F113" s="50"/>
      <c r="G113" s="50"/>
      <c r="H113" s="46"/>
      <c r="I113" s="46"/>
      <c r="J113" s="46"/>
      <c r="K113" s="61"/>
      <c r="L113" s="46">
        <f>SUM(بيان.معاشات.القاهرة[[#This Row],[منحة 6شهور]:[مقابل نقدي]])</f>
        <v>0</v>
      </c>
      <c r="M113" s="46">
        <f>بيان.معاشات.القاهرة[[#This Row],[إجمالي الدفعات]]</f>
        <v>0</v>
      </c>
      <c r="N113" s="46">
        <f>بيان.معاشات.القاهرة[[#This Row],[إجمالي المستحق]]-بيان.معاشات.القاهرة[[#This Row],[المنصرف]]</f>
        <v>0</v>
      </c>
      <c r="O113" s="46">
        <f>IF(بيان.معاشات.القاهرة[[#This Row],[المتبقي]]&lt;0,0,بيان.معاشات.القاهرة[[#This Row],[المتبقي]])</f>
        <v>0</v>
      </c>
      <c r="P113" s="48">
        <f>(بيان.معاشات.القاهرة[[#This Row],[منحة 6شهور]]+بيان.معاشات.القاهرة[[#This Row],[مستحقات]])-بيان.معاشات.القاهرة[[#This Row],[المنصرف]]</f>
        <v>0</v>
      </c>
      <c r="Q113" s="48">
        <f>IF(بيان.معاشات.القاهرة[[#This Row],[المتبقي من المنحة]]&lt;0,0,بيان.معاشات.القاهرة[[#This Row],[المتبقي من المنحة]])</f>
        <v>0</v>
      </c>
      <c r="R113" s="53"/>
      <c r="S113" s="46"/>
      <c r="T113" s="46"/>
      <c r="U113" s="76"/>
      <c r="V113" s="46"/>
      <c r="W113" s="46"/>
      <c r="X113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13" s="46">
        <f>SUM(بيان.معاشات.القاهرة[[#This Row],[يناير-23]:[ديسمبر-23]])</f>
        <v>0</v>
      </c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16" s="99" customFormat="1" ht="21" x14ac:dyDescent="0.35">
      <c r="A114"/>
      <c r="B114"/>
      <c r="C114" s="61"/>
      <c r="D114" s="46"/>
      <c r="E114" s="61"/>
      <c r="F114" s="50"/>
      <c r="G114" s="50"/>
      <c r="H114" s="46"/>
      <c r="I114" s="46"/>
      <c r="J114" s="46"/>
      <c r="K114" s="61"/>
      <c r="L114" s="46">
        <f>SUM(بيان.معاشات.القاهرة[[#This Row],[منحة 6شهور]:[مقابل نقدي]])</f>
        <v>0</v>
      </c>
      <c r="M114" s="46">
        <f>بيان.معاشات.القاهرة[[#This Row],[إجمالي الدفعات]]</f>
        <v>0</v>
      </c>
      <c r="N114" s="46">
        <f>بيان.معاشات.القاهرة[[#This Row],[إجمالي المستحق]]-بيان.معاشات.القاهرة[[#This Row],[المنصرف]]</f>
        <v>0</v>
      </c>
      <c r="O114" s="46">
        <f>IF(بيان.معاشات.القاهرة[[#This Row],[المتبقي]]&lt;0,0,بيان.معاشات.القاهرة[[#This Row],[المتبقي]])</f>
        <v>0</v>
      </c>
      <c r="P114" s="48">
        <f>(بيان.معاشات.القاهرة[[#This Row],[منحة 6شهور]]+بيان.معاشات.القاهرة[[#This Row],[مستحقات]])-بيان.معاشات.القاهرة[[#This Row],[المنصرف]]</f>
        <v>0</v>
      </c>
      <c r="Q114" s="48">
        <f>IF(بيان.معاشات.القاهرة[[#This Row],[المتبقي من المنحة]]&lt;0,0,بيان.معاشات.القاهرة[[#This Row],[المتبقي من المنحة]])</f>
        <v>0</v>
      </c>
      <c r="R114" s="53"/>
      <c r="S114" s="46"/>
      <c r="T114" s="46"/>
      <c r="U114" s="76"/>
      <c r="V114" s="46"/>
      <c r="W114" s="46"/>
      <c r="X114" s="46">
        <f>بيان.معاشات.القاهرة[[#This Row],[المنصرف قبل الاستلام]]+بيان.معاشات.القاهرة[[#This Row],[ما تم صرفه من 7/2021 حتى31/12/2022]]+بيان.معاشات.القاهرة[[#This Row],[إجمالي دفعات 2023]]</f>
        <v>0</v>
      </c>
      <c r="Y114" s="46">
        <f>SUM(بيان.معاشات.القاهرة[[#This Row],[يناير-23]:[ديسمبر-23]])</f>
        <v>0</v>
      </c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</row>
    <row r="115" spans="1:116" s="196" customFormat="1" ht="23.25" x14ac:dyDescent="0.35">
      <c r="C115" s="274" t="s">
        <v>396</v>
      </c>
      <c r="D115" s="275"/>
      <c r="E115" s="276"/>
      <c r="F115" s="275"/>
      <c r="G115" s="275"/>
      <c r="H115" s="275">
        <f>SUBTOTAL(109,بيان.معاشات.القاهرة[منحة 6شهور])</f>
        <v>1727459.8399999999</v>
      </c>
      <c r="I115" s="275">
        <f>SUBTOTAL(109,بيان.معاشات.القاهرة[مستحقات])</f>
        <v>58826.6</v>
      </c>
      <c r="J115" s="275">
        <f>SUBTOTAL(109,بيان.معاشات.القاهرة[مقابل نقدي])</f>
        <v>1146729.0799999998</v>
      </c>
      <c r="K115" s="276"/>
      <c r="L115" s="275">
        <f>SUBTOTAL(109,بيان.معاشات.القاهرة[إجمالي المستحق])</f>
        <v>2933015.52</v>
      </c>
      <c r="M115" s="275">
        <f>SUBTOTAL(109,بيان.معاشات.القاهرة[المنصرف])</f>
        <v>1442178.72</v>
      </c>
      <c r="N115" s="275">
        <f>SUBTOTAL(109,بيان.معاشات.القاهرة[المتبقي])</f>
        <v>1490836.8</v>
      </c>
      <c r="O115" s="275">
        <f>SUBTOTAL(109,بيان.معاشات.القاهرة[المتبقي بعد 1-])</f>
        <v>1490836.8</v>
      </c>
      <c r="P115" s="275">
        <f>SUBTOTAL(109,بيان.معاشات.القاهرة[المتبقي من المنحة])</f>
        <v>344107.72</v>
      </c>
      <c r="Q115" s="275">
        <f>SUBTOTAL(109,بيان.معاشات.القاهرة[المتبقي من المنحة بعد 1-])</f>
        <v>551642.99</v>
      </c>
      <c r="R115" s="275"/>
      <c r="S115" s="275"/>
      <c r="T115" s="275"/>
      <c r="U115" s="275"/>
      <c r="V115" s="275"/>
      <c r="W115" s="275"/>
      <c r="X115" s="275">
        <f>SUBTOTAL(109,بيان.معاشات.القاهرة[إجمالي الدفعات])</f>
        <v>1442178.72</v>
      </c>
      <c r="Y115" s="275">
        <f>SUBTOTAL(109,بيان.معاشات.القاهرة[إجمالي دفعات 2023])</f>
        <v>273072.01</v>
      </c>
      <c r="Z115" s="275">
        <f>SUBTOTAL(109,بيان.معاشات.القاهرة[يناير-23])</f>
        <v>45944.1</v>
      </c>
      <c r="AA115" s="275">
        <f>SUBTOTAL(109,بيان.معاشات.القاهرة[فبراير-23])</f>
        <v>48817.51</v>
      </c>
      <c r="AB115" s="275">
        <f>SUBTOTAL(109,بيان.معاشات.القاهرة[مارس-23])</f>
        <v>59908.14</v>
      </c>
      <c r="AC115" s="275">
        <f>SUBTOTAL(109,بيان.معاشات.القاهرة[أبريل-23])</f>
        <v>61568.61</v>
      </c>
      <c r="AD115" s="275">
        <f>SUBTOTAL(109,بيان.معاشات.القاهرة[مايو-23])</f>
        <v>56833.65</v>
      </c>
      <c r="AE115" s="275">
        <f>SUBTOTAL(109,بيان.معاشات.القاهرة[يونيو-23])</f>
        <v>0</v>
      </c>
      <c r="AF115" s="275">
        <f>SUBTOTAL(109,بيان.معاشات.القاهرة[يوليه-23])</f>
        <v>0</v>
      </c>
      <c r="AG115" s="275">
        <f>SUBTOTAL(109,بيان.معاشات.القاهرة[أغسطس-23])</f>
        <v>0</v>
      </c>
      <c r="AH115" s="275">
        <f>SUBTOTAL(109,بيان.معاشات.القاهرة[سبتمبر-23])</f>
        <v>0</v>
      </c>
      <c r="AI115" s="275">
        <f>SUBTOTAL(109,بيان.معاشات.القاهرة[أكتوبر-23])</f>
        <v>0</v>
      </c>
      <c r="AJ115" s="275">
        <f>SUBTOTAL(109,بيان.معاشات.القاهرة[نوفمبر-23])</f>
        <v>0</v>
      </c>
      <c r="AK115" s="275">
        <f>SUBTOTAL(109,بيان.معاشات.القاهرة[ديسمبر-23])</f>
        <v>0</v>
      </c>
    </row>
  </sheetData>
  <mergeCells count="6">
    <mergeCell ref="C2:D2"/>
    <mergeCell ref="C3:D3"/>
    <mergeCell ref="C4:AK4"/>
    <mergeCell ref="C5:AK5"/>
    <mergeCell ref="C6:T6"/>
    <mergeCell ref="X6:AK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Q24"/>
  <sheetViews>
    <sheetView rightToLeft="1" topLeftCell="A7" workbookViewId="0">
      <selection activeCell="Q17" sqref="Q17"/>
    </sheetView>
  </sheetViews>
  <sheetFormatPr defaultRowHeight="15" x14ac:dyDescent="0.25"/>
  <cols>
    <col min="3" max="3" width="7" style="4" customWidth="1"/>
    <col min="4" max="4" width="22.28515625" customWidth="1"/>
    <col min="5" max="5" width="11.85546875" customWidth="1"/>
    <col min="7" max="7" width="10.7109375" bestFit="1" customWidth="1"/>
    <col min="8" max="8" width="11.42578125" customWidth="1"/>
    <col min="10" max="10" width="10.7109375" bestFit="1" customWidth="1"/>
    <col min="11" max="11" width="22.7109375" customWidth="1"/>
    <col min="17" max="17" width="14.140625" customWidth="1"/>
  </cols>
  <sheetData>
    <row r="6" spans="3:17" ht="21" x14ac:dyDescent="0.25">
      <c r="C6" s="386" t="s">
        <v>0</v>
      </c>
      <c r="D6" s="387" t="s">
        <v>99</v>
      </c>
      <c r="E6" s="389" t="s">
        <v>281</v>
      </c>
      <c r="F6" s="390"/>
      <c r="G6" s="391"/>
      <c r="H6" s="386" t="s">
        <v>113</v>
      </c>
      <c r="I6" s="386"/>
      <c r="J6" s="386"/>
      <c r="K6" s="387" t="s">
        <v>11</v>
      </c>
      <c r="L6" s="387" t="s">
        <v>226</v>
      </c>
    </row>
    <row r="7" spans="3:17" ht="21" x14ac:dyDescent="0.25">
      <c r="C7" s="386"/>
      <c r="D7" s="388"/>
      <c r="E7" s="47" t="s">
        <v>396</v>
      </c>
      <c r="F7" s="47" t="s">
        <v>129</v>
      </c>
      <c r="G7" s="47" t="s">
        <v>7</v>
      </c>
      <c r="H7" s="47" t="s">
        <v>396</v>
      </c>
      <c r="I7" s="47" t="s">
        <v>129</v>
      </c>
      <c r="J7" s="47" t="s">
        <v>7</v>
      </c>
      <c r="K7" s="388"/>
      <c r="L7" s="388"/>
      <c r="Q7">
        <v>21979.72</v>
      </c>
    </row>
    <row r="8" spans="3:17" ht="21" x14ac:dyDescent="0.35">
      <c r="C8" s="47">
        <v>1</v>
      </c>
      <c r="D8" s="46" t="s">
        <v>341</v>
      </c>
      <c r="E8" s="46">
        <v>18816.02</v>
      </c>
      <c r="F8" s="114">
        <v>12000</v>
      </c>
      <c r="G8" s="46">
        <f t="shared" ref="G8:G24" si="0">E8-F8</f>
        <v>6816.02</v>
      </c>
      <c r="H8" s="46">
        <v>17119.8</v>
      </c>
      <c r="I8" s="46"/>
      <c r="J8" s="46">
        <f>H8-I8</f>
        <v>17119.8</v>
      </c>
      <c r="K8" s="46"/>
      <c r="L8" s="46"/>
      <c r="Q8">
        <v>4956.8099999999995</v>
      </c>
    </row>
    <row r="9" spans="3:17" ht="21" x14ac:dyDescent="0.35">
      <c r="C9" s="47">
        <v>2</v>
      </c>
      <c r="D9" s="46" t="s">
        <v>411</v>
      </c>
      <c r="E9" s="46"/>
      <c r="F9" s="46"/>
      <c r="G9" s="46">
        <f t="shared" si="0"/>
        <v>0</v>
      </c>
      <c r="H9" s="46"/>
      <c r="I9" s="46"/>
      <c r="J9" s="46"/>
      <c r="K9" s="46"/>
      <c r="L9" s="46"/>
      <c r="Q9">
        <v>2478.41</v>
      </c>
    </row>
    <row r="10" spans="3:17" ht="21" x14ac:dyDescent="0.35">
      <c r="C10" s="47">
        <v>3</v>
      </c>
      <c r="D10" s="46" t="s">
        <v>339</v>
      </c>
      <c r="E10" s="46">
        <v>16484.64</v>
      </c>
      <c r="F10" s="114">
        <v>12500</v>
      </c>
      <c r="G10" s="46">
        <f>E10-F10</f>
        <v>3984.6399999999994</v>
      </c>
      <c r="H10" s="114">
        <v>13122</v>
      </c>
      <c r="I10" s="46"/>
      <c r="J10" s="46"/>
      <c r="K10" s="46"/>
      <c r="L10" s="46" t="s">
        <v>406</v>
      </c>
      <c r="Q10">
        <v>2478.41</v>
      </c>
    </row>
    <row r="11" spans="3:17" ht="21" x14ac:dyDescent="0.35">
      <c r="C11" s="47">
        <v>4</v>
      </c>
      <c r="D11" s="46"/>
      <c r="E11" s="46"/>
      <c r="F11" s="46"/>
      <c r="G11" s="46">
        <f t="shared" si="0"/>
        <v>0</v>
      </c>
      <c r="H11" s="46"/>
      <c r="I11" s="46"/>
      <c r="J11" s="46"/>
      <c r="K11" s="46"/>
      <c r="L11" s="46"/>
      <c r="Q11">
        <v>4956.8099999999995</v>
      </c>
    </row>
    <row r="12" spans="3:17" ht="21" x14ac:dyDescent="0.35">
      <c r="C12" s="47">
        <v>5</v>
      </c>
      <c r="D12" s="46"/>
      <c r="E12" s="46"/>
      <c r="F12" s="46"/>
      <c r="G12" s="46">
        <f t="shared" si="0"/>
        <v>0</v>
      </c>
      <c r="H12" s="46"/>
      <c r="I12" s="46"/>
      <c r="J12" s="46"/>
      <c r="K12" s="46"/>
      <c r="L12" s="46"/>
      <c r="Q12">
        <v>4956.8099999999995</v>
      </c>
    </row>
    <row r="13" spans="3:17" ht="21" x14ac:dyDescent="0.35">
      <c r="C13" s="47">
        <v>6</v>
      </c>
      <c r="D13" s="46"/>
      <c r="E13" s="46"/>
      <c r="F13" s="46"/>
      <c r="G13" s="46">
        <f t="shared" si="0"/>
        <v>0</v>
      </c>
      <c r="H13" s="46"/>
      <c r="I13" s="46"/>
      <c r="J13" s="46"/>
      <c r="K13" s="46"/>
      <c r="L13" s="46"/>
      <c r="Q13">
        <v>4956.8099999999995</v>
      </c>
    </row>
    <row r="14" spans="3:17" ht="21" x14ac:dyDescent="0.35">
      <c r="C14" s="47">
        <v>7</v>
      </c>
      <c r="D14" s="46"/>
      <c r="E14" s="46"/>
      <c r="F14" s="46"/>
      <c r="G14" s="46">
        <f t="shared" si="0"/>
        <v>0</v>
      </c>
      <c r="H14" s="46"/>
      <c r="I14" s="46"/>
      <c r="J14" s="46"/>
      <c r="K14" s="46"/>
      <c r="L14" s="46"/>
      <c r="Q14">
        <v>2478.41</v>
      </c>
    </row>
    <row r="15" spans="3:17" ht="21" x14ac:dyDescent="0.35">
      <c r="C15" s="47">
        <v>8</v>
      </c>
      <c r="D15" s="46"/>
      <c r="E15" s="46"/>
      <c r="F15" s="46"/>
      <c r="G15" s="46">
        <f t="shared" si="0"/>
        <v>0</v>
      </c>
      <c r="H15" s="46"/>
      <c r="I15" s="46"/>
      <c r="J15" s="46"/>
      <c r="K15" s="46"/>
      <c r="L15" s="46"/>
      <c r="Q15">
        <v>4956.8099999999995</v>
      </c>
    </row>
    <row r="16" spans="3:17" ht="21" x14ac:dyDescent="0.35">
      <c r="C16" s="47">
        <v>9</v>
      </c>
      <c r="D16" s="46"/>
      <c r="E16" s="46"/>
      <c r="F16" s="46"/>
      <c r="G16" s="46">
        <f t="shared" si="0"/>
        <v>0</v>
      </c>
      <c r="H16" s="46"/>
      <c r="I16" s="46"/>
      <c r="J16" s="46"/>
      <c r="K16" s="46"/>
      <c r="L16" s="46"/>
      <c r="Q16">
        <f>SUM(Q7:Q15)</f>
        <v>54198.999999999985</v>
      </c>
    </row>
    <row r="17" spans="3:12" ht="21" x14ac:dyDescent="0.35">
      <c r="C17" s="47">
        <v>10</v>
      </c>
      <c r="D17" s="46"/>
      <c r="E17" s="46"/>
      <c r="F17" s="46"/>
      <c r="G17" s="46">
        <f t="shared" si="0"/>
        <v>0</v>
      </c>
      <c r="H17" s="46"/>
      <c r="I17" s="46"/>
      <c r="J17" s="46"/>
      <c r="K17" s="46"/>
      <c r="L17" s="46"/>
    </row>
    <row r="18" spans="3:12" ht="21" x14ac:dyDescent="0.35">
      <c r="C18" s="47">
        <v>11</v>
      </c>
      <c r="D18" s="46"/>
      <c r="E18" s="46"/>
      <c r="F18" s="46"/>
      <c r="G18" s="46">
        <f t="shared" si="0"/>
        <v>0</v>
      </c>
      <c r="H18" s="46"/>
      <c r="I18" s="46"/>
      <c r="J18" s="46"/>
      <c r="K18" s="46"/>
      <c r="L18" s="46"/>
    </row>
    <row r="19" spans="3:12" ht="21" x14ac:dyDescent="0.35">
      <c r="C19" s="47">
        <v>12</v>
      </c>
      <c r="D19" s="46"/>
      <c r="E19" s="46"/>
      <c r="F19" s="46"/>
      <c r="G19" s="46">
        <f t="shared" si="0"/>
        <v>0</v>
      </c>
      <c r="H19" s="46"/>
      <c r="I19" s="46"/>
      <c r="J19" s="46"/>
      <c r="K19" s="46"/>
      <c r="L19" s="46"/>
    </row>
    <row r="20" spans="3:12" ht="21" x14ac:dyDescent="0.35">
      <c r="C20" s="47">
        <v>13</v>
      </c>
      <c r="D20" s="46"/>
      <c r="E20" s="46"/>
      <c r="F20" s="46"/>
      <c r="G20" s="46">
        <f t="shared" si="0"/>
        <v>0</v>
      </c>
      <c r="H20" s="46"/>
      <c r="I20" s="46"/>
      <c r="J20" s="46"/>
      <c r="K20" s="46"/>
      <c r="L20" s="46"/>
    </row>
    <row r="21" spans="3:12" ht="21" x14ac:dyDescent="0.35">
      <c r="C21" s="47">
        <v>14</v>
      </c>
      <c r="D21" s="46"/>
      <c r="E21" s="46"/>
      <c r="F21" s="46"/>
      <c r="G21" s="46">
        <f t="shared" si="0"/>
        <v>0</v>
      </c>
      <c r="H21" s="46"/>
      <c r="I21" s="46"/>
      <c r="J21" s="46"/>
      <c r="K21" s="46"/>
      <c r="L21" s="46"/>
    </row>
    <row r="22" spans="3:12" ht="21" x14ac:dyDescent="0.35">
      <c r="C22" s="47">
        <v>15</v>
      </c>
      <c r="D22" s="46"/>
      <c r="E22" s="46"/>
      <c r="F22" s="46"/>
      <c r="G22" s="46">
        <f t="shared" si="0"/>
        <v>0</v>
      </c>
      <c r="H22" s="46"/>
      <c r="I22" s="46"/>
      <c r="J22" s="46"/>
      <c r="K22" s="46"/>
      <c r="L22" s="46"/>
    </row>
    <row r="23" spans="3:12" ht="21" x14ac:dyDescent="0.35">
      <c r="C23" s="47">
        <v>16</v>
      </c>
      <c r="D23" s="46"/>
      <c r="E23" s="46"/>
      <c r="F23" s="46"/>
      <c r="G23" s="46">
        <f t="shared" si="0"/>
        <v>0</v>
      </c>
      <c r="H23" s="46"/>
      <c r="I23" s="46"/>
      <c r="J23" s="46"/>
      <c r="K23" s="46"/>
      <c r="L23" s="46"/>
    </row>
    <row r="24" spans="3:12" ht="21" x14ac:dyDescent="0.35">
      <c r="C24" s="47">
        <v>17</v>
      </c>
      <c r="D24" s="46"/>
      <c r="E24" s="46"/>
      <c r="F24" s="46"/>
      <c r="G24" s="46">
        <f t="shared" si="0"/>
        <v>0</v>
      </c>
      <c r="H24" s="46"/>
      <c r="I24" s="46"/>
      <c r="J24" s="46"/>
      <c r="K24" s="46"/>
      <c r="L24" s="46"/>
    </row>
  </sheetData>
  <mergeCells count="6">
    <mergeCell ref="H6:J6"/>
    <mergeCell ref="C6:C7"/>
    <mergeCell ref="D6:D7"/>
    <mergeCell ref="E6:G6"/>
    <mergeCell ref="L6:L7"/>
    <mergeCell ref="K6:K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Y52"/>
  <sheetViews>
    <sheetView rightToLeft="1" topLeftCell="C3" workbookViewId="0">
      <selection activeCell="Y10" sqref="Y10"/>
    </sheetView>
  </sheetViews>
  <sheetFormatPr defaultRowHeight="21" x14ac:dyDescent="0.35"/>
  <cols>
    <col min="3" max="3" width="7" style="4" customWidth="1"/>
    <col min="4" max="4" width="25" bestFit="1" customWidth="1"/>
    <col min="5" max="5" width="12.140625" bestFit="1" customWidth="1"/>
    <col min="6" max="6" width="12.140625" hidden="1" customWidth="1"/>
    <col min="7" max="7" width="12.140625" bestFit="1" customWidth="1"/>
    <col min="8" max="8" width="10.7109375" bestFit="1" customWidth="1"/>
    <col min="9" max="9" width="12.140625" bestFit="1" customWidth="1"/>
    <col min="10" max="10" width="0" hidden="1" customWidth="1"/>
    <col min="11" max="11" width="10.7109375" bestFit="1" customWidth="1"/>
    <col min="12" max="12" width="12.140625" bestFit="1" customWidth="1"/>
    <col min="13" max="13" width="68.42578125" style="15" bestFit="1" customWidth="1"/>
    <col min="15" max="15" width="13.42578125" style="15" customWidth="1"/>
    <col min="16" max="16" width="13.140625" style="15" customWidth="1"/>
    <col min="18" max="19" width="9.28515625" bestFit="1" customWidth="1"/>
    <col min="20" max="20" width="11.5703125" bestFit="1" customWidth="1"/>
    <col min="21" max="21" width="10.28515625" bestFit="1" customWidth="1"/>
    <col min="22" max="22" width="9.85546875" bestFit="1" customWidth="1"/>
    <col min="23" max="23" width="10.140625" bestFit="1" customWidth="1"/>
    <col min="24" max="24" width="12.42578125" customWidth="1"/>
    <col min="25" max="25" width="14.28515625" customWidth="1"/>
  </cols>
  <sheetData>
    <row r="6" spans="3:25" x14ac:dyDescent="0.25">
      <c r="C6" s="386" t="s">
        <v>0</v>
      </c>
      <c r="D6" s="387" t="s">
        <v>99</v>
      </c>
      <c r="E6" s="389" t="s">
        <v>281</v>
      </c>
      <c r="F6" s="390"/>
      <c r="G6" s="390"/>
      <c r="H6" s="391"/>
      <c r="I6" s="386" t="s">
        <v>113</v>
      </c>
      <c r="J6" s="386"/>
      <c r="K6" s="386"/>
      <c r="L6" s="386"/>
      <c r="M6" s="387" t="s">
        <v>11</v>
      </c>
      <c r="N6" s="387" t="s">
        <v>226</v>
      </c>
      <c r="O6" s="386" t="s">
        <v>427</v>
      </c>
      <c r="P6" s="386"/>
    </row>
    <row r="7" spans="3:25" x14ac:dyDescent="0.35">
      <c r="C7" s="386"/>
      <c r="D7" s="388"/>
      <c r="E7" s="47" t="s">
        <v>396</v>
      </c>
      <c r="F7" s="47" t="s">
        <v>129</v>
      </c>
      <c r="G7" s="47"/>
      <c r="H7" s="47" t="s">
        <v>7</v>
      </c>
      <c r="I7" s="47" t="s">
        <v>396</v>
      </c>
      <c r="J7" s="47" t="s">
        <v>129</v>
      </c>
      <c r="K7" s="47"/>
      <c r="L7" s="47" t="s">
        <v>7</v>
      </c>
      <c r="M7" s="388"/>
      <c r="N7" s="388"/>
      <c r="O7" s="61" t="s">
        <v>425</v>
      </c>
      <c r="P7" s="61" t="s">
        <v>426</v>
      </c>
      <c r="R7" s="116">
        <v>44713</v>
      </c>
      <c r="S7" s="116">
        <v>44743</v>
      </c>
      <c r="T7" s="116">
        <v>44774</v>
      </c>
      <c r="U7" s="116">
        <v>44805</v>
      </c>
      <c r="V7" s="116">
        <v>44835</v>
      </c>
      <c r="W7" s="116">
        <v>44866</v>
      </c>
      <c r="X7" s="116">
        <v>44896</v>
      </c>
      <c r="Y7" s="116">
        <v>44927</v>
      </c>
    </row>
    <row r="8" spans="3:25" x14ac:dyDescent="0.35">
      <c r="C8" s="47">
        <v>1</v>
      </c>
      <c r="D8" s="46" t="s">
        <v>341</v>
      </c>
      <c r="E8" s="46">
        <f>SUMIF(بيان.مغاشات.سفاجا[الإسم],'ورقة2 (2)'!D8:D71,بيان.مغاشات.سفاجا[المنحة])</f>
        <v>18816.02</v>
      </c>
      <c r="F8" s="46">
        <f>SUMIF(بيان.مغاشات.سفاجا[الإسم],'ورقة2 (2)'!D8:D45,بيان.مغاشات.سفاجا[إجمالي المنصرف])</f>
        <v>15000</v>
      </c>
      <c r="G8" s="46">
        <f>F8-K8</f>
        <v>15000</v>
      </c>
      <c r="H8" s="46">
        <f>E8-G8</f>
        <v>3816.0200000000004</v>
      </c>
      <c r="I8" s="46">
        <f>SUMIF(بيان.مغاشات.سفاجا[الإسم],'ورقة2 (2)'!D8:D38,بيان.مغاشات.سفاجا[مقابل نقدي])</f>
        <v>17119.8</v>
      </c>
      <c r="J8" s="46">
        <f>F8-E8</f>
        <v>-3816.0200000000004</v>
      </c>
      <c r="K8" s="46">
        <f>IF(F8-E8&lt;0,0,F8-E8)</f>
        <v>0</v>
      </c>
      <c r="L8" s="46">
        <f>I8-K8</f>
        <v>17119.8</v>
      </c>
      <c r="M8" s="46"/>
      <c r="N8" s="46"/>
      <c r="O8" s="61">
        <v>3000</v>
      </c>
      <c r="P8" s="117">
        <v>44866</v>
      </c>
      <c r="R8" s="15">
        <f>SUMIF('[1]أسماء المحالين للمعاش(سفاجا)'!$D$10:$D$54,D8:D46,'[1]أسماء المحالين للمعاش(سفاجا)'!$AC$10:$AC$54)</f>
        <v>500</v>
      </c>
      <c r="S8" s="15">
        <f>SUMIF('[1]أسماء المحالين للمعاش(سفاجا)'!D$10:D$54,D8:D51,'[1]أسماء المحالين للمعاش(سفاجا)'!AD$10:AD$54)</f>
        <v>0</v>
      </c>
      <c r="T8" s="15">
        <f>SUMIF('[1]أسماء المحالين للمعاش(سفاجا)'!D$10:D$55,D8:D51,'[1]أسماء المحالين للمعاش(سفاجا)'!AE$10:AE$55)</f>
        <v>0</v>
      </c>
      <c r="U8" s="15">
        <f>SUMIF('[1]أسماء المحالين للمعاش(سفاجا)'!D$10:D$55,D8:D51,'[1]أسماء المحالين للمعاش(سفاجا)'!AF$10:AF$55)</f>
        <v>1500</v>
      </c>
      <c r="V8" s="15">
        <f>SUMIF('[1]أسماء المحالين للمعاش(سفاجا)'!$D$10:$D$55,$D$8:$D$51,'[1]أسماء المحالين للمعاش(سفاجا)'!AG$10:AG$55)</f>
        <v>0</v>
      </c>
      <c r="W8" s="15">
        <f>SUMIF('[1]أسماء المحالين للمعاش(سفاجا)'!$D$10:$D$55,$D$8:$D$51,'[1]أسماء المحالين للمعاش(سفاجا)'!AH$10:AH$55)</f>
        <v>3000</v>
      </c>
      <c r="X8" s="15">
        <f>SUMIF('[1]أسماء المحالين للمعاش(سفاجا)'!$D$10:$D$55,$D$8:$D$51,'[1]أسماء المحالين للمعاش(سفاجا)'!AI$10:AI$55)</f>
        <v>0</v>
      </c>
      <c r="Y8" s="15">
        <f>SUMIF(بيان.مغاشات.سفاجا[الإسم],'ورقة2 (2)'!D8:D51,بيان.مغاشات.سفاجا[يناير-23])</f>
        <v>0</v>
      </c>
    </row>
    <row r="9" spans="3:25" x14ac:dyDescent="0.35">
      <c r="C9" s="47">
        <v>2</v>
      </c>
      <c r="D9" s="46" t="s">
        <v>340</v>
      </c>
      <c r="E9" s="46">
        <f>SUMIF(بيان.مغاشات.سفاجا[الإسم],'ورقة2 (2)'!D9:D72,بيان.مغاشات.سفاجا[المنحة])</f>
        <v>16411.14</v>
      </c>
      <c r="F9" s="46">
        <f>SUMIF(بيان.مغاشات.سفاجا[الإسم],'ورقة2 (2)'!D9:D46,بيان.مغاشات.سفاجا[إجمالي المنصرف])</f>
        <v>11000</v>
      </c>
      <c r="G9" s="46">
        <f t="shared" ref="G9:G51" si="0">F9-K9</f>
        <v>11000</v>
      </c>
      <c r="H9" s="46">
        <f t="shared" ref="H9:H51" si="1">E9-G9</f>
        <v>5411.1399999999994</v>
      </c>
      <c r="I9" s="46">
        <f>SUMIF(بيان.مغاشات.سفاجا[الإسم],'ورقة2 (2)'!D9:D39,بيان.مغاشات.سفاجا[مقابل نقدي])</f>
        <v>15319.8</v>
      </c>
      <c r="J9" s="46">
        <f t="shared" ref="J9:J51" si="2">F9-E9</f>
        <v>-5411.1399999999994</v>
      </c>
      <c r="K9" s="46">
        <f t="shared" ref="K9:K51" si="3">IF(F9-E9&lt;0,0,F9-E9)</f>
        <v>0</v>
      </c>
      <c r="L9" s="46">
        <f t="shared" ref="L9:L51" si="4">I9-K9</f>
        <v>15319.8</v>
      </c>
      <c r="M9" s="46"/>
      <c r="N9" s="46"/>
      <c r="O9" s="61">
        <v>1500</v>
      </c>
      <c r="P9" s="117">
        <v>44866</v>
      </c>
      <c r="R9" s="15">
        <f>SUMIF('[1]أسماء المحالين للمعاش(سفاجا)'!$D$10:$D$54,D9:D47,'[1]أسماء المحالين للمعاش(سفاجا)'!$AC$10:$AC$54)</f>
        <v>500</v>
      </c>
      <c r="S9" s="15">
        <f>SUMIF('[1]أسماء المحالين للمعاش(سفاجا)'!D$10:D$54,D9:D52,'[1]أسماء المحالين للمعاش(سفاجا)'!AD$10:AD$54)</f>
        <v>0</v>
      </c>
      <c r="T9" s="15">
        <f>SUMIF('[1]أسماء المحالين للمعاش(سفاجا)'!D$10:D$55,D9:D52,'[1]أسماء المحالين للمعاش(سفاجا)'!AE$10:AE$55)</f>
        <v>1500</v>
      </c>
      <c r="U9" s="15">
        <f>SUMIF('[1]أسماء المحالين للمعاش(سفاجا)'!D$10:D$55,D9:D52,'[1]أسماء المحالين للمعاش(سفاجا)'!AF$10:AF$55)</f>
        <v>0</v>
      </c>
      <c r="V9" s="15">
        <f>SUMIF('[1]أسماء المحالين للمعاش(سفاجا)'!$D$10:$D$55,$D$8:$D$51,'[1]أسماء المحالين للمعاش(سفاجا)'!AG$10:AG$55)</f>
        <v>0</v>
      </c>
      <c r="W9" s="15">
        <f>SUMIF('[1]أسماء المحالين للمعاش(سفاجا)'!$D$10:$D$55,$D$8:$D$51,'[1]أسماء المحالين للمعاش(سفاجا)'!AH$10:AH$55)</f>
        <v>1500</v>
      </c>
      <c r="X9" s="15">
        <f>SUMIF('[1]أسماء المحالين للمعاش(سفاجا)'!$D$10:$D$55,$D$8:$D$51,'[1]أسماء المحالين للمعاش(سفاجا)'!AI$10:AI$55)</f>
        <v>0</v>
      </c>
      <c r="Y9" s="15">
        <f>SUMIF(بيان.مغاشات.سفاجا[الإسم],'ورقة2 (2)'!D9:D52,بيان.مغاشات.سفاجا[يناير-23])</f>
        <v>0</v>
      </c>
    </row>
    <row r="10" spans="3:25" x14ac:dyDescent="0.35">
      <c r="C10" s="47">
        <v>3</v>
      </c>
      <c r="D10" s="46" t="s">
        <v>339</v>
      </c>
      <c r="E10" s="46">
        <f>SUMIF(بيان.مغاشات.سفاجا[الإسم],'ورقة2 (2)'!D10:D73,بيان.مغاشات.سفاجا[المنحة])</f>
        <v>16484.64</v>
      </c>
      <c r="F10" s="46">
        <f>SUMIF(بيان.مغاشات.سفاجا[الإسم],'ورقة2 (2)'!D10:D47,بيان.مغاشات.سفاجا[إجمالي المنصرف])</f>
        <v>15000</v>
      </c>
      <c r="G10" s="46">
        <f t="shared" si="0"/>
        <v>15000</v>
      </c>
      <c r="H10" s="46">
        <f t="shared" si="1"/>
        <v>1484.6399999999994</v>
      </c>
      <c r="I10" s="46">
        <f>SUMIF(بيان.مغاشات.سفاجا[الإسم],'ورقة2 (2)'!D10:D40,بيان.مغاشات.سفاجا[مقابل نقدي])</f>
        <v>13122</v>
      </c>
      <c r="J10" s="46">
        <f t="shared" si="2"/>
        <v>-1484.6399999999994</v>
      </c>
      <c r="K10" s="46">
        <f t="shared" si="3"/>
        <v>0</v>
      </c>
      <c r="L10" s="46">
        <f t="shared" si="4"/>
        <v>13122</v>
      </c>
      <c r="M10" s="46"/>
      <c r="N10" s="46" t="s">
        <v>406</v>
      </c>
      <c r="O10" s="61">
        <v>2000</v>
      </c>
      <c r="P10" s="117">
        <v>44866</v>
      </c>
      <c r="R10" s="15">
        <f>SUMIF('[1]أسماء المحالين للمعاش(سفاجا)'!$D$10:$D$54,D10:D48,'[1]أسماء المحالين للمعاش(سفاجا)'!$AC$10:$AC$54)</f>
        <v>500</v>
      </c>
      <c r="S10" s="15">
        <f>SUMIF('[1]أسماء المحالين للمعاش(سفاجا)'!D$10:D$54,D10:D53,'[1]أسماء المحالين للمعاش(سفاجا)'!AD$10:AD$54)</f>
        <v>0</v>
      </c>
      <c r="T10" s="15">
        <f>SUMIF('[1]أسماء المحالين للمعاش(سفاجا)'!D$10:D$55,D10:D53,'[1]أسماء المحالين للمعاش(سفاجا)'!AE$10:AE$55)</f>
        <v>0</v>
      </c>
      <c r="U10" s="15">
        <f>SUMIF('[1]أسماء المحالين للمعاش(سفاجا)'!D$10:D$55,D10:D53,'[1]أسماء المحالين للمعاش(سفاجا)'!AF$10:AF$55)</f>
        <v>0</v>
      </c>
      <c r="V10" s="15">
        <f>SUMIF('[1]أسماء المحالين للمعاش(سفاجا)'!$D$10:$D$55,$D$8:$D$51,'[1]أسماء المحالين للمعاش(سفاجا)'!AG$10:AG$55)</f>
        <v>0</v>
      </c>
      <c r="W10" s="15">
        <f>SUMIF('[1]أسماء المحالين للمعاش(سفاجا)'!$D$10:$D$55,$D$8:$D$51,'[1]أسماء المحالين للمعاش(سفاجا)'!AH$10:AH$55)</f>
        <v>2000</v>
      </c>
      <c r="X10" s="15">
        <f>SUMIF('[1]أسماء المحالين للمعاش(سفاجا)'!$D$10:$D$55,$D$8:$D$51,'[1]أسماء المحالين للمعاش(سفاجا)'!AI$10:AI$55)</f>
        <v>0</v>
      </c>
      <c r="Y10" s="15">
        <f>SUMIF(بيان.مغاشات.سفاجا[الإسم],'ورقة2 (2)'!D10:D53,بيان.مغاشات.سفاجا[يناير-23])</f>
        <v>0</v>
      </c>
    </row>
    <row r="11" spans="3:25" x14ac:dyDescent="0.35">
      <c r="C11" s="47">
        <v>4</v>
      </c>
      <c r="D11" s="46" t="s">
        <v>342</v>
      </c>
      <c r="E11" s="46">
        <f>SUMIF(بيان.مغاشات.سفاجا[الإسم],'ورقة2 (2)'!D11:D74,بيان.مغاشات.سفاجا[المنحة])</f>
        <v>0</v>
      </c>
      <c r="F11" s="46">
        <f>SUMIF(بيان.مغاشات.سفاجا[الإسم],'ورقة2 (2)'!D11:D48,بيان.مغاشات.سفاجا[إجمالي المنصرف])</f>
        <v>0</v>
      </c>
      <c r="G11" s="46">
        <f t="shared" si="0"/>
        <v>0</v>
      </c>
      <c r="H11" s="46">
        <f t="shared" si="1"/>
        <v>0</v>
      </c>
      <c r="I11" s="46">
        <f>SUMIF(بيان.مغاشات.سفاجا[الإسم],'ورقة2 (2)'!D11:D41,بيان.مغاشات.سفاجا[مقابل نقدي])</f>
        <v>0</v>
      </c>
      <c r="J11" s="46">
        <f t="shared" si="2"/>
        <v>0</v>
      </c>
      <c r="K11" s="46">
        <f t="shared" si="3"/>
        <v>0</v>
      </c>
      <c r="L11" s="46">
        <f t="shared" si="4"/>
        <v>0</v>
      </c>
      <c r="M11" s="46"/>
      <c r="N11" s="46"/>
      <c r="O11" s="61">
        <v>500</v>
      </c>
      <c r="P11" s="117">
        <v>44713</v>
      </c>
      <c r="R11" s="15">
        <f>SUMIF('[1]أسماء المحالين للمعاش(سفاجا)'!$D$10:$D$54,D11:D49,'[1]أسماء المحالين للمعاش(سفاجا)'!$AC$10:$AC$54)</f>
        <v>500</v>
      </c>
      <c r="S11" s="15">
        <f>SUMIF('[1]أسماء المحالين للمعاش(سفاجا)'!D$10:D$54,D11:D54,'[1]أسماء المحالين للمعاش(سفاجا)'!AD$10:AD$54)</f>
        <v>0</v>
      </c>
      <c r="T11" s="15">
        <f>SUMIF('[1]أسماء المحالين للمعاش(سفاجا)'!D$10:D$55,D11:D54,'[1]أسماء المحالين للمعاش(سفاجا)'!AE$10:AE$55)</f>
        <v>0</v>
      </c>
      <c r="U11" s="15">
        <f>SUMIF('[1]أسماء المحالين للمعاش(سفاجا)'!D$10:D$55,D11:D54,'[1]أسماء المحالين للمعاش(سفاجا)'!AF$10:AF$55)</f>
        <v>0</v>
      </c>
      <c r="V11" s="15">
        <f>SUMIF('[1]أسماء المحالين للمعاش(سفاجا)'!$D$10:$D$55,$D$8:$D$51,'[1]أسماء المحالين للمعاش(سفاجا)'!AG$10:AG$55)</f>
        <v>0</v>
      </c>
      <c r="W11" s="15">
        <f>SUMIF('[1]أسماء المحالين للمعاش(سفاجا)'!$D$10:$D$55,$D$8:$D$51,'[1]أسماء المحالين للمعاش(سفاجا)'!AH$10:AH$55)</f>
        <v>0</v>
      </c>
      <c r="X11" s="15">
        <f>SUMIF('[1]أسماء المحالين للمعاش(سفاجا)'!$D$10:$D$55,$D$8:$D$51,'[1]أسماء المحالين للمعاش(سفاجا)'!AI$10:AI$55)</f>
        <v>0</v>
      </c>
      <c r="Y11" s="15">
        <f>SUMIF(بيان.مغاشات.سفاجا[الإسم],'ورقة2 (2)'!D11:D54,بيان.مغاشات.سفاجا[يناير-23])</f>
        <v>0</v>
      </c>
    </row>
    <row r="12" spans="3:25" x14ac:dyDescent="0.35">
      <c r="C12" s="47">
        <v>5</v>
      </c>
      <c r="D12" s="46" t="s">
        <v>343</v>
      </c>
      <c r="E12" s="46">
        <f>SUMIF(بيان.مغاشات.سفاجا[الإسم],'ورقة2 (2)'!D12:D75,بيان.مغاشات.سفاجا[المنحة])</f>
        <v>15433.02</v>
      </c>
      <c r="F12" s="46">
        <f>SUMIF(بيان.مغاشات.سفاجا[الإسم],'ورقة2 (2)'!D12:D49,بيان.مغاشات.سفاجا[إجمالي المنصرف])</f>
        <v>17433.02</v>
      </c>
      <c r="G12" s="46">
        <f t="shared" si="0"/>
        <v>15433.02</v>
      </c>
      <c r="H12" s="46">
        <f t="shared" si="1"/>
        <v>0</v>
      </c>
      <c r="I12" s="46">
        <f>SUMIF(بيان.مغاشات.سفاجا[الإسم],'ورقة2 (2)'!D12:D42,بيان.مغاشات.سفاجا[مقابل نقدي])</f>
        <v>8939.7000000000007</v>
      </c>
      <c r="J12" s="46">
        <f t="shared" si="2"/>
        <v>2000</v>
      </c>
      <c r="K12" s="46">
        <f t="shared" si="3"/>
        <v>2000</v>
      </c>
      <c r="L12" s="46">
        <f t="shared" si="4"/>
        <v>6939.7000000000007</v>
      </c>
      <c r="M12" s="46"/>
      <c r="N12" s="46"/>
      <c r="O12" s="61">
        <v>1433</v>
      </c>
      <c r="P12" s="117">
        <v>44866</v>
      </c>
      <c r="R12" s="15">
        <f>SUMIF('[1]أسماء المحالين للمعاش(سفاجا)'!$D$10:$D$54,D12:D50,'[1]أسماء المحالين للمعاش(سفاجا)'!$AC$10:$AC$54)</f>
        <v>500</v>
      </c>
      <c r="S12" s="15">
        <f>SUMIF('[1]أسماء المحالين للمعاش(سفاجا)'!D$10:D$54,D12:D55,'[1]أسماء المحالين للمعاش(سفاجا)'!AD$10:AD$54)</f>
        <v>0</v>
      </c>
      <c r="T12" s="15">
        <f>SUMIF('[1]أسماء المحالين للمعاش(سفاجا)'!D$10:D$55,D12:D55,'[1]أسماء المحالين للمعاش(سفاجا)'!AE$10:AE$55)</f>
        <v>0</v>
      </c>
      <c r="U12" s="15">
        <f>SUMIF('[1]أسماء المحالين للمعاش(سفاجا)'!D$10:D$55,D12:D55,'[1]أسماء المحالين للمعاش(سفاجا)'!AF$10:AF$55)</f>
        <v>1500</v>
      </c>
      <c r="V12" s="15">
        <f>SUMIF('[1]أسماء المحالين للمعاش(سفاجا)'!$D$10:$D$55,$D$8:$D$51,'[1]أسماء المحالين للمعاش(سفاجا)'!AG$10:AG$55)</f>
        <v>0</v>
      </c>
      <c r="W12" s="15">
        <f>SUMIF('[1]أسماء المحالين للمعاش(سفاجا)'!$D$10:$D$55,$D$8:$D$51,'[1]أسماء المحالين للمعاش(سفاجا)'!AH$10:AH$55)</f>
        <v>1433.02</v>
      </c>
      <c r="X12" s="15">
        <f>SUMIF('[1]أسماء المحالين للمعاش(سفاجا)'!$D$10:$D$55,$D$8:$D$51,'[1]أسماء المحالين للمعاش(سفاجا)'!AI$10:AI$55)</f>
        <v>0</v>
      </c>
      <c r="Y12" s="15">
        <f>SUMIF(بيان.مغاشات.سفاجا[الإسم],'ورقة2 (2)'!D12:D55,بيان.مغاشات.سفاجا[يناير-23])</f>
        <v>0</v>
      </c>
    </row>
    <row r="13" spans="3:25" x14ac:dyDescent="0.35">
      <c r="C13" s="47">
        <v>6</v>
      </c>
      <c r="D13" s="46" t="s">
        <v>345</v>
      </c>
      <c r="E13" s="46">
        <f>SUMIF(بيان.مغاشات.سفاجا[الإسم],'ورقة2 (2)'!D13:D76,بيان.مغاشات.سفاجا[المنحة])</f>
        <v>26433.96</v>
      </c>
      <c r="F13" s="46">
        <f>SUMIF(بيان.مغاشات.سفاجا[الإسم],'ورقة2 (2)'!D13:D50,بيان.مغاشات.سفاجا[إجمالي المنصرف])</f>
        <v>14000</v>
      </c>
      <c r="G13" s="46">
        <f t="shared" si="0"/>
        <v>14000</v>
      </c>
      <c r="H13" s="46">
        <f t="shared" si="1"/>
        <v>12433.96</v>
      </c>
      <c r="I13" s="46">
        <f>SUMIF(بيان.مغاشات.سفاجا[الإسم],'ورقة2 (2)'!D13:D43,بيان.مغاشات.سفاجا[مقابل نقدي])</f>
        <v>19362.599999999999</v>
      </c>
      <c r="J13" s="46">
        <f t="shared" si="2"/>
        <v>-12433.96</v>
      </c>
      <c r="K13" s="46">
        <f t="shared" si="3"/>
        <v>0</v>
      </c>
      <c r="L13" s="46">
        <f t="shared" si="4"/>
        <v>19362.599999999999</v>
      </c>
      <c r="M13" s="46"/>
      <c r="N13" s="46"/>
      <c r="O13" s="61">
        <v>2500</v>
      </c>
      <c r="P13" s="117">
        <v>44866</v>
      </c>
      <c r="R13" s="15">
        <f>SUMIF('[1]أسماء المحالين للمعاش(سفاجا)'!$D$10:$D$54,D13:D51,'[1]أسماء المحالين للمعاش(سفاجا)'!$AC$10:$AC$54)</f>
        <v>500</v>
      </c>
      <c r="S13" s="15">
        <f>SUMIF('[1]أسماء المحالين للمعاش(سفاجا)'!D$10:D$54,D13:D56,'[1]أسماء المحالين للمعاش(سفاجا)'!AD$10:AD$54)</f>
        <v>0</v>
      </c>
      <c r="T13" s="15">
        <f>SUMIF('[1]أسماء المحالين للمعاش(سفاجا)'!D$10:D$55,D13:D56,'[1]أسماء المحالين للمعاش(سفاجا)'!AE$10:AE$55)</f>
        <v>0</v>
      </c>
      <c r="U13" s="15">
        <f>SUMIF('[1]أسماء المحالين للمعاش(سفاجا)'!D$10:D$55,D13:D56,'[1]أسماء المحالين للمعاش(سفاجا)'!AF$10:AF$55)</f>
        <v>0</v>
      </c>
      <c r="V13" s="15">
        <f>SUMIF('[1]أسماء المحالين للمعاش(سفاجا)'!$D$10:$D$55,$D$8:$D$51,'[1]أسماء المحالين للمعاش(سفاجا)'!AG$10:AG$55)</f>
        <v>0</v>
      </c>
      <c r="W13" s="15">
        <f>SUMIF('[1]أسماء المحالين للمعاش(سفاجا)'!$D$10:$D$55,$D$8:$D$51,'[1]أسماء المحالين للمعاش(سفاجا)'!AH$10:AH$55)</f>
        <v>2500</v>
      </c>
      <c r="X13" s="15">
        <f>SUMIF('[1]أسماء المحالين للمعاش(سفاجا)'!$D$10:$D$55,$D$8:$D$51,'[1]أسماء المحالين للمعاش(سفاجا)'!AI$10:AI$55)</f>
        <v>0</v>
      </c>
      <c r="Y13" s="15">
        <f>SUMIF(بيان.مغاشات.سفاجا[الإسم],'ورقة2 (2)'!D13:D56,بيان.مغاشات.سفاجا[يناير-23])</f>
        <v>0</v>
      </c>
    </row>
    <row r="14" spans="3:25" x14ac:dyDescent="0.35">
      <c r="C14" s="47">
        <v>7</v>
      </c>
      <c r="D14" s="46" t="s">
        <v>346</v>
      </c>
      <c r="E14" s="46">
        <f>SUMIF(بيان.مغاشات.سفاجا[الإسم],'ورقة2 (2)'!D14:D77,بيان.مغاشات.سفاجا[المنحة])</f>
        <v>15565.74</v>
      </c>
      <c r="F14" s="46">
        <f>SUMIF(بيان.مغاشات.سفاجا[الإسم],'ورقة2 (2)'!D14:D51,بيان.مغاشات.سفاجا[إجمالي المنصرف])</f>
        <v>24100</v>
      </c>
      <c r="G14" s="46">
        <f t="shared" si="0"/>
        <v>15565.74</v>
      </c>
      <c r="H14" s="46">
        <f t="shared" si="1"/>
        <v>0</v>
      </c>
      <c r="I14" s="46">
        <f>SUMIF(بيان.مغاشات.سفاجا[الإسم],'ورقة2 (2)'!D14:D44,بيان.مغاشات.سفاجا[مقابل نقدي])</f>
        <v>12451.5</v>
      </c>
      <c r="J14" s="46">
        <f t="shared" si="2"/>
        <v>8534.26</v>
      </c>
      <c r="K14" s="46">
        <f t="shared" si="3"/>
        <v>8534.26</v>
      </c>
      <c r="L14" s="46">
        <f t="shared" si="4"/>
        <v>3917.24</v>
      </c>
      <c r="M14" s="46"/>
      <c r="N14" s="46"/>
      <c r="O14" s="61">
        <v>2000</v>
      </c>
      <c r="P14" s="117">
        <v>44866</v>
      </c>
      <c r="R14" s="15">
        <f>SUMIF('[1]أسماء المحالين للمعاش(سفاجا)'!$D$10:$D$54,D14:D52,'[1]أسماء المحالين للمعاش(سفاجا)'!$AC$10:$AC$54)</f>
        <v>500</v>
      </c>
      <c r="S14" s="15">
        <f>SUMIF('[1]أسماء المحالين للمعاش(سفاجا)'!D$10:D$54,D14:D57,'[1]أسماء المحالين للمعاش(سفاجا)'!AD$10:AD$54)</f>
        <v>0</v>
      </c>
      <c r="T14" s="15">
        <f>SUMIF('[1]أسماء المحالين للمعاش(سفاجا)'!D$10:D$55,D14:D57,'[1]أسماء المحالين للمعاش(سفاجا)'!AE$10:AE$55)</f>
        <v>0</v>
      </c>
      <c r="U14" s="15">
        <f>SUMIF('[1]أسماء المحالين للمعاش(سفاجا)'!D$10:D$55,D14:D57,'[1]أسماء المحالين للمعاش(سفاجا)'!AF$10:AF$55)</f>
        <v>0</v>
      </c>
      <c r="V14" s="15">
        <f>SUMIF('[1]أسماء المحالين للمعاش(سفاجا)'!$D$10:$D$55,$D$8:$D$51,'[1]أسماء المحالين للمعاش(سفاجا)'!AG$10:AG$55)</f>
        <v>0</v>
      </c>
      <c r="W14" s="15">
        <f>SUMIF('[1]أسماء المحالين للمعاش(سفاجا)'!$D$10:$D$55,$D$8:$D$51,'[1]أسماء المحالين للمعاش(سفاجا)'!AH$10:AH$55)</f>
        <v>2000</v>
      </c>
      <c r="X14" s="15">
        <f>SUMIF('[1]أسماء المحالين للمعاش(سفاجا)'!$D$10:$D$55,$D$8:$D$51,'[1]أسماء المحالين للمعاش(سفاجا)'!AI$10:AI$55)</f>
        <v>0</v>
      </c>
      <c r="Y14" s="15">
        <f>SUMIF(بيان.مغاشات.سفاجا[الإسم],'ورقة2 (2)'!D14:D57,بيان.مغاشات.سفاجا[يناير-23])</f>
        <v>0</v>
      </c>
    </row>
    <row r="15" spans="3:25" x14ac:dyDescent="0.35">
      <c r="C15" s="47">
        <v>8</v>
      </c>
      <c r="D15" s="46" t="s">
        <v>348</v>
      </c>
      <c r="E15" s="46">
        <f>SUMIF(بيان.مغاشات.سفاجا[الإسم],'ورقة2 (2)'!D15:D78,بيان.مغاشات.سفاجا[المنحة])</f>
        <v>19209</v>
      </c>
      <c r="F15" s="46">
        <f>SUMIF(بيان.مغاشات.سفاجا[الإسم],'ورقة2 (2)'!D15:D52,بيان.مغاشات.سفاجا[إجمالي المنصرف])</f>
        <v>14000</v>
      </c>
      <c r="G15" s="46">
        <f t="shared" si="0"/>
        <v>14000</v>
      </c>
      <c r="H15" s="46">
        <f t="shared" si="1"/>
        <v>5209</v>
      </c>
      <c r="I15" s="46">
        <f>SUMIF(بيان.مغاشات.سفاجا[الإسم],'ورقة2 (2)'!D15:D45,بيان.مغاشات.سفاجا[مقابل نقدي])</f>
        <v>16312.5</v>
      </c>
      <c r="J15" s="46">
        <f t="shared" si="2"/>
        <v>-5209</v>
      </c>
      <c r="K15" s="46">
        <f t="shared" si="3"/>
        <v>0</v>
      </c>
      <c r="L15" s="46">
        <f t="shared" si="4"/>
        <v>16312.5</v>
      </c>
      <c r="M15" s="46"/>
      <c r="N15" s="46"/>
      <c r="O15" s="61">
        <v>500</v>
      </c>
      <c r="P15" s="117">
        <v>44713</v>
      </c>
      <c r="R15" s="15">
        <f>SUMIF('[1]أسماء المحالين للمعاش(سفاجا)'!$D$10:$D$54,D15:D53,'[1]أسماء المحالين للمعاش(سفاجا)'!$AC$10:$AC$54)</f>
        <v>500</v>
      </c>
      <c r="S15" s="15">
        <f>SUMIF('[1]أسماء المحالين للمعاش(سفاجا)'!D$10:D$54,D15:D58,'[1]أسماء المحالين للمعاش(سفاجا)'!AD$10:AD$54)</f>
        <v>0</v>
      </c>
      <c r="T15" s="15">
        <f>SUMIF('[1]أسماء المحالين للمعاش(سفاجا)'!D$10:D$55,D15:D58,'[1]أسماء المحالين للمعاش(سفاجا)'!AE$10:AE$55)</f>
        <v>0</v>
      </c>
      <c r="U15" s="15">
        <f>SUMIF('[1]أسماء المحالين للمعاش(سفاجا)'!D$10:D$55,D15:D58,'[1]أسماء المحالين للمعاش(سفاجا)'!AF$10:AF$55)</f>
        <v>0</v>
      </c>
      <c r="V15" s="15">
        <f>SUMIF('[1]أسماء المحالين للمعاش(سفاجا)'!$D$10:$D$55,$D$8:$D$51,'[1]أسماء المحالين للمعاش(سفاجا)'!AG$10:AG$55)</f>
        <v>0</v>
      </c>
      <c r="W15" s="15">
        <f>SUMIF('[1]أسماء المحالين للمعاش(سفاجا)'!$D$10:$D$55,$D$8:$D$51,'[1]أسماء المحالين للمعاش(سفاجا)'!AH$10:AH$55)</f>
        <v>0</v>
      </c>
      <c r="X15" s="15">
        <f>SUMIF('[1]أسماء المحالين للمعاش(سفاجا)'!$D$10:$D$55,$D$8:$D$51,'[1]أسماء المحالين للمعاش(سفاجا)'!AI$10:AI$55)</f>
        <v>0</v>
      </c>
      <c r="Y15" s="15">
        <f>SUMIF(بيان.مغاشات.سفاجا[الإسم],'ورقة2 (2)'!D15:D58,بيان.مغاشات.سفاجا[يناير-23])</f>
        <v>0</v>
      </c>
    </row>
    <row r="16" spans="3:25" x14ac:dyDescent="0.35">
      <c r="C16" s="47">
        <v>9</v>
      </c>
      <c r="D16" s="48" t="s">
        <v>349</v>
      </c>
      <c r="E16" s="48">
        <f>SUMIF(بيان.مغاشات.سفاجا[الإسم],'ورقة2 (2)'!D16:D79,بيان.مغاشات.سفاجا[المنحة])</f>
        <v>17098.2</v>
      </c>
      <c r="F16" s="115">
        <f>SUMIF(بيان.مغاشات.سفاجا[الإسم],'ورقة2 (2)'!D16:D53,بيان.مغاشات.سفاجا[إجمالي المنصرف])</f>
        <v>18700</v>
      </c>
      <c r="G16" s="115">
        <f t="shared" si="0"/>
        <v>17098.2</v>
      </c>
      <c r="H16" s="48">
        <f t="shared" si="1"/>
        <v>0</v>
      </c>
      <c r="I16" s="48">
        <f>SUMIF(بيان.مغاشات.سفاجا[الإسم],'ورقة2 (2)'!D16:D46,بيان.مغاشات.سفاجا[مقابل نقدي])</f>
        <v>11910.53</v>
      </c>
      <c r="J16" s="48">
        <f t="shared" si="2"/>
        <v>1601.7999999999993</v>
      </c>
      <c r="K16" s="48">
        <f t="shared" si="3"/>
        <v>1601.7999999999993</v>
      </c>
      <c r="L16" s="48">
        <f t="shared" si="4"/>
        <v>10308.730000000001</v>
      </c>
      <c r="M16" s="48" t="s">
        <v>350</v>
      </c>
      <c r="N16" s="46"/>
      <c r="O16" s="61">
        <v>500</v>
      </c>
      <c r="P16" s="117">
        <v>44713</v>
      </c>
      <c r="R16" s="15">
        <f>SUMIF('[1]أسماء المحالين للمعاش(سفاجا)'!$D$10:$D$54,D16:D54,'[1]أسماء المحالين للمعاش(سفاجا)'!$AC$10:$AC$54)</f>
        <v>500</v>
      </c>
      <c r="S16" s="15">
        <f>SUMIF('[1]أسماء المحالين للمعاش(سفاجا)'!D$10:D$54,D16:D59,'[1]أسماء المحالين للمعاش(سفاجا)'!AD$10:AD$54)</f>
        <v>0</v>
      </c>
      <c r="T16" s="15">
        <f>SUMIF('[1]أسماء المحالين للمعاش(سفاجا)'!D$10:D$55,D16:D59,'[1]أسماء المحالين للمعاش(سفاجا)'!AE$10:AE$55)</f>
        <v>0</v>
      </c>
      <c r="U16" s="15">
        <f>SUMIF('[1]أسماء المحالين للمعاش(سفاجا)'!D$10:D$55,D16:D59,'[1]أسماء المحالين للمعاش(سفاجا)'!AF$10:AF$55)</f>
        <v>0</v>
      </c>
      <c r="V16" s="15">
        <f>SUMIF('[1]أسماء المحالين للمعاش(سفاجا)'!$D$10:$D$55,$D$8:$D$51,'[1]أسماء المحالين للمعاش(سفاجا)'!AG$10:AG$55)</f>
        <v>0</v>
      </c>
      <c r="W16" s="15">
        <f>SUMIF('[1]أسماء المحالين للمعاش(سفاجا)'!$D$10:$D$55,$D$8:$D$51,'[1]أسماء المحالين للمعاش(سفاجا)'!AH$10:AH$55)</f>
        <v>0</v>
      </c>
      <c r="X16" s="15">
        <f>SUMIF('[1]أسماء المحالين للمعاش(سفاجا)'!$D$10:$D$55,$D$8:$D$51,'[1]أسماء المحالين للمعاش(سفاجا)'!AI$10:AI$55)</f>
        <v>0</v>
      </c>
      <c r="Y16" s="15">
        <f>SUMIF(بيان.مغاشات.سفاجا[الإسم],'ورقة2 (2)'!D16:D59,بيان.مغاشات.سفاجا[يناير-23])</f>
        <v>0</v>
      </c>
    </row>
    <row r="17" spans="3:25" x14ac:dyDescent="0.35">
      <c r="C17" s="47">
        <v>10</v>
      </c>
      <c r="D17" s="46" t="s">
        <v>351</v>
      </c>
      <c r="E17" s="46">
        <f>SUMIF(بيان.مغاشات.سفاجا[الإسم],'ورقة2 (2)'!D17:D80,بيان.مغاشات.سفاجا[المنحة])</f>
        <v>18335.099999999999</v>
      </c>
      <c r="F17" s="114">
        <f>SUMIF(بيان.مغاشات.سفاجا[الإسم],'ورقة2 (2)'!D17:D54,بيان.مغاشات.سفاجا[إجمالي المنصرف])</f>
        <v>21035.1</v>
      </c>
      <c r="G17" s="46">
        <f t="shared" si="0"/>
        <v>18335.099999999999</v>
      </c>
      <c r="H17" s="46">
        <f t="shared" si="1"/>
        <v>0</v>
      </c>
      <c r="I17" s="46">
        <f>SUMIF(بيان.مغاشات.سفاجا[الإسم],'ورقة2 (2)'!D17:D47,بيان.مغاشات.سفاجا[مقابل نقدي])</f>
        <v>12949.45</v>
      </c>
      <c r="J17" s="46">
        <f t="shared" si="2"/>
        <v>2700</v>
      </c>
      <c r="K17" s="46">
        <f t="shared" si="3"/>
        <v>2700</v>
      </c>
      <c r="L17" s="46">
        <f t="shared" si="4"/>
        <v>10249.450000000001</v>
      </c>
      <c r="M17" s="46"/>
      <c r="N17" s="46"/>
      <c r="O17" s="61">
        <v>500</v>
      </c>
      <c r="P17" s="117">
        <v>44713</v>
      </c>
      <c r="R17" s="15">
        <f>SUMIF('[1]أسماء المحالين للمعاش(سفاجا)'!$D$10:$D$54,D17:D55,'[1]أسماء المحالين للمعاش(سفاجا)'!$AC$10:$AC$54)</f>
        <v>500</v>
      </c>
      <c r="S17" s="15">
        <f>SUMIF('[1]أسماء المحالين للمعاش(سفاجا)'!D$10:D$54,D17:D60,'[1]أسماء المحالين للمعاش(سفاجا)'!AD$10:AD$54)</f>
        <v>0</v>
      </c>
      <c r="T17" s="15">
        <f>SUMIF('[1]أسماء المحالين للمعاش(سفاجا)'!D$10:D$55,D17:D60,'[1]أسماء المحالين للمعاش(سفاجا)'!AE$10:AE$55)</f>
        <v>0</v>
      </c>
      <c r="U17" s="15">
        <f>SUMIF('[1]أسماء المحالين للمعاش(سفاجا)'!D$10:D$55,D17:D60,'[1]أسماء المحالين للمعاش(سفاجا)'!AF$10:AF$55)</f>
        <v>0</v>
      </c>
      <c r="V17" s="15">
        <f>SUMIF('[1]أسماء المحالين للمعاش(سفاجا)'!$D$10:$D$55,$D$8:$D$51,'[1]أسماء المحالين للمعاش(سفاجا)'!AG$10:AG$55)</f>
        <v>0</v>
      </c>
      <c r="W17" s="15">
        <f>SUMIF('[1]أسماء المحالين للمعاش(سفاجا)'!$D$10:$D$55,$D$8:$D$51,'[1]أسماء المحالين للمعاش(سفاجا)'!AH$10:AH$55)</f>
        <v>0</v>
      </c>
      <c r="X17" s="15">
        <f>SUMIF('[1]أسماء المحالين للمعاش(سفاجا)'!$D$10:$D$55,$D$8:$D$51,'[1]أسماء المحالين للمعاش(سفاجا)'!AI$10:AI$55)</f>
        <v>0</v>
      </c>
      <c r="Y17" s="15">
        <f>SUMIF(بيان.مغاشات.سفاجا[الإسم],'ورقة2 (2)'!D17:D60,بيان.مغاشات.سفاجا[يناير-23])</f>
        <v>0</v>
      </c>
    </row>
    <row r="18" spans="3:25" x14ac:dyDescent="0.35">
      <c r="C18" s="47">
        <v>11</v>
      </c>
      <c r="D18" s="48" t="s">
        <v>352</v>
      </c>
      <c r="E18" s="48">
        <f>SUMIF(بيان.مغاشات.سفاجا[الإسم],'ورقة2 (2)'!D18:D81,بيان.مغاشات.سفاجا[المنحة])</f>
        <v>13221.54</v>
      </c>
      <c r="F18" s="115">
        <f>SUMIF(بيان.مغاشات.سفاجا[الإسم],'ورقة2 (2)'!D18:D55,بيان.مغاشات.سفاجا[إجمالي المنصرف])</f>
        <v>16000</v>
      </c>
      <c r="G18" s="115">
        <f t="shared" si="0"/>
        <v>13221.54</v>
      </c>
      <c r="H18" s="48">
        <f t="shared" si="1"/>
        <v>0</v>
      </c>
      <c r="I18" s="48">
        <f>SUMIF(بيان.مغاشات.سفاجا[الإسم],'ورقة2 (2)'!D18:D48,بيان.مغاشات.سفاجا[مقابل نقدي])</f>
        <v>8697.6</v>
      </c>
      <c r="J18" s="48">
        <f t="shared" si="2"/>
        <v>2778.4599999999991</v>
      </c>
      <c r="K18" s="48">
        <f t="shared" si="3"/>
        <v>2778.4599999999991</v>
      </c>
      <c r="L18" s="48">
        <f t="shared" si="4"/>
        <v>5919.1400000000012</v>
      </c>
      <c r="M18" s="48" t="s">
        <v>350</v>
      </c>
      <c r="N18" s="46"/>
      <c r="O18" s="61">
        <v>500</v>
      </c>
      <c r="P18" s="117">
        <v>44713</v>
      </c>
      <c r="R18" s="15">
        <f>SUMIF('[1]أسماء المحالين للمعاش(سفاجا)'!$D$10:$D$54,D18:D56,'[1]أسماء المحالين للمعاش(سفاجا)'!$AC$10:$AC$54)</f>
        <v>500</v>
      </c>
      <c r="S18" s="15">
        <f>SUMIF('[1]أسماء المحالين للمعاش(سفاجا)'!D$10:D$54,D18:D61,'[1]أسماء المحالين للمعاش(سفاجا)'!AD$10:AD$54)</f>
        <v>0</v>
      </c>
      <c r="T18" s="15">
        <f>SUMIF('[1]أسماء المحالين للمعاش(سفاجا)'!D$10:D$55,D18:D61,'[1]أسماء المحالين للمعاش(سفاجا)'!AE$10:AE$55)</f>
        <v>0</v>
      </c>
      <c r="U18" s="15">
        <f>SUMIF('[1]أسماء المحالين للمعاش(سفاجا)'!D$10:D$55,D18:D61,'[1]أسماء المحالين للمعاش(سفاجا)'!AF$10:AF$55)</f>
        <v>0</v>
      </c>
      <c r="V18" s="15">
        <f>SUMIF('[1]أسماء المحالين للمعاش(سفاجا)'!$D$10:$D$55,$D$8:$D$51,'[1]أسماء المحالين للمعاش(سفاجا)'!AG$10:AG$55)</f>
        <v>0</v>
      </c>
      <c r="W18" s="15">
        <f>SUMIF('[1]أسماء المحالين للمعاش(سفاجا)'!$D$10:$D$55,$D$8:$D$51,'[1]أسماء المحالين للمعاش(سفاجا)'!AH$10:AH$55)</f>
        <v>0</v>
      </c>
      <c r="X18" s="15">
        <f>SUMIF('[1]أسماء المحالين للمعاش(سفاجا)'!$D$10:$D$55,$D$8:$D$51,'[1]أسماء المحالين للمعاش(سفاجا)'!AI$10:AI$55)</f>
        <v>0</v>
      </c>
      <c r="Y18" s="15">
        <f>SUMIF(بيان.مغاشات.سفاجا[الإسم],'ورقة2 (2)'!D18:D61,بيان.مغاشات.سفاجا[يناير-23])</f>
        <v>0</v>
      </c>
    </row>
    <row r="19" spans="3:25" x14ac:dyDescent="0.35">
      <c r="C19" s="47">
        <v>12</v>
      </c>
      <c r="D19" s="46" t="s">
        <v>353</v>
      </c>
      <c r="E19" s="46">
        <f>SUMIF(بيان.مغاشات.سفاجا[الإسم],'ورقة2 (2)'!D19:D82,بيان.مغاشات.سفاجا[المنحة])</f>
        <v>17857.14</v>
      </c>
      <c r="F19" s="114">
        <f>SUMIF(بيان.مغاشات.سفاجا[الإسم],'ورقة2 (2)'!D19:D56,بيان.مغاشات.سفاجا[إجمالي المنصرف])</f>
        <v>17857.14</v>
      </c>
      <c r="G19" s="46">
        <f t="shared" si="0"/>
        <v>17857.14</v>
      </c>
      <c r="H19" s="46">
        <f t="shared" si="1"/>
        <v>0</v>
      </c>
      <c r="I19" s="46">
        <f>SUMIF(بيان.مغاشات.سفاجا[الإسم],'ورقة2 (2)'!D19:D49,بيان.مغاشات.سفاجا[مقابل نقدي])</f>
        <v>12785.6</v>
      </c>
      <c r="J19" s="46">
        <f t="shared" si="2"/>
        <v>0</v>
      </c>
      <c r="K19" s="46">
        <f t="shared" si="3"/>
        <v>0</v>
      </c>
      <c r="L19" s="46">
        <f t="shared" si="4"/>
        <v>12785.6</v>
      </c>
      <c r="M19" s="46"/>
      <c r="N19" s="46"/>
      <c r="O19" s="61">
        <v>1500</v>
      </c>
      <c r="P19" s="117">
        <v>44927</v>
      </c>
      <c r="R19" s="15">
        <f>SUMIF('[1]أسماء المحالين للمعاش(سفاجا)'!$D$10:$D$54,D19:D57,'[1]أسماء المحالين للمعاش(سفاجا)'!$AC$10:$AC$54)</f>
        <v>500</v>
      </c>
      <c r="S19" s="15">
        <f>SUMIF('[1]أسماء المحالين للمعاش(سفاجا)'!D$10:D$54,D19:D62,'[1]أسماء المحالين للمعاش(سفاجا)'!AD$10:AD$54)</f>
        <v>0</v>
      </c>
      <c r="T19" s="15">
        <f>SUMIF('[1]أسماء المحالين للمعاش(سفاجا)'!D$10:D$55,D19:D62,'[1]أسماء المحالين للمعاش(سفاجا)'!AE$10:AE$55)</f>
        <v>0</v>
      </c>
      <c r="U19" s="15">
        <f>SUMIF('[1]أسماء المحالين للمعاش(سفاجا)'!D$10:D$55,D19:D62,'[1]أسماء المحالين للمعاش(سفاجا)'!AF$10:AF$55)</f>
        <v>0</v>
      </c>
      <c r="V19" s="15">
        <f>SUMIF('[1]أسماء المحالين للمعاش(سفاجا)'!$D$10:$D$55,$D$8:$D$51,'[1]أسماء المحالين للمعاش(سفاجا)'!AG$10:AG$55)</f>
        <v>0</v>
      </c>
      <c r="W19" s="15">
        <f>SUMIF('[1]أسماء المحالين للمعاش(سفاجا)'!$D$10:$D$55,$D$8:$D$51,'[1]أسماء المحالين للمعاش(سفاجا)'!AH$10:AH$55)</f>
        <v>0</v>
      </c>
      <c r="X19" s="15">
        <f>SUMIF('[1]أسماء المحالين للمعاش(سفاجا)'!$D$10:$D$55,$D$8:$D$51,'[1]أسماء المحالين للمعاش(سفاجا)'!AI$10:AI$55)</f>
        <v>2000</v>
      </c>
      <c r="Y19" s="15">
        <f>SUMIF(بيان.مغاشات.سفاجا[الإسم],'ورقة2 (2)'!D19:D62,بيان.مغاشات.سفاجا[يناير-23])</f>
        <v>1500</v>
      </c>
    </row>
    <row r="20" spans="3:25" x14ac:dyDescent="0.35">
      <c r="C20" s="47">
        <v>13</v>
      </c>
      <c r="D20" s="46" t="s">
        <v>356</v>
      </c>
      <c r="E20" s="46">
        <f>SUMIF(بيان.مغاشات.سفاجا[الإسم],'ورقة2 (2)'!D20:D83,بيان.مغاشات.سفاجا[المنحة])</f>
        <v>18962.740000000002</v>
      </c>
      <c r="F20" s="114">
        <f>SUMIF(بيان.مغاشات.سفاجا[الإسم],'ورقة2 (2)'!D20:D57,بيان.مغاشات.سفاجا[إجمالي المنصرف])</f>
        <v>20562.739999999998</v>
      </c>
      <c r="G20" s="46">
        <f t="shared" si="0"/>
        <v>18962.740000000002</v>
      </c>
      <c r="H20" s="46">
        <f t="shared" si="1"/>
        <v>0</v>
      </c>
      <c r="I20" s="46">
        <f>SUMIF(بيان.مغاشات.سفاجا[الإسم],'ورقة2 (2)'!D20:D50,بيان.مغاشات.سفاجا[مقابل نقدي])</f>
        <v>16470</v>
      </c>
      <c r="J20" s="46">
        <f t="shared" si="2"/>
        <v>1599.9999999999964</v>
      </c>
      <c r="K20" s="46">
        <f t="shared" si="3"/>
        <v>1599.9999999999964</v>
      </c>
      <c r="L20" s="46">
        <f t="shared" si="4"/>
        <v>14870.000000000004</v>
      </c>
      <c r="M20" s="46"/>
      <c r="N20" s="46"/>
      <c r="O20" s="61">
        <v>2427.7399999999998</v>
      </c>
      <c r="P20" s="117">
        <v>44896</v>
      </c>
      <c r="R20" s="15">
        <f>SUMIF('[1]أسماء المحالين للمعاش(سفاجا)'!$D$10:$D$54,D20:D58,'[1]أسماء المحالين للمعاش(سفاجا)'!$AC$10:$AC$54)</f>
        <v>500</v>
      </c>
      <c r="S20" s="15">
        <f>SUMIF('[1]أسماء المحالين للمعاش(سفاجا)'!D$10:D$54,D20:D63,'[1]أسماء المحالين للمعاش(سفاجا)'!AD$10:AD$54)</f>
        <v>0</v>
      </c>
      <c r="T20" s="15">
        <f>SUMIF('[1]أسماء المحالين للمعاش(سفاجا)'!D$10:D$55,D20:D63,'[1]أسماء المحالين للمعاش(سفاجا)'!AE$10:AE$55)</f>
        <v>0</v>
      </c>
      <c r="U20" s="15">
        <f>SUMIF('[1]أسماء المحالين للمعاش(سفاجا)'!D$10:D$55,D20:D63,'[1]أسماء المحالين للمعاش(سفاجا)'!AF$10:AF$55)</f>
        <v>0</v>
      </c>
      <c r="V20" s="15">
        <f>SUMIF('[1]أسماء المحالين للمعاش(سفاجا)'!$D$10:$D$55,$D$8:$D$51,'[1]أسماء المحالين للمعاش(سفاجا)'!AG$10:AG$55)</f>
        <v>0</v>
      </c>
      <c r="W20" s="15">
        <f>SUMIF('[1]أسماء المحالين للمعاش(سفاجا)'!$D$10:$D$55,$D$8:$D$51,'[1]أسماء المحالين للمعاش(سفاجا)'!AH$10:AH$55)</f>
        <v>0</v>
      </c>
      <c r="X20" s="15">
        <f>SUMIF('[1]أسماء المحالين للمعاش(سفاجا)'!$D$10:$D$55,$D$8:$D$51,'[1]أسماء المحالين للمعاش(سفاجا)'!AI$10:AI$55)</f>
        <v>2427.7399999999998</v>
      </c>
      <c r="Y20" s="15">
        <f>SUMIF(بيان.مغاشات.سفاجا[الإسم],'ورقة2 (2)'!D20:D63,بيان.مغاشات.سفاجا[يناير-23])</f>
        <v>0</v>
      </c>
    </row>
    <row r="21" spans="3:25" x14ac:dyDescent="0.35">
      <c r="C21" s="47">
        <v>14</v>
      </c>
      <c r="D21" s="48" t="s">
        <v>412</v>
      </c>
      <c r="E21" s="48">
        <f>SUMIF(بيان.مغاشات.سفاجا[الإسم],'ورقة2 (2)'!D21:D84,بيان.مغاشات.سفاجا[المنحة])</f>
        <v>0</v>
      </c>
      <c r="F21" s="115">
        <f>SUMIF(بيان.مغاشات.سفاجا[الإسم],'ورقة2 (2)'!D21:D58,بيان.مغاشات.سفاجا[إجمالي المنصرف])</f>
        <v>0</v>
      </c>
      <c r="G21" s="115">
        <v>0</v>
      </c>
      <c r="H21" s="48">
        <f t="shared" si="1"/>
        <v>0</v>
      </c>
      <c r="I21" s="48">
        <v>9980.1</v>
      </c>
      <c r="J21" s="48">
        <f t="shared" si="2"/>
        <v>0</v>
      </c>
      <c r="K21" s="48">
        <v>9980.1</v>
      </c>
      <c r="L21" s="48">
        <f t="shared" si="4"/>
        <v>0</v>
      </c>
      <c r="M21" s="48" t="s">
        <v>415</v>
      </c>
      <c r="N21" s="46"/>
      <c r="O21" s="61">
        <v>2133.38</v>
      </c>
      <c r="P21" s="117">
        <v>44896</v>
      </c>
      <c r="R21" s="15">
        <f>SUMIF('[1]أسماء المحالين للمعاش(سفاجا)'!$D$10:$D$54,D21:D59,'[1]أسماء المحالين للمعاش(سفاجا)'!$AC$10:$AC$54)</f>
        <v>500</v>
      </c>
      <c r="S21" s="15">
        <f>SUMIF('[1]أسماء المحالين للمعاش(سفاجا)'!D$10:D$54,D21:D64,'[1]أسماء المحالين للمعاش(سفاجا)'!AD$10:AD$54)</f>
        <v>0</v>
      </c>
      <c r="T21" s="15">
        <f>SUMIF('[1]أسماء المحالين للمعاش(سفاجا)'!D$10:D$55,D21:D64,'[1]أسماء المحالين للمعاش(سفاجا)'!AE$10:AE$55)</f>
        <v>0</v>
      </c>
      <c r="U21" s="15">
        <f>SUMIF('[1]أسماء المحالين للمعاش(سفاجا)'!D$10:D$55,D21:D64,'[1]أسماء المحالين للمعاش(سفاجا)'!AF$10:AF$55)</f>
        <v>0</v>
      </c>
      <c r="V21" s="15">
        <f>SUMIF('[1]أسماء المحالين للمعاش(سفاجا)'!$D$10:$D$55,$D$8:$D$51,'[1]أسماء المحالين للمعاش(سفاجا)'!AG$10:AG$55)</f>
        <v>0</v>
      </c>
      <c r="W21" s="15">
        <f>SUMIF('[1]أسماء المحالين للمعاش(سفاجا)'!$D$10:$D$55,$D$8:$D$51,'[1]أسماء المحالين للمعاش(سفاجا)'!AH$10:AH$55)</f>
        <v>0</v>
      </c>
      <c r="X21" s="15">
        <f>SUMIF('[1]أسماء المحالين للمعاش(سفاجا)'!$D$10:$D$55,$D$8:$D$51,'[1]أسماء المحالين للمعاش(سفاجا)'!AI$10:AI$55)</f>
        <v>2133.38</v>
      </c>
      <c r="Y21" s="15">
        <f>SUMIF(بيان.مغاشات.سفاجا[الإسم],'ورقة2 (2)'!D21:D64,بيان.مغاشات.سفاجا[يناير-23])</f>
        <v>0</v>
      </c>
    </row>
    <row r="22" spans="3:25" x14ac:dyDescent="0.35">
      <c r="C22" s="47">
        <v>15</v>
      </c>
      <c r="D22" s="46" t="s">
        <v>357</v>
      </c>
      <c r="E22" s="46">
        <f>SUMIF(بيان.مغاشات.سفاجا[الإسم],'ورقة2 (2)'!D22:D85,بيان.مغاشات.سفاجا[المنحة])</f>
        <v>0</v>
      </c>
      <c r="F22" s="46">
        <f>SUMIF(بيان.مغاشات.سفاجا[الإسم],'ورقة2 (2)'!D22:D59,بيان.مغاشات.سفاجا[إجمالي المنصرف])</f>
        <v>9000</v>
      </c>
      <c r="G22" s="46">
        <f t="shared" si="0"/>
        <v>0</v>
      </c>
      <c r="H22" s="46">
        <f t="shared" si="1"/>
        <v>0</v>
      </c>
      <c r="I22" s="46">
        <f>SUMIF(بيان.مغاشات.سفاجا[الإسم],'ورقة2 (2)'!D22:D52,بيان.مغاشات.سفاجا[مقابل نقدي])</f>
        <v>10199.700000000001</v>
      </c>
      <c r="J22" s="46">
        <f t="shared" si="2"/>
        <v>9000</v>
      </c>
      <c r="K22" s="46">
        <f t="shared" si="3"/>
        <v>9000</v>
      </c>
      <c r="L22" s="46">
        <f t="shared" si="4"/>
        <v>1199.7000000000007</v>
      </c>
      <c r="M22" s="46"/>
      <c r="N22" s="46"/>
      <c r="O22" s="61">
        <v>1500</v>
      </c>
      <c r="P22" s="117">
        <v>44896</v>
      </c>
      <c r="R22" s="15">
        <f>SUMIF('[1]أسماء المحالين للمعاش(سفاجا)'!$D$10:$D$54,D22:D60,'[1]أسماء المحالين للمعاش(سفاجا)'!$AC$10:$AC$54)</f>
        <v>500</v>
      </c>
      <c r="S22" s="15">
        <f>SUMIF('[1]أسماء المحالين للمعاش(سفاجا)'!D$10:D$54,D22:D65,'[1]أسماء المحالين للمعاش(سفاجا)'!AD$10:AD$54)</f>
        <v>0</v>
      </c>
      <c r="T22" s="15">
        <f>SUMIF('[1]أسماء المحالين للمعاش(سفاجا)'!D$10:D$55,D22:D65,'[1]أسماء المحالين للمعاش(سفاجا)'!AE$10:AE$55)</f>
        <v>0</v>
      </c>
      <c r="U22" s="15">
        <f>SUMIF('[1]أسماء المحالين للمعاش(سفاجا)'!D$10:D$55,D22:D65,'[1]أسماء المحالين للمعاش(سفاجا)'!AF$10:AF$55)</f>
        <v>0</v>
      </c>
      <c r="V22" s="15">
        <f>SUMIF('[1]أسماء المحالين للمعاش(سفاجا)'!$D$10:$D$55,$D$8:$D$51,'[1]أسماء المحالين للمعاش(سفاجا)'!AG$10:AG$55)</f>
        <v>0</v>
      </c>
      <c r="W22" s="15">
        <f>SUMIF('[1]أسماء المحالين للمعاش(سفاجا)'!$D$10:$D$55,$D$8:$D$51,'[1]أسماء المحالين للمعاش(سفاجا)'!AH$10:AH$55)</f>
        <v>0</v>
      </c>
      <c r="X22" s="15">
        <f>SUMIF('[1]أسماء المحالين للمعاش(سفاجا)'!$D$10:$D$55,$D$8:$D$51,'[1]أسماء المحالين للمعاش(سفاجا)'!AI$10:AI$55)</f>
        <v>1500</v>
      </c>
      <c r="Y22" s="15">
        <f>SUMIF(بيان.مغاشات.سفاجا[الإسم],'ورقة2 (2)'!D22:D65,بيان.مغاشات.سفاجا[يناير-23])</f>
        <v>0</v>
      </c>
    </row>
    <row r="23" spans="3:25" x14ac:dyDescent="0.35">
      <c r="C23" s="47">
        <v>16</v>
      </c>
      <c r="D23" s="46" t="s">
        <v>359</v>
      </c>
      <c r="E23" s="46">
        <f>SUMIF(بيان.مغاشات.سفاجا[الإسم],'ورقة2 (2)'!D23:D86,بيان.مغاشات.سفاجا[المنحة])</f>
        <v>0</v>
      </c>
      <c r="F23" s="46">
        <f>SUMIF(بيان.مغاشات.سفاجا[الإسم],'ورقة2 (2)'!D23:D60,بيان.مغاشات.سفاجا[إجمالي المنصرف])</f>
        <v>5269.7</v>
      </c>
      <c r="G23" s="46">
        <f t="shared" si="0"/>
        <v>0</v>
      </c>
      <c r="H23" s="46">
        <f t="shared" si="1"/>
        <v>0</v>
      </c>
      <c r="I23" s="46">
        <f>SUMIF(بيان.مغاشات.سفاجا[الإسم],'ورقة2 (2)'!D23:D53,بيان.مغاشات.سفاجا[مقابل نقدي])</f>
        <v>10199.700000000001</v>
      </c>
      <c r="J23" s="46">
        <f t="shared" si="2"/>
        <v>5269.7</v>
      </c>
      <c r="K23" s="46">
        <f t="shared" si="3"/>
        <v>5269.7</v>
      </c>
      <c r="L23" s="46">
        <f t="shared" si="4"/>
        <v>4930.0000000000009</v>
      </c>
      <c r="M23" s="46"/>
      <c r="N23" s="46"/>
      <c r="O23" s="61">
        <v>500</v>
      </c>
      <c r="P23" s="117">
        <v>44713</v>
      </c>
      <c r="R23" s="15">
        <f>SUMIF('[1]أسماء المحالين للمعاش(سفاجا)'!$D$10:$D$54,D23:D61,'[1]أسماء المحالين للمعاش(سفاجا)'!$AC$10:$AC$54)</f>
        <v>500</v>
      </c>
      <c r="S23" s="15">
        <f>SUMIF('[1]أسماء المحالين للمعاش(سفاجا)'!D$10:D$54,D23:D66,'[1]أسماء المحالين للمعاش(سفاجا)'!AD$10:AD$54)</f>
        <v>0</v>
      </c>
      <c r="T23" s="15">
        <f>SUMIF('[1]أسماء المحالين للمعاش(سفاجا)'!D$10:D$55,D23:D66,'[1]أسماء المحالين للمعاش(سفاجا)'!AE$10:AE$55)</f>
        <v>0</v>
      </c>
      <c r="U23" s="15">
        <f>SUMIF('[1]أسماء المحالين للمعاش(سفاجا)'!D$10:D$55,D23:D66,'[1]أسماء المحالين للمعاش(سفاجا)'!AF$10:AF$55)</f>
        <v>0</v>
      </c>
      <c r="V23" s="15">
        <f>SUMIF('[1]أسماء المحالين للمعاش(سفاجا)'!$D$10:$D$55,$D$8:$D$51,'[1]أسماء المحالين للمعاش(سفاجا)'!AG$10:AG$55)</f>
        <v>0</v>
      </c>
      <c r="W23" s="15">
        <f>SUMIF('[1]أسماء المحالين للمعاش(سفاجا)'!$D$10:$D$55,$D$8:$D$51,'[1]أسماء المحالين للمعاش(سفاجا)'!AH$10:AH$55)</f>
        <v>0</v>
      </c>
      <c r="X23" s="15">
        <f>SUMIF('[1]أسماء المحالين للمعاش(سفاجا)'!$D$10:$D$55,$D$8:$D$51,'[1]أسماء المحالين للمعاش(سفاجا)'!AI$10:AI$55)</f>
        <v>0</v>
      </c>
      <c r="Y23" s="15">
        <f>SUMIF(بيان.مغاشات.سفاجا[الإسم],'ورقة2 (2)'!D23:D66,بيان.مغاشات.سفاجا[يناير-23])</f>
        <v>0</v>
      </c>
    </row>
    <row r="24" spans="3:25" x14ac:dyDescent="0.35">
      <c r="C24" s="47">
        <v>17</v>
      </c>
      <c r="D24" s="46" t="s">
        <v>361</v>
      </c>
      <c r="E24" s="46">
        <f>SUMIF(بيان.مغاشات.سفاجا[الإسم],'ورقة2 (2)'!D24:D87,بيان.مغاشات.سفاجا[المنحة])</f>
        <v>21309.84</v>
      </c>
      <c r="F24" s="46">
        <f>SUMIF(بيان.مغاشات.سفاجا[الإسم],'ورقة2 (2)'!D24:D61,بيان.مغاشات.سفاجا[إجمالي المنصرف])</f>
        <v>13000</v>
      </c>
      <c r="G24" s="46">
        <f t="shared" si="0"/>
        <v>13000</v>
      </c>
      <c r="H24" s="46">
        <f t="shared" si="1"/>
        <v>8309.84</v>
      </c>
      <c r="I24" s="46">
        <f>SUMIF(بيان.مغاشات.سفاجا[الإسم],'ورقة2 (2)'!D24:D54,بيان.مغاشات.سفاجا[مقابل نقدي])</f>
        <v>17447.400000000001</v>
      </c>
      <c r="J24" s="46">
        <f t="shared" si="2"/>
        <v>-8309.84</v>
      </c>
      <c r="K24" s="46">
        <f t="shared" si="3"/>
        <v>0</v>
      </c>
      <c r="L24" s="46">
        <f t="shared" si="4"/>
        <v>17447.400000000001</v>
      </c>
      <c r="M24" s="46"/>
      <c r="N24" s="46"/>
      <c r="O24" s="61">
        <v>2000</v>
      </c>
      <c r="P24" s="117">
        <v>44896</v>
      </c>
      <c r="R24" s="15">
        <f>SUMIF('[1]أسماء المحالين للمعاش(سفاجا)'!$D$10:$D$54,D24:D62,'[1]أسماء المحالين للمعاش(سفاجا)'!$AC$10:$AC$54)</f>
        <v>500</v>
      </c>
      <c r="S24" s="15">
        <f>SUMIF('[1]أسماء المحالين للمعاش(سفاجا)'!D$10:D$54,D24:D67,'[1]أسماء المحالين للمعاش(سفاجا)'!AD$10:AD$54)</f>
        <v>0</v>
      </c>
      <c r="T24" s="15">
        <f>SUMIF('[1]أسماء المحالين للمعاش(سفاجا)'!D$10:D$55,D24:D67,'[1]أسماء المحالين للمعاش(سفاجا)'!AE$10:AE$55)</f>
        <v>0</v>
      </c>
      <c r="U24" s="15">
        <f>SUMIF('[1]أسماء المحالين للمعاش(سفاجا)'!D$10:D$55,D24:D67,'[1]أسماء المحالين للمعاش(سفاجا)'!AF$10:AF$55)</f>
        <v>0</v>
      </c>
      <c r="V24" s="15">
        <f>SUMIF('[1]أسماء المحالين للمعاش(سفاجا)'!$D$10:$D$55,$D$8:$D$51,'[1]أسماء المحالين للمعاش(سفاجا)'!AG$10:AG$55)</f>
        <v>0</v>
      </c>
      <c r="W24" s="15">
        <f>SUMIF('[1]أسماء المحالين للمعاش(سفاجا)'!$D$10:$D$55,$D$8:$D$51,'[1]أسماء المحالين للمعاش(سفاجا)'!AH$10:AH$55)</f>
        <v>0</v>
      </c>
      <c r="X24" s="15">
        <f>SUMIF('[1]أسماء المحالين للمعاش(سفاجا)'!$D$10:$D$55,$D$8:$D$51,'[1]أسماء المحالين للمعاش(سفاجا)'!AI$10:AI$55)</f>
        <v>2000</v>
      </c>
      <c r="Y24" s="15">
        <f>SUMIF(بيان.مغاشات.سفاجا[الإسم],'ورقة2 (2)'!D24:D67,بيان.مغاشات.سفاجا[يناير-23])</f>
        <v>0</v>
      </c>
    </row>
    <row r="25" spans="3:25" x14ac:dyDescent="0.35">
      <c r="C25" s="47">
        <v>18</v>
      </c>
      <c r="D25" s="46" t="s">
        <v>362</v>
      </c>
      <c r="E25" s="46">
        <f>SUMIF(بيان.مغاشات.سفاجا[الإسم],'ورقة2 (2)'!D25:D88,بيان.مغاشات.سفاجا[المنحة])</f>
        <v>15072.6</v>
      </c>
      <c r="F25" s="46">
        <f>SUMIF(بيان.مغاشات.سفاجا[الإسم],'ورقة2 (2)'!D25:D62,بيان.مغاشات.سفاجا[إجمالي المنصرف])</f>
        <v>24100</v>
      </c>
      <c r="G25" s="46">
        <f t="shared" si="0"/>
        <v>15072.6</v>
      </c>
      <c r="H25" s="46">
        <f t="shared" si="1"/>
        <v>0</v>
      </c>
      <c r="I25" s="46">
        <f>SUMIF(بيان.مغاشات.سفاجا[الإسم],'ورقة2 (2)'!D25:D55,بيان.مغاشات.سفاجا[مقابل نقدي])</f>
        <v>12359.7</v>
      </c>
      <c r="J25" s="46">
        <f t="shared" si="2"/>
        <v>9027.4</v>
      </c>
      <c r="K25" s="46">
        <f t="shared" si="3"/>
        <v>9027.4</v>
      </c>
      <c r="L25" s="46">
        <f t="shared" si="4"/>
        <v>3332.3000000000011</v>
      </c>
      <c r="M25" s="46"/>
      <c r="N25" s="99"/>
      <c r="O25" s="118">
        <v>2000</v>
      </c>
      <c r="P25" s="117">
        <v>44866</v>
      </c>
      <c r="R25" s="15">
        <f>SUMIF('[1]أسماء المحالين للمعاش(سفاجا)'!$D$10:$D$54,D25:D63,'[1]أسماء المحالين للمعاش(سفاجا)'!$AC$10:$AC$54)</f>
        <v>500</v>
      </c>
      <c r="S25" s="15">
        <f>SUMIF('[1]أسماء المحالين للمعاش(سفاجا)'!D$10:D$54,D25:D68,'[1]أسماء المحالين للمعاش(سفاجا)'!AD$10:AD$54)</f>
        <v>0</v>
      </c>
      <c r="T25" s="15">
        <f>SUMIF('[1]أسماء المحالين للمعاش(سفاجا)'!D$10:D$55,D25:D68,'[1]أسماء المحالين للمعاش(سفاجا)'!AE$10:AE$55)</f>
        <v>0</v>
      </c>
      <c r="U25" s="15">
        <f>SUMIF('[1]أسماء المحالين للمعاش(سفاجا)'!D$10:D$55,D25:D68,'[1]أسماء المحالين للمعاش(سفاجا)'!AF$10:AF$55)</f>
        <v>0</v>
      </c>
      <c r="V25" s="15">
        <f>SUMIF('[1]أسماء المحالين للمعاش(سفاجا)'!$D$10:$D$55,$D$8:$D$51,'[1]أسماء المحالين للمعاش(سفاجا)'!AG$10:AG$55)</f>
        <v>0</v>
      </c>
      <c r="W25" s="15">
        <f>SUMIF('[1]أسماء المحالين للمعاش(سفاجا)'!$D$10:$D$55,$D$8:$D$51,'[1]أسماء المحالين للمعاش(سفاجا)'!AH$10:AH$55)</f>
        <v>2000</v>
      </c>
      <c r="X25" s="15">
        <f>SUMIF('[1]أسماء المحالين للمعاش(سفاجا)'!$D$10:$D$55,$D$8:$D$51,'[1]أسماء المحالين للمعاش(سفاجا)'!AI$10:AI$55)</f>
        <v>0</v>
      </c>
      <c r="Y25" s="15">
        <f>SUMIF(بيان.مغاشات.سفاجا[الإسم],'ورقة2 (2)'!D25:D68,بيان.مغاشات.سفاجا[يناير-23])</f>
        <v>0</v>
      </c>
    </row>
    <row r="26" spans="3:25" x14ac:dyDescent="0.35">
      <c r="C26" s="47">
        <v>19</v>
      </c>
      <c r="D26" s="46" t="s">
        <v>363</v>
      </c>
      <c r="E26" s="46">
        <f>SUMIF(بيان.مغاشات.سفاجا[الإسم],'ورقة2 (2)'!D26:D89,بيان.مغاشات.سفاجا[المنحة])</f>
        <v>0</v>
      </c>
      <c r="F26" s="46">
        <f>SUMIF(بيان.مغاشات.سفاجا[الإسم],'ورقة2 (2)'!D26:D63,بيان.مغاشات.سفاجا[إجمالي المنصرف])</f>
        <v>7560.74</v>
      </c>
      <c r="G26" s="46">
        <f t="shared" si="0"/>
        <v>0</v>
      </c>
      <c r="H26" s="46">
        <f t="shared" si="1"/>
        <v>0</v>
      </c>
      <c r="I26" s="46">
        <f>SUMIF(بيان.مغاشات.سفاجا[الإسم],'ورقة2 (2)'!D26:D56,بيان.مغاشات.سفاجا[مقابل نقدي])</f>
        <v>10000.799999999999</v>
      </c>
      <c r="J26" s="46">
        <f t="shared" si="2"/>
        <v>7560.74</v>
      </c>
      <c r="K26" s="46">
        <f t="shared" si="3"/>
        <v>7560.74</v>
      </c>
      <c r="L26" s="46">
        <f t="shared" si="4"/>
        <v>2440.0599999999995</v>
      </c>
      <c r="M26" s="46"/>
      <c r="N26" s="99"/>
      <c r="O26" s="118">
        <v>500</v>
      </c>
      <c r="P26" s="117">
        <v>44713</v>
      </c>
      <c r="R26" s="15">
        <f>SUMIF('[1]أسماء المحالين للمعاش(سفاجا)'!$D$10:$D$54,D26:D64,'[1]أسماء المحالين للمعاش(سفاجا)'!$AC$10:$AC$54)</f>
        <v>500</v>
      </c>
      <c r="S26" s="15">
        <f>SUMIF('[1]أسماء المحالين للمعاش(سفاجا)'!D$10:D$54,D26:D69,'[1]أسماء المحالين للمعاش(سفاجا)'!AD$10:AD$54)</f>
        <v>0</v>
      </c>
      <c r="T26" s="15">
        <f>SUMIF('[1]أسماء المحالين للمعاش(سفاجا)'!D$10:D$55,D26:D69,'[1]أسماء المحالين للمعاش(سفاجا)'!AE$10:AE$55)</f>
        <v>0</v>
      </c>
      <c r="U26" s="15">
        <f>SUMIF('[1]أسماء المحالين للمعاش(سفاجا)'!D$10:D$55,D26:D69,'[1]أسماء المحالين للمعاش(سفاجا)'!AF$10:AF$55)</f>
        <v>0</v>
      </c>
      <c r="V26" s="15">
        <f>SUMIF('[1]أسماء المحالين للمعاش(سفاجا)'!$D$10:$D$55,$D$8:$D$51,'[1]أسماء المحالين للمعاش(سفاجا)'!AG$10:AG$55)</f>
        <v>0</v>
      </c>
      <c r="W26" s="15">
        <f>SUMIF('[1]أسماء المحالين للمعاش(سفاجا)'!$D$10:$D$55,$D$8:$D$51,'[1]أسماء المحالين للمعاش(سفاجا)'!AH$10:AH$55)</f>
        <v>0</v>
      </c>
      <c r="X26" s="15">
        <f>SUMIF('[1]أسماء المحالين للمعاش(سفاجا)'!$D$10:$D$55,$D$8:$D$51,'[1]أسماء المحالين للمعاش(سفاجا)'!AI$10:AI$55)</f>
        <v>0</v>
      </c>
      <c r="Y26" s="15">
        <f>SUMIF(بيان.مغاشات.سفاجا[الإسم],'ورقة2 (2)'!D26:D69,بيان.مغاشات.سفاجا[يناير-23])</f>
        <v>0</v>
      </c>
    </row>
    <row r="27" spans="3:25" x14ac:dyDescent="0.35">
      <c r="C27" s="47">
        <v>20</v>
      </c>
      <c r="D27" s="46" t="s">
        <v>364</v>
      </c>
      <c r="E27" s="46">
        <f>SUMIF(بيان.مغاشات.سفاجا[الإسم],'ورقة2 (2)'!D27:D90,بيان.مغاشات.سفاجا[المنحة])</f>
        <v>1840.14</v>
      </c>
      <c r="F27" s="46">
        <f>SUMIF(بيان.مغاشات.سفاجا[الإسم],'ورقة2 (2)'!D27:D64,بيان.مغاشات.سفاجا[إجمالي المنصرف])</f>
        <v>11568.75</v>
      </c>
      <c r="G27" s="46">
        <f t="shared" si="0"/>
        <v>1840.1399999999994</v>
      </c>
      <c r="H27" s="46">
        <f t="shared" si="1"/>
        <v>0</v>
      </c>
      <c r="I27" s="46">
        <f>SUMIF(بيان.مغاشات.سفاجا[الإسم],'ورقة2 (2)'!D27:D57,بيان.مغاشات.سفاجا[مقابل نقدي])</f>
        <v>9870.2999999999993</v>
      </c>
      <c r="J27" s="46">
        <f t="shared" si="2"/>
        <v>9728.61</v>
      </c>
      <c r="K27" s="46">
        <f t="shared" si="3"/>
        <v>9728.61</v>
      </c>
      <c r="L27" s="46">
        <f t="shared" si="4"/>
        <v>141.68999999999869</v>
      </c>
      <c r="M27" s="46"/>
      <c r="N27" s="99"/>
      <c r="O27" s="118">
        <v>500</v>
      </c>
      <c r="P27" s="117">
        <v>44713</v>
      </c>
      <c r="R27" s="15">
        <f>SUMIF('[1]أسماء المحالين للمعاش(سفاجا)'!$D$10:$D$54,D27:D65,'[1]أسماء المحالين للمعاش(سفاجا)'!$AC$10:$AC$54)</f>
        <v>500</v>
      </c>
      <c r="S27" s="15">
        <f>SUMIF('[1]أسماء المحالين للمعاش(سفاجا)'!D$10:D$54,D27:D70,'[1]أسماء المحالين للمعاش(سفاجا)'!AD$10:AD$54)</f>
        <v>0</v>
      </c>
      <c r="T27" s="15">
        <f>SUMIF('[1]أسماء المحالين للمعاش(سفاجا)'!D$10:D$55,D27:D70,'[1]أسماء المحالين للمعاش(سفاجا)'!AE$10:AE$55)</f>
        <v>0</v>
      </c>
      <c r="U27" s="15">
        <f>SUMIF('[1]أسماء المحالين للمعاش(سفاجا)'!D$10:D$55,D27:D70,'[1]أسماء المحالين للمعاش(سفاجا)'!AF$10:AF$55)</f>
        <v>0</v>
      </c>
      <c r="V27" s="15">
        <f>SUMIF('[1]أسماء المحالين للمعاش(سفاجا)'!$D$10:$D$55,$D$8:$D$51,'[1]أسماء المحالين للمعاش(سفاجا)'!AG$10:AG$55)</f>
        <v>0</v>
      </c>
      <c r="W27" s="15">
        <f>SUMIF('[1]أسماء المحالين للمعاش(سفاجا)'!$D$10:$D$55,$D$8:$D$51,'[1]أسماء المحالين للمعاش(سفاجا)'!AH$10:AH$55)</f>
        <v>0</v>
      </c>
      <c r="X27" s="15">
        <f>SUMIF('[1]أسماء المحالين للمعاش(سفاجا)'!$D$10:$D$55,$D$8:$D$51,'[1]أسماء المحالين للمعاش(سفاجا)'!AI$10:AI$55)</f>
        <v>0</v>
      </c>
      <c r="Y27" s="15">
        <f>SUMIF(بيان.مغاشات.سفاجا[الإسم],'ورقة2 (2)'!D27:D70,بيان.مغاشات.سفاجا[يناير-23])</f>
        <v>0</v>
      </c>
    </row>
    <row r="28" spans="3:25" x14ac:dyDescent="0.35">
      <c r="C28" s="47">
        <v>21</v>
      </c>
      <c r="D28" s="48" t="s">
        <v>413</v>
      </c>
      <c r="E28" s="48">
        <v>13643.76</v>
      </c>
      <c r="F28" s="115">
        <v>22431.360000000001</v>
      </c>
      <c r="G28" s="115">
        <f t="shared" si="0"/>
        <v>13643.76</v>
      </c>
      <c r="H28" s="48">
        <f t="shared" si="1"/>
        <v>0</v>
      </c>
      <c r="I28" s="48">
        <v>8787.6</v>
      </c>
      <c r="J28" s="48">
        <f t="shared" si="2"/>
        <v>8787.6</v>
      </c>
      <c r="K28" s="48">
        <f t="shared" si="3"/>
        <v>8787.6</v>
      </c>
      <c r="L28" s="48">
        <f t="shared" si="4"/>
        <v>0</v>
      </c>
      <c r="M28" s="48" t="s">
        <v>414</v>
      </c>
      <c r="N28" s="99"/>
      <c r="O28" s="118">
        <v>787.36</v>
      </c>
      <c r="P28" s="117">
        <v>44835</v>
      </c>
      <c r="R28" s="15">
        <f>SUMIF('[1]أسماء المحالين للمعاش(سفاجا)'!$D$10:$D$54,D28:D66,'[1]أسماء المحالين للمعاش(سفاجا)'!$AC$10:$AC$54)</f>
        <v>500</v>
      </c>
      <c r="S28" s="15">
        <f>SUMIF('[1]أسماء المحالين للمعاش(سفاجا)'!D$10:D$54,D28:D71,'[1]أسماء المحالين للمعاش(سفاجا)'!AD$10:AD$54)</f>
        <v>0</v>
      </c>
      <c r="T28" s="15">
        <f>SUMIF('[1]أسماء المحالين للمعاش(سفاجا)'!D$10:D$55,D28:D71,'[1]أسماء المحالين للمعاش(سفاجا)'!AE$10:AE$55)</f>
        <v>0</v>
      </c>
      <c r="U28" s="15">
        <f>SUMIF('[1]أسماء المحالين للمعاش(سفاجا)'!D$10:D$55,D28:D71,'[1]أسماء المحالين للمعاش(سفاجا)'!AF$10:AF$55)</f>
        <v>0</v>
      </c>
      <c r="V28" s="15">
        <f>SUMIF('[1]أسماء المحالين للمعاش(سفاجا)'!$D$10:$D$55,$D$8:$D$51,'[1]أسماء المحالين للمعاش(سفاجا)'!AG$10:AG$55)</f>
        <v>787.36</v>
      </c>
      <c r="W28" s="15">
        <f>SUMIF('[1]أسماء المحالين للمعاش(سفاجا)'!$D$10:$D$55,$D$8:$D$51,'[1]أسماء المحالين للمعاش(سفاجا)'!AH$10:AH$55)</f>
        <v>0</v>
      </c>
      <c r="X28" s="15">
        <f>SUMIF('[1]أسماء المحالين للمعاش(سفاجا)'!$D$10:$D$55,$D$8:$D$51,'[1]أسماء المحالين للمعاش(سفاجا)'!AI$10:AI$55)</f>
        <v>0</v>
      </c>
      <c r="Y28" s="15">
        <f>SUMIF(بيان.مغاشات.سفاجا[الإسم],'ورقة2 (2)'!D28:D71,بيان.مغاشات.سفاجا[يناير-23])</f>
        <v>0</v>
      </c>
    </row>
    <row r="29" spans="3:25" x14ac:dyDescent="0.35">
      <c r="C29" s="47">
        <v>22</v>
      </c>
      <c r="D29" s="46" t="s">
        <v>365</v>
      </c>
      <c r="E29" s="46">
        <f>SUMIF(بيان.مغاشات.سفاجا[الإسم],'ورقة2 (2)'!D29:D92,بيان.مغاشات.سفاجا[المنحة])</f>
        <v>23007.9</v>
      </c>
      <c r="F29" s="46">
        <f>SUMIF(بيان.مغاشات.سفاجا[الإسم],'ورقة2 (2)'!D29:D66,بيان.مغاشات.سفاجا[إجمالي المنصرف])</f>
        <v>16000</v>
      </c>
      <c r="G29" s="46">
        <f t="shared" si="0"/>
        <v>16000</v>
      </c>
      <c r="H29" s="46">
        <f t="shared" si="1"/>
        <v>7007.9000000000015</v>
      </c>
      <c r="I29" s="46">
        <f>SUMIF(بيان.مغاشات.سفاجا[الإسم],'ورقة2 (2)'!D29:D59,بيان.مغاشات.سفاجا[مقابل نقدي])</f>
        <v>18634.5</v>
      </c>
      <c r="J29" s="46">
        <f t="shared" si="2"/>
        <v>-7007.9000000000015</v>
      </c>
      <c r="K29" s="46">
        <f t="shared" si="3"/>
        <v>0</v>
      </c>
      <c r="L29" s="46">
        <f t="shared" si="4"/>
        <v>18634.5</v>
      </c>
      <c r="M29" s="46"/>
      <c r="N29" s="99"/>
      <c r="O29" s="118">
        <v>1000</v>
      </c>
      <c r="P29" s="117">
        <v>45261</v>
      </c>
      <c r="R29" s="15">
        <f>SUMIF('[1]أسماء المحالين للمعاش(سفاجا)'!$D$10:$D$54,D29:D67,'[1]أسماء المحالين للمعاش(سفاجا)'!$AC$10:$AC$54)</f>
        <v>500</v>
      </c>
      <c r="S29" s="15">
        <f>SUMIF('[1]أسماء المحالين للمعاش(سفاجا)'!D$10:D$54,D29:D72,'[1]أسماء المحالين للمعاش(سفاجا)'!AD$10:AD$54)</f>
        <v>1000</v>
      </c>
      <c r="T29" s="15">
        <f>SUMIF('[1]أسماء المحالين للمعاش(سفاجا)'!D$10:D$55,D29:D72,'[1]أسماء المحالين للمعاش(سفاجا)'!AE$10:AE$55)</f>
        <v>0</v>
      </c>
      <c r="U29" s="15">
        <f>SUMIF('[1]أسماء المحالين للمعاش(سفاجا)'!D$10:D$55,D29:D72,'[1]أسماء المحالين للمعاش(سفاجا)'!AF$10:AF$55)</f>
        <v>1500</v>
      </c>
      <c r="V29" s="15">
        <f>SUMIF('[1]أسماء المحالين للمعاش(سفاجا)'!$D$10:$D$55,$D$8:$D$51,'[1]أسماء المحالين للمعاش(سفاجا)'!AG$10:AG$55)</f>
        <v>0</v>
      </c>
      <c r="W29" s="15">
        <f>SUMIF('[1]أسماء المحالين للمعاش(سفاجا)'!$D$10:$D$55,$D$8:$D$51,'[1]أسماء المحالين للمعاش(سفاجا)'!AH$10:AH$55)</f>
        <v>1000</v>
      </c>
      <c r="X29" s="15">
        <f>SUMIF('[1]أسماء المحالين للمعاش(سفاجا)'!$D$10:$D$55,$D$8:$D$51,'[1]أسماء المحالين للمعاش(سفاجا)'!AI$10:AI$55)</f>
        <v>0</v>
      </c>
      <c r="Y29" s="15">
        <f>SUMIF(بيان.مغاشات.سفاجا[الإسم],'ورقة2 (2)'!D29:D72,بيان.مغاشات.سفاجا[يناير-23])</f>
        <v>1000</v>
      </c>
    </row>
    <row r="30" spans="3:25" x14ac:dyDescent="0.35">
      <c r="C30" s="47">
        <v>23</v>
      </c>
      <c r="D30" s="46" t="s">
        <v>366</v>
      </c>
      <c r="E30" s="46">
        <f>SUMIF(بيان.مغاشات.سفاجا[الإسم],'ورقة2 (2)'!D30:D93,بيان.مغاشات.سفاجا[المنحة])</f>
        <v>21228.48</v>
      </c>
      <c r="F30" s="46">
        <f>SUMIF(بيان.مغاشات.سفاجا[الإسم],'ورقة2 (2)'!D30:D67,بيان.مغاشات.سفاجا[إجمالي المنصرف])</f>
        <v>7000</v>
      </c>
      <c r="G30" s="46">
        <f t="shared" si="0"/>
        <v>7000</v>
      </c>
      <c r="H30" s="46">
        <f t="shared" si="1"/>
        <v>14228.48</v>
      </c>
      <c r="I30" s="46">
        <f>SUMIF(بيان.مغاشات.سفاجا[الإسم],'ورقة2 (2)'!D30:D60,بيان.مغاشات.سفاجا[مقابل نقدي])</f>
        <v>18819.900000000001</v>
      </c>
      <c r="J30" s="46">
        <f t="shared" si="2"/>
        <v>-14228.48</v>
      </c>
      <c r="K30" s="46">
        <f t="shared" si="3"/>
        <v>0</v>
      </c>
      <c r="L30" s="46">
        <f t="shared" si="4"/>
        <v>18819.900000000001</v>
      </c>
      <c r="M30" s="46"/>
      <c r="N30" s="99"/>
      <c r="O30" s="118">
        <v>500</v>
      </c>
      <c r="P30" s="117">
        <v>44713</v>
      </c>
      <c r="R30" s="15">
        <f>SUMIF('[1]أسماء المحالين للمعاش(سفاجا)'!$D$10:$D$54,D30:D68,'[1]أسماء المحالين للمعاش(سفاجا)'!$AC$10:$AC$54)</f>
        <v>500</v>
      </c>
      <c r="S30" s="15">
        <f>SUMIF('[1]أسماء المحالين للمعاش(سفاجا)'!D$10:D$54,D30:D73,'[1]أسماء المحالين للمعاش(سفاجا)'!AD$10:AD$54)</f>
        <v>0</v>
      </c>
      <c r="T30" s="15">
        <f>SUMIF('[1]أسماء المحالين للمعاش(سفاجا)'!D$10:D$55,D30:D73,'[1]أسماء المحالين للمعاش(سفاجا)'!AE$10:AE$55)</f>
        <v>0</v>
      </c>
      <c r="U30" s="15">
        <f>SUMIF('[1]أسماء المحالين للمعاش(سفاجا)'!D$10:D$55,D30:D73,'[1]أسماء المحالين للمعاش(سفاجا)'!AF$10:AF$55)</f>
        <v>0</v>
      </c>
      <c r="V30" s="15">
        <f>SUMIF('[1]أسماء المحالين للمعاش(سفاجا)'!$D$10:$D$55,$D$8:$D$51,'[1]أسماء المحالين للمعاش(سفاجا)'!AG$10:AG$55)</f>
        <v>0</v>
      </c>
      <c r="W30" s="15">
        <f>SUMIF('[1]أسماء المحالين للمعاش(سفاجا)'!$D$10:$D$55,$D$8:$D$51,'[1]أسماء المحالين للمعاش(سفاجا)'!AH$10:AH$55)</f>
        <v>0</v>
      </c>
      <c r="X30" s="15">
        <f>SUMIF('[1]أسماء المحالين للمعاش(سفاجا)'!$D$10:$D$55,$D$8:$D$51,'[1]أسماء المحالين للمعاش(سفاجا)'!AI$10:AI$55)</f>
        <v>0</v>
      </c>
      <c r="Y30" s="15">
        <f>SUMIF(بيان.مغاشات.سفاجا[الإسم],'ورقة2 (2)'!D30:D73,بيان.مغاشات.سفاجا[يناير-23])</f>
        <v>0</v>
      </c>
    </row>
    <row r="31" spans="3:25" x14ac:dyDescent="0.35">
      <c r="C31" s="47">
        <v>24</v>
      </c>
      <c r="D31" s="46" t="s">
        <v>367</v>
      </c>
      <c r="E31" s="46">
        <f>SUMIF(بيان.مغاشات.سفاجا[الإسم],'ورقة2 (2)'!D31:D94,بيان.مغاشات.سفاجا[المنحة])</f>
        <v>16903.169999999998</v>
      </c>
      <c r="F31" s="46">
        <f>SUMIF(بيان.مغاشات.سفاجا[الإسم],'ورقة2 (2)'!D31:D68,بيان.مغاشات.سفاجا[إجمالي المنصرف])</f>
        <v>16903.169999999998</v>
      </c>
      <c r="G31" s="46">
        <f t="shared" si="0"/>
        <v>16903.169999999998</v>
      </c>
      <c r="H31" s="46">
        <f t="shared" si="1"/>
        <v>0</v>
      </c>
      <c r="I31" s="46">
        <f>SUMIF(بيان.مغاشات.سفاجا[الإسم],'ورقة2 (2)'!D31:D61,بيان.مغاشات.سفاجا[مقابل نقدي])</f>
        <v>13474.8</v>
      </c>
      <c r="J31" s="46">
        <f t="shared" si="2"/>
        <v>0</v>
      </c>
      <c r="K31" s="46">
        <f t="shared" si="3"/>
        <v>0</v>
      </c>
      <c r="L31" s="46">
        <f t="shared" si="4"/>
        <v>13474.8</v>
      </c>
      <c r="M31" s="46"/>
      <c r="N31" s="99"/>
      <c r="O31" s="118">
        <v>1203.17</v>
      </c>
      <c r="P31" s="117">
        <v>44896</v>
      </c>
      <c r="R31" s="15">
        <f>SUMIF('[1]أسماء المحالين للمعاش(سفاجا)'!$D$10:$D$54,D31:D69,'[1]أسماء المحالين للمعاش(سفاجا)'!$AC$10:$AC$54)</f>
        <v>500</v>
      </c>
      <c r="S31" s="15">
        <f>SUMIF('[1]أسماء المحالين للمعاش(سفاجا)'!D$10:D$54,D31:D74,'[1]أسماء المحالين للمعاش(سفاجا)'!AD$10:AD$54)</f>
        <v>0</v>
      </c>
      <c r="T31" s="15">
        <f>SUMIF('[1]أسماء المحالين للمعاش(سفاجا)'!D$10:D$55,D31:D74,'[1]أسماء المحالين للمعاش(سفاجا)'!AE$10:AE$55)</f>
        <v>0</v>
      </c>
      <c r="U31" s="15">
        <f>SUMIF('[1]أسماء المحالين للمعاش(سفاجا)'!D$10:D$55,D31:D74,'[1]أسماء المحالين للمعاش(سفاجا)'!AF$10:AF$55)</f>
        <v>1500</v>
      </c>
      <c r="V31" s="15">
        <f>SUMIF('[1]أسماء المحالين للمعاش(سفاجا)'!$D$10:$D$55,$D$8:$D$51,'[1]أسماء المحالين للمعاش(سفاجا)'!AG$10:AG$55)</f>
        <v>0</v>
      </c>
      <c r="W31" s="15">
        <f>SUMIF('[1]أسماء المحالين للمعاش(سفاجا)'!$D$10:$D$55,$D$8:$D$51,'[1]أسماء المحالين للمعاش(سفاجا)'!AH$10:AH$55)</f>
        <v>2000</v>
      </c>
      <c r="X31" s="15">
        <f>SUMIF('[1]أسماء المحالين للمعاش(سفاجا)'!$D$10:$D$55,$D$8:$D$51,'[1]أسماء المحالين للمعاش(سفاجا)'!AI$10:AI$55)</f>
        <v>1203.17</v>
      </c>
      <c r="Y31" s="15">
        <f>SUMIF(بيان.مغاشات.سفاجا[الإسم],'ورقة2 (2)'!D31:D74,بيان.مغاشات.سفاجا[يناير-23])</f>
        <v>700</v>
      </c>
    </row>
    <row r="32" spans="3:25" x14ac:dyDescent="0.35">
      <c r="C32" s="47">
        <v>25</v>
      </c>
      <c r="D32" s="46" t="s">
        <v>368</v>
      </c>
      <c r="E32" s="46">
        <f>SUMIF(بيان.مغاشات.سفاجا[الإسم],'ورقة2 (2)'!D32:D95,بيان.مغاشات.سفاجا[المنحة])</f>
        <v>12423.95</v>
      </c>
      <c r="F32" s="46">
        <f>SUMIF(بيان.مغاشات.سفاجا[الإسم],'ورقة2 (2)'!D32:D69,بيان.مغاشات.سفاجا[إجمالي المنصرف])</f>
        <v>6423.95</v>
      </c>
      <c r="G32" s="46">
        <f t="shared" si="0"/>
        <v>6423.95</v>
      </c>
      <c r="H32" s="46">
        <f t="shared" si="1"/>
        <v>6000.0000000000009</v>
      </c>
      <c r="I32" s="46">
        <f>SUMIF(بيان.مغاشات.سفاجا[الإسم],'ورقة2 (2)'!D32:D62,بيان.مغاشات.سفاجا[مقابل نقدي])</f>
        <v>13050</v>
      </c>
      <c r="J32" s="46">
        <f t="shared" si="2"/>
        <v>-6000.0000000000009</v>
      </c>
      <c r="K32" s="46">
        <f t="shared" si="3"/>
        <v>0</v>
      </c>
      <c r="L32" s="46">
        <f t="shared" si="4"/>
        <v>13050</v>
      </c>
      <c r="M32" s="46"/>
      <c r="N32" s="99"/>
      <c r="O32" s="61">
        <v>500</v>
      </c>
      <c r="P32" s="117">
        <v>44927</v>
      </c>
      <c r="R32" s="15">
        <f>SUMIF('[1]أسماء المحالين للمعاش(سفاجا)'!$D$10:$D$54,D32:D70,'[1]أسماء المحالين للمعاش(سفاجا)'!$AC$10:$AC$54)</f>
        <v>500</v>
      </c>
      <c r="S32" s="15">
        <f>SUMIF('[1]أسماء المحالين للمعاش(سفاجا)'!D$10:D$54,D32:D75,'[1]أسماء المحالين للمعاش(سفاجا)'!AD$10:AD$54)</f>
        <v>0</v>
      </c>
      <c r="T32" s="15">
        <f>SUMIF('[1]أسماء المحالين للمعاش(سفاجا)'!D$10:D$55,D32:D75,'[1]أسماء المحالين للمعاش(سفاجا)'!AE$10:AE$55)</f>
        <v>1000</v>
      </c>
      <c r="U32" s="15">
        <f>SUMIF('[1]أسماء المحالين للمعاش(سفاجا)'!D$10:D$55,D32:D75,'[1]أسماء المحالين للمعاش(سفاجا)'!AF$10:AF$55)</f>
        <v>0</v>
      </c>
      <c r="V32" s="15">
        <f>SUMIF('[1]أسماء المحالين للمعاش(سفاجا)'!$D$10:$D$55,$D$8:$D$51,'[1]أسماء المحالين للمعاش(سفاجا)'!AG$10:AG$55)</f>
        <v>0</v>
      </c>
      <c r="W32" s="15">
        <f>SUMIF('[1]أسماء المحالين للمعاش(سفاجا)'!$D$10:$D$55,$D$8:$D$51,'[1]أسماء المحالين للمعاش(سفاجا)'!AH$10:AH$55)</f>
        <v>500</v>
      </c>
      <c r="X32" s="15">
        <f>SUMIF('[1]أسماء المحالين للمعاش(سفاجا)'!$D$10:$D$55,$D$8:$D$51,'[1]أسماء المحالين للمعاش(سفاجا)'!AI$10:AI$55)</f>
        <v>1923.95</v>
      </c>
      <c r="Y32" s="15">
        <f>SUMIF(بيان.مغاشات.سفاجا[الإسم],'ورقة2 (2)'!D32:D75,بيان.مغاشات.سفاجا[يناير-23])</f>
        <v>500</v>
      </c>
    </row>
    <row r="33" spans="3:25" x14ac:dyDescent="0.35">
      <c r="C33" s="47">
        <v>26</v>
      </c>
      <c r="D33" s="46" t="s">
        <v>369</v>
      </c>
      <c r="E33" s="46">
        <f>SUMIF(بيان.مغاشات.سفاجا[الإسم],'ورقة2 (2)'!D33:D96,بيان.مغاشات.سفاجا[المنحة])</f>
        <v>14432.67</v>
      </c>
      <c r="F33" s="46">
        <f>SUMIF(بيان.مغاشات.سفاجا[الإسم],'ورقة2 (2)'!D33:D70,بيان.مغاشات.سفاجا[إجمالي المنصرف])</f>
        <v>8000</v>
      </c>
      <c r="G33" s="46">
        <f t="shared" si="0"/>
        <v>8000</v>
      </c>
      <c r="H33" s="46">
        <f t="shared" si="1"/>
        <v>6432.67</v>
      </c>
      <c r="I33" s="46">
        <f>SUMIF(بيان.مغاشات.سفاجا[الإسم],'ورقة2 (2)'!D33:D63,بيان.مغاشات.سفاجا[مقابل نقدي])</f>
        <v>12632.5</v>
      </c>
      <c r="J33" s="46">
        <f t="shared" si="2"/>
        <v>-6432.67</v>
      </c>
      <c r="K33" s="46">
        <f t="shared" si="3"/>
        <v>0</v>
      </c>
      <c r="L33" s="46">
        <f t="shared" si="4"/>
        <v>12632.5</v>
      </c>
      <c r="M33" s="46"/>
      <c r="N33" s="99"/>
      <c r="O33" s="61">
        <v>2000</v>
      </c>
      <c r="P33" s="117">
        <v>44835</v>
      </c>
      <c r="R33" s="15">
        <f>SUMIF('[1]أسماء المحالين للمعاش(سفاجا)'!$D$10:$D$54,D33:D71,'[1]أسماء المحالين للمعاش(سفاجا)'!$AC$10:$AC$54)</f>
        <v>500</v>
      </c>
      <c r="S33" s="15">
        <f>SUMIF('[1]أسماء المحالين للمعاش(سفاجا)'!D$10:D$54,D33:D76,'[1]أسماء المحالين للمعاش(سفاجا)'!AD$10:AD$54)</f>
        <v>0</v>
      </c>
      <c r="T33" s="15">
        <f>SUMIF('[1]أسماء المحالين للمعاش(سفاجا)'!D$10:D$55,D33:D76,'[1]أسماء المحالين للمعاش(سفاجا)'!AE$10:AE$55)</f>
        <v>0</v>
      </c>
      <c r="U33" s="15">
        <f>SUMIF('[1]أسماء المحالين للمعاش(سفاجا)'!D$10:D$55,D33:D76,'[1]أسماء المحالين للمعاش(سفاجا)'!AF$10:AF$55)</f>
        <v>0</v>
      </c>
      <c r="V33" s="15">
        <f>SUMIF('[1]أسماء المحالين للمعاش(سفاجا)'!$D$10:$D$55,$D$8:$D$51,'[1]أسماء المحالين للمعاش(سفاجا)'!AG$10:AG$55)</f>
        <v>2000</v>
      </c>
      <c r="W33" s="15">
        <f>SUMIF('[1]أسماء المحالين للمعاش(سفاجا)'!$D$10:$D$55,$D$8:$D$51,'[1]أسماء المحالين للمعاش(سفاجا)'!AH$10:AH$55)</f>
        <v>0</v>
      </c>
      <c r="X33" s="15">
        <f>SUMIF('[1]أسماء المحالين للمعاش(سفاجا)'!$D$10:$D$55,$D$8:$D$51,'[1]أسماء المحالين للمعاش(سفاجا)'!AI$10:AI$55)</f>
        <v>0</v>
      </c>
      <c r="Y33" s="15">
        <f>SUMIF(بيان.مغاشات.سفاجا[الإسم],'ورقة2 (2)'!D33:D76,بيان.مغاشات.سفاجا[يناير-23])</f>
        <v>2000</v>
      </c>
    </row>
    <row r="34" spans="3:25" x14ac:dyDescent="0.35">
      <c r="C34" s="47">
        <v>27</v>
      </c>
      <c r="D34" s="46" t="s">
        <v>370</v>
      </c>
      <c r="E34" s="46">
        <f>SUMIF(بيان.مغاشات.سفاجا[الإسم],'ورقة2 (2)'!D34:D97,بيان.مغاشات.سفاجا[المنحة])</f>
        <v>17086.22</v>
      </c>
      <c r="F34" s="46">
        <f>SUMIF(بيان.مغاشات.سفاجا[الإسم],'ورقة2 (2)'!D34:D71,بيان.مغاشات.سفاجا[إجمالي المنصرف])</f>
        <v>5086.2199999999993</v>
      </c>
      <c r="G34" s="46">
        <f t="shared" si="0"/>
        <v>5086.2199999999993</v>
      </c>
      <c r="H34" s="46">
        <f t="shared" si="1"/>
        <v>12000.000000000002</v>
      </c>
      <c r="I34" s="46">
        <f>SUMIF(بيان.مغاشات.سفاجا[الإسم],'ورقة2 (2)'!D34:D64,بيان.مغاشات.سفاجا[مقابل نقدي])</f>
        <v>16200</v>
      </c>
      <c r="J34" s="46">
        <f t="shared" si="2"/>
        <v>-12000.000000000002</v>
      </c>
      <c r="K34" s="46">
        <f t="shared" si="3"/>
        <v>0</v>
      </c>
      <c r="L34" s="46">
        <f t="shared" si="4"/>
        <v>16200</v>
      </c>
      <c r="M34" s="46"/>
      <c r="N34" s="99"/>
      <c r="O34" s="61">
        <v>2086.2199999999998</v>
      </c>
      <c r="P34" s="117">
        <v>44896</v>
      </c>
      <c r="R34" s="15">
        <f>SUMIF('[1]أسماء المحالين للمعاش(سفاجا)'!$D$10:$D$54,D34:D72,'[1]أسماء المحالين للمعاش(سفاجا)'!$AC$10:$AC$54)</f>
        <v>500</v>
      </c>
      <c r="S34" s="15">
        <f>SUMIF('[1]أسماء المحالين للمعاش(سفاجا)'!D$10:D$54,D34:D77,'[1]أسماء المحالين للمعاش(سفاجا)'!AD$10:AD$54)</f>
        <v>0</v>
      </c>
      <c r="T34" s="15">
        <f>SUMIF('[1]أسماء المحالين للمعاش(سفاجا)'!D$10:D$55,D34:D77,'[1]أسماء المحالين للمعاش(سفاجا)'!AE$10:AE$55)</f>
        <v>0</v>
      </c>
      <c r="U34" s="15">
        <f>SUMIF('[1]أسماء المحالين للمعاش(سفاجا)'!D$10:D$55,D34:D77,'[1]أسماء المحالين للمعاش(سفاجا)'!AF$10:AF$55)</f>
        <v>0</v>
      </c>
      <c r="V34" s="15">
        <f>SUMIF('[1]أسماء المحالين للمعاش(سفاجا)'!$D$10:$D$55,$D$8:$D$51,'[1]أسماء المحالين للمعاش(سفاجا)'!AG$10:AG$55)</f>
        <v>0</v>
      </c>
      <c r="W34" s="15">
        <f>SUMIF('[1]أسماء المحالين للمعاش(سفاجا)'!$D$10:$D$55,$D$8:$D$51,'[1]أسماء المحالين للمعاش(سفاجا)'!AH$10:AH$55)</f>
        <v>0</v>
      </c>
      <c r="X34" s="15">
        <f>SUMIF('[1]أسماء المحالين للمعاش(سفاجا)'!$D$10:$D$55,$D$8:$D$51,'[1]أسماء المحالين للمعاش(سفاجا)'!AI$10:AI$55)</f>
        <v>2086.2199999999998</v>
      </c>
      <c r="Y34" s="15">
        <f>SUMIF(بيان.مغاشات.سفاجا[الإسم],'ورقة2 (2)'!D34:D77,بيان.مغاشات.سفاجا[يناير-23])</f>
        <v>1000</v>
      </c>
    </row>
    <row r="35" spans="3:25" x14ac:dyDescent="0.35">
      <c r="C35" s="47">
        <v>28</v>
      </c>
      <c r="D35" s="46" t="s">
        <v>372</v>
      </c>
      <c r="E35" s="46">
        <f>SUMIF(بيان.مغاشات.سفاجا[الإسم],'ورقة2 (2)'!D35:D98,بيان.مغاشات.سفاجا[المنحة])</f>
        <v>21343.56</v>
      </c>
      <c r="F35" s="46">
        <f>SUMIF(بيان.مغاشات.سفاجا[الإسم],'ورقة2 (2)'!D35:D72,بيان.مغاشات.سفاجا[إجمالي المنصرف])</f>
        <v>5000</v>
      </c>
      <c r="G35" s="46">
        <f t="shared" si="0"/>
        <v>5000</v>
      </c>
      <c r="H35" s="46">
        <f t="shared" si="1"/>
        <v>16343.560000000001</v>
      </c>
      <c r="I35" s="46">
        <f>SUMIF(بيان.مغاشات.سفاجا[الإسم],'ورقة2 (2)'!D35:D65,بيان.مغاشات.سفاجا[مقابل نقدي])</f>
        <v>19199.7</v>
      </c>
      <c r="J35" s="46">
        <f t="shared" si="2"/>
        <v>-16343.560000000001</v>
      </c>
      <c r="K35" s="46">
        <f t="shared" si="3"/>
        <v>0</v>
      </c>
      <c r="L35" s="46">
        <f t="shared" si="4"/>
        <v>19199.7</v>
      </c>
      <c r="M35" s="46"/>
      <c r="N35" s="99"/>
      <c r="O35" s="61">
        <v>2000</v>
      </c>
      <c r="P35" s="117">
        <v>44866</v>
      </c>
      <c r="R35" s="15">
        <f>SUMIF('[1]أسماء المحالين للمعاش(سفاجا)'!$D$10:$D$54,D35:D73,'[1]أسماء المحالين للمعاش(سفاجا)'!$AC$10:$AC$54)</f>
        <v>500</v>
      </c>
      <c r="S35" s="15">
        <f>SUMIF('[1]أسماء المحالين للمعاش(سفاجا)'!D$10:D$54,D35:D78,'[1]أسماء المحالين للمعاش(سفاجا)'!AD$10:AD$54)</f>
        <v>0</v>
      </c>
      <c r="T35" s="15">
        <f>SUMIF('[1]أسماء المحالين للمعاش(سفاجا)'!D$10:D$55,D35:D78,'[1]أسماء المحالين للمعاش(سفاجا)'!AE$10:AE$55)</f>
        <v>0</v>
      </c>
      <c r="U35" s="15">
        <f>SUMIF('[1]أسماء المحالين للمعاش(سفاجا)'!D$10:D$55,D35:D78,'[1]أسماء المحالين للمعاش(سفاجا)'!AF$10:AF$55)</f>
        <v>0</v>
      </c>
      <c r="V35" s="15">
        <f>SUMIF('[1]أسماء المحالين للمعاش(سفاجا)'!$D$10:$D$55,$D$8:$D$51,'[1]أسماء المحالين للمعاش(سفاجا)'!AG$10:AG$55)</f>
        <v>0</v>
      </c>
      <c r="W35" s="15">
        <f>SUMIF('[1]أسماء المحالين للمعاش(سفاجا)'!$D$10:$D$55,$D$8:$D$51,'[1]أسماء المحالين للمعاش(سفاجا)'!AH$10:AH$55)</f>
        <v>2000</v>
      </c>
      <c r="X35" s="15">
        <f>SUMIF('[1]أسماء المحالين للمعاش(سفاجا)'!$D$10:$D$55,$D$8:$D$51,'[1]أسماء المحالين للمعاش(سفاجا)'!AI$10:AI$55)</f>
        <v>0</v>
      </c>
      <c r="Y35" s="15">
        <f>SUMIF(بيان.مغاشات.سفاجا[الإسم],'ورقة2 (2)'!D35:D78,بيان.مغاشات.سفاجا[يناير-23])</f>
        <v>1500</v>
      </c>
    </row>
    <row r="36" spans="3:25" x14ac:dyDescent="0.35">
      <c r="C36" s="47">
        <v>29</v>
      </c>
      <c r="D36" s="46" t="s">
        <v>373</v>
      </c>
      <c r="E36" s="46">
        <f>SUMIF(بيان.مغاشات.سفاجا[الإسم],'ورقة2 (2)'!D36:D99,بيان.مغاشات.سفاجا[المنحة])</f>
        <v>21625.439999999999</v>
      </c>
      <c r="F36" s="46">
        <f>SUMIF(بيان.مغاشات.سفاجا[الإسم],'ورقة2 (2)'!D36:D73,بيان.مغاشات.سفاجا[إجمالي المنصرف])</f>
        <v>5500</v>
      </c>
      <c r="G36" s="46">
        <f t="shared" si="0"/>
        <v>5500</v>
      </c>
      <c r="H36" s="46">
        <f t="shared" si="1"/>
        <v>16125.439999999999</v>
      </c>
      <c r="I36" s="46">
        <f>SUMIF(بيان.مغاشات.سفاجا[الإسم],'ورقة2 (2)'!D36:D66,بيان.مغاشات.سفاجا[مقابل نقدي])</f>
        <v>18000</v>
      </c>
      <c r="J36" s="46">
        <f t="shared" si="2"/>
        <v>-16125.439999999999</v>
      </c>
      <c r="K36" s="46">
        <f t="shared" si="3"/>
        <v>0</v>
      </c>
      <c r="L36" s="46">
        <f t="shared" si="4"/>
        <v>18000</v>
      </c>
      <c r="M36" s="46"/>
      <c r="N36" s="99"/>
      <c r="O36" s="61">
        <v>3000</v>
      </c>
      <c r="P36" s="117">
        <v>44866</v>
      </c>
      <c r="R36" s="15">
        <f>SUMIF('[1]أسماء المحالين للمعاش(سفاجا)'!$D$10:$D$54,D36:D74,'[1]أسماء المحالين للمعاش(سفاجا)'!$AC$10:$AC$54)</f>
        <v>0</v>
      </c>
      <c r="S36" s="15">
        <f>SUMIF('[1]أسماء المحالين للمعاش(سفاجا)'!D$10:D$54,D36:D79,'[1]أسماء المحالين للمعاش(سفاجا)'!AD$10:AD$54)</f>
        <v>0</v>
      </c>
      <c r="T36" s="15">
        <f>SUMIF('[1]أسماء المحالين للمعاش(سفاجا)'!D$10:D$55,D36:D79,'[1]أسماء المحالين للمعاش(سفاجا)'!AE$10:AE$55)</f>
        <v>0</v>
      </c>
      <c r="U36" s="15">
        <f>SUMIF('[1]أسماء المحالين للمعاش(سفاجا)'!D$10:D$55,D36:D79,'[1]أسماء المحالين للمعاش(سفاجا)'!AF$10:AF$55)</f>
        <v>0</v>
      </c>
      <c r="V36" s="15">
        <f>SUMIF('[1]أسماء المحالين للمعاش(سفاجا)'!$D$10:$D$55,$D$8:$D$51,'[1]أسماء المحالين للمعاش(سفاجا)'!AG$10:AG$55)</f>
        <v>0</v>
      </c>
      <c r="W36" s="15">
        <f>SUMIF('[1]أسماء المحالين للمعاش(سفاجا)'!$D$10:$D$55,$D$8:$D$51,'[1]أسماء المحالين للمعاش(سفاجا)'!AH$10:AH$55)</f>
        <v>3000</v>
      </c>
      <c r="X36" s="15">
        <f>SUMIF('[1]أسماء المحالين للمعاش(سفاجا)'!$D$10:$D$55,$D$8:$D$51,'[1]أسماء المحالين للمعاش(سفاجا)'!AI$10:AI$55)</f>
        <v>0</v>
      </c>
      <c r="Y36" s="15">
        <f>SUMIF(بيان.مغاشات.سفاجا[الإسم],'ورقة2 (2)'!D36:D79,بيان.مغاشات.سفاجا[يناير-23])</f>
        <v>0</v>
      </c>
    </row>
    <row r="37" spans="3:25" x14ac:dyDescent="0.35">
      <c r="C37" s="47">
        <v>30</v>
      </c>
      <c r="D37" s="46" t="s">
        <v>374</v>
      </c>
      <c r="E37" s="46">
        <f>SUMIF(بيان.مغاشات.سفاجا[الإسم],'ورقة2 (2)'!D37:D100,بيان.مغاشات.سفاجا[المنحة])</f>
        <v>19193.82</v>
      </c>
      <c r="F37" s="46">
        <f>SUMIF(بيان.مغاشات.سفاجا[الإسم],'ورقة2 (2)'!D37:D74,بيان.مغاشات.سفاجا[إجمالي المنصرف])</f>
        <v>3500</v>
      </c>
      <c r="G37" s="46">
        <f t="shared" si="0"/>
        <v>3500</v>
      </c>
      <c r="H37" s="46">
        <f t="shared" si="1"/>
        <v>15693.82</v>
      </c>
      <c r="I37" s="46">
        <f>SUMIF(بيان.مغاشات.سفاجا[الإسم],'ورقة2 (2)'!D37:D67,بيان.مغاشات.سفاجا[مقابل نقدي])</f>
        <v>15474.6</v>
      </c>
      <c r="J37" s="46">
        <f t="shared" si="2"/>
        <v>-15693.82</v>
      </c>
      <c r="K37" s="46">
        <f t="shared" si="3"/>
        <v>0</v>
      </c>
      <c r="L37" s="46">
        <f t="shared" si="4"/>
        <v>15474.6</v>
      </c>
      <c r="M37" s="46"/>
      <c r="N37" s="99"/>
      <c r="O37" s="61">
        <v>1000</v>
      </c>
      <c r="P37" s="117">
        <v>44835</v>
      </c>
      <c r="R37" s="15">
        <f>SUMIF('[1]أسماء المحالين للمعاش(سفاجا)'!$D$10:$D$54,D37:D75,'[1]أسماء المحالين للمعاش(سفاجا)'!$AC$10:$AC$54)</f>
        <v>0</v>
      </c>
      <c r="S37" s="15">
        <f>SUMIF('[1]أسماء المحالين للمعاش(سفاجا)'!D$10:D$54,D37:D80,'[1]أسماء المحالين للمعاش(سفاجا)'!AD$10:AD$54)</f>
        <v>0</v>
      </c>
      <c r="T37" s="15">
        <f>SUMIF('[1]أسماء المحالين للمعاش(سفاجا)'!D$10:D$55,D37:D80,'[1]أسماء المحالين للمعاش(سفاجا)'!AE$10:AE$55)</f>
        <v>0</v>
      </c>
      <c r="U37" s="15">
        <f>SUMIF('[1]أسماء المحالين للمعاش(سفاجا)'!D$10:D$55,D37:D80,'[1]أسماء المحالين للمعاش(سفاجا)'!AF$10:AF$55)</f>
        <v>0</v>
      </c>
      <c r="V37" s="15">
        <f>SUMIF('[1]أسماء المحالين للمعاش(سفاجا)'!$D$10:$D$55,$D$8:$D$51,'[1]أسماء المحالين للمعاش(سفاجا)'!AG$10:AG$55)</f>
        <v>1000</v>
      </c>
      <c r="W37" s="15">
        <f>SUMIF('[1]أسماء المحالين للمعاش(سفاجا)'!$D$10:$D$55,$D$8:$D$51,'[1]أسماء المحالين للمعاش(سفاجا)'!AH$10:AH$55)</f>
        <v>0</v>
      </c>
      <c r="X37" s="15">
        <f>SUMIF('[1]أسماء المحالين للمعاش(سفاجا)'!$D$10:$D$55,$D$8:$D$51,'[1]أسماء المحالين للمعاش(سفاجا)'!AI$10:AI$55)</f>
        <v>0</v>
      </c>
      <c r="Y37" s="15">
        <f>SUMIF(بيان.مغاشات.سفاجا[الإسم],'ورقة2 (2)'!D37:D80,بيان.مغاشات.سفاجا[يناير-23])</f>
        <v>0</v>
      </c>
    </row>
    <row r="38" spans="3:25" x14ac:dyDescent="0.35">
      <c r="C38" s="47">
        <v>31</v>
      </c>
      <c r="D38" s="46" t="s">
        <v>375</v>
      </c>
      <c r="E38" s="46">
        <f>SUMIF(بيان.مغاشات.سفاجا[الإسم],'ورقة2 (2)'!D38:D101,بيان.مغاشات.سفاجا[المنحة])</f>
        <v>14019.66</v>
      </c>
      <c r="F38" s="46">
        <f>SUMIF(بيان.مغاشات.سفاجا[الإسم],'ورقة2 (2)'!D38:D75,بيان.مغاشات.سفاجا[إجمالي المنصرف])</f>
        <v>23874.2</v>
      </c>
      <c r="G38" s="46">
        <f t="shared" si="0"/>
        <v>14019.66</v>
      </c>
      <c r="H38" s="46">
        <f t="shared" si="1"/>
        <v>0</v>
      </c>
      <c r="I38" s="46">
        <f>SUMIF(بيان.مغاشات.سفاجا[الإسم],'ورقة2 (2)'!D38:D68,بيان.مغاشات.سفاجا[مقابل نقدي])</f>
        <v>11672.85</v>
      </c>
      <c r="J38" s="46">
        <f t="shared" si="2"/>
        <v>9854.5400000000009</v>
      </c>
      <c r="K38" s="46">
        <f t="shared" si="3"/>
        <v>9854.5400000000009</v>
      </c>
      <c r="L38" s="46">
        <f t="shared" si="4"/>
        <v>1818.3099999999995</v>
      </c>
      <c r="M38" s="46" t="s">
        <v>416</v>
      </c>
      <c r="N38" s="99"/>
      <c r="O38" s="61">
        <v>1500</v>
      </c>
      <c r="P38" s="117">
        <v>44896</v>
      </c>
      <c r="R38" s="15">
        <f>SUMIF('[1]أسماء المحالين للمعاش(سفاجا)'!$D$10:$D$54,D38:D76,'[1]أسماء المحالين للمعاش(سفاجا)'!$AC$10:$AC$54)</f>
        <v>500</v>
      </c>
      <c r="S38" s="15">
        <f>SUMIF('[1]أسماء المحالين للمعاش(سفاجا)'!D$10:D$54,D38:D81,'[1]أسماء المحالين للمعاش(سفاجا)'!AD$10:AD$54)</f>
        <v>0</v>
      </c>
      <c r="T38" s="15">
        <f>SUMIF('[1]أسماء المحالين للمعاش(سفاجا)'!D$10:D$55,D38:D81,'[1]أسماء المحالين للمعاش(سفاجا)'!AE$10:AE$55)</f>
        <v>0</v>
      </c>
      <c r="U38" s="15">
        <f>SUMIF('[1]أسماء المحالين للمعاش(سفاجا)'!D$10:D$55,D38:D81,'[1]أسماء المحالين للمعاش(سفاجا)'!AF$10:AF$55)</f>
        <v>0</v>
      </c>
      <c r="V38" s="15">
        <f>SUMIF('[1]أسماء المحالين للمعاش(سفاجا)'!$D$10:$D$55,$D$8:$D$51,'[1]أسماء المحالين للمعاش(سفاجا)'!AG$10:AG$55)</f>
        <v>0</v>
      </c>
      <c r="W38" s="15">
        <f>SUMIF('[1]أسماء المحالين للمعاش(سفاجا)'!$D$10:$D$55,$D$8:$D$51,'[1]أسماء المحالين للمعاش(سفاجا)'!AH$10:AH$55)</f>
        <v>0</v>
      </c>
      <c r="X38" s="15">
        <f>SUMIF('[1]أسماء المحالين للمعاش(سفاجا)'!$D$10:$D$55,$D$8:$D$51,'[1]أسماء المحالين للمعاش(سفاجا)'!AI$10:AI$55)</f>
        <v>1500</v>
      </c>
      <c r="Y38" s="15">
        <f>SUMIF(بيان.مغاشات.سفاجا[الإسم],'ورقة2 (2)'!D38:D81,بيان.مغاشات.سفاجا[يناير-23])</f>
        <v>0</v>
      </c>
    </row>
    <row r="39" spans="3:25" x14ac:dyDescent="0.35">
      <c r="C39" s="47">
        <v>32</v>
      </c>
      <c r="D39" s="46" t="s">
        <v>377</v>
      </c>
      <c r="E39" s="46">
        <f>SUMIF(بيان.مغاشات.سفاجا[الإسم],'ورقة2 (2)'!D39:D102,بيان.مغاشات.سفاجا[المنحة])</f>
        <v>14385.28</v>
      </c>
      <c r="F39" s="46">
        <f>SUMIF(بيان.مغاشات.سفاجا[الإسم],'ورقة2 (2)'!D39:D76,بيان.مغاشات.سفاجا[إجمالي المنصرف])</f>
        <v>8510.4699999999993</v>
      </c>
      <c r="G39" s="46">
        <f t="shared" si="0"/>
        <v>8510.4699999999993</v>
      </c>
      <c r="H39" s="46">
        <f t="shared" si="1"/>
        <v>5874.8100000000013</v>
      </c>
      <c r="I39" s="46">
        <f>SUMIF(بيان.مغاشات.سفاجا[الإسم],'ورقة2 (2)'!D39:D69,بيان.مغاشات.سفاجا[مقابل نقدي])</f>
        <v>7208.52</v>
      </c>
      <c r="J39" s="46">
        <f t="shared" si="2"/>
        <v>-5874.8100000000013</v>
      </c>
      <c r="K39" s="46">
        <f t="shared" si="3"/>
        <v>0</v>
      </c>
      <c r="L39" s="46">
        <f t="shared" si="4"/>
        <v>7208.52</v>
      </c>
      <c r="M39" s="46" t="s">
        <v>417</v>
      </c>
      <c r="N39" s="99"/>
      <c r="O39" s="61">
        <v>1500</v>
      </c>
      <c r="P39" s="117">
        <v>44896</v>
      </c>
      <c r="R39" s="15">
        <f>SUMIF('[1]أسماء المحالين للمعاش(سفاجا)'!$D$10:$D$54,D39:D77,'[1]أسماء المحالين للمعاش(سفاجا)'!$AC$10:$AC$54)</f>
        <v>500</v>
      </c>
      <c r="S39" s="15">
        <f>SUMIF('[1]أسماء المحالين للمعاش(سفاجا)'!D$10:D$54,D39:D82,'[1]أسماء المحالين للمعاش(سفاجا)'!AD$10:AD$54)</f>
        <v>0</v>
      </c>
      <c r="T39" s="15">
        <f>SUMIF('[1]أسماء المحالين للمعاش(سفاجا)'!D$10:D$55,D39:D82,'[1]أسماء المحالين للمعاش(سفاجا)'!AE$10:AE$55)</f>
        <v>0</v>
      </c>
      <c r="U39" s="15">
        <f>SUMIF('[1]أسماء المحالين للمعاش(سفاجا)'!D$10:D$55,D39:D82,'[1]أسماء المحالين للمعاش(سفاجا)'!AF$10:AF$55)</f>
        <v>0</v>
      </c>
      <c r="V39" s="15">
        <f>SUMIF('[1]أسماء المحالين للمعاش(سفاجا)'!$D$10:$D$55,$D$8:$D$51,'[1]أسماء المحالين للمعاش(سفاجا)'!AG$10:AG$55)</f>
        <v>0</v>
      </c>
      <c r="W39" s="15">
        <f>SUMIF('[1]أسماء المحالين للمعاش(سفاجا)'!$D$10:$D$55,$D$8:$D$51,'[1]أسماء المحالين للمعاش(سفاجا)'!AH$10:AH$55)</f>
        <v>0</v>
      </c>
      <c r="X39" s="15">
        <f>SUMIF('[1]أسماء المحالين للمعاش(سفاجا)'!$D$10:$D$55,$D$8:$D$51,'[1]أسماء المحالين للمعاش(سفاجا)'!AI$10:AI$55)</f>
        <v>1500</v>
      </c>
      <c r="Y39" s="15">
        <f>SUMIF(بيان.مغاشات.سفاجا[الإسم],'ورقة2 (2)'!D39:D82,بيان.مغاشات.سفاجا[يناير-23])</f>
        <v>0</v>
      </c>
    </row>
    <row r="40" spans="3:25" x14ac:dyDescent="0.35">
      <c r="C40" s="47">
        <v>33</v>
      </c>
      <c r="D40" s="46" t="s">
        <v>379</v>
      </c>
      <c r="E40" s="46">
        <f>SUMIF(بيان.مغاشات.سفاجا[الإسم],'ورقة2 (2)'!D40:D103,بيان.مغاشات.سفاجا[المنحة])</f>
        <v>13823.82</v>
      </c>
      <c r="F40" s="46">
        <f>SUMIF(بيان.مغاشات.سفاجا[الإسم],'ورقة2 (2)'!D40:D77,بيان.مغاشات.سفاجا[إجمالي المنصرف])</f>
        <v>17934.3</v>
      </c>
      <c r="G40" s="46">
        <f t="shared" si="0"/>
        <v>13823.82</v>
      </c>
      <c r="H40" s="46">
        <f t="shared" si="1"/>
        <v>0</v>
      </c>
      <c r="I40" s="46">
        <f>SUMIF(بيان.مغاشات.سفاجا[الإسم],'ورقة2 (2)'!D40:D70,بيان.مغاشات.سفاجا[مقابل نقدي])</f>
        <v>11669.4</v>
      </c>
      <c r="J40" s="46">
        <f t="shared" si="2"/>
        <v>4110.4799999999996</v>
      </c>
      <c r="K40" s="46">
        <f t="shared" si="3"/>
        <v>4110.4799999999996</v>
      </c>
      <c r="L40" s="46">
        <f t="shared" si="4"/>
        <v>7558.92</v>
      </c>
      <c r="M40" s="46" t="s">
        <v>418</v>
      </c>
      <c r="N40" s="99"/>
      <c r="O40" s="61">
        <v>1500</v>
      </c>
      <c r="P40" s="117">
        <v>44896</v>
      </c>
      <c r="R40" s="15">
        <f>SUMIF('[1]أسماء المحالين للمعاش(سفاجا)'!$D$10:$D$54,D40:D78,'[1]أسماء المحالين للمعاش(سفاجا)'!$AC$10:$AC$54)</f>
        <v>500</v>
      </c>
      <c r="S40" s="15">
        <f>SUMIF('[1]أسماء المحالين للمعاش(سفاجا)'!D$10:D$54,D40:D83,'[1]أسماء المحالين للمعاش(سفاجا)'!AD$10:AD$54)</f>
        <v>0</v>
      </c>
      <c r="T40" s="15">
        <f>SUMIF('[1]أسماء المحالين للمعاش(سفاجا)'!D$10:D$55,D40:D83,'[1]أسماء المحالين للمعاش(سفاجا)'!AE$10:AE$55)</f>
        <v>0</v>
      </c>
      <c r="U40" s="15">
        <f>SUMIF('[1]أسماء المحالين للمعاش(سفاجا)'!D$10:D$55,D40:D83,'[1]أسماء المحالين للمعاش(سفاجا)'!AF$10:AF$55)</f>
        <v>0</v>
      </c>
      <c r="V40" s="15">
        <f>SUMIF('[1]أسماء المحالين للمعاش(سفاجا)'!$D$10:$D$55,$D$8:$D$51,'[1]أسماء المحالين للمعاش(سفاجا)'!AG$10:AG$55)</f>
        <v>0</v>
      </c>
      <c r="W40" s="15">
        <f>SUMIF('[1]أسماء المحالين للمعاش(سفاجا)'!$D$10:$D$55,$D$8:$D$51,'[1]أسماء المحالين للمعاش(سفاجا)'!AH$10:AH$55)</f>
        <v>0</v>
      </c>
      <c r="X40" s="15">
        <f>SUMIF('[1]أسماء المحالين للمعاش(سفاجا)'!$D$10:$D$55,$D$8:$D$51,'[1]أسماء المحالين للمعاش(سفاجا)'!AI$10:AI$55)</f>
        <v>1500</v>
      </c>
      <c r="Y40" s="15">
        <f>SUMIF(بيان.مغاشات.سفاجا[الإسم],'ورقة2 (2)'!D40:D83,بيان.مغاشات.سفاجا[يناير-23])</f>
        <v>0</v>
      </c>
    </row>
    <row r="41" spans="3:25" x14ac:dyDescent="0.35">
      <c r="C41" s="47">
        <v>34</v>
      </c>
      <c r="D41" s="46" t="s">
        <v>358</v>
      </c>
      <c r="E41" s="46">
        <f>SUMIF(بيان.مغاشات.سفاجا[الإسم],'ورقة2 (2)'!D41:D104,بيان.مغاشات.سفاجا[المنحة])</f>
        <v>0</v>
      </c>
      <c r="F41" s="46">
        <f>SUMIF(بيان.مغاشات.سفاجا[الإسم],'ورقة2 (2)'!D41:D78,بيان.مغاشات.سفاجا[إجمالي المنصرف])</f>
        <v>7000</v>
      </c>
      <c r="G41" s="46">
        <f t="shared" si="0"/>
        <v>0</v>
      </c>
      <c r="H41" s="46">
        <f t="shared" si="1"/>
        <v>0</v>
      </c>
      <c r="I41" s="46">
        <f>SUMIF(بيان.مغاشات.سفاجا[الإسم],'ورقة2 (2)'!D41:D71,بيان.مغاشات.سفاجا[مقابل نقدي])</f>
        <v>11330</v>
      </c>
      <c r="J41" s="46">
        <f t="shared" si="2"/>
        <v>7000</v>
      </c>
      <c r="K41" s="46">
        <f t="shared" si="3"/>
        <v>7000</v>
      </c>
      <c r="L41" s="46">
        <f t="shared" si="4"/>
        <v>4330</v>
      </c>
      <c r="M41" s="46"/>
      <c r="N41" s="99"/>
      <c r="O41" s="61">
        <v>500</v>
      </c>
      <c r="P41" s="117">
        <v>44713</v>
      </c>
      <c r="R41" s="15">
        <f>SUMIF('[1]أسماء المحالين للمعاش(سفاجا)'!$D$10:$D$54,D41:D79,'[1]أسماء المحالين للمعاش(سفاجا)'!$AC$10:$AC$54)</f>
        <v>500</v>
      </c>
      <c r="S41" s="15">
        <f>SUMIF('[1]أسماء المحالين للمعاش(سفاجا)'!D$10:D$54,D41:D84,'[1]أسماء المحالين للمعاش(سفاجا)'!AD$10:AD$54)</f>
        <v>0</v>
      </c>
      <c r="T41" s="15">
        <f>SUMIF('[1]أسماء المحالين للمعاش(سفاجا)'!D$10:D$55,D41:D84,'[1]أسماء المحالين للمعاش(سفاجا)'!AE$10:AE$55)</f>
        <v>0</v>
      </c>
      <c r="U41" s="15">
        <f>SUMIF('[1]أسماء المحالين للمعاش(سفاجا)'!D$10:D$55,D41:D84,'[1]أسماء المحالين للمعاش(سفاجا)'!AF$10:AF$55)</f>
        <v>0</v>
      </c>
      <c r="V41" s="15">
        <f>SUMIF('[1]أسماء المحالين للمعاش(سفاجا)'!$D$10:$D$55,$D$8:$D$51,'[1]أسماء المحالين للمعاش(سفاجا)'!AG$10:AG$55)</f>
        <v>0</v>
      </c>
      <c r="W41" s="15">
        <f>SUMIF('[1]أسماء المحالين للمعاش(سفاجا)'!$D$10:$D$55,$D$8:$D$51,'[1]أسماء المحالين للمعاش(سفاجا)'!AH$10:AH$55)</f>
        <v>0</v>
      </c>
      <c r="X41" s="15">
        <f>SUMIF('[1]أسماء المحالين للمعاش(سفاجا)'!$D$10:$D$55,$D$8:$D$51,'[1]أسماء المحالين للمعاش(سفاجا)'!AI$10:AI$55)</f>
        <v>0</v>
      </c>
      <c r="Y41" s="15">
        <f>SUMIF(بيان.مغاشات.سفاجا[الإسم],'ورقة2 (2)'!D41:D84,بيان.مغاشات.سفاجا[يناير-23])</f>
        <v>0</v>
      </c>
    </row>
    <row r="42" spans="3:25" x14ac:dyDescent="0.35">
      <c r="C42" s="47">
        <v>35</v>
      </c>
      <c r="D42" s="46" t="s">
        <v>354</v>
      </c>
      <c r="E42" s="46">
        <f>SUMIF(بيان.مغاشات.سفاجا[الإسم],'ورقة2 (2)'!D42:D105,بيان.مغاشات.سفاجا[المنحة])</f>
        <v>19101.66</v>
      </c>
      <c r="F42" s="46">
        <f>SUMIF(بيان.مغاشات.سفاجا[الإسم],'ورقة2 (2)'!D42:D79,بيان.مغاشات.سفاجا[إجمالي المنصرف])</f>
        <v>9500</v>
      </c>
      <c r="G42" s="46">
        <f t="shared" si="0"/>
        <v>9500</v>
      </c>
      <c r="H42" s="46">
        <f t="shared" si="1"/>
        <v>9601.66</v>
      </c>
      <c r="I42" s="46">
        <f>SUMIF(بيان.مغاشات.سفاجا[الإسم],'ورقة2 (2)'!D42:D72,بيان.مغاشات.سفاجا[مقابل نقدي])</f>
        <v>14017.88</v>
      </c>
      <c r="J42" s="46">
        <f t="shared" si="2"/>
        <v>-9601.66</v>
      </c>
      <c r="K42" s="46">
        <f t="shared" si="3"/>
        <v>0</v>
      </c>
      <c r="L42" s="46">
        <f t="shared" si="4"/>
        <v>14017.88</v>
      </c>
      <c r="M42" s="46" t="s">
        <v>428</v>
      </c>
      <c r="N42" s="99"/>
      <c r="O42" s="61"/>
      <c r="P42" s="61"/>
      <c r="R42" s="15">
        <f>SUMIF('[1]أسماء المحالين للمعاش(سفاجا)'!$D$10:$D$54,D42:D80,'[1]أسماء المحالين للمعاش(سفاجا)'!$AC$10:$AC$54)</f>
        <v>0</v>
      </c>
      <c r="S42" s="15">
        <f>SUMIF('[1]أسماء المحالين للمعاش(سفاجا)'!D$10:D$54,D42:D85,'[1]أسماء المحالين للمعاش(سفاجا)'!AD$10:AD$54)</f>
        <v>0</v>
      </c>
      <c r="T42" s="15">
        <f>SUMIF('[1]أسماء المحالين للمعاش(سفاجا)'!D$10:D$55,D42:D85,'[1]أسماء المحالين للمعاش(سفاجا)'!AE$10:AE$55)</f>
        <v>0</v>
      </c>
      <c r="U42" s="15">
        <f>SUMIF('[1]أسماء المحالين للمعاش(سفاجا)'!D$10:D$55,D42:D85,'[1]أسماء المحالين للمعاش(سفاجا)'!AF$10:AF$55)</f>
        <v>0</v>
      </c>
      <c r="V42" s="15">
        <f>SUMIF('[1]أسماء المحالين للمعاش(سفاجا)'!$D$10:$D$55,$D$8:$D$51,'[1]أسماء المحالين للمعاش(سفاجا)'!AG$10:AG$55)</f>
        <v>0</v>
      </c>
      <c r="W42" s="15">
        <f>SUMIF('[1]أسماء المحالين للمعاش(سفاجا)'!$D$10:$D$55,$D$8:$D$51,'[1]أسماء المحالين للمعاش(سفاجا)'!AH$10:AH$55)</f>
        <v>0</v>
      </c>
      <c r="X42" s="15">
        <f>SUMIF('[1]أسماء المحالين للمعاش(سفاجا)'!$D$10:$D$55,$D$8:$D$51,'[1]أسماء المحالين للمعاش(سفاجا)'!AI$10:AI$55)</f>
        <v>0</v>
      </c>
      <c r="Y42" s="15">
        <f>SUMIF(بيان.مغاشات.سفاجا[الإسم],'ورقة2 (2)'!D42:D85,بيان.مغاشات.سفاجا[يناير-23])</f>
        <v>0</v>
      </c>
    </row>
    <row r="43" spans="3:25" x14ac:dyDescent="0.35">
      <c r="C43" s="47">
        <v>36</v>
      </c>
      <c r="D43" s="48" t="s">
        <v>419</v>
      </c>
      <c r="E43" s="48">
        <f>SUMIF(بيان.مغاشات.سفاجا[الإسم],'ورقة2 (2)'!D43:D106,بيان.مغاشات.سفاجا[المنحة])</f>
        <v>0</v>
      </c>
      <c r="F43" s="115">
        <f>SUMIF(بيان.مغاشات.سفاجا[الإسم],'ورقة2 (2)'!D43:D80,بيان.مغاشات.سفاجا[إجمالي المنصرف])</f>
        <v>0</v>
      </c>
      <c r="G43" s="115">
        <v>0</v>
      </c>
      <c r="H43" s="48">
        <f t="shared" si="1"/>
        <v>0</v>
      </c>
      <c r="I43" s="48">
        <v>10829.7</v>
      </c>
      <c r="J43" s="48">
        <f t="shared" si="2"/>
        <v>0</v>
      </c>
      <c r="K43" s="48">
        <v>10829.7</v>
      </c>
      <c r="L43" s="48">
        <f t="shared" si="4"/>
        <v>0</v>
      </c>
      <c r="M43" s="48" t="s">
        <v>420</v>
      </c>
      <c r="N43" s="99"/>
      <c r="O43" s="61"/>
      <c r="P43" s="61"/>
      <c r="R43" s="15">
        <f>SUMIF('[1]أسماء المحالين للمعاش(سفاجا)'!$D$10:$D$54,D43:D81,'[1]أسماء المحالين للمعاش(سفاجا)'!$AC$10:$AC$54)</f>
        <v>0</v>
      </c>
      <c r="S43" s="15">
        <f>SUMIF('[1]أسماء المحالين للمعاش(سفاجا)'!D$10:D$54,D43:D86,'[1]أسماء المحالين للمعاش(سفاجا)'!AD$10:AD$54)</f>
        <v>0</v>
      </c>
      <c r="T43" s="15">
        <f>SUMIF('[1]أسماء المحالين للمعاش(سفاجا)'!D$10:D$55,D43:D86,'[1]أسماء المحالين للمعاش(سفاجا)'!AE$10:AE$55)</f>
        <v>0</v>
      </c>
      <c r="U43" s="15">
        <f>SUMIF('[1]أسماء المحالين للمعاش(سفاجا)'!D$10:D$55,D43:D86,'[1]أسماء المحالين للمعاش(سفاجا)'!AF$10:AF$55)</f>
        <v>0</v>
      </c>
      <c r="V43" s="15">
        <f>SUMIF('[1]أسماء المحالين للمعاش(سفاجا)'!$D$10:$D$55,$D$8:$D$51,'[1]أسماء المحالين للمعاش(سفاجا)'!AG$10:AG$55)</f>
        <v>0</v>
      </c>
      <c r="W43" s="15">
        <f>SUMIF('[1]أسماء المحالين للمعاش(سفاجا)'!$D$10:$D$55,$D$8:$D$51,'[1]أسماء المحالين للمعاش(سفاجا)'!AH$10:AH$55)</f>
        <v>0</v>
      </c>
      <c r="X43" s="15">
        <f>SUMIF('[1]أسماء المحالين للمعاش(سفاجا)'!$D$10:$D$55,$D$8:$D$51,'[1]أسماء المحالين للمعاش(سفاجا)'!AI$10:AI$55)</f>
        <v>0</v>
      </c>
      <c r="Y43" s="15">
        <f>SUMIF(بيان.مغاشات.سفاجا[الإسم],'ورقة2 (2)'!D43:D86,بيان.مغاشات.سفاجا[يناير-23])</f>
        <v>0</v>
      </c>
    </row>
    <row r="44" spans="3:25" x14ac:dyDescent="0.35">
      <c r="C44" s="47">
        <v>37</v>
      </c>
      <c r="D44" s="46" t="s">
        <v>424</v>
      </c>
      <c r="E44" s="46">
        <f>SUMIF(بيان.مغاشات.سفاجا[الإسم],'ورقة2 (2)'!D44:D107,بيان.مغاشات.سفاجا[المنحة])</f>
        <v>0</v>
      </c>
      <c r="F44" s="114">
        <f>SUMIF(بيان.مغاشات.سفاجا[الإسم],'ورقة2 (2)'!D44:D81,بيان.مغاشات.سفاجا[إجمالي المنصرف])</f>
        <v>0</v>
      </c>
      <c r="G44" s="46">
        <f t="shared" si="0"/>
        <v>0</v>
      </c>
      <c r="H44" s="46">
        <f t="shared" si="1"/>
        <v>0</v>
      </c>
      <c r="I44" s="46">
        <f>SUMIF(بيان.مغاشات.سفاجا[الإسم],'ورقة2 (2)'!D44:D74,بيان.مغاشات.سفاجا[مقابل نقدي])</f>
        <v>0</v>
      </c>
      <c r="J44" s="46">
        <f t="shared" si="2"/>
        <v>0</v>
      </c>
      <c r="K44" s="46">
        <f t="shared" si="3"/>
        <v>0</v>
      </c>
      <c r="L44" s="46">
        <f t="shared" si="4"/>
        <v>0</v>
      </c>
      <c r="M44" s="46"/>
      <c r="N44" s="99"/>
      <c r="O44" s="61"/>
      <c r="P44" s="61"/>
      <c r="R44" s="15">
        <f>SUMIF('[1]أسماء المحالين للمعاش(سفاجا)'!$D$10:$D$54,D44:D82,'[1]أسماء المحالين للمعاش(سفاجا)'!$AC$10:$AC$54)</f>
        <v>0</v>
      </c>
      <c r="S44" s="15">
        <f>SUMIF('[1]أسماء المحالين للمعاش(سفاجا)'!D$10:D$54,D44:D87,'[1]أسماء المحالين للمعاش(سفاجا)'!AD$10:AD$54)</f>
        <v>0</v>
      </c>
      <c r="T44" s="15">
        <f>SUMIF('[1]أسماء المحالين للمعاش(سفاجا)'!D$10:D$55,D44:D87,'[1]أسماء المحالين للمعاش(سفاجا)'!AE$10:AE$55)</f>
        <v>0</v>
      </c>
      <c r="U44" s="15">
        <f>SUMIF('[1]أسماء المحالين للمعاش(سفاجا)'!D$10:D$55,D44:D87,'[1]أسماء المحالين للمعاش(سفاجا)'!AF$10:AF$55)</f>
        <v>0</v>
      </c>
      <c r="V44" s="15">
        <f>SUMIF('[1]أسماء المحالين للمعاش(سفاجا)'!$D$10:$D$55,$D$8:$D$51,'[1]أسماء المحالين للمعاش(سفاجا)'!AG$10:AG$55)</f>
        <v>0</v>
      </c>
      <c r="W44" s="15">
        <f>SUMIF('[1]أسماء المحالين للمعاش(سفاجا)'!$D$10:$D$55,$D$8:$D$51,'[1]أسماء المحالين للمعاش(سفاجا)'!AH$10:AH$55)</f>
        <v>0</v>
      </c>
      <c r="X44" s="15">
        <f>SUMIF('[1]أسماء المحالين للمعاش(سفاجا)'!$D$10:$D$55,$D$8:$D$51,'[1]أسماء المحالين للمعاش(سفاجا)'!AI$10:AI$55)</f>
        <v>0</v>
      </c>
      <c r="Y44" s="15">
        <f>SUMIF(بيان.مغاشات.سفاجا[الإسم],'ورقة2 (2)'!D44:D87,بيان.مغاشات.سفاجا[يناير-23])</f>
        <v>0</v>
      </c>
    </row>
    <row r="45" spans="3:25" x14ac:dyDescent="0.35">
      <c r="C45" s="47">
        <v>38</v>
      </c>
      <c r="D45" s="46" t="s">
        <v>423</v>
      </c>
      <c r="E45" s="46">
        <f>SUMIF(بيان.مغاشات.سفاجا[الإسم],'ورقة2 (2)'!D45:D108,بيان.مغاشات.سفاجا[المنحة])</f>
        <v>0</v>
      </c>
      <c r="F45" s="114">
        <f>SUMIF(بيان.مغاشات.سفاجا[الإسم],'ورقة2 (2)'!D45:D82,بيان.مغاشات.سفاجا[إجمالي المنصرف])</f>
        <v>0</v>
      </c>
      <c r="G45" s="46">
        <f t="shared" si="0"/>
        <v>0</v>
      </c>
      <c r="H45" s="46">
        <f t="shared" si="1"/>
        <v>0</v>
      </c>
      <c r="I45" s="46">
        <f>SUMIF(بيان.مغاشات.سفاجا[الإسم],'ورقة2 (2)'!D45:D75,بيان.مغاشات.سفاجا[مقابل نقدي])</f>
        <v>0</v>
      </c>
      <c r="J45" s="46">
        <f t="shared" si="2"/>
        <v>0</v>
      </c>
      <c r="K45" s="46">
        <f t="shared" si="3"/>
        <v>0</v>
      </c>
      <c r="L45" s="46">
        <f t="shared" si="4"/>
        <v>0</v>
      </c>
      <c r="M45" s="46"/>
      <c r="N45" s="99"/>
      <c r="O45" s="61"/>
      <c r="P45" s="61"/>
      <c r="R45" s="15">
        <f>SUMIF('[1]أسماء المحالين للمعاش(سفاجا)'!$D$10:$D$54,D45:D83,'[1]أسماء المحالين للمعاش(سفاجا)'!$AC$10:$AC$54)</f>
        <v>0</v>
      </c>
      <c r="S45" s="15">
        <f>SUMIF('[1]أسماء المحالين للمعاش(سفاجا)'!D$10:D$54,D45:D88,'[1]أسماء المحالين للمعاش(سفاجا)'!AD$10:AD$54)</f>
        <v>0</v>
      </c>
      <c r="T45" s="15">
        <f>SUMIF('[1]أسماء المحالين للمعاش(سفاجا)'!D$10:D$55,D45:D88,'[1]أسماء المحالين للمعاش(سفاجا)'!AE$10:AE$55)</f>
        <v>0</v>
      </c>
      <c r="U45" s="15">
        <f>SUMIF('[1]أسماء المحالين للمعاش(سفاجا)'!D$10:D$55,D45:D88,'[1]أسماء المحالين للمعاش(سفاجا)'!AF$10:AF$55)</f>
        <v>0</v>
      </c>
      <c r="V45" s="15">
        <f>SUMIF('[1]أسماء المحالين للمعاش(سفاجا)'!$D$10:$D$55,$D$8:$D$51,'[1]أسماء المحالين للمعاش(سفاجا)'!AG$10:AG$55)</f>
        <v>0</v>
      </c>
      <c r="W45" s="15">
        <f>SUMIF('[1]أسماء المحالين للمعاش(سفاجا)'!$D$10:$D$55,$D$8:$D$51,'[1]أسماء المحالين للمعاش(سفاجا)'!AH$10:AH$55)</f>
        <v>0</v>
      </c>
      <c r="X45" s="15">
        <f>SUMIF('[1]أسماء المحالين للمعاش(سفاجا)'!$D$10:$D$55,$D$8:$D$51,'[1]أسماء المحالين للمعاش(سفاجا)'!AI$10:AI$55)</f>
        <v>0</v>
      </c>
      <c r="Y45" s="15">
        <f>SUMIF(بيان.مغاشات.سفاجا[الإسم],'ورقة2 (2)'!D45:D88,بيان.مغاشات.سفاجا[يناير-23])</f>
        <v>0</v>
      </c>
    </row>
    <row r="46" spans="3:25" x14ac:dyDescent="0.35">
      <c r="C46" s="47">
        <v>39</v>
      </c>
      <c r="D46" s="46"/>
      <c r="E46" s="46">
        <f>SUMIF(بيان.مغاشات.سفاجا[الإسم],'ورقة2 (2)'!D46:D109,بيان.مغاشات.سفاجا[المنحة])</f>
        <v>0</v>
      </c>
      <c r="F46" s="114">
        <f>SUMIF(بيان.مغاشات.سفاجا[الإسم],'ورقة2 (2)'!D46:D83,بيان.مغاشات.سفاجا[إجمالي المنصرف])</f>
        <v>0</v>
      </c>
      <c r="G46" s="46">
        <f t="shared" si="0"/>
        <v>0</v>
      </c>
      <c r="H46" s="46">
        <f t="shared" si="1"/>
        <v>0</v>
      </c>
      <c r="I46" s="46">
        <f>SUMIF(بيان.مغاشات.سفاجا[الإسم],'ورقة2 (2)'!D46:D76,بيان.مغاشات.سفاجا[مقابل نقدي])</f>
        <v>0</v>
      </c>
      <c r="J46" s="46">
        <f t="shared" si="2"/>
        <v>0</v>
      </c>
      <c r="K46" s="46">
        <f t="shared" si="3"/>
        <v>0</v>
      </c>
      <c r="L46" s="46">
        <f t="shared" si="4"/>
        <v>0</v>
      </c>
      <c r="M46" s="46"/>
      <c r="N46" s="99"/>
      <c r="O46" s="61"/>
      <c r="P46" s="61"/>
      <c r="R46" s="15">
        <f>SUMIF('[1]أسماء المحالين للمعاش(سفاجا)'!$D$10:$D$54,D46:D84,'[1]أسماء المحالين للمعاش(سفاجا)'!$AC$10:$AC$54)</f>
        <v>0</v>
      </c>
      <c r="S46" s="15">
        <f>SUMIF('[1]أسماء المحالين للمعاش(سفاجا)'!D$10:D$54,D46:D89,'[1]أسماء المحالين للمعاش(سفاجا)'!AD$10:AD$54)</f>
        <v>0</v>
      </c>
      <c r="T46" s="15">
        <f>SUMIF('[1]أسماء المحالين للمعاش(سفاجا)'!D$10:D$55,D46:D89,'[1]أسماء المحالين للمعاش(سفاجا)'!AE$10:AE$55)</f>
        <v>0</v>
      </c>
      <c r="U46" s="15">
        <f>SUMIF('[1]أسماء المحالين للمعاش(سفاجا)'!D$10:D$55,D46:D89,'[1]أسماء المحالين للمعاش(سفاجا)'!AF$10:AF$55)</f>
        <v>0</v>
      </c>
      <c r="V46" s="15">
        <f>SUMIF('[1]أسماء المحالين للمعاش(سفاجا)'!$D$10:$D$55,$D$8:$D$51,'[1]أسماء المحالين للمعاش(سفاجا)'!AG$10:AG$55)</f>
        <v>0</v>
      </c>
      <c r="W46" s="15">
        <f>SUMIF('[1]أسماء المحالين للمعاش(سفاجا)'!$D$10:$D$55,$D$8:$D$51,'[1]أسماء المحالين للمعاش(سفاجا)'!AH$10:AH$55)</f>
        <v>0</v>
      </c>
      <c r="X46" s="15">
        <f>SUMIF('[1]أسماء المحالين للمعاش(سفاجا)'!$D$10:$D$55,$D$8:$D$51,'[1]أسماء المحالين للمعاش(سفاجا)'!AI$10:AI$55)</f>
        <v>0</v>
      </c>
      <c r="Y46" s="15">
        <f>SUMIF(بيان.مغاشات.سفاجا[الإسم],'ورقة2 (2)'!D46:D89,بيان.مغاشات.سفاجا[يناير-23])</f>
        <v>0</v>
      </c>
    </row>
    <row r="47" spans="3:25" x14ac:dyDescent="0.35">
      <c r="C47" s="47">
        <v>40</v>
      </c>
      <c r="D47" s="46"/>
      <c r="E47" s="46">
        <f>SUMIF(بيان.مغاشات.سفاجا[الإسم],'ورقة2 (2)'!D47:D110,بيان.مغاشات.سفاجا[المنحة])</f>
        <v>0</v>
      </c>
      <c r="F47" s="114">
        <f>SUMIF(بيان.مغاشات.سفاجا[الإسم],'ورقة2 (2)'!D47:D84,بيان.مغاشات.سفاجا[إجمالي المنصرف])</f>
        <v>0</v>
      </c>
      <c r="G47" s="46">
        <f t="shared" si="0"/>
        <v>0</v>
      </c>
      <c r="H47" s="46">
        <f t="shared" si="1"/>
        <v>0</v>
      </c>
      <c r="I47" s="46">
        <f>SUMIF(بيان.مغاشات.سفاجا[الإسم],'ورقة2 (2)'!D47:D77,بيان.مغاشات.سفاجا[مقابل نقدي])</f>
        <v>0</v>
      </c>
      <c r="J47" s="46">
        <f t="shared" si="2"/>
        <v>0</v>
      </c>
      <c r="K47" s="46">
        <f t="shared" si="3"/>
        <v>0</v>
      </c>
      <c r="L47" s="46">
        <f t="shared" si="4"/>
        <v>0</v>
      </c>
      <c r="M47" s="46"/>
      <c r="N47" s="99"/>
      <c r="O47" s="61"/>
      <c r="P47" s="61"/>
      <c r="R47" s="15">
        <f>SUMIF('[1]أسماء المحالين للمعاش(سفاجا)'!$D$10:$D$54,D47:D85,'[1]أسماء المحالين للمعاش(سفاجا)'!$AC$10:$AC$54)</f>
        <v>0</v>
      </c>
      <c r="S47" s="15">
        <f>SUMIF('[1]أسماء المحالين للمعاش(سفاجا)'!D$10:D$54,D47:D90,'[1]أسماء المحالين للمعاش(سفاجا)'!AD$10:AD$54)</f>
        <v>0</v>
      </c>
      <c r="T47" s="15">
        <f>SUMIF('[1]أسماء المحالين للمعاش(سفاجا)'!D$10:D$55,D47:D90,'[1]أسماء المحالين للمعاش(سفاجا)'!AE$10:AE$55)</f>
        <v>0</v>
      </c>
      <c r="U47" s="15">
        <f>SUMIF('[1]أسماء المحالين للمعاش(سفاجا)'!D$10:D$55,D47:D90,'[1]أسماء المحالين للمعاش(سفاجا)'!AF$10:AF$55)</f>
        <v>0</v>
      </c>
      <c r="V47" s="15">
        <f>SUMIF('[1]أسماء المحالين للمعاش(سفاجا)'!$D$10:$D$55,$D$8:$D$51,'[1]أسماء المحالين للمعاش(سفاجا)'!AG$10:AG$55)</f>
        <v>0</v>
      </c>
      <c r="W47" s="15">
        <f>SUMIF('[1]أسماء المحالين للمعاش(سفاجا)'!$D$10:$D$55,$D$8:$D$51,'[1]أسماء المحالين للمعاش(سفاجا)'!AH$10:AH$55)</f>
        <v>0</v>
      </c>
      <c r="X47" s="15">
        <f>SUMIF('[1]أسماء المحالين للمعاش(سفاجا)'!$D$10:$D$55,$D$8:$D$51,'[1]أسماء المحالين للمعاش(سفاجا)'!AI$10:AI$55)</f>
        <v>0</v>
      </c>
      <c r="Y47" s="15">
        <f>SUMIF(بيان.مغاشات.سفاجا[الإسم],'ورقة2 (2)'!D47:D90,بيان.مغاشات.سفاجا[يناير-23])</f>
        <v>0</v>
      </c>
    </row>
    <row r="48" spans="3:25" x14ac:dyDescent="0.35">
      <c r="C48" s="47">
        <v>41</v>
      </c>
      <c r="D48" s="46"/>
      <c r="E48" s="46">
        <f>SUMIF(بيان.مغاشات.سفاجا[الإسم],'ورقة2 (2)'!D48:D111,بيان.مغاشات.سفاجا[المنحة])</f>
        <v>0</v>
      </c>
      <c r="F48" s="114">
        <f>SUMIF(بيان.مغاشات.سفاجا[الإسم],'ورقة2 (2)'!D48:D85,بيان.مغاشات.سفاجا[إجمالي المنصرف])</f>
        <v>0</v>
      </c>
      <c r="G48" s="46">
        <f t="shared" si="0"/>
        <v>0</v>
      </c>
      <c r="H48" s="46">
        <f t="shared" si="1"/>
        <v>0</v>
      </c>
      <c r="I48" s="46">
        <f>SUMIF(بيان.مغاشات.سفاجا[الإسم],'ورقة2 (2)'!D48:D78,بيان.مغاشات.سفاجا[مقابل نقدي])</f>
        <v>0</v>
      </c>
      <c r="J48" s="46">
        <f t="shared" si="2"/>
        <v>0</v>
      </c>
      <c r="K48" s="46">
        <f t="shared" si="3"/>
        <v>0</v>
      </c>
      <c r="L48" s="46">
        <f t="shared" si="4"/>
        <v>0</v>
      </c>
      <c r="M48" s="46"/>
      <c r="N48" s="99"/>
      <c r="O48" s="61"/>
      <c r="P48" s="61"/>
      <c r="R48" s="15">
        <f>SUMIF('[1]أسماء المحالين للمعاش(سفاجا)'!$D$10:$D$54,D48:D86,'[1]أسماء المحالين للمعاش(سفاجا)'!$AC$10:$AC$54)</f>
        <v>0</v>
      </c>
      <c r="S48" s="15">
        <f>SUMIF('[1]أسماء المحالين للمعاش(سفاجا)'!D$10:D$54,D48:D91,'[1]أسماء المحالين للمعاش(سفاجا)'!AD$10:AD$54)</f>
        <v>0</v>
      </c>
      <c r="T48" s="15">
        <f>SUMIF('[1]أسماء المحالين للمعاش(سفاجا)'!D$10:D$55,D48:D91,'[1]أسماء المحالين للمعاش(سفاجا)'!AE$10:AE$55)</f>
        <v>0</v>
      </c>
      <c r="U48" s="15">
        <f>SUMIF('[1]أسماء المحالين للمعاش(سفاجا)'!D$10:D$55,D48:D91,'[1]أسماء المحالين للمعاش(سفاجا)'!AF$10:AF$55)</f>
        <v>0</v>
      </c>
      <c r="V48" s="15">
        <f>SUMIF('[1]أسماء المحالين للمعاش(سفاجا)'!$D$10:$D$55,$D$8:$D$51,'[1]أسماء المحالين للمعاش(سفاجا)'!AG$10:AG$55)</f>
        <v>0</v>
      </c>
      <c r="W48" s="15">
        <f>SUMIF('[1]أسماء المحالين للمعاش(سفاجا)'!$D$10:$D$55,$D$8:$D$51,'[1]أسماء المحالين للمعاش(سفاجا)'!AH$10:AH$55)</f>
        <v>0</v>
      </c>
      <c r="X48" s="15">
        <f>SUMIF('[1]أسماء المحالين للمعاش(سفاجا)'!$D$10:$D$55,$D$8:$D$51,'[1]أسماء المحالين للمعاش(سفاجا)'!AI$10:AI$55)</f>
        <v>0</v>
      </c>
      <c r="Y48" s="15">
        <f>SUMIF(بيان.مغاشات.سفاجا[الإسم],'ورقة2 (2)'!D48:D91,بيان.مغاشات.سفاجا[يناير-23])</f>
        <v>0</v>
      </c>
    </row>
    <row r="49" spans="3:25" x14ac:dyDescent="0.35">
      <c r="C49" s="47">
        <v>42</v>
      </c>
      <c r="D49" s="46"/>
      <c r="E49" s="46">
        <f>SUMIF(بيان.مغاشات.سفاجا[الإسم],'ورقة2 (2)'!D49:D112,بيان.مغاشات.سفاجا[المنحة])</f>
        <v>0</v>
      </c>
      <c r="F49" s="114">
        <f>SUMIF(بيان.مغاشات.سفاجا[الإسم],'ورقة2 (2)'!D49:D86,بيان.مغاشات.سفاجا[إجمالي المنصرف])</f>
        <v>0</v>
      </c>
      <c r="G49" s="46">
        <f t="shared" si="0"/>
        <v>0</v>
      </c>
      <c r="H49" s="46">
        <f t="shared" si="1"/>
        <v>0</v>
      </c>
      <c r="I49" s="46">
        <f>SUMIF(بيان.مغاشات.سفاجا[الإسم],'ورقة2 (2)'!D49:D79,بيان.مغاشات.سفاجا[مقابل نقدي])</f>
        <v>0</v>
      </c>
      <c r="J49" s="46">
        <f t="shared" si="2"/>
        <v>0</v>
      </c>
      <c r="K49" s="46">
        <f t="shared" si="3"/>
        <v>0</v>
      </c>
      <c r="L49" s="46">
        <f t="shared" si="4"/>
        <v>0</v>
      </c>
      <c r="M49" s="46"/>
      <c r="N49" s="99"/>
      <c r="O49" s="61"/>
      <c r="P49" s="61"/>
      <c r="R49" s="15">
        <f>SUMIF('[1]أسماء المحالين للمعاش(سفاجا)'!$D$10:$D$54,D49:D87,'[1]أسماء المحالين للمعاش(سفاجا)'!$AC$10:$AC$54)</f>
        <v>0</v>
      </c>
      <c r="S49" s="15">
        <f>SUMIF('[1]أسماء المحالين للمعاش(سفاجا)'!D$10:D$54,D49:D92,'[1]أسماء المحالين للمعاش(سفاجا)'!AD$10:AD$54)</f>
        <v>0</v>
      </c>
      <c r="T49" s="15">
        <f>SUMIF('[1]أسماء المحالين للمعاش(سفاجا)'!D$10:D$55,D49:D92,'[1]أسماء المحالين للمعاش(سفاجا)'!AE$10:AE$55)</f>
        <v>0</v>
      </c>
      <c r="U49" s="15">
        <f>SUMIF('[1]أسماء المحالين للمعاش(سفاجا)'!D$10:D$55,D49:D92,'[1]أسماء المحالين للمعاش(سفاجا)'!AF$10:AF$55)</f>
        <v>0</v>
      </c>
      <c r="V49" s="15">
        <f>SUMIF('[1]أسماء المحالين للمعاش(سفاجا)'!$D$10:$D$55,$D$8:$D$51,'[1]أسماء المحالين للمعاش(سفاجا)'!AG$10:AG$55)</f>
        <v>0</v>
      </c>
      <c r="W49" s="15">
        <f>SUMIF('[1]أسماء المحالين للمعاش(سفاجا)'!$D$10:$D$55,$D$8:$D$51,'[1]أسماء المحالين للمعاش(سفاجا)'!AH$10:AH$55)</f>
        <v>0</v>
      </c>
      <c r="X49" s="15">
        <f>SUMIF('[1]أسماء المحالين للمعاش(سفاجا)'!$D$10:$D$55,$D$8:$D$51,'[1]أسماء المحالين للمعاش(سفاجا)'!AI$10:AI$55)</f>
        <v>0</v>
      </c>
      <c r="Y49" s="15">
        <f>SUMIF(بيان.مغاشات.سفاجا[الإسم],'ورقة2 (2)'!D49:D92,بيان.مغاشات.سفاجا[يناير-23])</f>
        <v>0</v>
      </c>
    </row>
    <row r="50" spans="3:25" x14ac:dyDescent="0.35">
      <c r="C50" s="47">
        <v>43</v>
      </c>
      <c r="D50" s="99"/>
      <c r="E50" s="46">
        <f>SUMIF(بيان.مغاشات.سفاجا[الإسم],'ورقة2 (2)'!D50:D113,بيان.مغاشات.سفاجا[المنحة])</f>
        <v>0</v>
      </c>
      <c r="F50" s="114">
        <f>SUMIF(بيان.مغاشات.سفاجا[الإسم],'ورقة2 (2)'!D50:D87,بيان.مغاشات.سفاجا[إجمالي المنصرف])</f>
        <v>0</v>
      </c>
      <c r="G50" s="46">
        <f t="shared" si="0"/>
        <v>0</v>
      </c>
      <c r="H50" s="46">
        <f t="shared" si="1"/>
        <v>0</v>
      </c>
      <c r="I50" s="46">
        <f>SUMIF(بيان.مغاشات.سفاجا[الإسم],'ورقة2 (2)'!D50:D80,بيان.مغاشات.سفاجا[مقابل نقدي])</f>
        <v>0</v>
      </c>
      <c r="J50" s="46">
        <f t="shared" si="2"/>
        <v>0</v>
      </c>
      <c r="K50" s="46">
        <f t="shared" si="3"/>
        <v>0</v>
      </c>
      <c r="L50" s="46">
        <f t="shared" si="4"/>
        <v>0</v>
      </c>
      <c r="M50" s="46"/>
      <c r="N50" s="99"/>
      <c r="O50" s="61"/>
      <c r="P50" s="61"/>
      <c r="R50" s="15">
        <f>SUMIF('[1]أسماء المحالين للمعاش(سفاجا)'!$D$10:$D$54,D50:D88,'[1]أسماء المحالين للمعاش(سفاجا)'!$AC$10:$AC$54)</f>
        <v>0</v>
      </c>
      <c r="S50" s="15">
        <f>SUMIF('[1]أسماء المحالين للمعاش(سفاجا)'!D$10:D$54,D50:D93,'[1]أسماء المحالين للمعاش(سفاجا)'!AD$10:AD$54)</f>
        <v>0</v>
      </c>
      <c r="T50" s="15">
        <f>SUMIF('[1]أسماء المحالين للمعاش(سفاجا)'!D$10:D$55,D50:D93,'[1]أسماء المحالين للمعاش(سفاجا)'!AE$10:AE$55)</f>
        <v>0</v>
      </c>
      <c r="U50" s="15">
        <f>SUMIF('[1]أسماء المحالين للمعاش(سفاجا)'!D$10:D$55,D50:D93,'[1]أسماء المحالين للمعاش(سفاجا)'!AF$10:AF$55)</f>
        <v>0</v>
      </c>
      <c r="V50" s="15">
        <f>SUMIF('[1]أسماء المحالين للمعاش(سفاجا)'!$D$10:$D$55,$D$8:$D$51,'[1]أسماء المحالين للمعاش(سفاجا)'!AG$10:AG$55)</f>
        <v>0</v>
      </c>
      <c r="W50" s="15">
        <f>SUMIF('[1]أسماء المحالين للمعاش(سفاجا)'!$D$10:$D$55,$D$8:$D$51,'[1]أسماء المحالين للمعاش(سفاجا)'!AH$10:AH$55)</f>
        <v>0</v>
      </c>
      <c r="X50" s="15">
        <f>SUMIF('[1]أسماء المحالين للمعاش(سفاجا)'!$D$10:$D$55,$D$8:$D$51,'[1]أسماء المحالين للمعاش(سفاجا)'!AI$10:AI$55)</f>
        <v>0</v>
      </c>
      <c r="Y50" s="15">
        <f>SUMIF(بيان.مغاشات.سفاجا[الإسم],'ورقة2 (2)'!D50:D93,بيان.مغاشات.سفاجا[يناير-23])</f>
        <v>0</v>
      </c>
    </row>
    <row r="51" spans="3:25" x14ac:dyDescent="0.35">
      <c r="C51" s="47">
        <v>44</v>
      </c>
      <c r="D51" s="99"/>
      <c r="E51" s="46">
        <f>SUMIF(بيان.مغاشات.سفاجا[الإسم],'ورقة2 (2)'!D51:D114,بيان.مغاشات.سفاجا[المنحة])</f>
        <v>0</v>
      </c>
      <c r="F51" s="114">
        <f>SUMIF(بيان.مغاشات.سفاجا[الإسم],'ورقة2 (2)'!D51:D88,بيان.مغاشات.سفاجا[إجمالي المنصرف])</f>
        <v>0</v>
      </c>
      <c r="G51" s="46">
        <f t="shared" si="0"/>
        <v>0</v>
      </c>
      <c r="H51" s="46">
        <f t="shared" si="1"/>
        <v>0</v>
      </c>
      <c r="I51" s="46">
        <f>SUMIF(بيان.مغاشات.سفاجا[الإسم],'ورقة2 (2)'!D51:D81,بيان.مغاشات.سفاجا[مقابل نقدي])</f>
        <v>0</v>
      </c>
      <c r="J51" s="46">
        <f t="shared" si="2"/>
        <v>0</v>
      </c>
      <c r="K51" s="46">
        <f t="shared" si="3"/>
        <v>0</v>
      </c>
      <c r="L51" s="46">
        <f t="shared" si="4"/>
        <v>0</v>
      </c>
      <c r="M51" s="46"/>
      <c r="N51" s="99"/>
      <c r="O51" s="61"/>
      <c r="P51" s="61"/>
      <c r="R51" s="15">
        <f>SUMIF('[1]أسماء المحالين للمعاش(سفاجا)'!$D$10:$D$54,D51:D89,'[1]أسماء المحالين للمعاش(سفاجا)'!$AC$10:$AC$54)</f>
        <v>0</v>
      </c>
      <c r="S51" s="15">
        <f>SUMIF('[1]أسماء المحالين للمعاش(سفاجا)'!D$10:D$54,D51:D94,'[1]أسماء المحالين للمعاش(سفاجا)'!AD$10:AD$54)</f>
        <v>0</v>
      </c>
      <c r="T51" s="15">
        <f>SUMIF('[1]أسماء المحالين للمعاش(سفاجا)'!D$10:D$55,D51:D94,'[1]أسماء المحالين للمعاش(سفاجا)'!AE$10:AE$55)</f>
        <v>0</v>
      </c>
      <c r="U51" s="15">
        <f>SUMIF('[1]أسماء المحالين للمعاش(سفاجا)'!D$10:D$55,D51:D94,'[1]أسماء المحالين للمعاش(سفاجا)'!AF$10:AF$55)</f>
        <v>0</v>
      </c>
      <c r="V51" s="15">
        <f>SUMIF('[1]أسماء المحالين للمعاش(سفاجا)'!$D$10:$D$55,$D$8:$D$51,'[1]أسماء المحالين للمعاش(سفاجا)'!AG$10:AG$55)</f>
        <v>0</v>
      </c>
      <c r="W51" s="15">
        <f>SUMIF('[1]أسماء المحالين للمعاش(سفاجا)'!$D$10:$D$55,$D$8:$D$51,'[1]أسماء المحالين للمعاش(سفاجا)'!AH$10:AH$55)</f>
        <v>0</v>
      </c>
      <c r="X51" s="15">
        <f>SUMIF('[1]أسماء المحالين للمعاش(سفاجا)'!$D$10:$D$55,$D$8:$D$51,'[1]أسماء المحالين للمعاش(سفاجا)'!AI$10:AI$55)</f>
        <v>0</v>
      </c>
      <c r="Y51" s="15">
        <f>SUMIF(بيان.مغاشات.سفاجا[الإسم],'ورقة2 (2)'!D51:D94,بيان.مغاشات.سفاجا[يناير-23])</f>
        <v>0</v>
      </c>
    </row>
    <row r="52" spans="3:25" x14ac:dyDescent="0.35">
      <c r="R52" s="15">
        <f>SUM(R8:R51)</f>
        <v>16000</v>
      </c>
      <c r="S52" s="15">
        <f t="shared" ref="S52:Y52" si="5">SUM(S8:S51)</f>
        <v>1000</v>
      </c>
      <c r="T52" s="15">
        <f t="shared" si="5"/>
        <v>2500</v>
      </c>
      <c r="U52" s="15">
        <f t="shared" si="5"/>
        <v>6000</v>
      </c>
      <c r="V52" s="15">
        <f t="shared" si="5"/>
        <v>3787.36</v>
      </c>
      <c r="W52" s="15">
        <f t="shared" si="5"/>
        <v>22933.02</v>
      </c>
      <c r="X52" s="15">
        <f t="shared" si="5"/>
        <v>19774.46</v>
      </c>
      <c r="Y52" s="15">
        <f t="shared" si="5"/>
        <v>8200</v>
      </c>
    </row>
  </sheetData>
  <mergeCells count="7">
    <mergeCell ref="O6:P6"/>
    <mergeCell ref="N6:N7"/>
    <mergeCell ref="C6:C7"/>
    <mergeCell ref="D6:D7"/>
    <mergeCell ref="E6:H6"/>
    <mergeCell ref="I6:L6"/>
    <mergeCell ref="M6:M7"/>
  </mergeCells>
  <pageMargins left="0.7" right="0.7" top="0.75" bottom="0.75" header="0.3" footer="0.3"/>
  <pageSetup paperSize="9" orientation="portrait" r:id="rId1"/>
  <ignoredErrors>
    <ignoredError sqref="S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6:AI105"/>
  <sheetViews>
    <sheetView rightToLeft="1" topLeftCell="C6" workbookViewId="0">
      <pane xSplit="1" ySplit="2" topLeftCell="M8" activePane="bottomRight" state="frozen"/>
      <selection activeCell="C6" sqref="C6"/>
      <selection pane="topRight" activeCell="D6" sqref="D6"/>
      <selection pane="bottomLeft" activeCell="C8" sqref="C8"/>
      <selection pane="bottomRight" activeCell="U9" sqref="U9"/>
    </sheetView>
  </sheetViews>
  <sheetFormatPr defaultRowHeight="21" x14ac:dyDescent="0.35"/>
  <cols>
    <col min="3" max="3" width="6.28515625" style="13" customWidth="1"/>
    <col min="4" max="4" width="24.140625" style="14" customWidth="1"/>
    <col min="5" max="5" width="8.85546875" style="14" customWidth="1"/>
    <col min="6" max="6" width="11.5703125" style="14" customWidth="1"/>
    <col min="7" max="7" width="12" style="14" customWidth="1"/>
    <col min="8" max="9" width="11.85546875" style="14" customWidth="1"/>
    <col min="10" max="10" width="12.5703125" style="14" customWidth="1"/>
    <col min="11" max="11" width="28.85546875" style="3" customWidth="1"/>
    <col min="12" max="12" width="13" style="2" customWidth="1"/>
    <col min="13" max="14" width="14.42578125" style="3" customWidth="1"/>
    <col min="15" max="15" width="12.7109375" style="3" customWidth="1"/>
    <col min="16" max="18" width="14.42578125" style="3" customWidth="1"/>
    <col min="19" max="19" width="14.42578125" style="3" bestFit="1" customWidth="1"/>
    <col min="20" max="21" width="15.42578125" style="3" customWidth="1"/>
    <col min="22" max="22" width="14.42578125" style="15" customWidth="1"/>
    <col min="36" max="36" width="9.85546875" customWidth="1"/>
  </cols>
  <sheetData>
    <row r="6" spans="3:22" s="4" customFormat="1" ht="20.25" customHeight="1" x14ac:dyDescent="0.25">
      <c r="C6" s="395" t="s">
        <v>0</v>
      </c>
      <c r="D6" s="395" t="s">
        <v>99</v>
      </c>
      <c r="E6" s="392" t="s">
        <v>100</v>
      </c>
      <c r="F6" s="397" t="s">
        <v>101</v>
      </c>
      <c r="G6" s="398"/>
      <c r="H6" s="398"/>
      <c r="I6" s="399"/>
      <c r="J6" s="395" t="s">
        <v>102</v>
      </c>
      <c r="K6" s="395" t="s">
        <v>103</v>
      </c>
      <c r="L6" s="392" t="s">
        <v>104</v>
      </c>
      <c r="M6" s="394" t="s">
        <v>105</v>
      </c>
      <c r="N6" s="394"/>
      <c r="O6" s="394"/>
      <c r="P6" s="392" t="s">
        <v>5</v>
      </c>
      <c r="Q6" s="395" t="s">
        <v>106</v>
      </c>
      <c r="R6" s="394" t="s">
        <v>107</v>
      </c>
      <c r="S6" s="394" t="s">
        <v>7</v>
      </c>
      <c r="T6" s="394"/>
      <c r="U6" s="394"/>
      <c r="V6" s="7"/>
    </row>
    <row r="7" spans="3:22" s="4" customFormat="1" x14ac:dyDescent="0.25">
      <c r="C7" s="396"/>
      <c r="D7" s="396"/>
      <c r="E7" s="393"/>
      <c r="F7" s="8" t="s">
        <v>108</v>
      </c>
      <c r="G7" s="8" t="s">
        <v>109</v>
      </c>
      <c r="H7" s="8" t="s">
        <v>110</v>
      </c>
      <c r="I7" s="9" t="s">
        <v>5</v>
      </c>
      <c r="J7" s="396"/>
      <c r="K7" s="396"/>
      <c r="L7" s="393"/>
      <c r="M7" s="10" t="s">
        <v>111</v>
      </c>
      <c r="N7" s="11" t="s">
        <v>112</v>
      </c>
      <c r="O7" s="9" t="s">
        <v>113</v>
      </c>
      <c r="P7" s="393"/>
      <c r="Q7" s="396"/>
      <c r="R7" s="394"/>
      <c r="S7" s="8" t="s">
        <v>114</v>
      </c>
      <c r="T7" s="8" t="s">
        <v>115</v>
      </c>
      <c r="U7" s="8" t="s">
        <v>116</v>
      </c>
      <c r="V7" s="7"/>
    </row>
    <row r="8" spans="3:22" s="4" customFormat="1" ht="23.25" x14ac:dyDescent="0.35">
      <c r="C8" s="450">
        <v>1</v>
      </c>
      <c r="D8" s="452" t="s">
        <v>96</v>
      </c>
      <c r="E8" s="452">
        <v>1</v>
      </c>
      <c r="F8" s="450">
        <v>17376.96</v>
      </c>
      <c r="G8" s="450">
        <v>21303.279999999999</v>
      </c>
      <c r="H8" s="450">
        <v>15519.6</v>
      </c>
      <c r="I8" s="450">
        <f>F8+G8+H8</f>
        <v>54199.839999999997</v>
      </c>
      <c r="J8" s="450"/>
      <c r="K8" s="34" t="s">
        <v>166</v>
      </c>
      <c r="L8" s="35" t="s">
        <v>119</v>
      </c>
      <c r="M8" s="34">
        <v>17376.96</v>
      </c>
      <c r="N8" s="34">
        <v>2662.88</v>
      </c>
      <c r="O8" s="34">
        <v>1939.88</v>
      </c>
      <c r="P8" s="34">
        <f>M8+N8+O8</f>
        <v>21979.72</v>
      </c>
      <c r="Q8" s="34">
        <f>16000+2000+2000+1500+479.72</f>
        <v>21979.72</v>
      </c>
      <c r="R8" s="34">
        <f t="shared" ref="R8:R35" si="0">P8-Q8</f>
        <v>0</v>
      </c>
      <c r="S8" s="34">
        <f>M8-R8</f>
        <v>17376.96</v>
      </c>
      <c r="T8" s="34">
        <f>N8-(R8-R8)</f>
        <v>2662.88</v>
      </c>
      <c r="U8" s="34">
        <f>O8-R8</f>
        <v>1939.88</v>
      </c>
      <c r="V8" s="34"/>
    </row>
    <row r="9" spans="3:22" s="4" customFormat="1" ht="23.25" x14ac:dyDescent="0.35">
      <c r="C9" s="451"/>
      <c r="D9" s="453"/>
      <c r="E9" s="453"/>
      <c r="F9" s="451"/>
      <c r="G9" s="451"/>
      <c r="H9" s="451"/>
      <c r="I9" s="451"/>
      <c r="J9" s="451"/>
      <c r="K9" s="34" t="s">
        <v>167</v>
      </c>
      <c r="L9" s="35" t="s">
        <v>124</v>
      </c>
      <c r="M9" s="34"/>
      <c r="N9" s="34">
        <v>2867.71</v>
      </c>
      <c r="O9" s="34">
        <v>2089.1</v>
      </c>
      <c r="P9" s="34">
        <f t="shared" ref="P9:P16" si="1">M9+N9+O9</f>
        <v>4956.8099999999995</v>
      </c>
      <c r="Q9" s="34">
        <f>1000+1500+2000</f>
        <v>4500</v>
      </c>
      <c r="R9" s="34">
        <f t="shared" si="0"/>
        <v>456.80999999999949</v>
      </c>
      <c r="S9" s="34"/>
      <c r="T9" s="34">
        <f>N9-(R9-R9)</f>
        <v>2867.71</v>
      </c>
      <c r="U9" s="34">
        <f t="shared" ref="U9:U16" si="2">O9-R9</f>
        <v>1632.2900000000004</v>
      </c>
      <c r="V9" s="34"/>
    </row>
    <row r="10" spans="3:22" s="4" customFormat="1" ht="23.25" x14ac:dyDescent="0.35">
      <c r="C10" s="451"/>
      <c r="D10" s="453"/>
      <c r="E10" s="453"/>
      <c r="F10" s="451"/>
      <c r="G10" s="451"/>
      <c r="H10" s="451"/>
      <c r="I10" s="451"/>
      <c r="J10" s="451"/>
      <c r="K10" s="34" t="s">
        <v>168</v>
      </c>
      <c r="L10" s="35" t="s">
        <v>121</v>
      </c>
      <c r="M10" s="34"/>
      <c r="N10" s="34">
        <v>1433.86</v>
      </c>
      <c r="O10" s="34">
        <v>1044.55</v>
      </c>
      <c r="P10" s="34">
        <f t="shared" si="1"/>
        <v>2478.41</v>
      </c>
      <c r="Q10" s="34">
        <v>1433.86</v>
      </c>
      <c r="R10" s="34">
        <f t="shared" si="0"/>
        <v>1044.55</v>
      </c>
      <c r="S10" s="34"/>
      <c r="T10" s="34">
        <f>(N10+R10)-P10</f>
        <v>0</v>
      </c>
      <c r="U10" s="34">
        <f>P10+(O10-R10)</f>
        <v>2478.41</v>
      </c>
      <c r="V10" s="34"/>
    </row>
    <row r="11" spans="3:22" s="4" customFormat="1" ht="23.25" x14ac:dyDescent="0.35">
      <c r="C11" s="451"/>
      <c r="D11" s="453"/>
      <c r="E11" s="453"/>
      <c r="F11" s="451"/>
      <c r="G11" s="451"/>
      <c r="H11" s="451"/>
      <c r="I11" s="451"/>
      <c r="J11" s="451"/>
      <c r="K11" s="34" t="s">
        <v>169</v>
      </c>
      <c r="L11" s="35" t="s">
        <v>121</v>
      </c>
      <c r="M11" s="34"/>
      <c r="N11" s="34">
        <v>1433.86</v>
      </c>
      <c r="O11" s="34">
        <v>1044.55</v>
      </c>
      <c r="P11" s="34">
        <f t="shared" si="1"/>
        <v>2478.41</v>
      </c>
      <c r="Q11" s="34"/>
      <c r="R11" s="34">
        <f t="shared" si="0"/>
        <v>2478.41</v>
      </c>
      <c r="S11" s="34"/>
      <c r="T11" s="34">
        <f t="shared" ref="T11:T20" si="3">N11-Q11</f>
        <v>1433.86</v>
      </c>
      <c r="U11" s="34">
        <f t="shared" si="2"/>
        <v>-1433.86</v>
      </c>
      <c r="V11" s="34"/>
    </row>
    <row r="12" spans="3:22" s="4" customFormat="1" ht="23.25" x14ac:dyDescent="0.35">
      <c r="C12" s="451"/>
      <c r="D12" s="453"/>
      <c r="E12" s="453"/>
      <c r="F12" s="451"/>
      <c r="G12" s="451"/>
      <c r="H12" s="451"/>
      <c r="I12" s="451"/>
      <c r="J12" s="451"/>
      <c r="K12" s="34" t="s">
        <v>170</v>
      </c>
      <c r="L12" s="35" t="s">
        <v>152</v>
      </c>
      <c r="M12" s="34"/>
      <c r="N12" s="34">
        <v>2867.71</v>
      </c>
      <c r="O12" s="34">
        <v>2089.1</v>
      </c>
      <c r="P12" s="34">
        <f t="shared" si="1"/>
        <v>4956.8099999999995</v>
      </c>
      <c r="Q12" s="34"/>
      <c r="R12" s="34">
        <f t="shared" si="0"/>
        <v>4956.8099999999995</v>
      </c>
      <c r="S12" s="34"/>
      <c r="T12" s="34">
        <f t="shared" si="3"/>
        <v>2867.71</v>
      </c>
      <c r="U12" s="34">
        <f t="shared" si="2"/>
        <v>-2867.7099999999996</v>
      </c>
      <c r="V12" s="34"/>
    </row>
    <row r="13" spans="3:22" s="4" customFormat="1" ht="23.25" x14ac:dyDescent="0.35">
      <c r="C13" s="451"/>
      <c r="D13" s="453"/>
      <c r="E13" s="453"/>
      <c r="F13" s="451"/>
      <c r="G13" s="451"/>
      <c r="H13" s="451"/>
      <c r="I13" s="451"/>
      <c r="J13" s="451"/>
      <c r="K13" s="34" t="s">
        <v>171</v>
      </c>
      <c r="L13" s="35" t="s">
        <v>152</v>
      </c>
      <c r="M13" s="34"/>
      <c r="N13" s="34">
        <v>2867.71</v>
      </c>
      <c r="O13" s="34">
        <v>2089.1</v>
      </c>
      <c r="P13" s="34">
        <f t="shared" si="1"/>
        <v>4956.8099999999995</v>
      </c>
      <c r="Q13" s="34"/>
      <c r="R13" s="34">
        <f t="shared" si="0"/>
        <v>4956.8099999999995</v>
      </c>
      <c r="S13" s="34"/>
      <c r="T13" s="34">
        <f t="shared" si="3"/>
        <v>2867.71</v>
      </c>
      <c r="U13" s="34">
        <f t="shared" si="2"/>
        <v>-2867.7099999999996</v>
      </c>
      <c r="V13" s="34"/>
    </row>
    <row r="14" spans="3:22" s="4" customFormat="1" ht="23.25" x14ac:dyDescent="0.35">
      <c r="C14" s="451"/>
      <c r="D14" s="453"/>
      <c r="E14" s="453"/>
      <c r="F14" s="451"/>
      <c r="G14" s="451"/>
      <c r="H14" s="451"/>
      <c r="I14" s="451"/>
      <c r="J14" s="451"/>
      <c r="K14" s="34" t="s">
        <v>172</v>
      </c>
      <c r="L14" s="35" t="s">
        <v>152</v>
      </c>
      <c r="M14" s="34"/>
      <c r="N14" s="34">
        <v>2867.71</v>
      </c>
      <c r="O14" s="34">
        <v>2089.1</v>
      </c>
      <c r="P14" s="34">
        <f t="shared" si="1"/>
        <v>4956.8099999999995</v>
      </c>
      <c r="Q14" s="34"/>
      <c r="R14" s="34">
        <f t="shared" si="0"/>
        <v>4956.8099999999995</v>
      </c>
      <c r="S14" s="34"/>
      <c r="T14" s="34">
        <f t="shared" si="3"/>
        <v>2867.71</v>
      </c>
      <c r="U14" s="34">
        <f t="shared" si="2"/>
        <v>-2867.7099999999996</v>
      </c>
      <c r="V14" s="34"/>
    </row>
    <row r="15" spans="3:22" s="4" customFormat="1" ht="23.25" x14ac:dyDescent="0.35">
      <c r="C15" s="451"/>
      <c r="D15" s="453"/>
      <c r="E15" s="453"/>
      <c r="F15" s="451"/>
      <c r="G15" s="451"/>
      <c r="H15" s="451"/>
      <c r="I15" s="451"/>
      <c r="J15" s="451"/>
      <c r="K15" s="34" t="s">
        <v>173</v>
      </c>
      <c r="L15" s="35" t="s">
        <v>174</v>
      </c>
      <c r="M15" s="34"/>
      <c r="N15" s="34">
        <v>1433.86</v>
      </c>
      <c r="O15" s="34">
        <v>1044.55</v>
      </c>
      <c r="P15" s="34">
        <f t="shared" si="1"/>
        <v>2478.41</v>
      </c>
      <c r="Q15" s="34"/>
      <c r="R15" s="34">
        <f t="shared" si="0"/>
        <v>2478.41</v>
      </c>
      <c r="S15" s="34"/>
      <c r="T15" s="34">
        <f t="shared" si="3"/>
        <v>1433.86</v>
      </c>
      <c r="U15" s="34">
        <f t="shared" si="2"/>
        <v>-1433.86</v>
      </c>
      <c r="V15" s="34"/>
    </row>
    <row r="16" spans="3:22" s="4" customFormat="1" ht="23.25" x14ac:dyDescent="0.35">
      <c r="C16" s="451"/>
      <c r="D16" s="453"/>
      <c r="E16" s="454"/>
      <c r="F16" s="451"/>
      <c r="G16" s="451"/>
      <c r="H16" s="451"/>
      <c r="I16" s="455"/>
      <c r="J16" s="451"/>
      <c r="K16" s="34" t="s">
        <v>175</v>
      </c>
      <c r="L16" s="35" t="s">
        <v>152</v>
      </c>
      <c r="M16" s="34"/>
      <c r="N16" s="34">
        <v>2867.71</v>
      </c>
      <c r="O16" s="34">
        <v>2089.1</v>
      </c>
      <c r="P16" s="34">
        <f t="shared" si="1"/>
        <v>4956.8099999999995</v>
      </c>
      <c r="Q16" s="34"/>
      <c r="R16" s="34">
        <f t="shared" si="0"/>
        <v>4956.8099999999995</v>
      </c>
      <c r="S16" s="34"/>
      <c r="T16" s="34">
        <f t="shared" si="3"/>
        <v>2867.71</v>
      </c>
      <c r="U16" s="34">
        <f t="shared" si="2"/>
        <v>-2867.7099999999996</v>
      </c>
      <c r="V16" s="34"/>
    </row>
    <row r="17" spans="3:23" s="4" customFormat="1" ht="23.25" x14ac:dyDescent="0.35">
      <c r="C17" s="400">
        <v>2</v>
      </c>
      <c r="D17" s="409" t="s">
        <v>117</v>
      </c>
      <c r="E17" s="409">
        <v>2</v>
      </c>
      <c r="F17" s="400">
        <v>16118.55</v>
      </c>
      <c r="G17" s="400">
        <v>28413.46</v>
      </c>
      <c r="H17" s="400">
        <v>13045.5</v>
      </c>
      <c r="I17" s="400">
        <f>F17+G17+H17</f>
        <v>57577.509999999995</v>
      </c>
      <c r="J17" s="400" t="e">
        <f>#REF!</f>
        <v>#REF!</v>
      </c>
      <c r="K17" s="36" t="s">
        <v>118</v>
      </c>
      <c r="L17" s="37" t="s">
        <v>119</v>
      </c>
      <c r="M17" s="36">
        <v>16118.55</v>
      </c>
      <c r="N17" s="36">
        <v>3551.68</v>
      </c>
      <c r="O17" s="36">
        <v>1630.68</v>
      </c>
      <c r="P17" s="36">
        <f t="shared" ref="P17:P24" si="4">M17+N17+O17</f>
        <v>21300.91</v>
      </c>
      <c r="Q17" s="36">
        <v>21300.91</v>
      </c>
      <c r="R17" s="36">
        <f t="shared" si="0"/>
        <v>0</v>
      </c>
      <c r="S17" s="36">
        <f>F17-M17</f>
        <v>0</v>
      </c>
      <c r="T17" s="36">
        <f t="shared" si="3"/>
        <v>-17749.23</v>
      </c>
      <c r="U17" s="36">
        <v>0</v>
      </c>
      <c r="V17" s="38">
        <f>SUM(P17:P20)</f>
        <v>57577.48</v>
      </c>
      <c r="W17" s="3" t="s">
        <v>127</v>
      </c>
    </row>
    <row r="18" spans="3:23" s="4" customFormat="1" ht="23.25" x14ac:dyDescent="0.35">
      <c r="C18" s="401"/>
      <c r="D18" s="410"/>
      <c r="E18" s="410"/>
      <c r="F18" s="401"/>
      <c r="G18" s="401"/>
      <c r="H18" s="401"/>
      <c r="I18" s="401"/>
      <c r="J18" s="401"/>
      <c r="K18" s="36" t="s">
        <v>120</v>
      </c>
      <c r="L18" s="37" t="s">
        <v>121</v>
      </c>
      <c r="M18" s="36">
        <v>0</v>
      </c>
      <c r="N18" s="36">
        <v>6215.44</v>
      </c>
      <c r="O18" s="36">
        <v>2853.7</v>
      </c>
      <c r="P18" s="36">
        <f t="shared" si="4"/>
        <v>9069.14</v>
      </c>
      <c r="Q18" s="36">
        <f>397.43+1000+1000+1000+1000+1000+1000+1000+1000+671.71</f>
        <v>9069.14</v>
      </c>
      <c r="R18" s="36">
        <f t="shared" si="0"/>
        <v>0</v>
      </c>
      <c r="S18" s="36"/>
      <c r="T18" s="36">
        <f t="shared" si="3"/>
        <v>-2853.7</v>
      </c>
      <c r="U18" s="36">
        <v>0</v>
      </c>
      <c r="V18" s="38">
        <f>SUM(Q17:Q20)</f>
        <v>44767.48</v>
      </c>
      <c r="W18" s="3" t="s">
        <v>129</v>
      </c>
    </row>
    <row r="19" spans="3:23" s="4" customFormat="1" ht="23.25" x14ac:dyDescent="0.35">
      <c r="C19" s="401"/>
      <c r="D19" s="410"/>
      <c r="E19" s="410"/>
      <c r="F19" s="401"/>
      <c r="G19" s="401"/>
      <c r="H19" s="401"/>
      <c r="I19" s="401"/>
      <c r="J19" s="401"/>
      <c r="K19" s="36" t="s">
        <v>122</v>
      </c>
      <c r="L19" s="37" t="s">
        <v>121</v>
      </c>
      <c r="M19" s="36">
        <v>0</v>
      </c>
      <c r="N19" s="36">
        <v>6215.44</v>
      </c>
      <c r="O19" s="36">
        <v>2853.7</v>
      </c>
      <c r="P19" s="36">
        <f t="shared" si="4"/>
        <v>9069.14</v>
      </c>
      <c r="Q19" s="36">
        <f>5466.57+1000+2000+602.57</f>
        <v>9069.14</v>
      </c>
      <c r="R19" s="36">
        <f t="shared" si="0"/>
        <v>0</v>
      </c>
      <c r="S19" s="36"/>
      <c r="T19" s="36">
        <f t="shared" si="3"/>
        <v>-2853.7</v>
      </c>
      <c r="U19" s="36">
        <v>0</v>
      </c>
      <c r="V19" s="38">
        <f>SUM(R17:R20)</f>
        <v>12810</v>
      </c>
      <c r="W19" s="3" t="s">
        <v>7</v>
      </c>
    </row>
    <row r="20" spans="3:23" s="4" customFormat="1" ht="23.25" x14ac:dyDescent="0.35">
      <c r="C20" s="402"/>
      <c r="D20" s="411"/>
      <c r="E20" s="411"/>
      <c r="F20" s="402"/>
      <c r="G20" s="402"/>
      <c r="H20" s="402"/>
      <c r="I20" s="402"/>
      <c r="J20" s="402"/>
      <c r="K20" s="36" t="s">
        <v>123</v>
      </c>
      <c r="L20" s="37" t="s">
        <v>124</v>
      </c>
      <c r="M20" s="36">
        <v>0</v>
      </c>
      <c r="N20" s="36">
        <v>12430.89</v>
      </c>
      <c r="O20" s="36">
        <v>5707.4</v>
      </c>
      <c r="P20" s="36">
        <f t="shared" si="4"/>
        <v>18138.29</v>
      </c>
      <c r="Q20" s="36">
        <f>328.29+1000+1000+1000+1000+1000</f>
        <v>5328.29</v>
      </c>
      <c r="R20" s="36">
        <f t="shared" si="0"/>
        <v>12810</v>
      </c>
      <c r="S20" s="36"/>
      <c r="T20" s="36">
        <f t="shared" si="3"/>
        <v>7102.5999999999995</v>
      </c>
      <c r="U20" s="36"/>
      <c r="V20" s="39"/>
    </row>
    <row r="21" spans="3:23" ht="23.25" customHeight="1" x14ac:dyDescent="0.35">
      <c r="C21" s="403">
        <v>3</v>
      </c>
      <c r="D21" s="406" t="s">
        <v>147</v>
      </c>
      <c r="E21" s="406">
        <v>4</v>
      </c>
      <c r="F21" s="403">
        <v>0</v>
      </c>
      <c r="G21" s="403">
        <v>28660.17</v>
      </c>
      <c r="H21" s="403">
        <v>15650.1</v>
      </c>
      <c r="I21" s="403">
        <f>F21+G21+H21</f>
        <v>44310.27</v>
      </c>
      <c r="J21" s="403" t="e">
        <f>#REF!</f>
        <v>#REF!</v>
      </c>
      <c r="K21" s="21" t="s">
        <v>148</v>
      </c>
      <c r="L21" s="22" t="s">
        <v>119</v>
      </c>
      <c r="M21" s="21">
        <v>0</v>
      </c>
      <c r="N21" s="21">
        <v>3457.52</v>
      </c>
      <c r="O21" s="21">
        <v>1956.26</v>
      </c>
      <c r="P21" s="21">
        <f t="shared" si="4"/>
        <v>5413.78</v>
      </c>
      <c r="Q21" s="21">
        <f>2439.5+1018.02</f>
        <v>3457.52</v>
      </c>
      <c r="R21" s="21">
        <f t="shared" si="0"/>
        <v>1956.2599999999998</v>
      </c>
      <c r="S21" s="21"/>
      <c r="T21" s="21">
        <f t="shared" ref="T21:T34" si="5">N21-Q21</f>
        <v>0</v>
      </c>
      <c r="U21" s="21"/>
      <c r="V21" s="31">
        <f>SUM(P21:P24)</f>
        <v>43310.259999999995</v>
      </c>
      <c r="W21" s="3" t="s">
        <v>127</v>
      </c>
    </row>
    <row r="22" spans="3:23" ht="23.25" customHeight="1" x14ac:dyDescent="0.35">
      <c r="C22" s="404"/>
      <c r="D22" s="407"/>
      <c r="E22" s="407"/>
      <c r="F22" s="404"/>
      <c r="G22" s="404"/>
      <c r="H22" s="404"/>
      <c r="I22" s="404"/>
      <c r="J22" s="404"/>
      <c r="K22" s="21" t="s">
        <v>149</v>
      </c>
      <c r="L22" s="22" t="s">
        <v>121</v>
      </c>
      <c r="M22" s="21"/>
      <c r="N22" s="21">
        <v>6050.66</v>
      </c>
      <c r="O22" s="21">
        <v>3423.46</v>
      </c>
      <c r="P22" s="21">
        <f t="shared" si="4"/>
        <v>9474.119999999999</v>
      </c>
      <c r="Q22" s="21">
        <v>6050.66</v>
      </c>
      <c r="R22" s="21">
        <f t="shared" si="0"/>
        <v>3423.4599999999991</v>
      </c>
      <c r="S22" s="21"/>
      <c r="T22" s="21">
        <f t="shared" si="5"/>
        <v>0</v>
      </c>
      <c r="U22" s="21"/>
      <c r="V22" s="31">
        <f>SUM(Q21:Q24)+1000</f>
        <v>24495.760000000002</v>
      </c>
      <c r="W22" s="3" t="s">
        <v>129</v>
      </c>
    </row>
    <row r="23" spans="3:23" ht="23.25" customHeight="1" x14ac:dyDescent="0.35">
      <c r="C23" s="404"/>
      <c r="D23" s="407"/>
      <c r="E23" s="407"/>
      <c r="F23" s="404"/>
      <c r="G23" s="404"/>
      <c r="H23" s="404"/>
      <c r="I23" s="404"/>
      <c r="J23" s="404"/>
      <c r="K23" s="21" t="s">
        <v>150</v>
      </c>
      <c r="L23" s="22" t="s">
        <v>121</v>
      </c>
      <c r="M23" s="21"/>
      <c r="N23" s="21">
        <v>6050.66</v>
      </c>
      <c r="O23" s="21">
        <v>3423.46</v>
      </c>
      <c r="P23" s="21">
        <f t="shared" si="4"/>
        <v>9474.119999999999</v>
      </c>
      <c r="Q23" s="21">
        <v>6050.66</v>
      </c>
      <c r="R23" s="21">
        <f t="shared" si="0"/>
        <v>3423.4599999999991</v>
      </c>
      <c r="S23" s="21"/>
      <c r="T23" s="21">
        <f t="shared" si="5"/>
        <v>0</v>
      </c>
      <c r="U23" s="21"/>
      <c r="V23" s="31">
        <f>SUM(R21:R24)</f>
        <v>19814.499999999996</v>
      </c>
      <c r="W23" s="3" t="s">
        <v>7</v>
      </c>
    </row>
    <row r="24" spans="3:23" ht="23.25" customHeight="1" x14ac:dyDescent="0.35">
      <c r="C24" s="405"/>
      <c r="D24" s="408"/>
      <c r="E24" s="408"/>
      <c r="F24" s="405"/>
      <c r="G24" s="405"/>
      <c r="H24" s="405"/>
      <c r="I24" s="405"/>
      <c r="J24" s="405"/>
      <c r="K24" s="21" t="s">
        <v>151</v>
      </c>
      <c r="L24" s="22" t="s">
        <v>152</v>
      </c>
      <c r="M24" s="21"/>
      <c r="N24" s="21">
        <v>12101.32</v>
      </c>
      <c r="O24" s="21">
        <v>6846.92</v>
      </c>
      <c r="P24" s="21">
        <f t="shared" si="4"/>
        <v>18948.239999999998</v>
      </c>
      <c r="Q24" s="21">
        <f>1500+436.92+1000+500+1000+500+500+1000+500+1000</f>
        <v>7936.92</v>
      </c>
      <c r="R24" s="21">
        <f t="shared" si="0"/>
        <v>11011.319999999998</v>
      </c>
      <c r="S24" s="21"/>
      <c r="T24" s="21">
        <f t="shared" si="5"/>
        <v>4164.3999999999996</v>
      </c>
      <c r="U24" s="21"/>
      <c r="V24" s="31"/>
      <c r="W24" s="3"/>
    </row>
    <row r="25" spans="3:23" ht="23.25" customHeight="1" x14ac:dyDescent="0.35">
      <c r="C25" s="412">
        <v>4</v>
      </c>
      <c r="D25" s="433" t="s">
        <v>40</v>
      </c>
      <c r="E25" s="412">
        <v>5</v>
      </c>
      <c r="F25" s="412"/>
      <c r="G25" s="412">
        <v>15128.4</v>
      </c>
      <c r="H25" s="412">
        <v>10932.3</v>
      </c>
      <c r="I25" s="412">
        <f>G25+H25</f>
        <v>26060.699999999997</v>
      </c>
      <c r="J25" s="415" t="e">
        <f>#REF!</f>
        <v>#REF!</v>
      </c>
      <c r="K25" s="29" t="s">
        <v>176</v>
      </c>
      <c r="L25" s="30" t="s">
        <v>126</v>
      </c>
      <c r="M25" s="29"/>
      <c r="N25" s="29">
        <v>3843.45</v>
      </c>
      <c r="O25" s="29"/>
      <c r="P25" s="29">
        <f>N25+O25</f>
        <v>3843.45</v>
      </c>
      <c r="Q25" s="29"/>
      <c r="R25" s="29">
        <f t="shared" si="0"/>
        <v>3843.45</v>
      </c>
      <c r="S25" s="29"/>
      <c r="T25" s="29">
        <f t="shared" si="5"/>
        <v>3843.45</v>
      </c>
      <c r="U25" s="29"/>
      <c r="V25" s="32">
        <f>SUM(P25:P30)</f>
        <v>23060.7</v>
      </c>
      <c r="W25" s="3" t="s">
        <v>127</v>
      </c>
    </row>
    <row r="26" spans="3:23" ht="23.25" customHeight="1" x14ac:dyDescent="0.35">
      <c r="C26" s="413"/>
      <c r="D26" s="434"/>
      <c r="E26" s="413"/>
      <c r="F26" s="413"/>
      <c r="G26" s="413"/>
      <c r="H26" s="413"/>
      <c r="I26" s="413"/>
      <c r="J26" s="415"/>
      <c r="K26" s="29" t="s">
        <v>177</v>
      </c>
      <c r="L26" s="30" t="s">
        <v>119</v>
      </c>
      <c r="M26" s="29"/>
      <c r="N26" s="29">
        <v>2882.59</v>
      </c>
      <c r="O26" s="29"/>
      <c r="P26" s="29">
        <f t="shared" ref="P26:P30" si="6">N26+O26</f>
        <v>2882.59</v>
      </c>
      <c r="Q26" s="29">
        <v>2882.59</v>
      </c>
      <c r="R26" s="29">
        <f t="shared" si="0"/>
        <v>0</v>
      </c>
      <c r="S26" s="29"/>
      <c r="T26" s="29">
        <f t="shared" si="5"/>
        <v>0</v>
      </c>
      <c r="U26" s="29"/>
      <c r="V26" s="32">
        <f>SUM(Q25:Q30)+3000</f>
        <v>22217.25</v>
      </c>
      <c r="W26" s="3" t="s">
        <v>129</v>
      </c>
    </row>
    <row r="27" spans="3:23" ht="23.25" customHeight="1" x14ac:dyDescent="0.35">
      <c r="C27" s="413"/>
      <c r="D27" s="434"/>
      <c r="E27" s="413"/>
      <c r="F27" s="413"/>
      <c r="G27" s="413"/>
      <c r="H27" s="413"/>
      <c r="I27" s="413"/>
      <c r="J27" s="415"/>
      <c r="K27" s="29" t="s">
        <v>178</v>
      </c>
      <c r="L27" s="30" t="s">
        <v>124</v>
      </c>
      <c r="M27" s="29"/>
      <c r="N27" s="29">
        <v>6533.87</v>
      </c>
      <c r="O27" s="29"/>
      <c r="P27" s="29">
        <f t="shared" si="6"/>
        <v>6533.87</v>
      </c>
      <c r="Q27" s="29">
        <f>2517.43+750+1000+500+1000+500+266.44</f>
        <v>6533.87</v>
      </c>
      <c r="R27" s="29">
        <f t="shared" si="0"/>
        <v>0</v>
      </c>
      <c r="S27" s="29"/>
      <c r="T27" s="29">
        <f t="shared" si="5"/>
        <v>0</v>
      </c>
      <c r="U27" s="29"/>
      <c r="V27" s="32">
        <f>SUM(R25:R30)</f>
        <v>3843.45</v>
      </c>
      <c r="W27" s="3" t="s">
        <v>7</v>
      </c>
    </row>
    <row r="28" spans="3:23" ht="23.25" customHeight="1" x14ac:dyDescent="0.35">
      <c r="C28" s="413"/>
      <c r="D28" s="434"/>
      <c r="E28" s="413"/>
      <c r="F28" s="413"/>
      <c r="G28" s="413"/>
      <c r="H28" s="413"/>
      <c r="I28" s="413"/>
      <c r="J28" s="415"/>
      <c r="K28" s="29" t="s">
        <v>179</v>
      </c>
      <c r="L28" s="30" t="s">
        <v>121</v>
      </c>
      <c r="M28" s="29"/>
      <c r="N28" s="29">
        <v>3266.93</v>
      </c>
      <c r="O28" s="29"/>
      <c r="P28" s="29">
        <f t="shared" si="6"/>
        <v>3266.93</v>
      </c>
      <c r="Q28" s="29">
        <f>233.56+1000+500+750+783.37</f>
        <v>3266.93</v>
      </c>
      <c r="R28" s="29">
        <f t="shared" si="0"/>
        <v>0</v>
      </c>
      <c r="S28" s="29"/>
      <c r="T28" s="29">
        <f t="shared" si="5"/>
        <v>0</v>
      </c>
      <c r="U28" s="29"/>
      <c r="V28" s="32"/>
      <c r="W28" s="3"/>
    </row>
    <row r="29" spans="3:23" ht="23.25" customHeight="1" x14ac:dyDescent="0.35">
      <c r="C29" s="413"/>
      <c r="D29" s="434"/>
      <c r="E29" s="413"/>
      <c r="F29" s="413"/>
      <c r="G29" s="413"/>
      <c r="H29" s="413"/>
      <c r="I29" s="413"/>
      <c r="J29" s="415"/>
      <c r="K29" s="29" t="s">
        <v>180</v>
      </c>
      <c r="L29" s="30" t="s">
        <v>121</v>
      </c>
      <c r="M29" s="29"/>
      <c r="N29" s="29">
        <v>3266.93</v>
      </c>
      <c r="O29" s="29"/>
      <c r="P29" s="29">
        <f t="shared" si="6"/>
        <v>3266.93</v>
      </c>
      <c r="Q29" s="29">
        <f>216.63+1000+750+500+800.3</f>
        <v>3266.9300000000003</v>
      </c>
      <c r="R29" s="29">
        <f t="shared" si="0"/>
        <v>0</v>
      </c>
      <c r="S29" s="29"/>
      <c r="T29" s="29">
        <f t="shared" si="5"/>
        <v>0</v>
      </c>
      <c r="U29" s="29"/>
      <c r="V29" s="32"/>
      <c r="W29" s="3"/>
    </row>
    <row r="30" spans="3:23" ht="23.25" customHeight="1" x14ac:dyDescent="0.35">
      <c r="C30" s="414"/>
      <c r="D30" s="435"/>
      <c r="E30" s="414"/>
      <c r="F30" s="414"/>
      <c r="G30" s="414"/>
      <c r="H30" s="414"/>
      <c r="I30" s="414"/>
      <c r="J30" s="415"/>
      <c r="K30" s="29" t="s">
        <v>181</v>
      </c>
      <c r="L30" s="30" t="s">
        <v>121</v>
      </c>
      <c r="M30" s="29"/>
      <c r="N30" s="29">
        <v>3266.93</v>
      </c>
      <c r="O30" s="29"/>
      <c r="P30" s="29">
        <f t="shared" si="6"/>
        <v>3266.93</v>
      </c>
      <c r="Q30" s="29">
        <f>1000+1266.93+1000</f>
        <v>3266.9300000000003</v>
      </c>
      <c r="R30" s="29">
        <f t="shared" si="0"/>
        <v>0</v>
      </c>
      <c r="S30" s="29"/>
      <c r="T30" s="29">
        <f t="shared" si="5"/>
        <v>0</v>
      </c>
      <c r="U30" s="29"/>
      <c r="V30" s="32"/>
      <c r="W30" s="3"/>
    </row>
    <row r="31" spans="3:23" ht="23.25" customHeight="1" x14ac:dyDescent="0.35">
      <c r="C31" s="403">
        <v>5</v>
      </c>
      <c r="D31" s="406" t="s">
        <v>76</v>
      </c>
      <c r="E31" s="406">
        <v>6</v>
      </c>
      <c r="F31" s="403">
        <v>9583.8799999999992</v>
      </c>
      <c r="G31" s="403">
        <v>25290.13</v>
      </c>
      <c r="H31" s="403">
        <v>2713.26</v>
      </c>
      <c r="I31" s="403">
        <f>F31+G31+H31</f>
        <v>37587.270000000004</v>
      </c>
      <c r="J31" s="403" t="e">
        <f>#REF!</f>
        <v>#REF!</v>
      </c>
      <c r="K31" s="21" t="s">
        <v>125</v>
      </c>
      <c r="L31" s="22" t="s">
        <v>126</v>
      </c>
      <c r="M31" s="21"/>
      <c r="N31" s="21">
        <v>4667.2299999999996</v>
      </c>
      <c r="O31" s="21"/>
      <c r="P31" s="21">
        <f t="shared" ref="P31:P36" si="7">M31+N31+O31</f>
        <v>4667.2299999999996</v>
      </c>
      <c r="Q31" s="21">
        <f>1000+1000+1000+1000+667.23</f>
        <v>4667.2299999999996</v>
      </c>
      <c r="R31" s="21">
        <f t="shared" si="0"/>
        <v>0</v>
      </c>
      <c r="S31" s="21"/>
      <c r="T31" s="21">
        <f t="shared" si="5"/>
        <v>0</v>
      </c>
      <c r="U31" s="21"/>
      <c r="V31" s="31">
        <f>SUM(P31:P34)</f>
        <v>37587.259999999995</v>
      </c>
      <c r="W31" s="3" t="s">
        <v>127</v>
      </c>
    </row>
    <row r="32" spans="3:23" ht="23.25" customHeight="1" x14ac:dyDescent="0.35">
      <c r="C32" s="404"/>
      <c r="D32" s="407"/>
      <c r="E32" s="407"/>
      <c r="F32" s="404"/>
      <c r="G32" s="404"/>
      <c r="H32" s="404"/>
      <c r="I32" s="404"/>
      <c r="J32" s="404"/>
      <c r="K32" s="21" t="s">
        <v>128</v>
      </c>
      <c r="L32" s="22" t="s">
        <v>119</v>
      </c>
      <c r="M32" s="21">
        <v>9583.8799999999992</v>
      </c>
      <c r="N32" s="21">
        <v>3500.42</v>
      </c>
      <c r="O32" s="21"/>
      <c r="P32" s="21">
        <f t="shared" si="7"/>
        <v>13084.3</v>
      </c>
      <c r="Q32" s="21">
        <f>6500+2200+883.88</f>
        <v>9583.8799999999992</v>
      </c>
      <c r="R32" s="21">
        <f t="shared" si="0"/>
        <v>3500.42</v>
      </c>
      <c r="S32" s="21">
        <f>M32-Q32</f>
        <v>0</v>
      </c>
      <c r="T32" s="21">
        <f t="shared" si="5"/>
        <v>-6083.4599999999991</v>
      </c>
      <c r="U32" s="21"/>
      <c r="V32" s="31">
        <f>SUM(Q31:Q34)</f>
        <v>20863.019999999997</v>
      </c>
      <c r="W32" s="3" t="s">
        <v>129</v>
      </c>
    </row>
    <row r="33" spans="3:35" ht="23.25" customHeight="1" x14ac:dyDescent="0.35">
      <c r="C33" s="404"/>
      <c r="D33" s="407"/>
      <c r="E33" s="407"/>
      <c r="F33" s="404"/>
      <c r="G33" s="404"/>
      <c r="H33" s="404"/>
      <c r="I33" s="404"/>
      <c r="J33" s="404"/>
      <c r="K33" s="21" t="s">
        <v>130</v>
      </c>
      <c r="L33" s="22" t="s">
        <v>124</v>
      </c>
      <c r="M33" s="21"/>
      <c r="N33" s="21">
        <v>13223.82</v>
      </c>
      <c r="O33" s="21"/>
      <c r="P33" s="21">
        <f t="shared" si="7"/>
        <v>13223.82</v>
      </c>
      <c r="Q33" s="21"/>
      <c r="R33" s="21">
        <f t="shared" si="0"/>
        <v>13223.82</v>
      </c>
      <c r="S33" s="21"/>
      <c r="T33" s="21">
        <f t="shared" si="5"/>
        <v>13223.82</v>
      </c>
      <c r="U33" s="21"/>
      <c r="V33" s="31">
        <f>SUM(R31:R34)</f>
        <v>16724.239999999998</v>
      </c>
      <c r="W33" s="3" t="s">
        <v>7</v>
      </c>
    </row>
    <row r="34" spans="3:35" ht="23.25" customHeight="1" x14ac:dyDescent="0.35">
      <c r="C34" s="405"/>
      <c r="D34" s="408"/>
      <c r="E34" s="408"/>
      <c r="F34" s="405"/>
      <c r="G34" s="405"/>
      <c r="H34" s="405"/>
      <c r="I34" s="405"/>
      <c r="J34" s="405"/>
      <c r="K34" s="21" t="s">
        <v>131</v>
      </c>
      <c r="L34" s="22" t="s">
        <v>121</v>
      </c>
      <c r="M34" s="21"/>
      <c r="N34" s="21">
        <v>6611.91</v>
      </c>
      <c r="O34" s="21"/>
      <c r="P34" s="21">
        <f t="shared" si="7"/>
        <v>6611.91</v>
      </c>
      <c r="Q34" s="21">
        <f>1000+1000+500+500+500+500+1000+805.95+805.96</f>
        <v>6611.91</v>
      </c>
      <c r="R34" s="21">
        <f t="shared" si="0"/>
        <v>0</v>
      </c>
      <c r="S34" s="21"/>
      <c r="T34" s="21">
        <f t="shared" si="5"/>
        <v>0</v>
      </c>
      <c r="U34" s="21"/>
      <c r="V34" s="31"/>
      <c r="W34" s="3"/>
    </row>
    <row r="35" spans="3:35" ht="23.25" customHeight="1" x14ac:dyDescent="0.35">
      <c r="C35" s="395">
        <v>6</v>
      </c>
      <c r="D35" s="420" t="s">
        <v>144</v>
      </c>
      <c r="E35" s="420">
        <v>7</v>
      </c>
      <c r="F35" s="395">
        <v>21601.5</v>
      </c>
      <c r="G35" s="395">
        <v>32485</v>
      </c>
      <c r="H35" s="395">
        <v>8458.48</v>
      </c>
      <c r="I35" s="395">
        <f>F35+G35+H35</f>
        <v>62544.979999999996</v>
      </c>
      <c r="J35" s="395" t="e">
        <f>#REF!</f>
        <v>#REF!</v>
      </c>
      <c r="K35" s="25" t="s">
        <v>145</v>
      </c>
      <c r="L35" s="26" t="s">
        <v>124</v>
      </c>
      <c r="M35" s="25"/>
      <c r="N35" s="25">
        <v>41696.65</v>
      </c>
      <c r="O35" s="25"/>
      <c r="P35" s="25">
        <f t="shared" si="7"/>
        <v>41696.65</v>
      </c>
      <c r="Q35" s="25">
        <f>2000+500+1000+1000+1000+1000+1000+500+1000+1000+1000+500+500+500+1000+1000+696.65</f>
        <v>15196.65</v>
      </c>
      <c r="R35" s="25">
        <f t="shared" si="0"/>
        <v>26500</v>
      </c>
      <c r="S35" s="25"/>
      <c r="T35" s="25">
        <f>P35-Q35</f>
        <v>26500</v>
      </c>
      <c r="U35" s="25"/>
      <c r="V35" s="40">
        <f>SUM(P35:P36)</f>
        <v>62544.98</v>
      </c>
      <c r="W35" s="3" t="s">
        <v>127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3:35" ht="23.25" customHeight="1" x14ac:dyDescent="0.35">
      <c r="C36" s="419"/>
      <c r="D36" s="421"/>
      <c r="E36" s="421"/>
      <c r="F36" s="419"/>
      <c r="G36" s="419"/>
      <c r="H36" s="419"/>
      <c r="I36" s="419"/>
      <c r="J36" s="419"/>
      <c r="K36" s="25" t="s">
        <v>146</v>
      </c>
      <c r="L36" s="26" t="s">
        <v>121</v>
      </c>
      <c r="M36" s="25"/>
      <c r="N36" s="25">
        <v>20848.330000000002</v>
      </c>
      <c r="O36" s="25"/>
      <c r="P36" s="25">
        <f t="shared" si="7"/>
        <v>20848.330000000002</v>
      </c>
      <c r="Q36" s="25">
        <v>1953.69</v>
      </c>
      <c r="R36" s="25">
        <f t="shared" ref="R36:R54" si="8">P36-Q36</f>
        <v>18894.640000000003</v>
      </c>
      <c r="S36" s="25"/>
      <c r="T36" s="25">
        <f>P36-Q36</f>
        <v>18894.640000000003</v>
      </c>
      <c r="U36" s="25"/>
      <c r="V36" s="40">
        <f>SUM(R35:R36)</f>
        <v>45394.64</v>
      </c>
      <c r="W36" s="3" t="s">
        <v>7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3:35" ht="23.25" customHeight="1" x14ac:dyDescent="0.35">
      <c r="C37" s="426">
        <v>7</v>
      </c>
      <c r="D37" s="423" t="s">
        <v>91</v>
      </c>
      <c r="E37" s="423">
        <v>10</v>
      </c>
      <c r="F37" s="426"/>
      <c r="G37" s="426">
        <v>19225.740000000002</v>
      </c>
      <c r="H37" s="426">
        <v>14940</v>
      </c>
      <c r="I37" s="426">
        <f>F37+G37+H37</f>
        <v>34165.740000000005</v>
      </c>
      <c r="J37" s="426" t="e">
        <f>#REF!</f>
        <v>#REF!</v>
      </c>
      <c r="K37" s="41" t="s">
        <v>156</v>
      </c>
      <c r="L37" s="42" t="s">
        <v>119</v>
      </c>
      <c r="M37" s="41"/>
      <c r="N37" s="41">
        <v>3895.72</v>
      </c>
      <c r="O37" s="41"/>
      <c r="P37" s="41">
        <f t="shared" ref="P37:P49" si="9">M37+N37+O37</f>
        <v>3895.72</v>
      </c>
      <c r="Q37" s="41">
        <v>3895.72</v>
      </c>
      <c r="R37" s="41">
        <f t="shared" si="8"/>
        <v>0</v>
      </c>
      <c r="S37" s="41"/>
      <c r="T37" s="41"/>
      <c r="U37" s="41"/>
      <c r="V37" s="43">
        <f>SUM(P37:P42)</f>
        <v>31165.75</v>
      </c>
      <c r="W37" s="3" t="s">
        <v>127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3:35" ht="23.25" customHeight="1" x14ac:dyDescent="0.35">
      <c r="C38" s="427"/>
      <c r="D38" s="424"/>
      <c r="E38" s="424"/>
      <c r="F38" s="427"/>
      <c r="G38" s="427"/>
      <c r="H38" s="427"/>
      <c r="I38" s="427"/>
      <c r="J38" s="427"/>
      <c r="K38" s="41" t="s">
        <v>157</v>
      </c>
      <c r="L38" s="42" t="s">
        <v>124</v>
      </c>
      <c r="M38" s="41"/>
      <c r="N38" s="41">
        <v>6817.51</v>
      </c>
      <c r="O38" s="41"/>
      <c r="P38" s="41">
        <f t="shared" si="9"/>
        <v>6817.51</v>
      </c>
      <c r="Q38" s="41">
        <f>3000+2000+1000+817.51</f>
        <v>6817.51</v>
      </c>
      <c r="R38" s="41">
        <f t="shared" si="8"/>
        <v>0</v>
      </c>
      <c r="S38" s="41"/>
      <c r="T38" s="41"/>
      <c r="U38" s="41"/>
      <c r="V38" s="43">
        <f>SUM(Q37:Q42)+3000</f>
        <v>26530.73</v>
      </c>
      <c r="W38" s="3" t="s">
        <v>129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3:35" ht="23.25" customHeight="1" x14ac:dyDescent="0.35">
      <c r="C39" s="427"/>
      <c r="D39" s="424"/>
      <c r="E39" s="424"/>
      <c r="F39" s="427"/>
      <c r="G39" s="427"/>
      <c r="H39" s="427"/>
      <c r="I39" s="427"/>
      <c r="J39" s="427"/>
      <c r="K39" s="41" t="s">
        <v>158</v>
      </c>
      <c r="L39" s="42" t="s">
        <v>152</v>
      </c>
      <c r="M39" s="41"/>
      <c r="N39" s="41">
        <v>6817.51</v>
      </c>
      <c r="O39" s="41"/>
      <c r="P39" s="41">
        <f t="shared" si="9"/>
        <v>6817.51</v>
      </c>
      <c r="Q39" s="41">
        <f>1000+1000+500+1000+500+1500+500</f>
        <v>6000</v>
      </c>
      <c r="R39" s="41">
        <f t="shared" si="8"/>
        <v>817.51000000000022</v>
      </c>
      <c r="S39" s="41"/>
      <c r="T39" s="41"/>
      <c r="U39" s="41"/>
      <c r="V39" s="43">
        <f>SUM(R37:R42)</f>
        <v>7635.02</v>
      </c>
      <c r="W39" s="3" t="s">
        <v>7</v>
      </c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3:35" ht="23.25" customHeight="1" x14ac:dyDescent="0.35">
      <c r="C40" s="427"/>
      <c r="D40" s="424"/>
      <c r="E40" s="424"/>
      <c r="F40" s="427"/>
      <c r="G40" s="427"/>
      <c r="H40" s="427"/>
      <c r="I40" s="427"/>
      <c r="J40" s="427"/>
      <c r="K40" s="41" t="s">
        <v>159</v>
      </c>
      <c r="L40" s="42" t="s">
        <v>152</v>
      </c>
      <c r="M40" s="41"/>
      <c r="N40" s="41">
        <v>6817.51</v>
      </c>
      <c r="O40" s="41"/>
      <c r="P40" s="41">
        <f t="shared" si="9"/>
        <v>6817.51</v>
      </c>
      <c r="Q40" s="41"/>
      <c r="R40" s="41">
        <f t="shared" si="8"/>
        <v>6817.51</v>
      </c>
      <c r="S40" s="41"/>
      <c r="T40" s="41"/>
      <c r="U40" s="41"/>
      <c r="V40" s="4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3:35" ht="23.25" customHeight="1" x14ac:dyDescent="0.35">
      <c r="C41" s="427"/>
      <c r="D41" s="424"/>
      <c r="E41" s="424"/>
      <c r="F41" s="427"/>
      <c r="G41" s="427"/>
      <c r="H41" s="427"/>
      <c r="I41" s="427"/>
      <c r="J41" s="427"/>
      <c r="K41" s="41" t="s">
        <v>160</v>
      </c>
      <c r="L41" s="42" t="s">
        <v>121</v>
      </c>
      <c r="M41" s="41"/>
      <c r="N41" s="41">
        <v>3408.75</v>
      </c>
      <c r="O41" s="41"/>
      <c r="P41" s="41">
        <f t="shared" si="9"/>
        <v>3408.75</v>
      </c>
      <c r="Q41" s="41">
        <f>182.49+1000+1000+1226.26</f>
        <v>3408.75</v>
      </c>
      <c r="R41" s="41">
        <f t="shared" si="8"/>
        <v>0</v>
      </c>
      <c r="S41" s="41"/>
      <c r="T41" s="41"/>
      <c r="U41" s="41"/>
      <c r="V41" s="4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3:35" ht="23.25" customHeight="1" x14ac:dyDescent="0.35">
      <c r="C42" s="428"/>
      <c r="D42" s="425"/>
      <c r="E42" s="425"/>
      <c r="F42" s="428"/>
      <c r="G42" s="428"/>
      <c r="H42" s="428"/>
      <c r="I42" s="428"/>
      <c r="J42" s="428"/>
      <c r="K42" s="41" t="s">
        <v>161</v>
      </c>
      <c r="L42" s="42" t="s">
        <v>121</v>
      </c>
      <c r="M42" s="41"/>
      <c r="N42" s="41">
        <v>3408.75</v>
      </c>
      <c r="O42" s="41"/>
      <c r="P42" s="41">
        <f t="shared" si="9"/>
        <v>3408.75</v>
      </c>
      <c r="Q42" s="41">
        <f>1000+1000+1408.75</f>
        <v>3408.75</v>
      </c>
      <c r="R42" s="41">
        <f t="shared" si="8"/>
        <v>0</v>
      </c>
      <c r="S42" s="41"/>
      <c r="T42" s="41"/>
      <c r="U42" s="41"/>
      <c r="V42" s="4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3:35" ht="23.25" customHeight="1" x14ac:dyDescent="0.35">
      <c r="C43" s="429">
        <v>8</v>
      </c>
      <c r="D43" s="431" t="s">
        <v>34</v>
      </c>
      <c r="E43" s="431">
        <v>11</v>
      </c>
      <c r="F43" s="429"/>
      <c r="G43" s="429">
        <v>19208.759999999998</v>
      </c>
      <c r="H43" s="429">
        <v>15250.5</v>
      </c>
      <c r="I43" s="429">
        <f>F43+G43+H43</f>
        <v>34459.259999999995</v>
      </c>
      <c r="J43" s="429" t="e">
        <f>#REF!</f>
        <v>#REF!</v>
      </c>
      <c r="K43" s="19" t="s">
        <v>153</v>
      </c>
      <c r="L43" s="20" t="s">
        <v>119</v>
      </c>
      <c r="M43" s="19"/>
      <c r="N43" s="19">
        <v>1963.59</v>
      </c>
      <c r="O43" s="19">
        <v>1906.31</v>
      </c>
      <c r="P43" s="19">
        <f t="shared" si="9"/>
        <v>3869.8999999999996</v>
      </c>
      <c r="Q43" s="19">
        <f>1500+463.59</f>
        <v>1963.59</v>
      </c>
      <c r="R43" s="19">
        <f t="shared" si="8"/>
        <v>1906.3099999999997</v>
      </c>
      <c r="S43" s="19"/>
      <c r="T43" s="19">
        <f>N43-Q43</f>
        <v>0</v>
      </c>
      <c r="U43" s="19"/>
      <c r="V43" s="32">
        <f>SUM(P43:P45)</f>
        <v>30959.24</v>
      </c>
      <c r="W43" s="3" t="s">
        <v>127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3:35" ht="23.25" customHeight="1" x14ac:dyDescent="0.35">
      <c r="C44" s="430"/>
      <c r="D44" s="432"/>
      <c r="E44" s="432"/>
      <c r="F44" s="430"/>
      <c r="G44" s="430"/>
      <c r="H44" s="430"/>
      <c r="I44" s="430"/>
      <c r="J44" s="430"/>
      <c r="K44" s="19" t="s">
        <v>154</v>
      </c>
      <c r="L44" s="20" t="s">
        <v>121</v>
      </c>
      <c r="M44" s="19"/>
      <c r="N44" s="19">
        <v>4581.72</v>
      </c>
      <c r="O44" s="19">
        <v>4448.0600000000004</v>
      </c>
      <c r="P44" s="19">
        <f t="shared" si="9"/>
        <v>9029.7800000000007</v>
      </c>
      <c r="Q44" s="19">
        <f>1036.41+500+1000+1000+500+1000+500+1000+1000+1000+493.37</f>
        <v>9029.7800000000007</v>
      </c>
      <c r="R44" s="19">
        <f t="shared" si="8"/>
        <v>0</v>
      </c>
      <c r="S44" s="19"/>
      <c r="T44" s="19">
        <f>N44-Q44</f>
        <v>-4448.0600000000004</v>
      </c>
      <c r="U44" s="19"/>
      <c r="V44" s="32">
        <f>SUM(Q43:Q45)+3500</f>
        <v>18000</v>
      </c>
      <c r="W44" s="3" t="s">
        <v>129</v>
      </c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3:35" ht="23.25" customHeight="1" x14ac:dyDescent="0.35">
      <c r="C45" s="430"/>
      <c r="D45" s="432"/>
      <c r="E45" s="432"/>
      <c r="F45" s="430"/>
      <c r="G45" s="430"/>
      <c r="H45" s="430"/>
      <c r="I45" s="430"/>
      <c r="J45" s="430"/>
      <c r="K45" s="19" t="s">
        <v>155</v>
      </c>
      <c r="L45" s="20" t="s">
        <v>124</v>
      </c>
      <c r="M45" s="19"/>
      <c r="N45" s="19">
        <v>9163.44</v>
      </c>
      <c r="O45" s="19">
        <v>8896.1200000000008</v>
      </c>
      <c r="P45" s="19">
        <f t="shared" si="9"/>
        <v>18059.560000000001</v>
      </c>
      <c r="Q45" s="19">
        <f>6.63+500+500+500+1000+1000</f>
        <v>3506.63</v>
      </c>
      <c r="R45" s="19">
        <f t="shared" si="8"/>
        <v>14552.93</v>
      </c>
      <c r="S45" s="19"/>
      <c r="T45" s="19">
        <f>N45-Q45</f>
        <v>5656.81</v>
      </c>
      <c r="U45" s="19"/>
      <c r="V45" s="32">
        <f>SUM(R43:R45)</f>
        <v>16459.240000000002</v>
      </c>
      <c r="W45" s="3" t="s">
        <v>7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3:35" ht="23.25" customHeight="1" x14ac:dyDescent="0.35">
      <c r="C46" s="412">
        <v>9</v>
      </c>
      <c r="D46" s="438" t="s">
        <v>93</v>
      </c>
      <c r="E46" s="438">
        <v>12</v>
      </c>
      <c r="F46" s="412">
        <v>18263.98</v>
      </c>
      <c r="G46" s="412">
        <v>14062.98</v>
      </c>
      <c r="H46" s="412">
        <v>12724.2</v>
      </c>
      <c r="I46" s="412">
        <f>F46+G46+H46</f>
        <v>45051.16</v>
      </c>
      <c r="J46" s="412" t="e">
        <f>#REF!</f>
        <v>#REF!</v>
      </c>
      <c r="K46" s="29" t="s">
        <v>95</v>
      </c>
      <c r="L46" s="30" t="s">
        <v>119</v>
      </c>
      <c r="M46" s="29"/>
      <c r="N46" s="29">
        <v>20021.849999999999</v>
      </c>
      <c r="O46" s="29">
        <v>1590.52</v>
      </c>
      <c r="P46" s="29">
        <f t="shared" si="9"/>
        <v>21612.37</v>
      </c>
      <c r="Q46" s="29">
        <f>4000+1500+500+500+500+500+500+500+500+500+1000+500+500+500+500+1000+1000</f>
        <v>14500</v>
      </c>
      <c r="R46" s="29">
        <f t="shared" si="8"/>
        <v>7112.369999999999</v>
      </c>
      <c r="S46" s="29"/>
      <c r="T46" s="29"/>
      <c r="U46" s="29"/>
      <c r="V46" s="33">
        <f>SUM(P46:P49)</f>
        <v>45051.11</v>
      </c>
      <c r="W46" s="3" t="s">
        <v>162</v>
      </c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3:35" ht="23.25" customHeight="1" x14ac:dyDescent="0.35">
      <c r="C47" s="413"/>
      <c r="D47" s="439"/>
      <c r="E47" s="439"/>
      <c r="F47" s="413"/>
      <c r="G47" s="413"/>
      <c r="H47" s="413"/>
      <c r="I47" s="413"/>
      <c r="J47" s="413"/>
      <c r="K47" s="29" t="s">
        <v>163</v>
      </c>
      <c r="L47" s="30" t="s">
        <v>124</v>
      </c>
      <c r="M47" s="29"/>
      <c r="N47" s="29">
        <v>6152.55</v>
      </c>
      <c r="O47" s="29">
        <v>5566.83</v>
      </c>
      <c r="P47" s="29">
        <f t="shared" si="9"/>
        <v>11719.380000000001</v>
      </c>
      <c r="Q47" s="29"/>
      <c r="R47" s="29">
        <f t="shared" si="8"/>
        <v>11719.380000000001</v>
      </c>
      <c r="S47" s="29"/>
      <c r="T47" s="29"/>
      <c r="U47" s="29"/>
      <c r="V47" s="33">
        <f>SUM(Q46:Q49)</f>
        <v>14500</v>
      </c>
      <c r="W47" s="3" t="s">
        <v>129</v>
      </c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spans="3:35" ht="23.25" customHeight="1" x14ac:dyDescent="0.35">
      <c r="C48" s="413"/>
      <c r="D48" s="439"/>
      <c r="E48" s="439"/>
      <c r="F48" s="413"/>
      <c r="G48" s="413"/>
      <c r="H48" s="413"/>
      <c r="I48" s="413"/>
      <c r="J48" s="413"/>
      <c r="K48" s="29" t="s">
        <v>164</v>
      </c>
      <c r="L48" s="30" t="s">
        <v>121</v>
      </c>
      <c r="M48" s="29"/>
      <c r="N48" s="29">
        <v>3076.27</v>
      </c>
      <c r="O48" s="29">
        <v>2783.41</v>
      </c>
      <c r="P48" s="29">
        <f t="shared" si="9"/>
        <v>5859.68</v>
      </c>
      <c r="Q48" s="29"/>
      <c r="R48" s="29">
        <f t="shared" si="8"/>
        <v>5859.68</v>
      </c>
      <c r="S48" s="29"/>
      <c r="T48" s="29"/>
      <c r="U48" s="29"/>
      <c r="V48" s="33">
        <f>SUM(R46:R49)</f>
        <v>30551.11</v>
      </c>
      <c r="W48" s="3" t="s">
        <v>7</v>
      </c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3:35" ht="23.25" customHeight="1" x14ac:dyDescent="0.35">
      <c r="C49" s="414"/>
      <c r="D49" s="440"/>
      <c r="E49" s="440"/>
      <c r="F49" s="414"/>
      <c r="G49" s="414"/>
      <c r="H49" s="414"/>
      <c r="I49" s="414"/>
      <c r="J49" s="414"/>
      <c r="K49" s="29" t="s">
        <v>165</v>
      </c>
      <c r="L49" s="30" t="s">
        <v>121</v>
      </c>
      <c r="M49" s="29"/>
      <c r="N49" s="29">
        <v>3076.27</v>
      </c>
      <c r="O49" s="29">
        <v>2783.41</v>
      </c>
      <c r="P49" s="29">
        <f t="shared" si="9"/>
        <v>5859.68</v>
      </c>
      <c r="Q49" s="29"/>
      <c r="R49" s="29">
        <f t="shared" si="8"/>
        <v>5859.68</v>
      </c>
      <c r="S49" s="29"/>
      <c r="T49" s="29"/>
      <c r="U49" s="29"/>
      <c r="V49" s="3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3:35" ht="23.25" customHeight="1" x14ac:dyDescent="0.35">
      <c r="C50" s="416">
        <v>10</v>
      </c>
      <c r="D50" s="441" t="s">
        <v>82</v>
      </c>
      <c r="E50" s="441">
        <v>14</v>
      </c>
      <c r="F50" s="416"/>
      <c r="G50" s="416">
        <v>26604.59</v>
      </c>
      <c r="H50" s="416">
        <v>10019.700000000001</v>
      </c>
      <c r="I50" s="416">
        <f>F50+G50+H50</f>
        <v>36624.29</v>
      </c>
      <c r="J50" s="416" t="e">
        <f>#REF!</f>
        <v>#REF!</v>
      </c>
      <c r="K50" s="44" t="s">
        <v>132</v>
      </c>
      <c r="L50" s="45" t="s">
        <v>119</v>
      </c>
      <c r="M50" s="44"/>
      <c r="N50" s="44">
        <v>4578.04</v>
      </c>
      <c r="O50" s="44"/>
      <c r="P50" s="44">
        <f t="shared" ref="P50:P54" si="10">M50+N50+O50</f>
        <v>4578.04</v>
      </c>
      <c r="Q50" s="44">
        <v>4578.04</v>
      </c>
      <c r="R50" s="44">
        <f t="shared" si="8"/>
        <v>0</v>
      </c>
      <c r="S50" s="44"/>
      <c r="T50" s="44"/>
      <c r="U50" s="44"/>
      <c r="V50" s="44">
        <f>SUM(P50:P54)</f>
        <v>36624.29</v>
      </c>
      <c r="W50" s="3" t="s">
        <v>127</v>
      </c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spans="3:35" ht="23.25" customHeight="1" x14ac:dyDescent="0.35">
      <c r="C51" s="417"/>
      <c r="D51" s="442"/>
      <c r="E51" s="442"/>
      <c r="F51" s="417"/>
      <c r="G51" s="417"/>
      <c r="H51" s="417"/>
      <c r="I51" s="417"/>
      <c r="J51" s="417"/>
      <c r="K51" s="44" t="s">
        <v>133</v>
      </c>
      <c r="L51" s="45" t="s">
        <v>124</v>
      </c>
      <c r="M51" s="44"/>
      <c r="N51" s="44">
        <v>9156.07</v>
      </c>
      <c r="O51" s="44"/>
      <c r="P51" s="44">
        <f t="shared" si="10"/>
        <v>9156.07</v>
      </c>
      <c r="Q51" s="44">
        <f>1244.15+660.2+1000+1000+500+500+500+1000+500+1000</f>
        <v>7904.35</v>
      </c>
      <c r="R51" s="44">
        <f t="shared" si="8"/>
        <v>1251.7199999999993</v>
      </c>
      <c r="S51" s="44"/>
      <c r="T51" s="44"/>
      <c r="U51" s="44"/>
      <c r="V51" s="44">
        <f>SUM(Q50:Q54)</f>
        <v>26880.47</v>
      </c>
      <c r="W51" s="3" t="s">
        <v>129</v>
      </c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3:35" ht="23.25" customHeight="1" x14ac:dyDescent="0.35">
      <c r="C52" s="417"/>
      <c r="D52" s="442"/>
      <c r="E52" s="442"/>
      <c r="F52" s="417"/>
      <c r="G52" s="417"/>
      <c r="H52" s="417"/>
      <c r="I52" s="417"/>
      <c r="J52" s="417"/>
      <c r="K52" s="44" t="s">
        <v>134</v>
      </c>
      <c r="L52" s="45" t="s">
        <v>124</v>
      </c>
      <c r="M52" s="44"/>
      <c r="N52" s="44">
        <v>9156.07</v>
      </c>
      <c r="O52" s="44"/>
      <c r="P52" s="44">
        <f t="shared" si="10"/>
        <v>9156.07</v>
      </c>
      <c r="Q52" s="44">
        <f>4368.72+1000+447.55+1000+1000+1000+339.8</f>
        <v>9156.07</v>
      </c>
      <c r="R52" s="44">
        <f t="shared" si="8"/>
        <v>0</v>
      </c>
      <c r="S52" s="44"/>
      <c r="T52" s="44"/>
      <c r="U52" s="44"/>
      <c r="V52" s="44">
        <f>SUM(R50:R54)</f>
        <v>9743.82</v>
      </c>
      <c r="W52" s="3" t="s">
        <v>7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3:35" ht="23.25" customHeight="1" x14ac:dyDescent="0.35">
      <c r="C53" s="417"/>
      <c r="D53" s="442"/>
      <c r="E53" s="442"/>
      <c r="F53" s="417"/>
      <c r="G53" s="417"/>
      <c r="H53" s="417"/>
      <c r="I53" s="417"/>
      <c r="J53" s="417"/>
      <c r="K53" s="44" t="s">
        <v>135</v>
      </c>
      <c r="L53" s="45" t="s">
        <v>124</v>
      </c>
      <c r="M53" s="44"/>
      <c r="N53" s="44">
        <v>9156.07</v>
      </c>
      <c r="O53" s="44"/>
      <c r="P53" s="44">
        <f t="shared" si="10"/>
        <v>9156.07</v>
      </c>
      <c r="Q53" s="44">
        <f>663.97</f>
        <v>663.97</v>
      </c>
      <c r="R53" s="44">
        <f t="shared" si="8"/>
        <v>8492.1</v>
      </c>
      <c r="S53" s="44"/>
      <c r="T53" s="44"/>
      <c r="U53" s="44"/>
      <c r="V53" s="44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3:35" ht="23.25" customHeight="1" x14ac:dyDescent="0.35">
      <c r="C54" s="418"/>
      <c r="D54" s="443"/>
      <c r="E54" s="443"/>
      <c r="F54" s="418"/>
      <c r="G54" s="418"/>
      <c r="H54" s="418"/>
      <c r="I54" s="418"/>
      <c r="J54" s="418"/>
      <c r="K54" s="44" t="s">
        <v>136</v>
      </c>
      <c r="L54" s="45" t="s">
        <v>121</v>
      </c>
      <c r="M54" s="44"/>
      <c r="N54" s="44">
        <v>4578.04</v>
      </c>
      <c r="O54" s="44"/>
      <c r="P54" s="44">
        <f t="shared" si="10"/>
        <v>4578.04</v>
      </c>
      <c r="Q54" s="44">
        <f>3525.59+500+552.45</f>
        <v>4578.04</v>
      </c>
      <c r="R54" s="44">
        <f t="shared" si="8"/>
        <v>0</v>
      </c>
      <c r="S54" s="44"/>
      <c r="T54" s="44"/>
      <c r="U54" s="44"/>
      <c r="V54" s="44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3:35" ht="23.25" customHeight="1" x14ac:dyDescent="0.35">
      <c r="C55" s="395">
        <v>11</v>
      </c>
      <c r="D55" s="420" t="s">
        <v>79</v>
      </c>
      <c r="E55" s="420">
        <v>15</v>
      </c>
      <c r="F55" s="395"/>
      <c r="G55" s="395">
        <f>9876.36+9809.08</f>
        <v>19685.440000000002</v>
      </c>
      <c r="H55" s="395">
        <v>7127.68</v>
      </c>
      <c r="I55" s="395">
        <f>F55+G55+H55</f>
        <v>26813.120000000003</v>
      </c>
      <c r="J55" s="395" t="e">
        <f>#REF!</f>
        <v>#REF!</v>
      </c>
      <c r="K55" s="25" t="s">
        <v>137</v>
      </c>
      <c r="L55" s="26" t="s">
        <v>126</v>
      </c>
      <c r="M55" s="25"/>
      <c r="N55" s="25">
        <v>3280.9</v>
      </c>
      <c r="O55" s="25">
        <v>1187.95</v>
      </c>
      <c r="P55" s="25">
        <f t="shared" ref="P55:P66" si="11">M55+N55+O55</f>
        <v>4468.8500000000004</v>
      </c>
      <c r="Q55" s="25"/>
      <c r="R55" s="25">
        <f t="shared" ref="R55:R74" si="12">P55-Q55</f>
        <v>4468.8500000000004</v>
      </c>
      <c r="S55" s="25"/>
      <c r="T55" s="25"/>
      <c r="U55" s="25"/>
      <c r="V55" s="25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3:35" ht="23.25" customHeight="1" x14ac:dyDescent="0.35">
      <c r="C56" s="419"/>
      <c r="D56" s="421"/>
      <c r="E56" s="421"/>
      <c r="F56" s="419"/>
      <c r="G56" s="419"/>
      <c r="H56" s="419"/>
      <c r="I56" s="419"/>
      <c r="J56" s="419"/>
      <c r="K56" s="25" t="s">
        <v>138</v>
      </c>
      <c r="L56" s="26" t="s">
        <v>119</v>
      </c>
      <c r="M56" s="25"/>
      <c r="N56" s="25">
        <v>2460.6799999999998</v>
      </c>
      <c r="O56" s="25">
        <v>890.96</v>
      </c>
      <c r="P56" s="25">
        <f t="shared" si="11"/>
        <v>3351.64</v>
      </c>
      <c r="Q56" s="25">
        <f>3206.98+144.66</f>
        <v>3351.64</v>
      </c>
      <c r="R56" s="25">
        <f t="shared" si="12"/>
        <v>0</v>
      </c>
      <c r="S56" s="25"/>
      <c r="T56" s="25"/>
      <c r="U56" s="25"/>
      <c r="V56" s="25">
        <f>SUM(P55:P60)</f>
        <v>26813.120000000003</v>
      </c>
      <c r="W56" s="3" t="s">
        <v>127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3:35" ht="23.25" customHeight="1" x14ac:dyDescent="0.35">
      <c r="C57" s="419"/>
      <c r="D57" s="421"/>
      <c r="E57" s="421"/>
      <c r="F57" s="419"/>
      <c r="G57" s="419"/>
      <c r="H57" s="419"/>
      <c r="I57" s="419"/>
      <c r="J57" s="419"/>
      <c r="K57" s="25" t="s">
        <v>139</v>
      </c>
      <c r="L57" s="26" t="s">
        <v>121</v>
      </c>
      <c r="M57" s="25"/>
      <c r="N57" s="25">
        <v>4374.54</v>
      </c>
      <c r="O57" s="25">
        <v>1583.93</v>
      </c>
      <c r="P57" s="25">
        <f t="shared" si="11"/>
        <v>5958.47</v>
      </c>
      <c r="Q57" s="25">
        <f>4061.56+855.34+1000+41.57</f>
        <v>5958.4699999999993</v>
      </c>
      <c r="R57" s="25">
        <f t="shared" si="12"/>
        <v>0</v>
      </c>
      <c r="S57" s="25"/>
      <c r="T57" s="25"/>
      <c r="U57" s="25"/>
      <c r="V57" s="25">
        <f>SUM(Q55:Q60)</f>
        <v>21227.049999999996</v>
      </c>
      <c r="W57" s="3" t="s">
        <v>129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3:35" ht="26.25" customHeight="1" x14ac:dyDescent="0.35">
      <c r="C58" s="419"/>
      <c r="D58" s="421"/>
      <c r="E58" s="421"/>
      <c r="F58" s="419"/>
      <c r="G58" s="419"/>
      <c r="H58" s="419"/>
      <c r="I58" s="419"/>
      <c r="J58" s="419"/>
      <c r="K58" s="25" t="s">
        <v>140</v>
      </c>
      <c r="L58" s="26" t="s">
        <v>121</v>
      </c>
      <c r="M58" s="25"/>
      <c r="N58" s="25">
        <v>4374.54</v>
      </c>
      <c r="O58" s="25">
        <v>1583.93</v>
      </c>
      <c r="P58" s="25">
        <f t="shared" si="11"/>
        <v>5958.47</v>
      </c>
      <c r="Q58" s="25">
        <f>4220.55+458.43+1000+279.49</f>
        <v>5958.47</v>
      </c>
      <c r="R58" s="25">
        <f t="shared" si="12"/>
        <v>0</v>
      </c>
      <c r="S58" s="25"/>
      <c r="T58" s="25"/>
      <c r="U58" s="25"/>
      <c r="V58" s="25">
        <f>SUM(R55:R60)</f>
        <v>5586.0700000000006</v>
      </c>
      <c r="W58" s="3" t="s">
        <v>7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spans="3:35" ht="26.25" customHeight="1" x14ac:dyDescent="0.35">
      <c r="C59" s="419"/>
      <c r="D59" s="421"/>
      <c r="E59" s="421"/>
      <c r="F59" s="419"/>
      <c r="G59" s="419"/>
      <c r="H59" s="419"/>
      <c r="I59" s="419"/>
      <c r="J59" s="419"/>
      <c r="K59" s="25" t="s">
        <v>141</v>
      </c>
      <c r="L59" s="26" t="s">
        <v>121</v>
      </c>
      <c r="M59" s="25"/>
      <c r="N59" s="25">
        <v>4374.54</v>
      </c>
      <c r="O59" s="25">
        <v>1583.93</v>
      </c>
      <c r="P59" s="25">
        <f t="shared" si="11"/>
        <v>5958.47</v>
      </c>
      <c r="Q59" s="25">
        <f>3098.93+720.51+1000+500+639.03</f>
        <v>5958.4699999999993</v>
      </c>
      <c r="R59" s="25">
        <f t="shared" si="12"/>
        <v>0</v>
      </c>
      <c r="S59" s="25"/>
      <c r="T59" s="25"/>
      <c r="U59" s="25"/>
      <c r="V59" s="25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3:35" ht="26.25" customHeight="1" x14ac:dyDescent="0.35">
      <c r="C60" s="396"/>
      <c r="D60" s="422"/>
      <c r="E60" s="422"/>
      <c r="F60" s="396"/>
      <c r="G60" s="396"/>
      <c r="H60" s="396"/>
      <c r="I60" s="396"/>
      <c r="J60" s="396"/>
      <c r="K60" s="25" t="s">
        <v>142</v>
      </c>
      <c r="L60" s="26" t="s">
        <v>143</v>
      </c>
      <c r="M60" s="25"/>
      <c r="N60" s="25">
        <v>820.23</v>
      </c>
      <c r="O60" s="25">
        <v>296.99</v>
      </c>
      <c r="P60" s="25">
        <f t="shared" si="11"/>
        <v>1117.22</v>
      </c>
      <c r="Q60" s="25"/>
      <c r="R60" s="25">
        <f t="shared" si="12"/>
        <v>1117.22</v>
      </c>
      <c r="S60" s="25"/>
      <c r="T60" s="25"/>
      <c r="U60" s="25"/>
      <c r="V60" s="25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3:35" ht="23.25" customHeight="1" x14ac:dyDescent="0.35">
      <c r="C61" s="444">
        <v>12</v>
      </c>
      <c r="D61" s="461" t="s">
        <v>236</v>
      </c>
      <c r="E61" s="461">
        <v>17</v>
      </c>
      <c r="F61" s="444">
        <v>16681.05</v>
      </c>
      <c r="G61" s="444">
        <f>19784.64+1787.94</f>
        <v>21572.579999999998</v>
      </c>
      <c r="H61" s="444">
        <v>11600.1</v>
      </c>
      <c r="I61" s="444">
        <f>F61+G61+H61</f>
        <v>49853.729999999996</v>
      </c>
      <c r="J61" s="444" t="e">
        <f>#REF!</f>
        <v>#REF!</v>
      </c>
      <c r="K61" s="23" t="s">
        <v>240</v>
      </c>
      <c r="L61" s="24" t="s">
        <v>119</v>
      </c>
      <c r="M61" s="23">
        <v>16681.05</v>
      </c>
      <c r="N61" s="23">
        <f>2473.08+1787.94</f>
        <v>4261.0200000000004</v>
      </c>
      <c r="O61" s="23">
        <v>1450.02</v>
      </c>
      <c r="P61" s="23">
        <f t="shared" si="11"/>
        <v>22392.09</v>
      </c>
      <c r="Q61" s="23">
        <f>1681.05+2000+1500+2000+2000+1000</f>
        <v>10181.049999999999</v>
      </c>
      <c r="R61" s="23">
        <f t="shared" si="12"/>
        <v>12211.04</v>
      </c>
      <c r="S61" s="23"/>
      <c r="T61" s="23"/>
      <c r="U61" s="23"/>
      <c r="V61" s="23">
        <f>SUM(P61:P64)</f>
        <v>73625.810000000012</v>
      </c>
      <c r="W61" s="3" t="s">
        <v>127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3:35" ht="23.25" customHeight="1" x14ac:dyDescent="0.35">
      <c r="C62" s="445"/>
      <c r="D62" s="462"/>
      <c r="E62" s="462"/>
      <c r="F62" s="445"/>
      <c r="G62" s="445"/>
      <c r="H62" s="445"/>
      <c r="I62" s="445"/>
      <c r="J62" s="445"/>
      <c r="K62" s="23" t="s">
        <v>241</v>
      </c>
      <c r="L62" s="24" t="s">
        <v>124</v>
      </c>
      <c r="M62" s="23">
        <v>0</v>
      </c>
      <c r="N62" s="23">
        <v>11541.04</v>
      </c>
      <c r="O62" s="23">
        <v>6766.72</v>
      </c>
      <c r="P62" s="23">
        <f t="shared" si="11"/>
        <v>18307.760000000002</v>
      </c>
      <c r="Q62" s="23"/>
      <c r="R62" s="23">
        <f t="shared" si="12"/>
        <v>18307.760000000002</v>
      </c>
      <c r="S62" s="23"/>
      <c r="T62" s="23"/>
      <c r="U62" s="23"/>
      <c r="V62" s="23">
        <f>SUM(Q61:Q64)</f>
        <v>12681.05</v>
      </c>
      <c r="W62" s="3" t="s">
        <v>129</v>
      </c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3:35" ht="23.25" customHeight="1" x14ac:dyDescent="0.35">
      <c r="C63" s="445"/>
      <c r="D63" s="462"/>
      <c r="E63" s="462"/>
      <c r="F63" s="445"/>
      <c r="G63" s="445"/>
      <c r="H63" s="445"/>
      <c r="I63" s="445"/>
      <c r="J63" s="445"/>
      <c r="K63" s="23" t="s">
        <v>242</v>
      </c>
      <c r="L63" s="24" t="s">
        <v>121</v>
      </c>
      <c r="M63" s="23">
        <v>0</v>
      </c>
      <c r="N63" s="23">
        <v>5770.52</v>
      </c>
      <c r="O63" s="23">
        <v>3383.36</v>
      </c>
      <c r="P63" s="23">
        <f t="shared" si="11"/>
        <v>9153.880000000001</v>
      </c>
      <c r="Q63" s="23"/>
      <c r="R63" s="23">
        <f t="shared" si="12"/>
        <v>9153.880000000001</v>
      </c>
      <c r="S63" s="23"/>
      <c r="T63" s="23"/>
      <c r="U63" s="23"/>
      <c r="V63" s="23">
        <f>SUM(R61:R64)</f>
        <v>60944.760000000009</v>
      </c>
      <c r="W63" s="3" t="s">
        <v>7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spans="3:35" ht="23.25" customHeight="1" x14ac:dyDescent="0.35">
      <c r="C64" s="448">
        <v>13</v>
      </c>
      <c r="D64" s="446" t="s">
        <v>244</v>
      </c>
      <c r="E64" s="446">
        <v>18</v>
      </c>
      <c r="F64" s="448">
        <v>17094.75</v>
      </c>
      <c r="G64" s="448">
        <f>2176.18+17265.6+1582.74+1760.95</f>
        <v>22785.47</v>
      </c>
      <c r="H64" s="448">
        <v>15399.9</v>
      </c>
      <c r="I64" s="448">
        <f>F64+G64+H64</f>
        <v>55280.12</v>
      </c>
      <c r="J64" s="448" t="e">
        <f>#REF!</f>
        <v>#REF!</v>
      </c>
      <c r="K64" s="27" t="s">
        <v>246</v>
      </c>
      <c r="L64" s="28" t="s">
        <v>119</v>
      </c>
      <c r="M64" s="27">
        <v>17094.75</v>
      </c>
      <c r="N64" s="27">
        <f>2576.16+2176.18</f>
        <v>4752.34</v>
      </c>
      <c r="O64" s="27">
        <v>1924.99</v>
      </c>
      <c r="P64" s="27">
        <f t="shared" si="11"/>
        <v>23772.080000000002</v>
      </c>
      <c r="Q64" s="27">
        <f>1500+1000</f>
        <v>2500</v>
      </c>
      <c r="R64" s="27">
        <f t="shared" si="12"/>
        <v>21272.080000000002</v>
      </c>
      <c r="S64" s="27"/>
      <c r="T64" s="27"/>
      <c r="U64" s="27"/>
      <c r="V64" s="27">
        <f>SUM(P64:P66)</f>
        <v>55280.12000000001</v>
      </c>
      <c r="W64" s="3" t="s">
        <v>127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3:35" ht="23.25" customHeight="1" x14ac:dyDescent="0.35">
      <c r="C65" s="449"/>
      <c r="D65" s="447"/>
      <c r="E65" s="447"/>
      <c r="F65" s="449"/>
      <c r="G65" s="449"/>
      <c r="H65" s="449"/>
      <c r="I65" s="449"/>
      <c r="J65" s="449"/>
      <c r="K65" s="27" t="s">
        <v>247</v>
      </c>
      <c r="L65" s="28" t="s">
        <v>124</v>
      </c>
      <c r="M65" s="27">
        <v>0</v>
      </c>
      <c r="N65" s="27">
        <v>9016.56</v>
      </c>
      <c r="O65" s="27">
        <v>6737.46</v>
      </c>
      <c r="P65" s="27">
        <f t="shared" si="11"/>
        <v>15754.02</v>
      </c>
      <c r="Q65" s="27"/>
      <c r="R65" s="27">
        <f t="shared" si="12"/>
        <v>15754.02</v>
      </c>
      <c r="S65" s="27"/>
      <c r="T65" s="27"/>
      <c r="U65" s="27"/>
      <c r="V65" s="27">
        <f>SUM(Q64:Q66)</f>
        <v>2500</v>
      </c>
      <c r="W65" s="3" t="s">
        <v>129</v>
      </c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3:35" ht="23.25" customHeight="1" x14ac:dyDescent="0.35">
      <c r="C66" s="449"/>
      <c r="D66" s="447"/>
      <c r="E66" s="447"/>
      <c r="F66" s="449"/>
      <c r="G66" s="449"/>
      <c r="H66" s="449"/>
      <c r="I66" s="449"/>
      <c r="J66" s="449"/>
      <c r="K66" s="27" t="s">
        <v>248</v>
      </c>
      <c r="L66" s="28" t="s">
        <v>124</v>
      </c>
      <c r="M66" s="27">
        <v>0</v>
      </c>
      <c r="N66" s="27">
        <v>9016.56</v>
      </c>
      <c r="O66" s="27">
        <v>6737.46</v>
      </c>
      <c r="P66" s="27">
        <f t="shared" si="11"/>
        <v>15754.02</v>
      </c>
      <c r="Q66" s="27"/>
      <c r="R66" s="27">
        <f t="shared" si="12"/>
        <v>15754.02</v>
      </c>
      <c r="S66" s="27"/>
      <c r="T66" s="27"/>
      <c r="U66" s="27"/>
      <c r="V66" s="27">
        <f>SUM(R64:R66)</f>
        <v>52780.12000000001</v>
      </c>
      <c r="W66" s="3" t="s">
        <v>7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3:35" ht="23.25" customHeight="1" x14ac:dyDescent="0.35">
      <c r="C67" s="429"/>
      <c r="D67" s="431"/>
      <c r="E67" s="431"/>
      <c r="F67" s="429"/>
      <c r="G67" s="429"/>
      <c r="H67" s="429"/>
      <c r="I67" s="429">
        <f>F67+G67+H67</f>
        <v>0</v>
      </c>
      <c r="J67" s="429"/>
      <c r="K67" s="19"/>
      <c r="L67" s="20"/>
      <c r="M67" s="19"/>
      <c r="N67" s="19"/>
      <c r="O67" s="19"/>
      <c r="P67" s="19"/>
      <c r="Q67" s="19"/>
      <c r="R67" s="19">
        <f t="shared" si="12"/>
        <v>0</v>
      </c>
      <c r="S67" s="19"/>
      <c r="T67" s="19"/>
      <c r="U67" s="19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3:35" ht="23.25" customHeight="1" x14ac:dyDescent="0.35">
      <c r="C68" s="430"/>
      <c r="D68" s="432"/>
      <c r="E68" s="432"/>
      <c r="F68" s="430"/>
      <c r="G68" s="430"/>
      <c r="H68" s="430"/>
      <c r="I68" s="430"/>
      <c r="J68" s="430"/>
      <c r="K68" s="19"/>
      <c r="L68" s="20"/>
      <c r="M68" s="19"/>
      <c r="N68" s="19"/>
      <c r="O68" s="19"/>
      <c r="P68" s="19"/>
      <c r="Q68" s="19"/>
      <c r="R68" s="19">
        <f t="shared" si="12"/>
        <v>0</v>
      </c>
      <c r="S68" s="19"/>
      <c r="T68" s="19"/>
      <c r="U68" s="19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3:35" ht="23.25" customHeight="1" x14ac:dyDescent="0.35">
      <c r="C69" s="430"/>
      <c r="D69" s="432"/>
      <c r="E69" s="432"/>
      <c r="F69" s="430"/>
      <c r="G69" s="430"/>
      <c r="H69" s="430"/>
      <c r="I69" s="430"/>
      <c r="J69" s="430"/>
      <c r="K69" s="19"/>
      <c r="L69" s="20"/>
      <c r="M69" s="19"/>
      <c r="N69" s="19"/>
      <c r="O69" s="19"/>
      <c r="P69" s="19"/>
      <c r="Q69" s="19"/>
      <c r="R69" s="19">
        <f t="shared" si="12"/>
        <v>0</v>
      </c>
      <c r="S69" s="19"/>
      <c r="T69" s="19"/>
      <c r="U69" s="19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3:35" ht="23.25" customHeight="1" x14ac:dyDescent="0.35">
      <c r="C70" s="436"/>
      <c r="D70" s="437"/>
      <c r="E70" s="437"/>
      <c r="F70" s="436"/>
      <c r="G70" s="436"/>
      <c r="H70" s="436"/>
      <c r="I70" s="436"/>
      <c r="J70" s="436"/>
      <c r="K70" s="19"/>
      <c r="L70" s="20"/>
      <c r="M70" s="19"/>
      <c r="N70" s="19"/>
      <c r="O70" s="19"/>
      <c r="P70" s="19"/>
      <c r="Q70" s="19"/>
      <c r="R70" s="19">
        <f t="shared" si="12"/>
        <v>0</v>
      </c>
      <c r="S70" s="19"/>
      <c r="T70" s="19"/>
      <c r="U70" s="19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3:35" ht="23.25" customHeight="1" x14ac:dyDescent="0.35">
      <c r="C71" s="429"/>
      <c r="D71" s="431"/>
      <c r="E71" s="431"/>
      <c r="F71" s="429"/>
      <c r="G71" s="429"/>
      <c r="H71" s="429"/>
      <c r="I71" s="429">
        <f>F71+G71+H71</f>
        <v>0</v>
      </c>
      <c r="J71" s="429"/>
      <c r="K71" s="19"/>
      <c r="L71" s="20"/>
      <c r="M71" s="19"/>
      <c r="N71" s="19"/>
      <c r="O71" s="19"/>
      <c r="P71" s="19"/>
      <c r="Q71" s="19"/>
      <c r="R71" s="19">
        <f t="shared" si="12"/>
        <v>0</v>
      </c>
      <c r="S71" s="19"/>
      <c r="T71" s="19"/>
      <c r="U71" s="19"/>
      <c r="V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3:35" ht="23.25" customHeight="1" x14ac:dyDescent="0.35">
      <c r="C72" s="430"/>
      <c r="D72" s="432"/>
      <c r="E72" s="432"/>
      <c r="F72" s="430"/>
      <c r="G72" s="430"/>
      <c r="H72" s="430"/>
      <c r="I72" s="430"/>
      <c r="J72" s="430"/>
      <c r="K72" s="19"/>
      <c r="L72" s="20"/>
      <c r="M72" s="19"/>
      <c r="N72" s="19"/>
      <c r="O72" s="19"/>
      <c r="P72" s="19"/>
      <c r="Q72" s="19"/>
      <c r="R72" s="19">
        <f t="shared" si="12"/>
        <v>0</v>
      </c>
      <c r="S72" s="19"/>
      <c r="T72" s="19"/>
      <c r="U72" s="19"/>
      <c r="V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3:35" ht="23.25" customHeight="1" x14ac:dyDescent="0.35">
      <c r="C73" s="430"/>
      <c r="D73" s="432"/>
      <c r="E73" s="432"/>
      <c r="F73" s="430"/>
      <c r="G73" s="430"/>
      <c r="H73" s="430"/>
      <c r="I73" s="430"/>
      <c r="J73" s="430"/>
      <c r="K73" s="19"/>
      <c r="L73" s="20"/>
      <c r="M73" s="19"/>
      <c r="N73" s="19"/>
      <c r="O73" s="19"/>
      <c r="P73" s="19"/>
      <c r="Q73" s="19"/>
      <c r="R73" s="19">
        <f t="shared" si="12"/>
        <v>0</v>
      </c>
      <c r="S73" s="19"/>
      <c r="T73" s="19"/>
      <c r="U73" s="19"/>
      <c r="V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3:35" ht="23.25" customHeight="1" x14ac:dyDescent="0.35">
      <c r="C74" s="436"/>
      <c r="D74" s="437"/>
      <c r="E74" s="437"/>
      <c r="F74" s="436"/>
      <c r="G74" s="436"/>
      <c r="H74" s="436"/>
      <c r="I74" s="436"/>
      <c r="J74" s="436"/>
      <c r="K74" s="19"/>
      <c r="L74" s="20"/>
      <c r="M74" s="19"/>
      <c r="N74" s="19"/>
      <c r="O74" s="19"/>
      <c r="P74" s="19"/>
      <c r="Q74" s="19"/>
      <c r="R74" s="19">
        <f t="shared" si="12"/>
        <v>0</v>
      </c>
      <c r="S74" s="19"/>
      <c r="T74" s="19"/>
      <c r="U74" s="19"/>
      <c r="V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3:35" ht="18.75" x14ac:dyDescent="0.3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3:35" x14ac:dyDescent="0.35"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3:35" ht="33.75" x14ac:dyDescent="0.5">
      <c r="C77" s="459" t="s">
        <v>182</v>
      </c>
      <c r="D77" s="459"/>
      <c r="E77" s="459"/>
      <c r="F77" s="459"/>
      <c r="G77" s="459"/>
      <c r="H77" s="459"/>
      <c r="I77" s="459"/>
      <c r="J77" s="459"/>
      <c r="K77" s="459"/>
      <c r="L77" s="459"/>
      <c r="M77" s="459"/>
      <c r="N77" s="459"/>
      <c r="O77" s="459"/>
      <c r="P77" s="459"/>
      <c r="Q77" s="459"/>
      <c r="R77" s="459"/>
      <c r="S77" s="459"/>
      <c r="T77" s="459"/>
      <c r="U77" s="459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3:35" x14ac:dyDescent="0.35">
      <c r="C78" s="394" t="s">
        <v>0</v>
      </c>
      <c r="D78" s="394" t="s">
        <v>99</v>
      </c>
      <c r="E78" s="460" t="s">
        <v>100</v>
      </c>
      <c r="F78" s="394" t="s">
        <v>101</v>
      </c>
      <c r="G78" s="394"/>
      <c r="H78" s="394"/>
      <c r="I78" s="394"/>
      <c r="J78" s="394" t="s">
        <v>102</v>
      </c>
      <c r="K78" s="394" t="s">
        <v>103</v>
      </c>
      <c r="L78" s="460" t="s">
        <v>104</v>
      </c>
      <c r="M78" s="394" t="s">
        <v>105</v>
      </c>
      <c r="N78" s="394"/>
      <c r="O78" s="394"/>
      <c r="P78" s="460" t="s">
        <v>5</v>
      </c>
      <c r="Q78" s="394" t="s">
        <v>106</v>
      </c>
      <c r="R78" s="394" t="s">
        <v>183</v>
      </c>
      <c r="S78" s="394" t="s">
        <v>7</v>
      </c>
      <c r="T78" s="394"/>
      <c r="U78" s="394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spans="3:35" x14ac:dyDescent="0.35">
      <c r="C79" s="394"/>
      <c r="D79" s="394"/>
      <c r="E79" s="460"/>
      <c r="F79" s="8" t="s">
        <v>184</v>
      </c>
      <c r="G79" s="8" t="s">
        <v>185</v>
      </c>
      <c r="H79" s="8" t="s">
        <v>110</v>
      </c>
      <c r="I79" s="8" t="s">
        <v>5</v>
      </c>
      <c r="J79" s="394"/>
      <c r="K79" s="394"/>
      <c r="L79" s="460"/>
      <c r="M79" s="16" t="s">
        <v>111</v>
      </c>
      <c r="N79" s="17" t="s">
        <v>112</v>
      </c>
      <c r="O79" s="8" t="s">
        <v>113</v>
      </c>
      <c r="P79" s="460"/>
      <c r="Q79" s="394"/>
      <c r="R79" s="394"/>
      <c r="S79" s="8" t="s">
        <v>114</v>
      </c>
      <c r="T79" s="8" t="s">
        <v>115</v>
      </c>
      <c r="U79" s="8" t="s">
        <v>116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3:35" x14ac:dyDescent="0.35">
      <c r="C80" s="450">
        <v>1</v>
      </c>
      <c r="D80" s="456" t="s">
        <v>186</v>
      </c>
      <c r="E80" s="456">
        <v>1</v>
      </c>
      <c r="F80" s="456">
        <v>17495.16</v>
      </c>
      <c r="G80" s="456">
        <v>656.23</v>
      </c>
      <c r="H80" s="456">
        <v>11670.3</v>
      </c>
      <c r="I80" s="456">
        <f>F80+G80+H80</f>
        <v>29821.69</v>
      </c>
      <c r="J80" s="450">
        <f>'[2]أسماء المحالين للمعاش (السويس)'!K23</f>
        <v>11453</v>
      </c>
      <c r="K80" s="63" t="s">
        <v>187</v>
      </c>
      <c r="L80" s="64" t="s">
        <v>119</v>
      </c>
      <c r="M80" s="63"/>
      <c r="N80" s="63">
        <v>1893.92</v>
      </c>
      <c r="O80" s="63">
        <v>1458.8</v>
      </c>
      <c r="P80" s="63">
        <f>M80+N80+O80</f>
        <v>3352.7200000000003</v>
      </c>
      <c r="Q80" s="63">
        <v>1893.92</v>
      </c>
      <c r="R80" s="63">
        <f>P80-Q80</f>
        <v>1458.8000000000002</v>
      </c>
      <c r="S80" s="63"/>
      <c r="T80" s="63">
        <f>N80-Q80</f>
        <v>0</v>
      </c>
      <c r="U80" s="63">
        <f>O80-Q80</f>
        <v>-435.12000000000012</v>
      </c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3:35" x14ac:dyDescent="0.35">
      <c r="C81" s="451"/>
      <c r="D81" s="457"/>
      <c r="E81" s="457"/>
      <c r="F81" s="457"/>
      <c r="G81" s="457"/>
      <c r="H81" s="457"/>
      <c r="I81" s="457"/>
      <c r="J81" s="451"/>
      <c r="K81" s="63" t="s">
        <v>188</v>
      </c>
      <c r="L81" s="64" t="s">
        <v>124</v>
      </c>
      <c r="M81" s="63"/>
      <c r="N81" s="63">
        <v>3314.37</v>
      </c>
      <c r="O81" s="63">
        <v>2552.88</v>
      </c>
      <c r="P81" s="63">
        <f t="shared" ref="P81:P83" si="13">M81+N81+O81</f>
        <v>5867.25</v>
      </c>
      <c r="Q81" s="63">
        <v>3314.37</v>
      </c>
      <c r="R81" s="63">
        <f>P81-Q81</f>
        <v>2552.88</v>
      </c>
      <c r="S81" s="63"/>
      <c r="T81" s="63">
        <f>N81-Q81</f>
        <v>0</v>
      </c>
      <c r="U81" s="63">
        <f>O81-Q81</f>
        <v>-761.48999999999978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3:35" x14ac:dyDescent="0.35">
      <c r="C82" s="451"/>
      <c r="D82" s="457"/>
      <c r="E82" s="457"/>
      <c r="F82" s="457"/>
      <c r="G82" s="457"/>
      <c r="H82" s="457"/>
      <c r="I82" s="457"/>
      <c r="J82" s="451"/>
      <c r="K82" s="63" t="s">
        <v>189</v>
      </c>
      <c r="L82" s="64" t="s">
        <v>124</v>
      </c>
      <c r="M82" s="63"/>
      <c r="N82" s="63">
        <v>3314.37</v>
      </c>
      <c r="O82" s="63">
        <v>2552.88</v>
      </c>
      <c r="P82" s="63">
        <f t="shared" si="13"/>
        <v>5867.25</v>
      </c>
      <c r="Q82" s="63">
        <f>971+273.71+2000+69.66</f>
        <v>3314.37</v>
      </c>
      <c r="R82" s="63">
        <f>P82-Q82</f>
        <v>2552.88</v>
      </c>
      <c r="S82" s="63"/>
      <c r="T82" s="63">
        <f>N82-Q82</f>
        <v>0</v>
      </c>
      <c r="U82" s="63">
        <f>O82-Q82</f>
        <v>-761.48999999999978</v>
      </c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3:35" x14ac:dyDescent="0.35">
      <c r="C83" s="451"/>
      <c r="D83" s="457"/>
      <c r="E83" s="457"/>
      <c r="F83" s="457"/>
      <c r="G83" s="457"/>
      <c r="H83" s="457"/>
      <c r="I83" s="457"/>
      <c r="J83" s="451"/>
      <c r="K83" s="63" t="s">
        <v>190</v>
      </c>
      <c r="L83" s="64" t="s">
        <v>124</v>
      </c>
      <c r="M83" s="63"/>
      <c r="N83" s="63">
        <v>3314.37</v>
      </c>
      <c r="O83" s="63">
        <v>2552.88</v>
      </c>
      <c r="P83" s="63">
        <f t="shared" si="13"/>
        <v>5867.25</v>
      </c>
      <c r="Q83" s="63">
        <f>430.34+500+500+500+500+500+384.03</f>
        <v>3314.37</v>
      </c>
      <c r="R83" s="63">
        <f>P83-Q83</f>
        <v>2552.88</v>
      </c>
      <c r="S83" s="63"/>
      <c r="T83" s="63">
        <f>N83-Q83</f>
        <v>0</v>
      </c>
      <c r="U83" s="63">
        <f>O83-Q83</f>
        <v>-761.48999999999978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3:35" x14ac:dyDescent="0.35">
      <c r="C84" s="455"/>
      <c r="D84" s="458"/>
      <c r="E84" s="458"/>
      <c r="F84" s="458"/>
      <c r="G84" s="458"/>
      <c r="H84" s="458"/>
      <c r="I84" s="458"/>
      <c r="J84" s="455"/>
      <c r="K84" s="63" t="s">
        <v>191</v>
      </c>
      <c r="L84" s="64" t="s">
        <v>124</v>
      </c>
      <c r="M84" s="63"/>
      <c r="N84" s="63">
        <v>3314.37</v>
      </c>
      <c r="O84" s="63">
        <v>2552.88</v>
      </c>
      <c r="P84" s="63">
        <f>M84+N84+O84</f>
        <v>5867.25</v>
      </c>
      <c r="Q84" s="63">
        <f>615.97+500+1000</f>
        <v>2115.9700000000003</v>
      </c>
      <c r="R84" s="63">
        <f>P84-Q84</f>
        <v>3751.2799999999997</v>
      </c>
      <c r="S84" s="63"/>
      <c r="T84" s="63">
        <f>N84-Q84</f>
        <v>1198.3999999999996</v>
      </c>
      <c r="U84" s="63">
        <f>O84-Q84</f>
        <v>436.90999999999985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3:35" x14ac:dyDescent="0.35">
      <c r="C85" s="416">
        <v>2</v>
      </c>
      <c r="D85" s="464" t="s">
        <v>278</v>
      </c>
      <c r="E85" s="464">
        <v>12</v>
      </c>
      <c r="F85" s="464">
        <v>14965.76</v>
      </c>
      <c r="G85" s="464">
        <v>19144.95</v>
      </c>
      <c r="H85" s="464">
        <v>14265</v>
      </c>
      <c r="I85" s="464">
        <f>F85+G85+H85</f>
        <v>48375.71</v>
      </c>
      <c r="J85" s="416"/>
      <c r="K85" s="65" t="s">
        <v>386</v>
      </c>
      <c r="L85" s="66" t="s">
        <v>119</v>
      </c>
      <c r="M85" s="65">
        <v>19144.95</v>
      </c>
      <c r="N85" s="65">
        <v>1870.72</v>
      </c>
      <c r="O85" s="65">
        <v>1783.12</v>
      </c>
      <c r="P85" s="65">
        <f t="shared" ref="P85:P90" si="14">M85+N85+O85</f>
        <v>22798.79</v>
      </c>
      <c r="Q85" s="65">
        <f>500+1000+1000+1000+1500+1000</f>
        <v>6000</v>
      </c>
      <c r="R85" s="65">
        <f t="shared" ref="R85:R90" si="15">P85-Q85</f>
        <v>16798.79</v>
      </c>
      <c r="S85" s="65"/>
      <c r="T85" s="65"/>
      <c r="U85" s="65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3:35" x14ac:dyDescent="0.35">
      <c r="C86" s="417"/>
      <c r="D86" s="465"/>
      <c r="E86" s="465"/>
      <c r="F86" s="465"/>
      <c r="G86" s="465"/>
      <c r="H86" s="465"/>
      <c r="I86" s="465"/>
      <c r="J86" s="417"/>
      <c r="K86" s="65" t="s">
        <v>387</v>
      </c>
      <c r="L86" s="66" t="s">
        <v>124</v>
      </c>
      <c r="M86" s="65"/>
      <c r="N86" s="65">
        <v>2910.01</v>
      </c>
      <c r="O86" s="65">
        <v>2773.75</v>
      </c>
      <c r="P86" s="65">
        <f t="shared" si="14"/>
        <v>5683.76</v>
      </c>
      <c r="Q86" s="65"/>
      <c r="R86" s="65">
        <f t="shared" si="15"/>
        <v>5683.76</v>
      </c>
      <c r="S86" s="65"/>
      <c r="T86" s="65"/>
      <c r="U86" s="65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3:35" x14ac:dyDescent="0.35">
      <c r="C87" s="417"/>
      <c r="D87" s="465"/>
      <c r="E87" s="465"/>
      <c r="F87" s="465"/>
      <c r="G87" s="465"/>
      <c r="H87" s="465"/>
      <c r="I87" s="465"/>
      <c r="J87" s="417"/>
      <c r="K87" s="65" t="s">
        <v>388</v>
      </c>
      <c r="L87" s="66" t="s">
        <v>124</v>
      </c>
      <c r="M87" s="65"/>
      <c r="N87" s="65">
        <v>2910.01</v>
      </c>
      <c r="O87" s="65">
        <v>2773.75</v>
      </c>
      <c r="P87" s="65">
        <f t="shared" si="14"/>
        <v>5683.76</v>
      </c>
      <c r="Q87" s="65"/>
      <c r="R87" s="65">
        <f t="shared" si="15"/>
        <v>5683.76</v>
      </c>
      <c r="S87" s="65"/>
      <c r="T87" s="65"/>
      <c r="U87" s="6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3:35" x14ac:dyDescent="0.35">
      <c r="C88" s="417"/>
      <c r="D88" s="465"/>
      <c r="E88" s="465"/>
      <c r="F88" s="465"/>
      <c r="G88" s="465"/>
      <c r="H88" s="465"/>
      <c r="I88" s="465"/>
      <c r="J88" s="417"/>
      <c r="K88" s="65" t="s">
        <v>389</v>
      </c>
      <c r="L88" s="66" t="s">
        <v>124</v>
      </c>
      <c r="M88" s="65"/>
      <c r="N88" s="65">
        <v>2910.01</v>
      </c>
      <c r="O88" s="65">
        <v>2773.75</v>
      </c>
      <c r="P88" s="65">
        <f t="shared" si="14"/>
        <v>5683.76</v>
      </c>
      <c r="Q88" s="65"/>
      <c r="R88" s="65">
        <f t="shared" si="15"/>
        <v>5683.76</v>
      </c>
      <c r="S88" s="65"/>
      <c r="T88" s="65"/>
      <c r="U88" s="6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3:35" x14ac:dyDescent="0.35">
      <c r="C89" s="417"/>
      <c r="D89" s="465"/>
      <c r="E89" s="465"/>
      <c r="F89" s="465"/>
      <c r="G89" s="465"/>
      <c r="H89" s="465"/>
      <c r="I89" s="465"/>
      <c r="J89" s="417"/>
      <c r="K89" s="65" t="s">
        <v>390</v>
      </c>
      <c r="L89" s="66" t="s">
        <v>121</v>
      </c>
      <c r="M89" s="65"/>
      <c r="N89" s="65">
        <v>1455</v>
      </c>
      <c r="O89" s="65">
        <v>1386.87</v>
      </c>
      <c r="P89" s="65">
        <f t="shared" si="14"/>
        <v>2841.87</v>
      </c>
      <c r="Q89" s="65"/>
      <c r="R89" s="65">
        <f t="shared" si="15"/>
        <v>2841.87</v>
      </c>
      <c r="S89" s="65"/>
      <c r="T89" s="65"/>
      <c r="U89" s="6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3:35" x14ac:dyDescent="0.35">
      <c r="C90" s="418"/>
      <c r="D90" s="466"/>
      <c r="E90" s="466"/>
      <c r="F90" s="466"/>
      <c r="G90" s="466"/>
      <c r="H90" s="466"/>
      <c r="I90" s="466"/>
      <c r="J90" s="418"/>
      <c r="K90" s="65" t="s">
        <v>391</v>
      </c>
      <c r="L90" s="66" t="s">
        <v>124</v>
      </c>
      <c r="M90" s="65">
        <v>0</v>
      </c>
      <c r="N90" s="65">
        <v>2910.01</v>
      </c>
      <c r="O90" s="65">
        <v>2773.75</v>
      </c>
      <c r="P90" s="65">
        <f t="shared" si="14"/>
        <v>5683.76</v>
      </c>
      <c r="Q90" s="65"/>
      <c r="R90" s="65">
        <f t="shared" si="15"/>
        <v>5683.76</v>
      </c>
      <c r="S90" s="65"/>
      <c r="T90" s="65"/>
      <c r="U90" s="65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3:35" x14ac:dyDescent="0.35">
      <c r="C91" s="12">
        <v>4</v>
      </c>
      <c r="D91" s="18" t="s">
        <v>192</v>
      </c>
      <c r="E91" s="18">
        <v>11</v>
      </c>
      <c r="F91" s="18">
        <v>14349.6</v>
      </c>
      <c r="G91" s="18"/>
      <c r="H91" s="18">
        <v>11762.1</v>
      </c>
      <c r="I91" s="18">
        <f>F91+G91+H91</f>
        <v>26111.7</v>
      </c>
      <c r="J91" s="12">
        <f>'[2]أسماء المحالين للمعاش (السويس)'!K26</f>
        <v>1000</v>
      </c>
      <c r="K91" s="5"/>
      <c r="L91" s="6"/>
      <c r="M91" s="5"/>
      <c r="N91" s="5"/>
      <c r="O91" s="5"/>
      <c r="P91" s="5"/>
      <c r="Q91" s="5"/>
      <c r="R91" s="5"/>
      <c r="S91" s="5"/>
      <c r="T91" s="5"/>
      <c r="U91" s="5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3:35" x14ac:dyDescent="0.35"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3:35" x14ac:dyDescent="0.35"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3:35" ht="31.5" x14ac:dyDescent="0.5">
      <c r="C94" s="463" t="s">
        <v>193</v>
      </c>
      <c r="D94" s="463"/>
      <c r="E94" s="463"/>
      <c r="F94" s="463"/>
      <c r="G94" s="463"/>
      <c r="H94" s="463"/>
      <c r="I94" s="463"/>
      <c r="J94" s="463"/>
      <c r="K94" s="463"/>
      <c r="L94" s="463"/>
      <c r="M94" s="463"/>
      <c r="N94" s="463"/>
      <c r="O94" s="463"/>
      <c r="P94" s="463"/>
      <c r="Q94" s="463"/>
      <c r="R94" s="463"/>
      <c r="S94" s="463"/>
      <c r="T94" s="463"/>
      <c r="U94" s="46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3:35" x14ac:dyDescent="0.35">
      <c r="C95" s="394" t="s">
        <v>0</v>
      </c>
      <c r="D95" s="394" t="s">
        <v>99</v>
      </c>
      <c r="E95" s="460" t="s">
        <v>100</v>
      </c>
      <c r="F95" s="394" t="s">
        <v>101</v>
      </c>
      <c r="G95" s="394"/>
      <c r="H95" s="394"/>
      <c r="I95" s="394"/>
      <c r="J95" s="394" t="s">
        <v>102</v>
      </c>
      <c r="K95" s="394" t="s">
        <v>103</v>
      </c>
      <c r="L95" s="460" t="s">
        <v>104</v>
      </c>
      <c r="M95" s="394" t="s">
        <v>105</v>
      </c>
      <c r="N95" s="394"/>
      <c r="O95" s="394"/>
      <c r="P95" s="460" t="s">
        <v>5</v>
      </c>
      <c r="Q95" s="394" t="s">
        <v>106</v>
      </c>
      <c r="R95" s="394" t="s">
        <v>107</v>
      </c>
      <c r="S95" s="394" t="s">
        <v>7</v>
      </c>
      <c r="T95" s="394"/>
      <c r="U95" s="394"/>
      <c r="W95" s="3">
        <v>1000</v>
      </c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3:35" x14ac:dyDescent="0.35">
      <c r="C96" s="394"/>
      <c r="D96" s="394"/>
      <c r="E96" s="460"/>
      <c r="F96" s="8" t="s">
        <v>184</v>
      </c>
      <c r="G96" s="8" t="s">
        <v>185</v>
      </c>
      <c r="H96" s="8" t="s">
        <v>110</v>
      </c>
      <c r="I96" s="8" t="s">
        <v>5</v>
      </c>
      <c r="J96" s="394"/>
      <c r="K96" s="394"/>
      <c r="L96" s="460"/>
      <c r="M96" s="16" t="s">
        <v>111</v>
      </c>
      <c r="N96" s="17" t="s">
        <v>112</v>
      </c>
      <c r="O96" s="8" t="s">
        <v>113</v>
      </c>
      <c r="P96" s="460"/>
      <c r="Q96" s="394"/>
      <c r="R96" s="394"/>
      <c r="S96" s="8" t="s">
        <v>114</v>
      </c>
      <c r="T96" s="8" t="s">
        <v>115</v>
      </c>
      <c r="U96" s="8" t="s">
        <v>116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3:35" x14ac:dyDescent="0.35">
      <c r="C97" s="12">
        <v>1</v>
      </c>
      <c r="D97" s="18" t="s">
        <v>194</v>
      </c>
      <c r="E97" s="18">
        <v>13</v>
      </c>
      <c r="F97" s="18">
        <v>13798.98</v>
      </c>
      <c r="G97" s="18">
        <v>13999.43</v>
      </c>
      <c r="H97" s="18">
        <v>12569.4</v>
      </c>
      <c r="I97" s="18">
        <v>40367.81</v>
      </c>
      <c r="J97" s="12">
        <f>'[2]أسماء المحالين للمعاش(اسكندرية)'!$K$28</f>
        <v>20322.490000000002</v>
      </c>
      <c r="K97" s="5"/>
      <c r="L97" s="6"/>
      <c r="M97" s="5"/>
      <c r="N97" s="5"/>
      <c r="O97" s="5"/>
      <c r="P97" s="5"/>
      <c r="Q97" s="5"/>
      <c r="R97" s="5"/>
      <c r="S97" s="5"/>
      <c r="T97" s="5"/>
      <c r="U97" s="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3:35" x14ac:dyDescent="0.35">
      <c r="C98" s="12">
        <v>2</v>
      </c>
      <c r="D98" s="18" t="s">
        <v>195</v>
      </c>
      <c r="E98" s="18">
        <v>14</v>
      </c>
      <c r="F98" s="18">
        <v>14254.44</v>
      </c>
      <c r="G98" s="18">
        <v>7326.26</v>
      </c>
      <c r="H98" s="18">
        <v>11617.2</v>
      </c>
      <c r="I98" s="18">
        <v>33197.9</v>
      </c>
      <c r="J98" s="12">
        <f>'[2]أسماء المحالين للمعاش(اسكندرية)'!$K$31</f>
        <v>8054.07</v>
      </c>
      <c r="K98" s="5"/>
      <c r="L98" s="6"/>
      <c r="M98" s="5"/>
      <c r="N98" s="5"/>
      <c r="O98" s="5"/>
      <c r="P98" s="5"/>
      <c r="Q98" s="5"/>
      <c r="R98" s="5"/>
      <c r="S98" s="5"/>
      <c r="T98" s="5"/>
      <c r="U98" s="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3:35" x14ac:dyDescent="0.35">
      <c r="C99" s="12">
        <v>3</v>
      </c>
      <c r="D99" s="18" t="s">
        <v>196</v>
      </c>
      <c r="E99" s="18">
        <v>12</v>
      </c>
      <c r="F99" s="18">
        <v>14230.93</v>
      </c>
      <c r="G99" s="18">
        <v>7489.15</v>
      </c>
      <c r="H99" s="18">
        <v>0</v>
      </c>
      <c r="I99" s="18">
        <v>21720.080000000002</v>
      </c>
      <c r="J99" s="12">
        <f>'[2]أسماء المحالين للمعاش(اسكندرية)'!$K$32</f>
        <v>6949.82</v>
      </c>
      <c r="K99" s="5"/>
      <c r="L99" s="6"/>
      <c r="M99" s="5"/>
      <c r="N99" s="5"/>
      <c r="O99" s="5"/>
      <c r="P99" s="5"/>
      <c r="Q99" s="5"/>
      <c r="R99" s="5"/>
      <c r="S99" s="5"/>
      <c r="T99" s="5"/>
      <c r="U99" s="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3:35" x14ac:dyDescent="0.35"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3:35" x14ac:dyDescent="0.35"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3:35" x14ac:dyDescent="0.35"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3:35" x14ac:dyDescent="0.35"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3:35" x14ac:dyDescent="0.35"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3:35" x14ac:dyDescent="0.35"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</sheetData>
  <mergeCells count="174">
    <mergeCell ref="J80:J84"/>
    <mergeCell ref="C94:U94"/>
    <mergeCell ref="C95:C96"/>
    <mergeCell ref="D95:D96"/>
    <mergeCell ref="E95:E96"/>
    <mergeCell ref="F95:I95"/>
    <mergeCell ref="J95:J96"/>
    <mergeCell ref="K95:K96"/>
    <mergeCell ref="C80:C84"/>
    <mergeCell ref="D80:D84"/>
    <mergeCell ref="E80:E84"/>
    <mergeCell ref="F80:F84"/>
    <mergeCell ref="G80:G84"/>
    <mergeCell ref="L95:L96"/>
    <mergeCell ref="M95:O95"/>
    <mergeCell ref="P95:P96"/>
    <mergeCell ref="Q95:Q96"/>
    <mergeCell ref="D85:D90"/>
    <mergeCell ref="E85:E90"/>
    <mergeCell ref="F85:F90"/>
    <mergeCell ref="G85:G90"/>
    <mergeCell ref="H85:H90"/>
    <mergeCell ref="I85:I90"/>
    <mergeCell ref="J85:J90"/>
    <mergeCell ref="C67:C70"/>
    <mergeCell ref="D67:D70"/>
    <mergeCell ref="E67:E70"/>
    <mergeCell ref="F67:F70"/>
    <mergeCell ref="G67:G70"/>
    <mergeCell ref="H67:H70"/>
    <mergeCell ref="C64:C66"/>
    <mergeCell ref="D64:D66"/>
    <mergeCell ref="C61:C63"/>
    <mergeCell ref="D61:D63"/>
    <mergeCell ref="E61:E63"/>
    <mergeCell ref="F61:F63"/>
    <mergeCell ref="G61:G63"/>
    <mergeCell ref="H61:H63"/>
    <mergeCell ref="C85:C90"/>
    <mergeCell ref="R95:R96"/>
    <mergeCell ref="S95:U95"/>
    <mergeCell ref="H80:H84"/>
    <mergeCell ref="I80:I84"/>
    <mergeCell ref="C46:C49"/>
    <mergeCell ref="I43:I45"/>
    <mergeCell ref="J43:J45"/>
    <mergeCell ref="C77:U77"/>
    <mergeCell ref="C78:C79"/>
    <mergeCell ref="D78:D79"/>
    <mergeCell ref="E78:E79"/>
    <mergeCell ref="F78:I78"/>
    <mergeCell ref="J78:J79"/>
    <mergeCell ref="K78:K79"/>
    <mergeCell ref="L78:L79"/>
    <mergeCell ref="R78:R79"/>
    <mergeCell ref="S78:U78"/>
    <mergeCell ref="M78:O78"/>
    <mergeCell ref="P78:P79"/>
    <mergeCell ref="Q78:Q79"/>
    <mergeCell ref="I71:I74"/>
    <mergeCell ref="J71:J74"/>
    <mergeCell ref="I61:I63"/>
    <mergeCell ref="J61:J63"/>
    <mergeCell ref="E64:E66"/>
    <mergeCell ref="F64:F66"/>
    <mergeCell ref="G64:G66"/>
    <mergeCell ref="H64:H66"/>
    <mergeCell ref="I64:I66"/>
    <mergeCell ref="J64:J66"/>
    <mergeCell ref="C8:C16"/>
    <mergeCell ref="D8:D16"/>
    <mergeCell ref="E8:E16"/>
    <mergeCell ref="F8:F16"/>
    <mergeCell ref="G8:G16"/>
    <mergeCell ref="H8:H16"/>
    <mergeCell ref="I8:I16"/>
    <mergeCell ref="J8:J16"/>
    <mergeCell ref="C37:C42"/>
    <mergeCell ref="F21:F24"/>
    <mergeCell ref="G21:G24"/>
    <mergeCell ref="H21:H24"/>
    <mergeCell ref="C35:C36"/>
    <mergeCell ref="D35:D36"/>
    <mergeCell ref="E35:E36"/>
    <mergeCell ref="F35:F36"/>
    <mergeCell ref="G35:G36"/>
    <mergeCell ref="C71:C74"/>
    <mergeCell ref="D71:D74"/>
    <mergeCell ref="E71:E74"/>
    <mergeCell ref="F71:F74"/>
    <mergeCell ref="G71:G74"/>
    <mergeCell ref="H71:H74"/>
    <mergeCell ref="I46:I49"/>
    <mergeCell ref="J46:J49"/>
    <mergeCell ref="D46:D49"/>
    <mergeCell ref="E46:E49"/>
    <mergeCell ref="F46:F49"/>
    <mergeCell ref="G46:G49"/>
    <mergeCell ref="H46:H49"/>
    <mergeCell ref="I67:I70"/>
    <mergeCell ref="J67:J70"/>
    <mergeCell ref="I55:I60"/>
    <mergeCell ref="J55:J60"/>
    <mergeCell ref="C50:C54"/>
    <mergeCell ref="D50:D54"/>
    <mergeCell ref="E50:E54"/>
    <mergeCell ref="F50:F54"/>
    <mergeCell ref="G50:G54"/>
    <mergeCell ref="H50:H54"/>
    <mergeCell ref="I50:I54"/>
    <mergeCell ref="H35:H36"/>
    <mergeCell ref="D25:D30"/>
    <mergeCell ref="E25:E30"/>
    <mergeCell ref="F25:F30"/>
    <mergeCell ref="G25:G30"/>
    <mergeCell ref="H25:H30"/>
    <mergeCell ref="I35:I36"/>
    <mergeCell ref="J35:J36"/>
    <mergeCell ref="I37:I42"/>
    <mergeCell ref="J37:J42"/>
    <mergeCell ref="H37:H42"/>
    <mergeCell ref="J50:J54"/>
    <mergeCell ref="C55:C60"/>
    <mergeCell ref="D55:D60"/>
    <mergeCell ref="E55:E60"/>
    <mergeCell ref="F55:F60"/>
    <mergeCell ref="G55:G60"/>
    <mergeCell ref="H55:H60"/>
    <mergeCell ref="D37:D42"/>
    <mergeCell ref="E37:E42"/>
    <mergeCell ref="F37:F42"/>
    <mergeCell ref="G37:G42"/>
    <mergeCell ref="C43:C45"/>
    <mergeCell ref="E43:E45"/>
    <mergeCell ref="F43:F45"/>
    <mergeCell ref="G43:G45"/>
    <mergeCell ref="H43:H45"/>
    <mergeCell ref="D43:D45"/>
    <mergeCell ref="I17:I20"/>
    <mergeCell ref="J17:J20"/>
    <mergeCell ref="C31:C34"/>
    <mergeCell ref="D31:D34"/>
    <mergeCell ref="E31:E34"/>
    <mergeCell ref="F31:F34"/>
    <mergeCell ref="G31:G34"/>
    <mergeCell ref="H31:H34"/>
    <mergeCell ref="I31:I34"/>
    <mergeCell ref="C17:C20"/>
    <mergeCell ref="D17:D20"/>
    <mergeCell ref="E17:E20"/>
    <mergeCell ref="F17:F20"/>
    <mergeCell ref="G17:G20"/>
    <mergeCell ref="H17:H20"/>
    <mergeCell ref="J31:J34"/>
    <mergeCell ref="I25:I30"/>
    <mergeCell ref="J25:J30"/>
    <mergeCell ref="I21:I24"/>
    <mergeCell ref="J21:J24"/>
    <mergeCell ref="C25:C30"/>
    <mergeCell ref="C21:C24"/>
    <mergeCell ref="D21:D24"/>
    <mergeCell ref="E21:E24"/>
    <mergeCell ref="L6:L7"/>
    <mergeCell ref="M6:O6"/>
    <mergeCell ref="P6:P7"/>
    <mergeCell ref="Q6:Q7"/>
    <mergeCell ref="R6:R7"/>
    <mergeCell ref="S6:U6"/>
    <mergeCell ref="C6:C7"/>
    <mergeCell ref="D6:D7"/>
    <mergeCell ref="E6:E7"/>
    <mergeCell ref="F6:I6"/>
    <mergeCell ref="J6:J7"/>
    <mergeCell ref="K6:K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3:AJ28"/>
  <sheetViews>
    <sheetView rightToLeft="1" topLeftCell="C8" workbookViewId="0">
      <pane xSplit="2" ySplit="1" topLeftCell="E19" activePane="bottomRight" state="frozen"/>
      <selection activeCell="C8" sqref="C8"/>
      <selection pane="topRight" activeCell="E8" sqref="E8"/>
      <selection pane="bottomLeft" activeCell="C9" sqref="C9"/>
      <selection pane="bottomRight" activeCell="C6" sqref="C6:AJ6"/>
    </sheetView>
  </sheetViews>
  <sheetFormatPr defaultRowHeight="15" x14ac:dyDescent="0.25"/>
  <cols>
    <col min="3" max="3" width="5.42578125" customWidth="1"/>
    <col min="4" max="4" width="24.42578125" customWidth="1"/>
    <col min="5" max="5" width="6.5703125" customWidth="1"/>
    <col min="6" max="7" width="13.7109375" customWidth="1"/>
    <col min="8" max="8" width="12.7109375" customWidth="1"/>
    <col min="9" max="9" width="12.28515625" customWidth="1"/>
    <col min="10" max="10" width="12.5703125" customWidth="1"/>
    <col min="11" max="11" width="8" customWidth="1"/>
    <col min="12" max="12" width="13.140625" customWidth="1"/>
    <col min="13" max="13" width="11.7109375" customWidth="1"/>
    <col min="14" max="15" width="13.42578125" customWidth="1"/>
    <col min="16" max="17" width="12.7109375" customWidth="1"/>
    <col min="18" max="18" width="23.5703125" customWidth="1"/>
    <col min="19" max="19" width="66.140625" customWidth="1"/>
    <col min="20" max="20" width="5.85546875" customWidth="1"/>
    <col min="21" max="21" width="14.140625" hidden="1" customWidth="1"/>
    <col min="22" max="22" width="16.28515625" hidden="1" customWidth="1"/>
    <col min="23" max="23" width="12.7109375" customWidth="1"/>
    <col min="24" max="24" width="12.28515625" customWidth="1"/>
    <col min="25" max="25" width="9.7109375" customWidth="1"/>
    <col min="26" max="26" width="9.42578125" customWidth="1"/>
    <col min="27" max="27" width="11.85546875" bestFit="1" customWidth="1"/>
    <col min="28" max="28" width="11.28515625" bestFit="1" customWidth="1"/>
    <col min="29" max="29" width="11.5703125" bestFit="1" customWidth="1"/>
    <col min="33" max="33" width="10.5703125" customWidth="1"/>
    <col min="34" max="34" width="9.42578125" customWidth="1"/>
    <col min="35" max="35" width="9.140625" customWidth="1"/>
    <col min="36" max="36" width="9.42578125" customWidth="1"/>
    <col min="37" max="37" width="9.5703125" customWidth="1"/>
  </cols>
  <sheetData>
    <row r="3" spans="3:36" ht="18.75" x14ac:dyDescent="0.3">
      <c r="C3" s="281"/>
      <c r="D3" s="281"/>
    </row>
    <row r="4" spans="3:36" ht="18.75" x14ac:dyDescent="0.3">
      <c r="C4" s="281"/>
      <c r="D4" s="281"/>
    </row>
    <row r="5" spans="3:36" ht="26.25" x14ac:dyDescent="0.4"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</row>
    <row r="6" spans="3:36" ht="26.25" x14ac:dyDescent="0.4"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</row>
    <row r="7" spans="3:36" ht="23.25" x14ac:dyDescent="0.35"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78"/>
      <c r="U7" s="77"/>
      <c r="V7" s="77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</row>
    <row r="8" spans="3:36" s="67" customFormat="1" ht="63" x14ac:dyDescent="0.25">
      <c r="C8" s="73" t="s">
        <v>0</v>
      </c>
      <c r="D8" s="73" t="s">
        <v>1</v>
      </c>
      <c r="E8" s="73" t="s">
        <v>279</v>
      </c>
      <c r="F8" s="73" t="s">
        <v>218</v>
      </c>
      <c r="G8" s="73" t="s">
        <v>223</v>
      </c>
      <c r="H8" s="73" t="s">
        <v>3</v>
      </c>
      <c r="I8" s="73" t="s">
        <v>185</v>
      </c>
      <c r="J8" s="73" t="s">
        <v>4</v>
      </c>
      <c r="K8" s="73" t="s">
        <v>116</v>
      </c>
      <c r="L8" s="73" t="s">
        <v>5</v>
      </c>
      <c r="M8" s="73" t="s">
        <v>252</v>
      </c>
      <c r="N8" s="73" t="s">
        <v>7</v>
      </c>
      <c r="O8" s="73" t="s">
        <v>398</v>
      </c>
      <c r="P8" s="79" t="s">
        <v>8</v>
      </c>
      <c r="Q8" s="79" t="s">
        <v>397</v>
      </c>
      <c r="R8" s="73" t="s">
        <v>9</v>
      </c>
      <c r="S8" s="73" t="s">
        <v>11</v>
      </c>
      <c r="T8" s="75" t="s">
        <v>395</v>
      </c>
      <c r="U8" s="73" t="s">
        <v>6</v>
      </c>
      <c r="V8" s="73" t="s">
        <v>253</v>
      </c>
      <c r="W8" s="73" t="s">
        <v>12</v>
      </c>
      <c r="X8" s="73" t="s">
        <v>250</v>
      </c>
      <c r="Y8" s="73" t="s">
        <v>254</v>
      </c>
      <c r="Z8" s="73" t="s">
        <v>255</v>
      </c>
      <c r="AA8" s="73" t="s">
        <v>256</v>
      </c>
      <c r="AB8" s="73" t="s">
        <v>257</v>
      </c>
      <c r="AC8" s="73" t="s">
        <v>258</v>
      </c>
      <c r="AD8" s="73" t="s">
        <v>259</v>
      </c>
      <c r="AE8" s="73" t="s">
        <v>260</v>
      </c>
      <c r="AF8" s="73" t="s">
        <v>261</v>
      </c>
      <c r="AG8" s="73" t="s">
        <v>262</v>
      </c>
      <c r="AH8" s="73" t="s">
        <v>263</v>
      </c>
      <c r="AI8" s="73" t="s">
        <v>264</v>
      </c>
      <c r="AJ8" s="73" t="s">
        <v>265</v>
      </c>
    </row>
    <row r="9" spans="3:36" ht="21" x14ac:dyDescent="0.35">
      <c r="C9" s="46">
        <v>1</v>
      </c>
      <c r="D9" s="46" t="s">
        <v>266</v>
      </c>
      <c r="E9" s="47">
        <v>2</v>
      </c>
      <c r="F9" s="50">
        <v>44188</v>
      </c>
      <c r="G9" s="50"/>
      <c r="H9" s="46">
        <v>14698.83</v>
      </c>
      <c r="I9" s="46"/>
      <c r="J9" s="46">
        <v>13684.5</v>
      </c>
      <c r="K9" s="46">
        <v>90</v>
      </c>
      <c r="L9" s="46">
        <f>SUM(بيان.معاشات.السويس[[#This Row],[منحة 6شهور]:[مقابل نقدي]])</f>
        <v>28383.33</v>
      </c>
      <c r="M9" s="46">
        <f>+بيان.معاشات.السويس[[#This Row],[إجمالي الدفعات]]</f>
        <v>12000</v>
      </c>
      <c r="N9" s="46">
        <f>بيان.معاشات.السويس[[#This Row],[إجمالي المستحق]]-بيان.معاشات.السويس[[#This Row],[إجمالي المنصرف]]</f>
        <v>16383.330000000002</v>
      </c>
      <c r="O9" s="46">
        <f>IF(بيان.معاشات.السويس[[#This Row],[المتبقي]]&lt;0,0,بيان.معاشات.السويس[[#This Row],[المتبقي]])</f>
        <v>16383.330000000002</v>
      </c>
      <c r="P9" s="48">
        <f>(بيان.معاشات.السويس[[#This Row],[منحة 6شهور]]+بيان.معاشات.السويس[[#This Row],[مستحقات]])-بيان.معاشات.السويس[[#This Row],[إجمالي المنصرف]]</f>
        <v>2698.83</v>
      </c>
      <c r="Q9" s="48">
        <f>IF(بيان.معاشات.السويس[[#This Row],[المتبقي من المنحة]]&lt;0,0,بيان.معاشات.السويس[[#This Row],[المتبقي من المنحة]])</f>
        <v>2698.83</v>
      </c>
      <c r="R9" s="53">
        <v>26012232600817</v>
      </c>
      <c r="S9" s="46" t="s">
        <v>410</v>
      </c>
      <c r="T9" s="76"/>
      <c r="U9" s="46">
        <v>1500</v>
      </c>
      <c r="V9" s="46">
        <v>7500</v>
      </c>
      <c r="W9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12000</v>
      </c>
      <c r="X9" s="46">
        <f>SUM(بيان.معاشات.السويس[[#This Row],[يناير-23]:[ديسمبر-23]])</f>
        <v>3000</v>
      </c>
      <c r="Y9" s="46">
        <v>500</v>
      </c>
      <c r="Z9" s="46">
        <v>500</v>
      </c>
      <c r="AA9" s="46">
        <v>500</v>
      </c>
      <c r="AB9" s="46">
        <v>500</v>
      </c>
      <c r="AC9" s="46">
        <v>1000</v>
      </c>
      <c r="AD9" s="46"/>
      <c r="AE9" s="46"/>
      <c r="AF9" s="46"/>
      <c r="AG9" s="46"/>
      <c r="AH9" s="46"/>
      <c r="AI9" s="46"/>
      <c r="AJ9" s="46"/>
    </row>
    <row r="10" spans="3:36" ht="21" x14ac:dyDescent="0.35">
      <c r="C10" s="46">
        <v>2</v>
      </c>
      <c r="D10" s="46" t="s">
        <v>267</v>
      </c>
      <c r="E10" s="47">
        <v>3</v>
      </c>
      <c r="F10" s="50">
        <v>44329</v>
      </c>
      <c r="G10" s="50"/>
      <c r="H10" s="46">
        <v>19354.86</v>
      </c>
      <c r="I10" s="46"/>
      <c r="J10" s="46">
        <v>18161.099999999999</v>
      </c>
      <c r="K10" s="46">
        <v>90</v>
      </c>
      <c r="L10" s="46">
        <f>SUM(بيان.معاشات.السويس[[#This Row],[منحة 6شهور]:[مقابل نقدي]])</f>
        <v>37515.96</v>
      </c>
      <c r="M10" s="46">
        <f>+بيان.معاشات.السويس[[#This Row],[إجمالي الدفعات]]</f>
        <v>16677.43</v>
      </c>
      <c r="N10" s="46">
        <f>بيان.معاشات.السويس[[#This Row],[إجمالي المستحق]]-بيان.معاشات.السويس[[#This Row],[إجمالي المنصرف]]</f>
        <v>20838.53</v>
      </c>
      <c r="O10" s="46">
        <f>IF(بيان.معاشات.السويس[[#This Row],[المتبقي]]&lt;0,0,بيان.معاشات.السويس[[#This Row],[المتبقي]])</f>
        <v>20838.53</v>
      </c>
      <c r="P10" s="48">
        <f>(بيان.معاشات.السويس[[#This Row],[منحة 6شهور]]+بيان.معاشات.السويس[[#This Row],[مستحقات]])-بيان.معاشات.السويس[[#This Row],[إجمالي المنصرف]]</f>
        <v>2677.4300000000003</v>
      </c>
      <c r="Q10" s="48">
        <f>IF(بيان.معاشات.السويس[[#This Row],[المتبقي من المنحة]]&lt;0,0,بيان.معاشات.السويس[[#This Row],[المتبقي من المنحة]])</f>
        <v>2677.4300000000003</v>
      </c>
      <c r="R10" s="53">
        <v>26105132701011</v>
      </c>
      <c r="S10" s="46" t="s">
        <v>410</v>
      </c>
      <c r="T10" s="76"/>
      <c r="U10" s="46"/>
      <c r="V10" s="46">
        <v>9000</v>
      </c>
      <c r="W10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16677.43</v>
      </c>
      <c r="X10" s="46">
        <f>SUM(بيان.معاشات.السويس[[#This Row],[يناير-23]:[ديسمبر-23]])</f>
        <v>7677.43</v>
      </c>
      <c r="Y10" s="46">
        <v>500</v>
      </c>
      <c r="Z10" s="46">
        <v>1500</v>
      </c>
      <c r="AA10" s="46">
        <v>3000</v>
      </c>
      <c r="AB10" s="46"/>
      <c r="AC10" s="46">
        <v>2677.43</v>
      </c>
      <c r="AD10" s="46"/>
      <c r="AE10" s="46"/>
      <c r="AF10" s="46"/>
      <c r="AG10" s="46"/>
      <c r="AH10" s="46"/>
      <c r="AI10" s="46"/>
      <c r="AJ10" s="46"/>
    </row>
    <row r="11" spans="3:36" ht="21" x14ac:dyDescent="0.35">
      <c r="C11" s="46">
        <v>3</v>
      </c>
      <c r="D11" s="46" t="s">
        <v>268</v>
      </c>
      <c r="E11" s="47">
        <v>4</v>
      </c>
      <c r="F11" s="50">
        <v>44115</v>
      </c>
      <c r="G11" s="50"/>
      <c r="H11" s="46">
        <v>18400.09</v>
      </c>
      <c r="I11" s="46"/>
      <c r="J11" s="46">
        <v>19963.8</v>
      </c>
      <c r="K11" s="46">
        <v>90</v>
      </c>
      <c r="L11" s="46">
        <f>SUM(بيان.معاشات.السويس[[#This Row],[منحة 6شهور]:[مقابل نقدي]])</f>
        <v>38363.89</v>
      </c>
      <c r="M11" s="46">
        <f>+بيان.معاشات.السويس[[#This Row],[إجمالي الدفعات]]</f>
        <v>12000</v>
      </c>
      <c r="N11" s="46">
        <f>بيان.معاشات.السويس[[#This Row],[إجمالي المستحق]]-بيان.معاشات.السويس[[#This Row],[إجمالي المنصرف]]</f>
        <v>26363.89</v>
      </c>
      <c r="O11" s="46">
        <f>IF(بيان.معاشات.السويس[[#This Row],[المتبقي]]&lt;0,0,بيان.معاشات.السويس[[#This Row],[المتبقي]])</f>
        <v>26363.89</v>
      </c>
      <c r="P11" s="48">
        <f>(بيان.معاشات.السويس[[#This Row],[منحة 6شهور]]+بيان.معاشات.السويس[[#This Row],[مستحقات]])-بيان.معاشات.السويس[[#This Row],[إجمالي المنصرف]]</f>
        <v>6400.09</v>
      </c>
      <c r="Q11" s="48">
        <f>IF(بيان.معاشات.السويس[[#This Row],[المتبقي من المنحة]]&lt;0,0,بيان.معاشات.السويس[[#This Row],[المتبقي من المنحة]])</f>
        <v>6400.09</v>
      </c>
      <c r="R11" s="53">
        <v>26010110400296</v>
      </c>
      <c r="S11" s="46" t="s">
        <v>410</v>
      </c>
      <c r="T11" s="76"/>
      <c r="U11" s="46">
        <v>2000</v>
      </c>
      <c r="V11" s="46">
        <v>7500</v>
      </c>
      <c r="W11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12000</v>
      </c>
      <c r="X11" s="46">
        <f>SUM(بيان.معاشات.السويس[[#This Row],[يناير-23]:[ديسمبر-23]])</f>
        <v>2500</v>
      </c>
      <c r="Y11" s="46">
        <v>500</v>
      </c>
      <c r="Z11" s="46">
        <v>500</v>
      </c>
      <c r="AA11" s="46">
        <v>500</v>
      </c>
      <c r="AB11" s="46">
        <v>500</v>
      </c>
      <c r="AC11" s="46">
        <v>500</v>
      </c>
      <c r="AD11" s="46"/>
      <c r="AE11" s="46"/>
      <c r="AF11" s="46"/>
      <c r="AG11" s="46"/>
      <c r="AH11" s="46"/>
      <c r="AI11" s="46"/>
      <c r="AJ11" s="46"/>
    </row>
    <row r="12" spans="3:36" ht="21" x14ac:dyDescent="0.35">
      <c r="C12" s="46">
        <v>4</v>
      </c>
      <c r="D12" s="46" t="s">
        <v>270</v>
      </c>
      <c r="E12" s="47">
        <v>6</v>
      </c>
      <c r="F12" s="50">
        <v>42871</v>
      </c>
      <c r="G12" s="50"/>
      <c r="H12" s="46">
        <v>0</v>
      </c>
      <c r="I12" s="46"/>
      <c r="J12" s="46">
        <v>10309.5</v>
      </c>
      <c r="K12" s="46">
        <v>90</v>
      </c>
      <c r="L12" s="46">
        <f>SUM(بيان.معاشات.السويس[[#This Row],[منحة 6شهور]:[مقابل نقدي]])</f>
        <v>10309.5</v>
      </c>
      <c r="M12" s="46">
        <f>+بيان.معاشات.السويس[[#This Row],[إجمالي الدفعات]]</f>
        <v>10300</v>
      </c>
      <c r="N12" s="46">
        <f>بيان.معاشات.السويس[[#This Row],[إجمالي المستحق]]-بيان.معاشات.السويس[[#This Row],[إجمالي المنصرف]]</f>
        <v>9.5</v>
      </c>
      <c r="O12" s="46">
        <f>IF(بيان.معاشات.السويس[[#This Row],[المتبقي]]&lt;0,0,بيان.معاشات.السويس[[#This Row],[المتبقي]])</f>
        <v>9.5</v>
      </c>
      <c r="P12" s="48">
        <f>(بيان.معاشات.السويس[[#This Row],[منحة 6شهور]]+بيان.معاشات.السويس[[#This Row],[مستحقات]])-بيان.معاشات.السويس[[#This Row],[إجمالي المنصرف]]</f>
        <v>-10300</v>
      </c>
      <c r="Q12" s="48">
        <f>IF(بيان.معاشات.السويس[[#This Row],[المتبقي من المنحة]]&lt;0,0,بيان.معاشات.السويس[[#This Row],[المتبقي من المنحة]])</f>
        <v>0</v>
      </c>
      <c r="R12" s="53"/>
      <c r="S12" s="46" t="s">
        <v>269</v>
      </c>
      <c r="T12" s="76"/>
      <c r="U12" s="46">
        <v>2500</v>
      </c>
      <c r="V12" s="46">
        <v>5500</v>
      </c>
      <c r="W12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10300</v>
      </c>
      <c r="X12" s="46">
        <f>SUM(بيان.معاشات.السويس[[#This Row],[يناير-23]:[ديسمبر-23]])</f>
        <v>2300</v>
      </c>
      <c r="Y12" s="46"/>
      <c r="Z12" s="46">
        <v>2300</v>
      </c>
      <c r="AA12" s="46"/>
      <c r="AB12" s="46"/>
      <c r="AC12" s="46"/>
      <c r="AD12" s="46"/>
      <c r="AE12" s="46"/>
      <c r="AF12" s="46"/>
      <c r="AG12" s="46"/>
      <c r="AH12" s="46"/>
      <c r="AI12" s="46"/>
      <c r="AJ12" s="46"/>
    </row>
    <row r="13" spans="3:36" ht="21" x14ac:dyDescent="0.35">
      <c r="C13" s="46">
        <v>5</v>
      </c>
      <c r="D13" s="46" t="s">
        <v>271</v>
      </c>
      <c r="E13" s="47">
        <v>7</v>
      </c>
      <c r="F13" s="50">
        <v>43745</v>
      </c>
      <c r="G13" s="50"/>
      <c r="H13" s="46">
        <v>13727.58</v>
      </c>
      <c r="I13" s="46"/>
      <c r="J13" s="46">
        <v>11291.4</v>
      </c>
      <c r="K13" s="46">
        <v>90</v>
      </c>
      <c r="L13" s="46">
        <f>SUM(بيان.معاشات.السويس[[#This Row],[منحة 6شهور]:[مقابل نقدي]])</f>
        <v>25018.98</v>
      </c>
      <c r="M13" s="46">
        <f>+بيان.معاشات.السويس[[#This Row],[إجمالي الدفعات]]</f>
        <v>19000</v>
      </c>
      <c r="N13" s="46">
        <f>بيان.معاشات.السويس[[#This Row],[إجمالي المستحق]]-بيان.معاشات.السويس[[#This Row],[إجمالي المنصرف]]</f>
        <v>6018.98</v>
      </c>
      <c r="O13" s="46">
        <f>IF(بيان.معاشات.السويس[[#This Row],[المتبقي]]&lt;0,0,بيان.معاشات.السويس[[#This Row],[المتبقي]])</f>
        <v>6018.98</v>
      </c>
      <c r="P13" s="48">
        <f>(بيان.معاشات.السويس[[#This Row],[منحة 6شهور]]+بيان.معاشات.السويس[[#This Row],[مستحقات]])-بيان.معاشات.السويس[[#This Row],[إجمالي المنصرف]]</f>
        <v>-5272.42</v>
      </c>
      <c r="Q13" s="48">
        <f>IF(بيان.معاشات.السويس[[#This Row],[المتبقي من المنحة]]&lt;0,0,بيان.معاشات.السويس[[#This Row],[المتبقي من المنحة]])</f>
        <v>0</v>
      </c>
      <c r="R13" s="53">
        <v>25910070400155</v>
      </c>
      <c r="S13" s="46" t="s">
        <v>272</v>
      </c>
      <c r="T13" s="76"/>
      <c r="U13" s="46">
        <v>8000</v>
      </c>
      <c r="V13" s="46">
        <v>8000</v>
      </c>
      <c r="W13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19000</v>
      </c>
      <c r="X13" s="46">
        <f>SUM(بيان.معاشات.السويس[[#This Row],[يناير-23]:[ديسمبر-23]])</f>
        <v>3000</v>
      </c>
      <c r="Y13" s="46">
        <v>500</v>
      </c>
      <c r="Z13" s="46">
        <v>500</v>
      </c>
      <c r="AA13" s="46">
        <v>500</v>
      </c>
      <c r="AB13" s="46">
        <v>500</v>
      </c>
      <c r="AC13" s="46">
        <v>1000</v>
      </c>
      <c r="AD13" s="46"/>
      <c r="AE13" s="46"/>
      <c r="AF13" s="46"/>
      <c r="AG13" s="46"/>
      <c r="AH13" s="46"/>
      <c r="AI13" s="46"/>
      <c r="AJ13" s="46"/>
    </row>
    <row r="14" spans="3:36" ht="21" x14ac:dyDescent="0.35">
      <c r="C14" s="46">
        <v>6</v>
      </c>
      <c r="D14" s="46" t="s">
        <v>273</v>
      </c>
      <c r="E14" s="47">
        <v>8</v>
      </c>
      <c r="F14" s="50">
        <v>44196</v>
      </c>
      <c r="G14" s="50"/>
      <c r="H14" s="46">
        <v>14289.95</v>
      </c>
      <c r="I14" s="46"/>
      <c r="J14" s="46">
        <v>13339.8</v>
      </c>
      <c r="K14" s="46">
        <v>90</v>
      </c>
      <c r="L14" s="46">
        <f>SUM(بيان.معاشات.السويس[[#This Row],[منحة 6شهور]:[مقابل نقدي]])</f>
        <v>27629.75</v>
      </c>
      <c r="M14" s="46">
        <f>+بيان.معاشات.السويس[[#This Row],[إجمالي الدفعات]]</f>
        <v>14289.95</v>
      </c>
      <c r="N14" s="46">
        <f>بيان.معاشات.السويس[[#This Row],[إجمالي المستحق]]-بيان.معاشات.السويس[[#This Row],[إجمالي المنصرف]]</f>
        <v>13339.8</v>
      </c>
      <c r="O14" s="46">
        <f>IF(بيان.معاشات.السويس[[#This Row],[المتبقي]]&lt;0,0,بيان.معاشات.السويس[[#This Row],[المتبقي]])</f>
        <v>13339.8</v>
      </c>
      <c r="P14" s="48">
        <f>(بيان.معاشات.السويس[[#This Row],[منحة 6شهور]]+بيان.معاشات.السويس[[#This Row],[مستحقات]])-بيان.معاشات.السويس[[#This Row],[إجمالي المنصرف]]</f>
        <v>0</v>
      </c>
      <c r="Q14" s="48">
        <f>IF(بيان.معاشات.السويس[[#This Row],[المتبقي من المنحة]]&lt;0,0,بيان.معاشات.السويس[[#This Row],[المتبقي من المنحة]])</f>
        <v>0</v>
      </c>
      <c r="R14" s="53">
        <v>26012310400099</v>
      </c>
      <c r="S14" s="46" t="s">
        <v>410</v>
      </c>
      <c r="T14" s="76"/>
      <c r="U14" s="46">
        <v>1500</v>
      </c>
      <c r="V14" s="46">
        <v>8000</v>
      </c>
      <c r="W14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14289.95</v>
      </c>
      <c r="X14" s="46">
        <f>SUM(بيان.معاشات.السويس[[#This Row],[يناير-23]:[ديسمبر-23]])</f>
        <v>4789.95</v>
      </c>
      <c r="Y14" s="46">
        <v>500</v>
      </c>
      <c r="Z14" s="46">
        <v>600</v>
      </c>
      <c r="AA14" s="46">
        <v>1000</v>
      </c>
      <c r="AB14" s="46">
        <v>1500</v>
      </c>
      <c r="AC14" s="46">
        <v>1189.95</v>
      </c>
      <c r="AD14" s="46"/>
      <c r="AE14" s="46"/>
      <c r="AF14" s="46"/>
      <c r="AG14" s="46"/>
      <c r="AH14" s="46"/>
      <c r="AI14" s="46"/>
      <c r="AJ14" s="46"/>
    </row>
    <row r="15" spans="3:36" ht="21" x14ac:dyDescent="0.35">
      <c r="C15" s="46">
        <v>7</v>
      </c>
      <c r="D15" s="46" t="s">
        <v>409</v>
      </c>
      <c r="E15" s="47">
        <v>13</v>
      </c>
      <c r="F15" s="50">
        <v>44817</v>
      </c>
      <c r="G15" s="50"/>
      <c r="H15" s="46">
        <v>19883.080000000002</v>
      </c>
      <c r="I15" s="46"/>
      <c r="J15" s="46">
        <v>19506.48</v>
      </c>
      <c r="K15" s="46">
        <v>84</v>
      </c>
      <c r="L15" s="46">
        <f>SUM(بيان.معاشات.السويس[[#This Row],[منحة 6شهور]:[مقابل نقدي]])</f>
        <v>39389.56</v>
      </c>
      <c r="M15" s="46">
        <f>+بيان.معاشات.السويس[[#This Row],[إجمالي الدفعات]]</f>
        <v>2500</v>
      </c>
      <c r="N15" s="46">
        <f>بيان.معاشات.السويس[[#This Row],[إجمالي المستحق]]-بيان.معاشات.السويس[[#This Row],[إجمالي المنصرف]]</f>
        <v>36889.56</v>
      </c>
      <c r="O15" s="46">
        <f>IF(بيان.معاشات.السويس[[#This Row],[المتبقي]]&lt;0,0,بيان.معاشات.السويس[[#This Row],[المتبقي]])</f>
        <v>36889.56</v>
      </c>
      <c r="P15" s="48">
        <f>(بيان.معاشات.السويس[[#This Row],[منحة 6شهور]]+بيان.معاشات.السويس[[#This Row],[مستحقات]])-بيان.معاشات.السويس[[#This Row],[إجمالي المنصرف]]</f>
        <v>17383.080000000002</v>
      </c>
      <c r="Q15" s="48">
        <f>IF(بيان.معاشات.السويس[[#This Row],[المتبقي من المنحة]]&lt;0,0,بيان.معاشات.السويس[[#This Row],[المتبقي من المنحة]])</f>
        <v>17383.080000000002</v>
      </c>
      <c r="R15" s="53">
        <v>26209130400072</v>
      </c>
      <c r="S15" s="46"/>
      <c r="T15" s="76"/>
      <c r="U15" s="46"/>
      <c r="V15" s="46"/>
      <c r="W15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2500</v>
      </c>
      <c r="X15" s="46">
        <f>SUM(بيان.معاشات.السويس[[#This Row],[يناير-23]:[ديسمبر-23]])</f>
        <v>2500</v>
      </c>
      <c r="Y15" s="46">
        <v>500</v>
      </c>
      <c r="Z15" s="46">
        <v>500</v>
      </c>
      <c r="AA15" s="46">
        <v>500</v>
      </c>
      <c r="AB15" s="46">
        <v>500</v>
      </c>
      <c r="AC15" s="46">
        <v>500</v>
      </c>
      <c r="AD15" s="46"/>
      <c r="AE15" s="46"/>
      <c r="AF15" s="46"/>
      <c r="AG15" s="46"/>
      <c r="AH15" s="46"/>
      <c r="AI15" s="46"/>
      <c r="AJ15" s="46"/>
    </row>
    <row r="16" spans="3:36" ht="21" x14ac:dyDescent="0.35">
      <c r="C16" s="46">
        <v>8</v>
      </c>
      <c r="D16" s="46" t="s">
        <v>468</v>
      </c>
      <c r="E16" s="197">
        <v>14</v>
      </c>
      <c r="F16" s="50">
        <v>44907</v>
      </c>
      <c r="G16" s="50"/>
      <c r="H16" s="46">
        <v>7620.04</v>
      </c>
      <c r="I16" s="46"/>
      <c r="J16" s="46">
        <v>1703.16</v>
      </c>
      <c r="K16" s="46"/>
      <c r="L16" s="46">
        <f>SUM(بيان.معاشات.السويس[[#This Row],[منحة 6شهور]:[مقابل نقدي]])</f>
        <v>9323.2000000000007</v>
      </c>
      <c r="M16" s="46">
        <f>+بيان.معاشات.السويس[[#This Row],[إجمالي الدفعات]]</f>
        <v>2500</v>
      </c>
      <c r="N16" s="46">
        <f>بيان.معاشات.السويس[[#This Row],[إجمالي المستحق]]-بيان.معاشات.السويس[[#This Row],[إجمالي المنصرف]]</f>
        <v>6823.2000000000007</v>
      </c>
      <c r="O16" s="46">
        <f>IF(بيان.معاشات.السويس[[#This Row],[المتبقي]]&lt;0,0,بيان.معاشات.السويس[[#This Row],[المتبقي]])</f>
        <v>6823.2000000000007</v>
      </c>
      <c r="P16" s="48">
        <f>(بيان.معاشات.السويس[[#This Row],[منحة 6شهور]]+بيان.معاشات.السويس[[#This Row],[مستحقات]])-بيان.معاشات.السويس[[#This Row],[إجمالي المنصرف]]</f>
        <v>5120.04</v>
      </c>
      <c r="Q16" s="48">
        <f>IF(بيان.معاشات.السويس[[#This Row],[المتبقي من المنحة]]&lt;0,0,بيان.معاشات.السويس[[#This Row],[المتبقي من المنحة]])</f>
        <v>5120.04</v>
      </c>
      <c r="R16" s="53">
        <v>26212122701391</v>
      </c>
      <c r="S16" s="46"/>
      <c r="T16" s="76"/>
      <c r="U16" s="46"/>
      <c r="V16" s="46"/>
      <c r="W16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2500</v>
      </c>
      <c r="X16" s="46">
        <f>SUM(بيان.معاشات.السويس[[#This Row],[يناير-23]:[ديسمبر-23]])</f>
        <v>2500</v>
      </c>
      <c r="Y16" s="46"/>
      <c r="Z16" s="46"/>
      <c r="AA16" s="46"/>
      <c r="AB16" s="46">
        <v>1500</v>
      </c>
      <c r="AC16" s="46">
        <v>1000</v>
      </c>
      <c r="AD16" s="46"/>
      <c r="AE16" s="46"/>
      <c r="AF16" s="46"/>
      <c r="AG16" s="46"/>
      <c r="AH16" s="46"/>
      <c r="AI16" s="46"/>
      <c r="AJ16" s="46"/>
    </row>
    <row r="17" spans="3:36" ht="21" x14ac:dyDescent="0.35">
      <c r="C17" s="46">
        <v>9</v>
      </c>
      <c r="D17" s="46" t="s">
        <v>274</v>
      </c>
      <c r="E17" s="47"/>
      <c r="F17" s="50"/>
      <c r="G17" s="50"/>
      <c r="H17" s="46"/>
      <c r="I17" s="46"/>
      <c r="J17" s="46"/>
      <c r="K17" s="46"/>
      <c r="L17" s="46">
        <f>SUM(بيان.معاشات.السويس[[#This Row],[منحة 6شهور]:[مقابل نقدي]])</f>
        <v>0</v>
      </c>
      <c r="M17" s="46">
        <f>+بيان.معاشات.السويس[[#This Row],[إجمالي الدفعات]]</f>
        <v>500</v>
      </c>
      <c r="N17" s="46">
        <f>بيان.معاشات.السويس[[#This Row],[إجمالي المستحق]]-بيان.معاشات.السويس[[#This Row],[إجمالي المنصرف]]</f>
        <v>-500</v>
      </c>
      <c r="O17" s="46">
        <f>IF(بيان.معاشات.السويس[[#This Row],[المتبقي]]&lt;0,0,بيان.معاشات.السويس[[#This Row],[المتبقي]])</f>
        <v>0</v>
      </c>
      <c r="P17" s="48">
        <f>(بيان.معاشات.السويس[[#This Row],[منحة 6شهور]]+بيان.معاشات.السويس[[#This Row],[مستحقات]])-بيان.معاشات.السويس[[#This Row],[إجمالي المنصرف]]</f>
        <v>-500</v>
      </c>
      <c r="Q17" s="48">
        <f>IF(بيان.معاشات.السويس[[#This Row],[المتبقي من المنحة]]&lt;0,0,بيان.معاشات.السويس[[#This Row],[المتبقي من المنحة]])</f>
        <v>0</v>
      </c>
      <c r="R17" s="53"/>
      <c r="S17" s="46"/>
      <c r="T17" s="76"/>
      <c r="U17" s="46"/>
      <c r="V17" s="46">
        <v>500</v>
      </c>
      <c r="W17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500</v>
      </c>
      <c r="X17" s="46">
        <f>SUM(بيان.معاشات.السويس[[#This Row],[يناير-23]:[ديسمبر-23]])</f>
        <v>0</v>
      </c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</row>
    <row r="18" spans="3:36" ht="21" x14ac:dyDescent="0.35">
      <c r="C18" s="46">
        <v>10</v>
      </c>
      <c r="D18" s="46" t="s">
        <v>275</v>
      </c>
      <c r="E18" s="47"/>
      <c r="F18" s="50"/>
      <c r="G18" s="50"/>
      <c r="H18" s="46"/>
      <c r="I18" s="46"/>
      <c r="J18" s="46"/>
      <c r="K18" s="46"/>
      <c r="L18" s="46">
        <f>SUM(بيان.معاشات.السويس[[#This Row],[منحة 6شهور]:[مقابل نقدي]])</f>
        <v>0</v>
      </c>
      <c r="M18" s="46">
        <f>+بيان.معاشات.السويس[[#This Row],[إجمالي الدفعات]]</f>
        <v>500</v>
      </c>
      <c r="N18" s="46">
        <f>بيان.معاشات.السويس[[#This Row],[إجمالي المستحق]]-بيان.معاشات.السويس[[#This Row],[إجمالي المنصرف]]</f>
        <v>-500</v>
      </c>
      <c r="O18" s="46">
        <f>IF(بيان.معاشات.السويس[[#This Row],[المتبقي]]&lt;0,0,بيان.معاشات.السويس[[#This Row],[المتبقي]])</f>
        <v>0</v>
      </c>
      <c r="P18" s="48">
        <f>(بيان.معاشات.السويس[[#This Row],[منحة 6شهور]]+بيان.معاشات.السويس[[#This Row],[مستحقات]])-بيان.معاشات.السويس[[#This Row],[إجمالي المنصرف]]</f>
        <v>-500</v>
      </c>
      <c r="Q18" s="48">
        <f>IF(بيان.معاشات.السويس[[#This Row],[المتبقي من المنحة]]&lt;0,0,بيان.معاشات.السويس[[#This Row],[المتبقي من المنحة]])</f>
        <v>0</v>
      </c>
      <c r="R18" s="53"/>
      <c r="S18" s="46"/>
      <c r="T18" s="76"/>
      <c r="U18" s="46"/>
      <c r="V18" s="46">
        <v>500</v>
      </c>
      <c r="W18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500</v>
      </c>
      <c r="X18" s="46">
        <f>SUM(بيان.معاشات.السويس[[#This Row],[يناير-23]:[ديسمبر-23]])</f>
        <v>0</v>
      </c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</row>
    <row r="19" spans="3:36" ht="21" x14ac:dyDescent="0.35">
      <c r="C19" s="46">
        <v>11</v>
      </c>
      <c r="D19" s="46" t="s">
        <v>276</v>
      </c>
      <c r="E19" s="47"/>
      <c r="F19" s="50"/>
      <c r="G19" s="50"/>
      <c r="H19" s="46"/>
      <c r="I19" s="46"/>
      <c r="J19" s="46"/>
      <c r="K19" s="46"/>
      <c r="L19" s="46">
        <f>SUM(بيان.معاشات.السويس[[#This Row],[منحة 6شهور]:[مقابل نقدي]])</f>
        <v>0</v>
      </c>
      <c r="M19" s="46">
        <f>+بيان.معاشات.السويس[[#This Row],[إجمالي الدفعات]]</f>
        <v>500</v>
      </c>
      <c r="N19" s="46">
        <f>بيان.معاشات.السويس[[#This Row],[إجمالي المستحق]]-بيان.معاشات.السويس[[#This Row],[إجمالي المنصرف]]</f>
        <v>-500</v>
      </c>
      <c r="O19" s="46">
        <f>IF(بيان.معاشات.السويس[[#This Row],[المتبقي]]&lt;0,0,بيان.معاشات.السويس[[#This Row],[المتبقي]])</f>
        <v>0</v>
      </c>
      <c r="P19" s="48">
        <f>(بيان.معاشات.السويس[[#This Row],[منحة 6شهور]]+بيان.معاشات.السويس[[#This Row],[مستحقات]])-بيان.معاشات.السويس[[#This Row],[إجمالي المنصرف]]</f>
        <v>-500</v>
      </c>
      <c r="Q19" s="48">
        <f>IF(بيان.معاشات.السويس[[#This Row],[المتبقي من المنحة]]&lt;0,0,بيان.معاشات.السويس[[#This Row],[المتبقي من المنحة]])</f>
        <v>0</v>
      </c>
      <c r="R19" s="53"/>
      <c r="S19" s="46"/>
      <c r="T19" s="76"/>
      <c r="U19" s="46"/>
      <c r="V19" s="46">
        <v>500</v>
      </c>
      <c r="W19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500</v>
      </c>
      <c r="X19" s="46">
        <f>SUM(بيان.معاشات.السويس[[#This Row],[يناير-23]:[ديسمبر-23]])</f>
        <v>0</v>
      </c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</row>
    <row r="20" spans="3:36" ht="21" x14ac:dyDescent="0.35">
      <c r="C20" s="46">
        <v>12</v>
      </c>
      <c r="D20" s="46"/>
      <c r="E20" s="47"/>
      <c r="F20" s="50"/>
      <c r="G20" s="50"/>
      <c r="H20" s="46"/>
      <c r="I20" s="46"/>
      <c r="J20" s="46"/>
      <c r="K20" s="46"/>
      <c r="L20" s="46">
        <f>SUM(بيان.معاشات.السويس[[#This Row],[منحة 6شهور]:[مقابل نقدي]])</f>
        <v>0</v>
      </c>
      <c r="M20" s="46">
        <f>+بيان.معاشات.السويس[[#This Row],[إجمالي الدفعات]]</f>
        <v>0</v>
      </c>
      <c r="N20" s="46">
        <f>بيان.معاشات.السويس[[#This Row],[إجمالي المستحق]]-بيان.معاشات.السويس[[#This Row],[إجمالي المنصرف]]</f>
        <v>0</v>
      </c>
      <c r="O20" s="46">
        <f>IF(بيان.معاشات.السويس[[#This Row],[المتبقي]]&lt;0,0,بيان.معاشات.السويس[[#This Row],[المتبقي]])</f>
        <v>0</v>
      </c>
      <c r="P20" s="48">
        <f>(بيان.معاشات.السويس[[#This Row],[منحة 6شهور]]+بيان.معاشات.السويس[[#This Row],[مستحقات]])-بيان.معاشات.السويس[[#This Row],[إجمالي المنصرف]]</f>
        <v>0</v>
      </c>
      <c r="Q20" s="48">
        <f>IF(بيان.معاشات.السويس[[#This Row],[المتبقي من المنحة]]&lt;0,0,بيان.معاشات.السويس[[#This Row],[المتبقي من المنحة]])</f>
        <v>0</v>
      </c>
      <c r="R20" s="53"/>
      <c r="S20" s="46"/>
      <c r="T20" s="76"/>
      <c r="U20" s="46"/>
      <c r="V20" s="46">
        <v>0</v>
      </c>
      <c r="W20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0</v>
      </c>
      <c r="X20" s="46">
        <f>SUM(بيان.معاشات.السويس[[#This Row],[يناير-23]:[ديسمبر-23]])</f>
        <v>0</v>
      </c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</row>
    <row r="21" spans="3:36" ht="21" x14ac:dyDescent="0.35">
      <c r="C21" s="46">
        <v>13</v>
      </c>
      <c r="D21" s="46"/>
      <c r="E21" s="47"/>
      <c r="F21" s="50"/>
      <c r="G21" s="50"/>
      <c r="H21" s="46"/>
      <c r="I21" s="46"/>
      <c r="J21" s="46"/>
      <c r="K21" s="46"/>
      <c r="L21" s="46">
        <f>SUM(بيان.معاشات.السويس[[#This Row],[منحة 6شهور]:[مقابل نقدي]])</f>
        <v>0</v>
      </c>
      <c r="M21" s="46">
        <f>+بيان.معاشات.السويس[[#This Row],[إجمالي الدفعات]]</f>
        <v>0</v>
      </c>
      <c r="N21" s="46">
        <f>بيان.معاشات.السويس[[#This Row],[إجمالي المستحق]]-بيان.معاشات.السويس[[#This Row],[إجمالي المنصرف]]</f>
        <v>0</v>
      </c>
      <c r="O21" s="46">
        <f>IF(بيان.معاشات.السويس[[#This Row],[المتبقي]]&lt;0,0,بيان.معاشات.السويس[[#This Row],[المتبقي]])</f>
        <v>0</v>
      </c>
      <c r="P21" s="48">
        <f>(بيان.معاشات.السويس[[#This Row],[منحة 6شهور]]+بيان.معاشات.السويس[[#This Row],[مستحقات]])-بيان.معاشات.السويس[[#This Row],[إجمالي المنصرف]]</f>
        <v>0</v>
      </c>
      <c r="Q21" s="48">
        <f>IF(بيان.معاشات.السويس[[#This Row],[المتبقي من المنحة]]&lt;0,0,بيان.معاشات.السويس[[#This Row],[المتبقي من المنحة]])</f>
        <v>0</v>
      </c>
      <c r="R21" s="53"/>
      <c r="S21" s="46"/>
      <c r="T21" s="76"/>
      <c r="U21" s="46"/>
      <c r="V21" s="46">
        <v>0</v>
      </c>
      <c r="W21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0</v>
      </c>
      <c r="X21" s="46">
        <f>SUM(بيان.معاشات.السويس[[#This Row],[يناير-23]:[ديسمبر-23]])</f>
        <v>0</v>
      </c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</row>
    <row r="22" spans="3:36" ht="21" x14ac:dyDescent="0.35">
      <c r="C22" s="46"/>
      <c r="D22" s="46" t="s">
        <v>72</v>
      </c>
      <c r="E22" s="47"/>
      <c r="F22" s="50"/>
      <c r="G22" s="50"/>
      <c r="H22" s="46"/>
      <c r="I22" s="46"/>
      <c r="J22" s="46"/>
      <c r="K22" s="46"/>
      <c r="L22" s="46">
        <f>SUM(بيان.معاشات.السويس[[#This Row],[منحة 6شهور]:[مقابل نقدي]])</f>
        <v>0</v>
      </c>
      <c r="M22" s="46">
        <f>+بيان.معاشات.السويس[[#This Row],[إجمالي الدفعات]]</f>
        <v>0</v>
      </c>
      <c r="N22" s="46">
        <f>بيان.معاشات.السويس[[#This Row],[إجمالي المستحق]]-بيان.معاشات.السويس[[#This Row],[إجمالي المنصرف]]</f>
        <v>0</v>
      </c>
      <c r="O22" s="46">
        <f>IF(بيان.معاشات.السويس[[#This Row],[المتبقي]]&lt;0,0,بيان.معاشات.السويس[[#This Row],[المتبقي]])</f>
        <v>0</v>
      </c>
      <c r="P22" s="48">
        <f>(بيان.معاشات.السويس[[#This Row],[منحة 6شهور]]+بيان.معاشات.السويس[[#This Row],[مستحقات]])-بيان.معاشات.السويس[[#This Row],[إجمالي المنصرف]]</f>
        <v>0</v>
      </c>
      <c r="Q22" s="48">
        <f>IF(بيان.معاشات.السويس[[#This Row],[المتبقي من المنحة]]&lt;0,0,بيان.معاشات.السويس[[#This Row],[المتبقي من المنحة]])</f>
        <v>0</v>
      </c>
      <c r="R22" s="53"/>
      <c r="S22" s="46"/>
      <c r="T22" s="76"/>
      <c r="U22" s="46">
        <v>0</v>
      </c>
      <c r="V22" s="46">
        <v>0</v>
      </c>
      <c r="W22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0</v>
      </c>
      <c r="X22" s="46">
        <f>SUM(بيان.معاشات.السويس[[#This Row],[يناير-23]:[ديسمبر-23]])</f>
        <v>0</v>
      </c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</row>
    <row r="23" spans="3:36" ht="21" x14ac:dyDescent="0.35">
      <c r="C23" s="46">
        <v>1</v>
      </c>
      <c r="D23" s="46" t="s">
        <v>186</v>
      </c>
      <c r="E23" s="47">
        <v>1</v>
      </c>
      <c r="F23" s="50">
        <v>43760</v>
      </c>
      <c r="G23" s="50">
        <v>44010</v>
      </c>
      <c r="H23" s="46">
        <v>17495.16</v>
      </c>
      <c r="I23" s="46">
        <v>656.23</v>
      </c>
      <c r="J23" s="46">
        <v>11670.3</v>
      </c>
      <c r="K23" s="46">
        <v>90</v>
      </c>
      <c r="L23" s="46">
        <f>SUM(بيان.معاشات.السويس[[#This Row],[منحة 6شهور]:[مقابل نقدي]])</f>
        <v>29821.69</v>
      </c>
      <c r="M23" s="46">
        <f>+بيان.معاشات.السويس[[#This Row],[إجمالي الدفعات]]</f>
        <v>20953</v>
      </c>
      <c r="N23" s="46">
        <f>بيان.معاشات.السويس[[#This Row],[إجمالي المستحق]]-بيان.معاشات.السويس[[#This Row],[إجمالي المنصرف]]</f>
        <v>8868.6899999999987</v>
      </c>
      <c r="O23" s="46">
        <f>IF(بيان.معاشات.السويس[[#This Row],[المتبقي]]&lt;0,0,بيان.معاشات.السويس[[#This Row],[المتبقي]])</f>
        <v>8868.6899999999987</v>
      </c>
      <c r="P23" s="48">
        <f>(بيان.معاشات.السويس[[#This Row],[منحة 6شهور]]+بيان.معاشات.السويس[[#This Row],[مستحقات]])-بيان.معاشات.السويس[[#This Row],[إجمالي المنصرف]]</f>
        <v>-2801.6100000000006</v>
      </c>
      <c r="Q23" s="48">
        <f>IF(بيان.معاشات.السويس[[#This Row],[المتبقي من المنحة]]&lt;0,0,بيان.معاشات.السويس[[#This Row],[المتبقي من المنحة]])</f>
        <v>0</v>
      </c>
      <c r="R23" s="53">
        <v>30009160400171</v>
      </c>
      <c r="S23" s="46" t="s">
        <v>410</v>
      </c>
      <c r="T23" s="76"/>
      <c r="U23" s="46">
        <v>8953</v>
      </c>
      <c r="V23" s="46">
        <v>8000</v>
      </c>
      <c r="W23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20953</v>
      </c>
      <c r="X23" s="46">
        <f>SUM(بيان.معاشات.السويس[[#This Row],[يناير-23]:[ديسمبر-23]])</f>
        <v>4000</v>
      </c>
      <c r="Y23" s="46">
        <v>500</v>
      </c>
      <c r="Z23" s="46">
        <v>500</v>
      </c>
      <c r="AA23" s="46">
        <v>1000</v>
      </c>
      <c r="AB23" s="46">
        <v>1000</v>
      </c>
      <c r="AC23" s="46">
        <v>1000</v>
      </c>
      <c r="AD23" s="46"/>
      <c r="AE23" s="46"/>
      <c r="AF23" s="46"/>
      <c r="AG23" s="46"/>
      <c r="AH23" s="46"/>
      <c r="AI23" s="46"/>
      <c r="AJ23" s="46"/>
    </row>
    <row r="24" spans="3:36" ht="21" x14ac:dyDescent="0.35">
      <c r="C24" s="46">
        <v>2</v>
      </c>
      <c r="D24" s="46" t="s">
        <v>192</v>
      </c>
      <c r="E24" s="47">
        <v>11</v>
      </c>
      <c r="F24" s="50">
        <v>43788</v>
      </c>
      <c r="G24" s="50">
        <v>43808</v>
      </c>
      <c r="H24" s="46">
        <v>14349.6</v>
      </c>
      <c r="I24" s="46"/>
      <c r="J24" s="46">
        <v>11762.1</v>
      </c>
      <c r="K24" s="46">
        <v>90</v>
      </c>
      <c r="L24" s="46">
        <f>SUM(بيان.معاشات.السويس[[#This Row],[منحة 6شهور]:[مقابل نقدي]])</f>
        <v>26111.7</v>
      </c>
      <c r="M24" s="46">
        <f>+بيان.معاشات.السويس[[#This Row],[إجمالي الدفعات]]</f>
        <v>1000</v>
      </c>
      <c r="N24" s="46">
        <f>بيان.معاشات.السويس[[#This Row],[إجمالي المستحق]]-بيان.معاشات.السويس[[#This Row],[إجمالي المنصرف]]</f>
        <v>25111.7</v>
      </c>
      <c r="O24" s="46">
        <f>IF(بيان.معاشات.السويس[[#This Row],[المتبقي]]&lt;0,0,بيان.معاشات.السويس[[#This Row],[المتبقي]])</f>
        <v>25111.7</v>
      </c>
      <c r="P24" s="48">
        <f>(بيان.معاشات.السويس[[#This Row],[منحة 6شهور]]+بيان.معاشات.السويس[[#This Row],[مستحقات]])-بيان.معاشات.السويس[[#This Row],[إجمالي المنصرف]]</f>
        <v>13349.6</v>
      </c>
      <c r="Q24" s="48">
        <f>IF(بيان.معاشات.السويس[[#This Row],[المتبقي من المنحة]]&lt;0,0,بيان.معاشات.السويس[[#This Row],[المتبقي من المنحة]])</f>
        <v>13349.6</v>
      </c>
      <c r="R24" s="53" t="s">
        <v>277</v>
      </c>
      <c r="S24" s="46"/>
      <c r="T24" s="76"/>
      <c r="U24" s="46">
        <v>0</v>
      </c>
      <c r="V24" s="46">
        <v>1000</v>
      </c>
      <c r="W24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1000</v>
      </c>
      <c r="X24" s="46">
        <f>SUM(بيان.معاشات.السويس[[#This Row],[يناير-23]:[ديسمبر-23]])</f>
        <v>0</v>
      </c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</row>
    <row r="25" spans="3:36" ht="21" x14ac:dyDescent="0.35">
      <c r="C25" s="46">
        <v>3</v>
      </c>
      <c r="D25" s="46" t="s">
        <v>278</v>
      </c>
      <c r="E25" s="47">
        <v>12</v>
      </c>
      <c r="F25" s="50">
        <v>44561</v>
      </c>
      <c r="G25" s="50">
        <v>44561</v>
      </c>
      <c r="H25" s="46">
        <v>14965.76</v>
      </c>
      <c r="I25" s="46">
        <v>19144.95</v>
      </c>
      <c r="J25" s="46">
        <v>14265</v>
      </c>
      <c r="K25" s="46">
        <v>90</v>
      </c>
      <c r="L25" s="46">
        <f>SUM(بيان.معاشات.السويس[[#This Row],[منحة 6شهور]:[مقابل نقدي]])</f>
        <v>48375.71</v>
      </c>
      <c r="M25" s="46">
        <f>+بيان.معاشات.السويس[[#This Row],[إجمالي الدفعات]]</f>
        <v>11500</v>
      </c>
      <c r="N25" s="46">
        <f>بيان.معاشات.السويس[[#This Row],[إجمالي المستحق]]-بيان.معاشات.السويس[[#This Row],[إجمالي المنصرف]]</f>
        <v>36875.71</v>
      </c>
      <c r="O25" s="46">
        <f>IF(بيان.معاشات.السويس[[#This Row],[المتبقي]]&lt;0,0,بيان.معاشات.السويس[[#This Row],[المتبقي]])</f>
        <v>36875.71</v>
      </c>
      <c r="P25" s="48">
        <f>(بيان.معاشات.السويس[[#This Row],[منحة 6شهور]]+بيان.معاشات.السويس[[#This Row],[مستحقات]])-بيان.معاشات.السويس[[#This Row],[إجمالي المنصرف]]</f>
        <v>22610.71</v>
      </c>
      <c r="Q25" s="48">
        <f>IF(بيان.معاشات.السويس[[#This Row],[المتبقي من المنحة]]&lt;0,0,بيان.معاشات.السويس[[#This Row],[المتبقي من المنحة]])</f>
        <v>22610.71</v>
      </c>
      <c r="R25" s="53">
        <v>29111270400073</v>
      </c>
      <c r="S25" s="46"/>
      <c r="T25" s="76"/>
      <c r="U25" s="46">
        <v>0</v>
      </c>
      <c r="V25" s="46">
        <v>6000</v>
      </c>
      <c r="W25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11500</v>
      </c>
      <c r="X25" s="46">
        <f>SUM(بيان.معاشات.السويس[[#This Row],[يناير-23]:[ديسمبر-23]])</f>
        <v>5500</v>
      </c>
      <c r="Y25" s="46">
        <v>500</v>
      </c>
      <c r="Z25" s="46">
        <v>1000</v>
      </c>
      <c r="AA25" s="46">
        <v>1000</v>
      </c>
      <c r="AB25" s="46">
        <v>1000</v>
      </c>
      <c r="AC25" s="46">
        <v>2000</v>
      </c>
      <c r="AD25" s="46"/>
      <c r="AE25" s="46"/>
      <c r="AF25" s="46"/>
      <c r="AG25" s="46"/>
      <c r="AH25" s="46"/>
      <c r="AI25" s="46"/>
      <c r="AJ25" s="46"/>
    </row>
    <row r="26" spans="3:36" ht="21" x14ac:dyDescent="0.35">
      <c r="C26" s="46"/>
      <c r="D26" s="46"/>
      <c r="E26" s="47"/>
      <c r="F26" s="50"/>
      <c r="G26" s="50"/>
      <c r="H26" s="46"/>
      <c r="I26" s="46"/>
      <c r="J26" s="46"/>
      <c r="K26" s="46"/>
      <c r="L26" s="46">
        <f>SUM(بيان.معاشات.السويس[[#This Row],[منحة 6شهور]:[مقابل نقدي]])</f>
        <v>0</v>
      </c>
      <c r="M26" s="46">
        <f>+بيان.معاشات.السويس[[#This Row],[إجمالي الدفعات]]</f>
        <v>0</v>
      </c>
      <c r="N26" s="46">
        <f>بيان.معاشات.السويس[[#This Row],[إجمالي المستحق]]-بيان.معاشات.السويس[[#This Row],[إجمالي المنصرف]]</f>
        <v>0</v>
      </c>
      <c r="O26" s="46">
        <f>IF(بيان.معاشات.السويس[[#This Row],[المتبقي]]&lt;0,0,بيان.معاشات.السويس[[#This Row],[المتبقي]])</f>
        <v>0</v>
      </c>
      <c r="P26" s="48">
        <f>(بيان.معاشات.السويس[[#This Row],[منحة 6شهور]]+بيان.معاشات.السويس[[#This Row],[مستحقات]])-بيان.معاشات.السويس[[#This Row],[إجمالي المنصرف]]</f>
        <v>0</v>
      </c>
      <c r="Q26" s="48">
        <f>IF(بيان.معاشات.السويس[[#This Row],[المتبقي من المنحة]]&lt;0,0,بيان.معاشات.السويس[[#This Row],[المتبقي من المنحة]])</f>
        <v>0</v>
      </c>
      <c r="R26" s="53"/>
      <c r="S26" s="46"/>
      <c r="T26" s="76"/>
      <c r="U26" s="46">
        <v>0</v>
      </c>
      <c r="V26" s="46">
        <v>0</v>
      </c>
      <c r="W26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0</v>
      </c>
      <c r="X26" s="46">
        <f>SUM(بيان.معاشات.السويس[[#This Row],[يناير-23]:[ديسمبر-23]])</f>
        <v>0</v>
      </c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</row>
    <row r="27" spans="3:36" ht="21" x14ac:dyDescent="0.35">
      <c r="C27" s="46"/>
      <c r="D27" s="46"/>
      <c r="E27" s="47"/>
      <c r="F27" s="50"/>
      <c r="G27" s="50"/>
      <c r="H27" s="46"/>
      <c r="I27" s="46"/>
      <c r="J27" s="46"/>
      <c r="K27" s="46"/>
      <c r="L27" s="46">
        <f>SUM(بيان.معاشات.السويس[[#This Row],[منحة 6شهور]:[مقابل نقدي]])</f>
        <v>0</v>
      </c>
      <c r="M27" s="46">
        <f>+بيان.معاشات.السويس[[#This Row],[إجمالي الدفعات]]</f>
        <v>0</v>
      </c>
      <c r="N27" s="46">
        <f>بيان.معاشات.السويس[[#This Row],[إجمالي المستحق]]-بيان.معاشات.السويس[[#This Row],[إجمالي المنصرف]]</f>
        <v>0</v>
      </c>
      <c r="O27" s="46">
        <f>IF(بيان.معاشات.السويس[[#This Row],[المتبقي]]&lt;0,0,بيان.معاشات.السويس[[#This Row],[المتبقي]])</f>
        <v>0</v>
      </c>
      <c r="P27" s="48">
        <f>(بيان.معاشات.السويس[[#This Row],[منحة 6شهور]]+بيان.معاشات.السويس[[#This Row],[مستحقات]])-بيان.معاشات.السويس[[#This Row],[إجمالي المنصرف]]</f>
        <v>0</v>
      </c>
      <c r="Q27" s="48">
        <f>IF(بيان.معاشات.السويس[[#This Row],[المتبقي من المنحة]]&lt;0,0,بيان.معاشات.السويس[[#This Row],[المتبقي من المنحة]])</f>
        <v>0</v>
      </c>
      <c r="R27" s="53"/>
      <c r="S27" s="46"/>
      <c r="T27" s="76"/>
      <c r="U27" s="46">
        <v>0</v>
      </c>
      <c r="V27" s="46">
        <v>0</v>
      </c>
      <c r="W27" s="46">
        <f>بيان.معاشات.السويس[[#This Row],[المنصرف قبل الاستلام]]+بيان.معاشات.السويس[[#This Row],[ما تم صرفه من7/2021 حتى12/2022]]+بيان.معاشات.السويس[[#This Row],[إجمالي دفعات 2023]]</f>
        <v>0</v>
      </c>
      <c r="X27" s="46">
        <f>SUM(بيان.معاشات.السويس[[#This Row],[يناير-23]:[ديسمبر-23]])</f>
        <v>0</v>
      </c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</row>
    <row r="28" spans="3:36" ht="21" x14ac:dyDescent="0.35">
      <c r="C28" s="198" t="s">
        <v>396</v>
      </c>
      <c r="D28" s="198"/>
      <c r="E28" s="199"/>
      <c r="F28" s="199"/>
      <c r="G28" s="199"/>
      <c r="H28" s="199">
        <f>SUBTOTAL(109,بيان.معاشات.السويس[منحة 6شهور])</f>
        <v>154784.95000000001</v>
      </c>
      <c r="I28" s="199">
        <f>SUBTOTAL(109,بيان.معاشات.السويس[مستحقات])</f>
        <v>19801.18</v>
      </c>
      <c r="J28" s="199">
        <f>SUBTOTAL(109,بيان.معاشات.السويس[مستحقات])</f>
        <v>19801.18</v>
      </c>
      <c r="K28" s="199"/>
      <c r="L28" s="199">
        <f>SUBTOTAL(109,بيان.معاشات.السويس[إجمالي المستحق])</f>
        <v>320243.27</v>
      </c>
      <c r="M28" s="199">
        <f>SUBTOTAL(109,بيان.معاشات.السويس[إجمالي المنصرف])</f>
        <v>124220.37999999999</v>
      </c>
      <c r="N28" s="199"/>
      <c r="O28" s="199">
        <f>SUBTOTAL(109,بيان.معاشات.السويس[المتبقي بعد 1-])</f>
        <v>197522.88999999998</v>
      </c>
      <c r="P28" s="199"/>
      <c r="Q28" s="199">
        <f>SUBTOTAL(109,بيان.معاشات.السويس[المتبقي من المنحة بعد  1-])</f>
        <v>70239.78</v>
      </c>
      <c r="R28" s="199"/>
      <c r="S28" s="199"/>
      <c r="T28" s="199"/>
      <c r="U28" s="199"/>
      <c r="V28" s="199"/>
      <c r="W28" s="199">
        <f>SUBTOTAL(109,بيان.معاشات.السويس[إجمالي الدفعات])</f>
        <v>124220.37999999999</v>
      </c>
      <c r="X28" s="199">
        <f>SUBTOTAL(109,بيان.معاشات.السويس[إجمالي دفعات 2023])</f>
        <v>37767.380000000005</v>
      </c>
      <c r="Y28" s="199">
        <f>SUBTOTAL(109,بيان.معاشات.السويس[يناير-23])</f>
        <v>4000</v>
      </c>
      <c r="Z28" s="199">
        <f>SUBTOTAL(109,بيان.معاشات.السويس[فبراير-23])</f>
        <v>7900</v>
      </c>
      <c r="AA28" s="199">
        <f>SUBTOTAL(109,بيان.معاشات.السويس[مارس-23])</f>
        <v>8000</v>
      </c>
      <c r="AB28" s="199">
        <f>SUBTOTAL(109,بيان.معاشات.السويس[أبريل-23])</f>
        <v>7000</v>
      </c>
      <c r="AC28" s="199">
        <f>SUBTOTAL(109,بيان.معاشات.السويس[مايو-23])</f>
        <v>10867.380000000001</v>
      </c>
      <c r="AD28" s="199">
        <f>SUBTOTAL(109,بيان.معاشات.السويس[يونيو-23])</f>
        <v>0</v>
      </c>
      <c r="AE28" s="199">
        <f>SUBTOTAL(109,بيان.معاشات.السويس[يوليه-23])</f>
        <v>0</v>
      </c>
      <c r="AF28" s="199">
        <f>SUBTOTAL(109,بيان.معاشات.السويس[أغسطس-23])</f>
        <v>0</v>
      </c>
      <c r="AG28" s="199">
        <f>SUBTOTAL(109,بيان.معاشات.السويس[سبتمبر-23])</f>
        <v>0</v>
      </c>
      <c r="AH28" s="199">
        <f>SUBTOTAL(109,بيان.معاشات.السويس[أكتوبر-23])</f>
        <v>0</v>
      </c>
      <c r="AI28" s="199">
        <f>SUBTOTAL(109,بيان.معاشات.السويس[نوفمبر-23])</f>
        <v>0</v>
      </c>
      <c r="AJ28" s="199">
        <f>SUBTOTAL(109,بيان.معاشات.السويس[ديسمبر-23])</f>
        <v>0</v>
      </c>
    </row>
  </sheetData>
  <mergeCells count="6">
    <mergeCell ref="C3:D3"/>
    <mergeCell ref="C4:D4"/>
    <mergeCell ref="C5:AJ5"/>
    <mergeCell ref="C6:AJ6"/>
    <mergeCell ref="C7:S7"/>
    <mergeCell ref="W7:AJ7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2:AK31"/>
  <sheetViews>
    <sheetView rightToLeft="1" topLeftCell="C7" workbookViewId="0">
      <pane xSplit="2" ySplit="1" topLeftCell="E8" activePane="bottomRight" state="frozen"/>
      <selection activeCell="C7" sqref="C7"/>
      <selection pane="topRight" activeCell="E7" sqref="E7"/>
      <selection pane="bottomLeft" activeCell="C8" sqref="C8"/>
      <selection pane="bottomRight" activeCell="F7" sqref="F7"/>
    </sheetView>
  </sheetViews>
  <sheetFormatPr defaultRowHeight="15" x14ac:dyDescent="0.25"/>
  <cols>
    <col min="3" max="3" width="4.140625" customWidth="1"/>
    <col min="4" max="4" width="25.42578125" customWidth="1"/>
    <col min="5" max="5" width="6.5703125" customWidth="1"/>
    <col min="6" max="7" width="13.7109375" customWidth="1"/>
    <col min="8" max="8" width="14.42578125" customWidth="1"/>
    <col min="9" max="9" width="14" customWidth="1"/>
    <col min="10" max="10" width="12.140625" customWidth="1"/>
    <col min="11" max="11" width="7.28515625" customWidth="1"/>
    <col min="12" max="12" width="14.7109375" customWidth="1"/>
    <col min="13" max="13" width="12.140625" customWidth="1"/>
    <col min="14" max="15" width="14.7109375" customWidth="1"/>
    <col min="16" max="16" width="15" customWidth="1"/>
    <col min="17" max="17" width="15.7109375" customWidth="1"/>
    <col min="18" max="18" width="20.5703125" customWidth="1"/>
    <col min="19" max="19" width="53.7109375" customWidth="1"/>
    <col min="20" max="20" width="66.140625" customWidth="1"/>
    <col min="22" max="22" width="14.140625" hidden="1" customWidth="1"/>
    <col min="23" max="23" width="13.42578125" hidden="1" customWidth="1"/>
    <col min="24" max="24" width="12" customWidth="1"/>
    <col min="25" max="25" width="12.28515625" customWidth="1"/>
    <col min="26" max="26" width="10.85546875" customWidth="1"/>
    <col min="27" max="27" width="9.140625" customWidth="1"/>
    <col min="28" max="28" width="11.85546875" bestFit="1" customWidth="1"/>
    <col min="29" max="29" width="11.28515625" bestFit="1" customWidth="1"/>
    <col min="34" max="34" width="10.5703125" customWidth="1"/>
    <col min="35" max="35" width="9.42578125" customWidth="1"/>
    <col min="36" max="36" width="9.140625" customWidth="1"/>
    <col min="37" max="37" width="9.42578125" customWidth="1"/>
    <col min="38" max="38" width="9.5703125" customWidth="1"/>
  </cols>
  <sheetData>
    <row r="2" spans="3:37" ht="18.75" x14ac:dyDescent="0.25">
      <c r="C2" s="284"/>
      <c r="D2" s="284"/>
      <c r="E2" s="74"/>
      <c r="F2" s="74"/>
      <c r="G2" s="74"/>
      <c r="H2" s="74"/>
      <c r="I2" s="74"/>
      <c r="J2" s="74"/>
      <c r="K2" s="74"/>
      <c r="L2" s="14"/>
      <c r="M2" s="14"/>
      <c r="N2" s="14"/>
      <c r="O2" s="14"/>
      <c r="P2" s="14"/>
      <c r="Q2" s="14"/>
      <c r="R2" s="14"/>
      <c r="S2" s="14"/>
    </row>
    <row r="3" spans="3:37" ht="18.75" x14ac:dyDescent="0.25">
      <c r="C3" s="284"/>
      <c r="D3" s="284"/>
      <c r="E3" s="74"/>
      <c r="F3" s="74"/>
      <c r="G3" s="74"/>
      <c r="H3" s="74"/>
      <c r="I3" s="74"/>
      <c r="J3" s="74"/>
      <c r="K3" s="74"/>
      <c r="L3" s="14"/>
      <c r="M3" s="14"/>
      <c r="N3" s="14"/>
      <c r="O3" s="14"/>
      <c r="P3" s="14"/>
      <c r="Q3" s="14"/>
      <c r="R3" s="14"/>
      <c r="S3" s="14"/>
    </row>
    <row r="4" spans="3:37" ht="23.25" x14ac:dyDescent="0.25"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</row>
    <row r="5" spans="3:37" ht="23.25" x14ac:dyDescent="0.25"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</row>
    <row r="6" spans="3:37" ht="23.25" x14ac:dyDescent="0.35"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83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</row>
    <row r="7" spans="3:37" s="67" customFormat="1" ht="105" x14ac:dyDescent="0.25">
      <c r="C7" s="68" t="s">
        <v>0</v>
      </c>
      <c r="D7" s="69" t="s">
        <v>1</v>
      </c>
      <c r="E7" s="69" t="s">
        <v>279</v>
      </c>
      <c r="F7" s="69" t="s">
        <v>280</v>
      </c>
      <c r="G7" s="69" t="s">
        <v>225</v>
      </c>
      <c r="H7" s="69" t="s">
        <v>281</v>
      </c>
      <c r="I7" s="69" t="s">
        <v>185</v>
      </c>
      <c r="J7" s="69" t="s">
        <v>4</v>
      </c>
      <c r="K7" s="69" t="s">
        <v>116</v>
      </c>
      <c r="L7" s="69" t="s">
        <v>5</v>
      </c>
      <c r="M7" s="69" t="s">
        <v>252</v>
      </c>
      <c r="N7" s="69" t="s">
        <v>7</v>
      </c>
      <c r="O7" s="69" t="s">
        <v>399</v>
      </c>
      <c r="P7" s="84" t="s">
        <v>8</v>
      </c>
      <c r="Q7" s="84" t="s">
        <v>400</v>
      </c>
      <c r="R7" s="69" t="s">
        <v>9</v>
      </c>
      <c r="S7" s="69" t="s">
        <v>10</v>
      </c>
      <c r="T7" s="69" t="s">
        <v>11</v>
      </c>
      <c r="U7" s="82" t="s">
        <v>395</v>
      </c>
      <c r="V7" s="69" t="s">
        <v>6</v>
      </c>
      <c r="W7" s="69" t="s">
        <v>282</v>
      </c>
      <c r="X7" s="69" t="s">
        <v>12</v>
      </c>
      <c r="Y7" s="69" t="s">
        <v>250</v>
      </c>
      <c r="Z7" s="69" t="s">
        <v>254</v>
      </c>
      <c r="AA7" s="69" t="s">
        <v>255</v>
      </c>
      <c r="AB7" s="69" t="s">
        <v>256</v>
      </c>
      <c r="AC7" s="69" t="s">
        <v>257</v>
      </c>
      <c r="AD7" s="69" t="s">
        <v>258</v>
      </c>
      <c r="AE7" s="69" t="s">
        <v>259</v>
      </c>
      <c r="AF7" s="69" t="s">
        <v>260</v>
      </c>
      <c r="AG7" s="69" t="s">
        <v>261</v>
      </c>
      <c r="AH7" s="69" t="s">
        <v>262</v>
      </c>
      <c r="AI7" s="69" t="s">
        <v>263</v>
      </c>
      <c r="AJ7" s="69" t="s">
        <v>264</v>
      </c>
      <c r="AK7" s="70" t="s">
        <v>265</v>
      </c>
    </row>
    <row r="8" spans="3:37" ht="21" x14ac:dyDescent="0.35">
      <c r="C8" s="71">
        <v>1</v>
      </c>
      <c r="D8" s="46" t="s">
        <v>283</v>
      </c>
      <c r="E8" s="46">
        <v>1</v>
      </c>
      <c r="F8" s="50">
        <v>44275</v>
      </c>
      <c r="G8" s="50"/>
      <c r="H8" s="46">
        <v>11379.82</v>
      </c>
      <c r="I8" s="46">
        <v>0</v>
      </c>
      <c r="J8" s="46">
        <v>9174.98</v>
      </c>
      <c r="K8" s="46">
        <v>67</v>
      </c>
      <c r="L8" s="46">
        <f>SUM(بيان.معاشات.اسكندرية[[#This Row],[المنحة]:[مقابل نقدي]])</f>
        <v>20554.8</v>
      </c>
      <c r="M8" s="46">
        <f>بيان.معاشات.اسكندرية[[#This Row],[إجمالي الدفعات]]</f>
        <v>10500</v>
      </c>
      <c r="N8" s="46">
        <f>بيان.معاشات.اسكندرية[[#This Row],[إجمالي المستحق]]-بيان.معاشات.اسكندرية[[#This Row],[إجمالي المنصرف]]</f>
        <v>10054.799999999999</v>
      </c>
      <c r="O8" s="46">
        <f>IF(بيان.معاشات.اسكندرية[[#This Row],[المتبقي]]&lt;0,0,بيان.معاشات.اسكندرية[[#This Row],[المتبقي]])</f>
        <v>10054.799999999999</v>
      </c>
      <c r="P8" s="48">
        <f>(بيان.معاشات.اسكندرية[[#This Row],[المنحة]]+بيان.معاشات.اسكندرية[[#This Row],[مستحقات]])-بيان.معاشات.اسكندرية[[#This Row],[إجمالي المنصرف]]</f>
        <v>879.81999999999971</v>
      </c>
      <c r="Q8" s="48">
        <f>IF(بيان.معاشات.اسكندرية[[#This Row],[المتبقي من المنحة]]&lt;0,0,بيان.معاشات.اسكندرية[[#This Row],[المتبقي من المنحة]])</f>
        <v>879.81999999999971</v>
      </c>
      <c r="R8" s="53">
        <v>26103201802051</v>
      </c>
      <c r="S8" s="46"/>
      <c r="T8" s="46" t="s">
        <v>410</v>
      </c>
      <c r="U8" s="76"/>
      <c r="V8" s="46">
        <v>2000</v>
      </c>
      <c r="W8" s="46">
        <v>7000</v>
      </c>
      <c r="X8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10500</v>
      </c>
      <c r="Y8" s="46">
        <f>SUM(بيان.معاشات.اسكندرية[[#This Row],[يناير-23]:[ديسمبر-23]])</f>
        <v>1500</v>
      </c>
      <c r="Z8" s="46">
        <v>500</v>
      </c>
      <c r="AA8" s="46">
        <v>500</v>
      </c>
      <c r="AB8" s="46">
        <v>500</v>
      </c>
      <c r="AC8" s="46"/>
      <c r="AD8" s="46"/>
      <c r="AE8" s="46"/>
      <c r="AF8" s="46"/>
      <c r="AG8" s="46"/>
      <c r="AH8" s="46"/>
      <c r="AI8" s="46"/>
      <c r="AJ8" s="46"/>
      <c r="AK8" s="55"/>
    </row>
    <row r="9" spans="3:37" ht="21" x14ac:dyDescent="0.35">
      <c r="C9" s="71">
        <v>2</v>
      </c>
      <c r="D9" s="46" t="s">
        <v>284</v>
      </c>
      <c r="E9" s="46">
        <v>4</v>
      </c>
      <c r="F9" s="50">
        <v>43012</v>
      </c>
      <c r="G9" s="50"/>
      <c r="H9" s="46">
        <v>20043.419999999998</v>
      </c>
      <c r="I9" s="46">
        <v>0</v>
      </c>
      <c r="J9" s="46">
        <v>10867.5</v>
      </c>
      <c r="K9" s="46">
        <v>90</v>
      </c>
      <c r="L9" s="46">
        <f>SUM(بيان.معاشات.اسكندرية[[#This Row],[المنحة]:[مقابل نقدي]])</f>
        <v>30910.92</v>
      </c>
      <c r="M9" s="46">
        <f>بيان.معاشات.اسكندرية[[#This Row],[إجمالي الدفعات]]</f>
        <v>26000</v>
      </c>
      <c r="N9" s="46">
        <f>بيان.معاشات.اسكندرية[[#This Row],[إجمالي المستحق]]-بيان.معاشات.اسكندرية[[#This Row],[إجمالي المنصرف]]</f>
        <v>4910.9199999999983</v>
      </c>
      <c r="O9" s="46">
        <f>IF(بيان.معاشات.اسكندرية[[#This Row],[المتبقي]]&lt;0,0,بيان.معاشات.اسكندرية[[#This Row],[المتبقي]])</f>
        <v>4910.9199999999983</v>
      </c>
      <c r="P9" s="48">
        <f>(بيان.معاشات.اسكندرية[[#This Row],[المنحة]]+بيان.معاشات.اسكندرية[[#This Row],[مستحقات]])-بيان.معاشات.اسكندرية[[#This Row],[إجمالي المنصرف]]</f>
        <v>-5956.5800000000017</v>
      </c>
      <c r="Q9" s="48">
        <f>IF(بيان.معاشات.اسكندرية[[#This Row],[المتبقي من المنحة]]&lt;0,0,بيان.معاشات.اسكندرية[[#This Row],[المتبقي من المنحة]])</f>
        <v>0</v>
      </c>
      <c r="R9" s="53"/>
      <c r="S9" s="46" t="s">
        <v>431</v>
      </c>
      <c r="T9" s="46" t="s">
        <v>197</v>
      </c>
      <c r="U9" s="76"/>
      <c r="V9" s="46">
        <v>19000</v>
      </c>
      <c r="W9" s="46">
        <v>5000</v>
      </c>
      <c r="X9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26000</v>
      </c>
      <c r="Y9" s="46">
        <f>SUM(بيان.معاشات.اسكندرية[[#This Row],[يناير-23]:[ديسمبر-23]])</f>
        <v>2000</v>
      </c>
      <c r="Z9" s="46"/>
      <c r="AA9" s="46">
        <v>500</v>
      </c>
      <c r="AB9" s="46">
        <v>500</v>
      </c>
      <c r="AC9" s="46">
        <v>500</v>
      </c>
      <c r="AD9" s="46">
        <v>500</v>
      </c>
      <c r="AE9" s="46"/>
      <c r="AF9" s="46"/>
      <c r="AG9" s="46"/>
      <c r="AH9" s="46"/>
      <c r="AI9" s="46"/>
      <c r="AJ9" s="46"/>
      <c r="AK9" s="55"/>
    </row>
    <row r="10" spans="3:37" ht="21" x14ac:dyDescent="0.35">
      <c r="C10" s="71">
        <v>3</v>
      </c>
      <c r="D10" s="46" t="s">
        <v>285</v>
      </c>
      <c r="E10" s="46">
        <v>5</v>
      </c>
      <c r="F10" s="50">
        <v>43643</v>
      </c>
      <c r="G10" s="50"/>
      <c r="H10" s="46">
        <v>17472.96</v>
      </c>
      <c r="I10" s="46">
        <v>0</v>
      </c>
      <c r="J10" s="46">
        <v>8216.1</v>
      </c>
      <c r="K10" s="46">
        <v>90</v>
      </c>
      <c r="L10" s="46">
        <f>SUM(بيان.معاشات.اسكندرية[[#This Row],[المنحة]:[مقابل نقدي]])</f>
        <v>25689.059999999998</v>
      </c>
      <c r="M10" s="46">
        <f>بيان.معاشات.اسكندرية[[#This Row],[إجمالي الدفعات]]</f>
        <v>18500</v>
      </c>
      <c r="N10" s="46">
        <f>بيان.معاشات.اسكندرية[[#This Row],[إجمالي المستحق]]-بيان.معاشات.اسكندرية[[#This Row],[إجمالي المنصرف]]</f>
        <v>7189.0599999999977</v>
      </c>
      <c r="O10" s="46">
        <f>IF(بيان.معاشات.اسكندرية[[#This Row],[المتبقي]]&lt;0,0,بيان.معاشات.اسكندرية[[#This Row],[المتبقي]])</f>
        <v>7189.0599999999977</v>
      </c>
      <c r="P10" s="48">
        <f>(بيان.معاشات.اسكندرية[[#This Row],[المنحة]]+بيان.معاشات.اسكندرية[[#This Row],[مستحقات]])-بيان.معاشات.اسكندرية[[#This Row],[إجمالي المنصرف]]</f>
        <v>-1027.0400000000009</v>
      </c>
      <c r="Q10" s="48">
        <f>IF(بيان.معاشات.اسكندرية[[#This Row],[المتبقي من المنحة]]&lt;0,0,بيان.معاشات.اسكندرية[[#This Row],[المتبقي من المنحة]])</f>
        <v>0</v>
      </c>
      <c r="R10" s="53">
        <v>25906271801037</v>
      </c>
      <c r="S10" s="46"/>
      <c r="T10" s="46" t="s">
        <v>269</v>
      </c>
      <c r="U10" s="76"/>
      <c r="V10" s="46">
        <v>10000</v>
      </c>
      <c r="W10" s="46">
        <v>7500</v>
      </c>
      <c r="X10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18500</v>
      </c>
      <c r="Y10" s="46">
        <f>SUM(بيان.معاشات.اسكندرية[[#This Row],[يناير-23]:[ديسمبر-23]])</f>
        <v>1000</v>
      </c>
      <c r="Z10" s="46">
        <v>500</v>
      </c>
      <c r="AA10" s="46">
        <v>500</v>
      </c>
      <c r="AB10" s="46"/>
      <c r="AC10" s="46"/>
      <c r="AD10" s="46"/>
      <c r="AE10" s="46"/>
      <c r="AF10" s="46"/>
      <c r="AG10" s="46"/>
      <c r="AH10" s="46"/>
      <c r="AI10" s="46"/>
      <c r="AJ10" s="46"/>
      <c r="AK10" s="55"/>
    </row>
    <row r="11" spans="3:37" ht="21" x14ac:dyDescent="0.35">
      <c r="C11" s="71">
        <v>4</v>
      </c>
      <c r="D11" s="46" t="s">
        <v>286</v>
      </c>
      <c r="E11" s="46">
        <v>6</v>
      </c>
      <c r="F11" s="50">
        <v>43687</v>
      </c>
      <c r="G11" s="50"/>
      <c r="H11" s="46">
        <v>11311.3</v>
      </c>
      <c r="I11" s="46">
        <v>0</v>
      </c>
      <c r="J11" s="46">
        <v>6606</v>
      </c>
      <c r="K11" s="46">
        <v>90</v>
      </c>
      <c r="L11" s="46">
        <f>SUM(بيان.معاشات.اسكندرية[[#This Row],[المنحة]:[مقابل نقدي]])</f>
        <v>17917.3</v>
      </c>
      <c r="M11" s="46">
        <f>بيان.معاشات.اسكندرية[[#This Row],[إجمالي الدفعات]]</f>
        <v>16311.3</v>
      </c>
      <c r="N11" s="46">
        <f>بيان.معاشات.اسكندرية[[#This Row],[إجمالي المستحق]]-بيان.معاشات.اسكندرية[[#This Row],[إجمالي المنصرف]]</f>
        <v>1606</v>
      </c>
      <c r="O11" s="46">
        <f>IF(بيان.معاشات.اسكندرية[[#This Row],[المتبقي]]&lt;0,0,بيان.معاشات.اسكندرية[[#This Row],[المتبقي]])</f>
        <v>1606</v>
      </c>
      <c r="P11" s="48">
        <f>(بيان.معاشات.اسكندرية[[#This Row],[المنحة]]+بيان.معاشات.اسكندرية[[#This Row],[مستحقات]])-بيان.معاشات.اسكندرية[[#This Row],[إجمالي المنصرف]]</f>
        <v>-5000</v>
      </c>
      <c r="Q11" s="48">
        <f>IF(بيان.معاشات.اسكندرية[[#This Row],[المتبقي من المنحة]]&lt;0,0,بيان.معاشات.اسكندرية[[#This Row],[المتبقي من المنحة]])</f>
        <v>0</v>
      </c>
      <c r="R11" s="53">
        <v>25908101800454</v>
      </c>
      <c r="S11" s="46"/>
      <c r="T11" s="46" t="s">
        <v>287</v>
      </c>
      <c r="U11" s="76"/>
      <c r="V11" s="46">
        <v>9000</v>
      </c>
      <c r="W11" s="46">
        <v>7311.3</v>
      </c>
      <c r="X11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16311.3</v>
      </c>
      <c r="Y11" s="46">
        <f>SUM(بيان.معاشات.اسكندرية[[#This Row],[يناير-23]:[ديسمبر-23]])</f>
        <v>0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55"/>
    </row>
    <row r="12" spans="3:37" ht="21" x14ac:dyDescent="0.35">
      <c r="C12" s="71">
        <v>5</v>
      </c>
      <c r="D12" s="46" t="s">
        <v>288</v>
      </c>
      <c r="E12" s="46">
        <v>7</v>
      </c>
      <c r="F12" s="50">
        <v>44104</v>
      </c>
      <c r="G12" s="50"/>
      <c r="H12" s="46">
        <v>21166.5</v>
      </c>
      <c r="I12" s="46">
        <v>0</v>
      </c>
      <c r="J12" s="46">
        <v>12429.9</v>
      </c>
      <c r="K12" s="46">
        <v>90</v>
      </c>
      <c r="L12" s="46">
        <f>SUM(بيان.معاشات.اسكندرية[[#This Row],[المنحة]:[مقابل نقدي]])</f>
        <v>33596.400000000001</v>
      </c>
      <c r="M12" s="46">
        <f>بيان.معاشات.اسكندرية[[#This Row],[إجمالي الدفعات]]</f>
        <v>8500</v>
      </c>
      <c r="N12" s="46">
        <f>بيان.معاشات.اسكندرية[[#This Row],[إجمالي المستحق]]-بيان.معاشات.اسكندرية[[#This Row],[إجمالي المنصرف]]</f>
        <v>25096.400000000001</v>
      </c>
      <c r="O12" s="46">
        <f>IF(بيان.معاشات.اسكندرية[[#This Row],[المتبقي]]&lt;0,0,بيان.معاشات.اسكندرية[[#This Row],[المتبقي]])</f>
        <v>25096.400000000001</v>
      </c>
      <c r="P12" s="48">
        <f>(بيان.معاشات.اسكندرية[[#This Row],[المنحة]]+بيان.معاشات.اسكندرية[[#This Row],[مستحقات]])-بيان.معاشات.اسكندرية[[#This Row],[إجمالي المنصرف]]</f>
        <v>12666.5</v>
      </c>
      <c r="Q12" s="48">
        <f>IF(بيان.معاشات.اسكندرية[[#This Row],[المتبقي من المنحة]]&lt;0,0,بيان.معاشات.اسكندرية[[#This Row],[المتبقي من المنحة]])</f>
        <v>12666.5</v>
      </c>
      <c r="R12" s="53"/>
      <c r="S12" s="46"/>
      <c r="T12" s="46" t="s">
        <v>410</v>
      </c>
      <c r="U12" s="76"/>
      <c r="V12" s="46">
        <v>2000</v>
      </c>
      <c r="W12" s="46">
        <v>6500</v>
      </c>
      <c r="X12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8500</v>
      </c>
      <c r="Y12" s="46">
        <f>SUM(بيان.معاشات.اسكندرية[[#This Row],[يناير-23]:[ديسمبر-23]])</f>
        <v>0</v>
      </c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55"/>
    </row>
    <row r="13" spans="3:37" ht="21" x14ac:dyDescent="0.35">
      <c r="C13" s="71">
        <v>6</v>
      </c>
      <c r="D13" s="46" t="s">
        <v>289</v>
      </c>
      <c r="E13" s="46">
        <v>8</v>
      </c>
      <c r="F13" s="50">
        <v>44185</v>
      </c>
      <c r="G13" s="50"/>
      <c r="H13" s="46">
        <v>20046.5</v>
      </c>
      <c r="I13" s="46">
        <v>0</v>
      </c>
      <c r="J13" s="46">
        <v>18697.5</v>
      </c>
      <c r="K13" s="46">
        <v>90</v>
      </c>
      <c r="L13" s="46">
        <f>SUM(بيان.معاشات.اسكندرية[[#This Row],[المنحة]:[مقابل نقدي]])</f>
        <v>38744</v>
      </c>
      <c r="M13" s="46">
        <f>بيان.معاشات.اسكندرية[[#This Row],[إجمالي الدفعات]]</f>
        <v>8500</v>
      </c>
      <c r="N13" s="46">
        <f>بيان.معاشات.اسكندرية[[#This Row],[إجمالي المستحق]]-بيان.معاشات.اسكندرية[[#This Row],[إجمالي المنصرف]]</f>
        <v>30244</v>
      </c>
      <c r="O13" s="46">
        <f>IF(بيان.معاشات.اسكندرية[[#This Row],[المتبقي]]&lt;0,0,بيان.معاشات.اسكندرية[[#This Row],[المتبقي]])</f>
        <v>30244</v>
      </c>
      <c r="P13" s="48">
        <f>(بيان.معاشات.اسكندرية[[#This Row],[المنحة]]+بيان.معاشات.اسكندرية[[#This Row],[مستحقات]])-بيان.معاشات.اسكندرية[[#This Row],[إجمالي المنصرف]]</f>
        <v>11546.5</v>
      </c>
      <c r="Q13" s="48">
        <f>IF(بيان.معاشات.اسكندرية[[#This Row],[المتبقي من المنحة]]&lt;0,0,بيان.معاشات.اسكندرية[[#This Row],[المتبقي من المنحة]])</f>
        <v>11546.5</v>
      </c>
      <c r="R13" s="53">
        <v>26012200201112</v>
      </c>
      <c r="S13" s="46"/>
      <c r="T13" s="46" t="s">
        <v>410</v>
      </c>
      <c r="U13" s="76"/>
      <c r="V13" s="46">
        <v>1000</v>
      </c>
      <c r="W13" s="46">
        <v>7000</v>
      </c>
      <c r="X13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8500</v>
      </c>
      <c r="Y13" s="46">
        <f>SUM(بيان.معاشات.اسكندرية[[#This Row],[يناير-23]:[ديسمبر-23]])</f>
        <v>500</v>
      </c>
      <c r="Z13" s="46">
        <v>500</v>
      </c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55"/>
    </row>
    <row r="14" spans="3:37" ht="21" x14ac:dyDescent="0.35">
      <c r="C14" s="71">
        <v>7</v>
      </c>
      <c r="D14" s="46" t="s">
        <v>290</v>
      </c>
      <c r="E14" s="46">
        <v>9</v>
      </c>
      <c r="F14" s="50">
        <v>43885</v>
      </c>
      <c r="G14" s="50"/>
      <c r="H14" s="46">
        <v>14646.42</v>
      </c>
      <c r="I14" s="46">
        <v>0</v>
      </c>
      <c r="J14" s="46">
        <v>11936.13</v>
      </c>
      <c r="K14" s="46">
        <v>79.5</v>
      </c>
      <c r="L14" s="46">
        <f>SUM(بيان.معاشات.اسكندرية[[#This Row],[المنحة]:[مقابل نقدي]])</f>
        <v>26582.55</v>
      </c>
      <c r="M14" s="46">
        <f>بيان.معاشات.اسكندرية[[#This Row],[إجمالي الدفعات]]</f>
        <v>14000</v>
      </c>
      <c r="N14" s="46">
        <f>بيان.معاشات.اسكندرية[[#This Row],[إجمالي المستحق]]-بيان.معاشات.اسكندرية[[#This Row],[إجمالي المنصرف]]</f>
        <v>12582.55</v>
      </c>
      <c r="O14" s="46">
        <f>IF(بيان.معاشات.اسكندرية[[#This Row],[المتبقي]]&lt;0,0,بيان.معاشات.اسكندرية[[#This Row],[المتبقي]])</f>
        <v>12582.55</v>
      </c>
      <c r="P14" s="48">
        <f>(بيان.معاشات.اسكندرية[[#This Row],[المنحة]]+بيان.معاشات.اسكندرية[[#This Row],[مستحقات]])-بيان.معاشات.اسكندرية[[#This Row],[إجمالي المنصرف]]</f>
        <v>646.42000000000007</v>
      </c>
      <c r="Q14" s="48">
        <f>IF(بيان.معاشات.اسكندرية[[#This Row],[المتبقي من المنحة]]&lt;0,0,بيان.معاشات.اسكندرية[[#This Row],[المتبقي من المنحة]])</f>
        <v>646.42000000000007</v>
      </c>
      <c r="R14" s="53"/>
      <c r="S14" s="46"/>
      <c r="T14" s="46" t="s">
        <v>287</v>
      </c>
      <c r="U14" s="76"/>
      <c r="V14" s="46">
        <v>6000</v>
      </c>
      <c r="W14" s="46">
        <v>6000</v>
      </c>
      <c r="X14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14000</v>
      </c>
      <c r="Y14" s="46">
        <f>SUM(بيان.معاشات.اسكندرية[[#This Row],[يناير-23]:[ديسمبر-23]])</f>
        <v>2000</v>
      </c>
      <c r="Z14" s="46">
        <v>2000</v>
      </c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55"/>
    </row>
    <row r="15" spans="3:37" ht="21" x14ac:dyDescent="0.35">
      <c r="C15" s="71">
        <v>8</v>
      </c>
      <c r="D15" s="46" t="s">
        <v>291</v>
      </c>
      <c r="E15" s="46">
        <v>10</v>
      </c>
      <c r="F15" s="50">
        <v>43384</v>
      </c>
      <c r="G15" s="50"/>
      <c r="H15" s="46">
        <v>14776.68</v>
      </c>
      <c r="I15" s="46">
        <v>0</v>
      </c>
      <c r="J15" s="46">
        <v>7489.68</v>
      </c>
      <c r="K15" s="46">
        <v>85.5</v>
      </c>
      <c r="L15" s="46">
        <f>SUM(بيان.معاشات.اسكندرية[[#This Row],[المنحة]:[مقابل نقدي]])</f>
        <v>22266.36</v>
      </c>
      <c r="M15" s="46">
        <f>بيان.معاشات.اسكندرية[[#This Row],[إجمالي الدفعات]]</f>
        <v>20000</v>
      </c>
      <c r="N15" s="46">
        <f>بيان.معاشات.اسكندرية[[#This Row],[إجمالي المستحق]]-بيان.معاشات.اسكندرية[[#This Row],[إجمالي المنصرف]]</f>
        <v>2266.3600000000006</v>
      </c>
      <c r="O15" s="46">
        <f>IF(بيان.معاشات.اسكندرية[[#This Row],[المتبقي]]&lt;0,0,بيان.معاشات.اسكندرية[[#This Row],[المتبقي]])</f>
        <v>2266.3600000000006</v>
      </c>
      <c r="P15" s="48">
        <f>(بيان.معاشات.اسكندرية[[#This Row],[المنحة]]+بيان.معاشات.اسكندرية[[#This Row],[مستحقات]])-بيان.معاشات.اسكندرية[[#This Row],[إجمالي المنصرف]]</f>
        <v>-5223.32</v>
      </c>
      <c r="Q15" s="48">
        <f>IF(بيان.معاشات.اسكندرية[[#This Row],[المتبقي من المنحة]]&lt;0,0,بيان.معاشات.اسكندرية[[#This Row],[المتبقي من المنحة]])</f>
        <v>0</v>
      </c>
      <c r="R15" s="53"/>
      <c r="S15" s="46"/>
      <c r="T15" s="46" t="s">
        <v>269</v>
      </c>
      <c r="U15" s="76"/>
      <c r="V15" s="46">
        <v>14000</v>
      </c>
      <c r="W15" s="46">
        <v>6000</v>
      </c>
      <c r="X15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20000</v>
      </c>
      <c r="Y15" s="46">
        <f>SUM(بيان.معاشات.اسكندرية[[#This Row],[يناير-23]:[ديسمبر-23]])</f>
        <v>0</v>
      </c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55"/>
    </row>
    <row r="16" spans="3:37" ht="21" x14ac:dyDescent="0.35">
      <c r="C16" s="71">
        <v>9</v>
      </c>
      <c r="D16" s="46" t="s">
        <v>292</v>
      </c>
      <c r="E16" s="46">
        <v>11</v>
      </c>
      <c r="F16" s="50">
        <v>44171</v>
      </c>
      <c r="G16" s="50"/>
      <c r="H16" s="46">
        <v>19556.57</v>
      </c>
      <c r="I16" s="46">
        <v>0</v>
      </c>
      <c r="J16" s="46">
        <v>15576.67</v>
      </c>
      <c r="K16" s="46">
        <v>80</v>
      </c>
      <c r="L16" s="46">
        <f>SUM(بيان.معاشات.اسكندرية[[#This Row],[المنحة]:[مقابل نقدي]])</f>
        <v>35133.24</v>
      </c>
      <c r="M16" s="46">
        <f>بيان.معاشات.اسكندرية[[#This Row],[إجمالي الدفعات]]</f>
        <v>7500</v>
      </c>
      <c r="N16" s="46">
        <f>بيان.معاشات.اسكندرية[[#This Row],[إجمالي المستحق]]-بيان.معاشات.اسكندرية[[#This Row],[إجمالي المنصرف]]</f>
        <v>27633.239999999998</v>
      </c>
      <c r="O16" s="46">
        <f>IF(بيان.معاشات.اسكندرية[[#This Row],[المتبقي]]&lt;0,0,بيان.معاشات.اسكندرية[[#This Row],[المتبقي]])</f>
        <v>27633.239999999998</v>
      </c>
      <c r="P16" s="48">
        <f>(بيان.معاشات.اسكندرية[[#This Row],[المنحة]]+بيان.معاشات.اسكندرية[[#This Row],[مستحقات]])-بيان.معاشات.اسكندرية[[#This Row],[إجمالي المنصرف]]</f>
        <v>12056.57</v>
      </c>
      <c r="Q16" s="48">
        <f>IF(بيان.معاشات.اسكندرية[[#This Row],[المتبقي من المنحة]]&lt;0,0,بيان.معاشات.اسكندرية[[#This Row],[المتبقي من المنحة]])</f>
        <v>12056.57</v>
      </c>
      <c r="R16" s="53"/>
      <c r="S16" s="46"/>
      <c r="T16" s="46"/>
      <c r="U16" s="76"/>
      <c r="V16" s="46">
        <v>1000</v>
      </c>
      <c r="W16" s="46">
        <v>6500</v>
      </c>
      <c r="X16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7500</v>
      </c>
      <c r="Y16" s="46">
        <f>SUM(بيان.معاشات.اسكندرية[[#This Row],[يناير-23]:[ديسمبر-23]])</f>
        <v>0</v>
      </c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55"/>
    </row>
    <row r="17" spans="3:37" ht="21" x14ac:dyDescent="0.35">
      <c r="C17" s="71">
        <v>10</v>
      </c>
      <c r="D17" s="46" t="s">
        <v>293</v>
      </c>
      <c r="E17" s="46">
        <v>15</v>
      </c>
      <c r="F17" s="50">
        <v>43153</v>
      </c>
      <c r="G17" s="50"/>
      <c r="H17" s="46">
        <v>0</v>
      </c>
      <c r="I17" s="46">
        <v>0</v>
      </c>
      <c r="J17" s="46">
        <v>11330.1</v>
      </c>
      <c r="K17" s="46">
        <v>90</v>
      </c>
      <c r="L17" s="46">
        <f>SUM(بيان.معاشات.اسكندرية[[#This Row],[المنحة]:[مقابل نقدي]])</f>
        <v>11330.1</v>
      </c>
      <c r="M17" s="46">
        <f>بيان.معاشات.اسكندرية[[#This Row],[إجمالي الدفعات]]</f>
        <v>10000</v>
      </c>
      <c r="N17" s="46">
        <f>بيان.معاشات.اسكندرية[[#This Row],[إجمالي المستحق]]-بيان.معاشات.اسكندرية[[#This Row],[إجمالي المنصرف]]</f>
        <v>1330.1000000000004</v>
      </c>
      <c r="O17" s="46">
        <f>IF(بيان.معاشات.اسكندرية[[#This Row],[المتبقي]]&lt;0,0,بيان.معاشات.اسكندرية[[#This Row],[المتبقي]])</f>
        <v>1330.1000000000004</v>
      </c>
      <c r="P17" s="48">
        <f>(بيان.معاشات.اسكندرية[[#This Row],[المنحة]]+بيان.معاشات.اسكندرية[[#This Row],[مستحقات]])-بيان.معاشات.اسكندرية[[#This Row],[إجمالي المنصرف]]</f>
        <v>-10000</v>
      </c>
      <c r="Q17" s="48">
        <f>IF(بيان.معاشات.اسكندرية[[#This Row],[المتبقي من المنحة]]&lt;0,0,بيان.معاشات.اسكندرية[[#This Row],[المتبقي من المنحة]])</f>
        <v>0</v>
      </c>
      <c r="R17" s="53">
        <v>25802222701051</v>
      </c>
      <c r="S17" s="46"/>
      <c r="T17" s="46" t="s">
        <v>269</v>
      </c>
      <c r="U17" s="76"/>
      <c r="V17" s="46">
        <v>0</v>
      </c>
      <c r="W17" s="46">
        <v>7000</v>
      </c>
      <c r="X17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10000</v>
      </c>
      <c r="Y17" s="46">
        <f>SUM(بيان.معاشات.اسكندرية[[#This Row],[يناير-23]:[ديسمبر-23]])</f>
        <v>3000</v>
      </c>
      <c r="Z17" s="46"/>
      <c r="AA17" s="46"/>
      <c r="AB17" s="46">
        <v>3000</v>
      </c>
      <c r="AC17" s="46"/>
      <c r="AD17" s="46"/>
      <c r="AE17" s="46"/>
      <c r="AF17" s="46"/>
      <c r="AG17" s="46"/>
      <c r="AH17" s="46"/>
      <c r="AI17" s="46"/>
      <c r="AJ17" s="46"/>
      <c r="AK17" s="55"/>
    </row>
    <row r="18" spans="3:37" ht="21" x14ac:dyDescent="0.35">
      <c r="C18" s="71">
        <v>11</v>
      </c>
      <c r="D18" s="46" t="s">
        <v>294</v>
      </c>
      <c r="E18" s="46">
        <v>17</v>
      </c>
      <c r="F18" s="50">
        <v>44504</v>
      </c>
      <c r="G18" s="50"/>
      <c r="H18" s="46">
        <v>15487.26</v>
      </c>
      <c r="I18" s="46">
        <v>0</v>
      </c>
      <c r="J18" s="46">
        <v>14505.3</v>
      </c>
      <c r="K18" s="46">
        <v>90</v>
      </c>
      <c r="L18" s="46">
        <f>SUM(بيان.معاشات.اسكندرية[[#This Row],[المنحة]:[مقابل نقدي]])</f>
        <v>29992.559999999998</v>
      </c>
      <c r="M18" s="46">
        <f>بيان.معاشات.اسكندرية[[#This Row],[إجمالي الدفعات]]</f>
        <v>5000</v>
      </c>
      <c r="N18" s="46">
        <f>بيان.معاشات.اسكندرية[[#This Row],[إجمالي المستحق]]-بيان.معاشات.اسكندرية[[#This Row],[إجمالي المنصرف]]</f>
        <v>24992.559999999998</v>
      </c>
      <c r="O18" s="46">
        <f>IF(بيان.معاشات.اسكندرية[[#This Row],[المتبقي]]&lt;0,0,بيان.معاشات.اسكندرية[[#This Row],[المتبقي]])</f>
        <v>24992.559999999998</v>
      </c>
      <c r="P18" s="48">
        <f>(بيان.معاشات.اسكندرية[[#This Row],[المنحة]]+بيان.معاشات.اسكندرية[[#This Row],[مستحقات]])-بيان.معاشات.اسكندرية[[#This Row],[إجمالي المنصرف]]</f>
        <v>10487.26</v>
      </c>
      <c r="Q18" s="48">
        <f>IF(بيان.معاشات.اسكندرية[[#This Row],[المتبقي من المنحة]]&lt;0,0,بيان.معاشات.اسكندرية[[#This Row],[المتبقي من المنحة]])</f>
        <v>10487.26</v>
      </c>
      <c r="R18" s="53">
        <v>26111041801217</v>
      </c>
      <c r="S18" s="46"/>
      <c r="T18" s="46" t="s">
        <v>410</v>
      </c>
      <c r="U18" s="76"/>
      <c r="V18" s="46">
        <v>0</v>
      </c>
      <c r="W18" s="46">
        <v>5000</v>
      </c>
      <c r="X18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5000</v>
      </c>
      <c r="Y18" s="46">
        <f>SUM(بيان.معاشات.اسكندرية[[#This Row],[يناير-23]:[ديسمبر-23]])</f>
        <v>0</v>
      </c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55"/>
    </row>
    <row r="19" spans="3:37" ht="21" x14ac:dyDescent="0.35">
      <c r="C19" s="71">
        <v>12</v>
      </c>
      <c r="D19" s="46" t="s">
        <v>295</v>
      </c>
      <c r="E19" s="46">
        <v>18</v>
      </c>
      <c r="F19" s="50">
        <v>44613</v>
      </c>
      <c r="G19" s="50"/>
      <c r="H19" s="46">
        <v>29234.02</v>
      </c>
      <c r="I19" s="46"/>
      <c r="J19" s="46">
        <v>24624.9</v>
      </c>
      <c r="K19" s="46">
        <v>90</v>
      </c>
      <c r="L19" s="46">
        <f>SUM(بيان.معاشات.اسكندرية[[#This Row],[المنحة]:[مقابل نقدي]])</f>
        <v>53858.92</v>
      </c>
      <c r="M19" s="46">
        <f>بيان.معاشات.اسكندرية[[#This Row],[إجمالي الدفعات]]</f>
        <v>6500</v>
      </c>
      <c r="N19" s="46">
        <f>بيان.معاشات.اسكندرية[[#This Row],[إجمالي المستحق]]-بيان.معاشات.اسكندرية[[#This Row],[إجمالي المنصرف]]</f>
        <v>47358.92</v>
      </c>
      <c r="O19" s="46">
        <f>IF(بيان.معاشات.اسكندرية[[#This Row],[المتبقي]]&lt;0,0,بيان.معاشات.اسكندرية[[#This Row],[المتبقي]])</f>
        <v>47358.92</v>
      </c>
      <c r="P19" s="48">
        <f>(بيان.معاشات.اسكندرية[[#This Row],[المنحة]]+بيان.معاشات.اسكندرية[[#This Row],[مستحقات]])-بيان.معاشات.اسكندرية[[#This Row],[إجمالي المنصرف]]</f>
        <v>22734.02</v>
      </c>
      <c r="Q19" s="48">
        <f>IF(بيان.معاشات.اسكندرية[[#This Row],[المتبقي من المنحة]]&lt;0,0,بيان.معاشات.اسكندرية[[#This Row],[المتبقي من المنحة]])</f>
        <v>22734.02</v>
      </c>
      <c r="R19" s="53">
        <v>26202211701137</v>
      </c>
      <c r="S19" s="46" t="s">
        <v>383</v>
      </c>
      <c r="T19" s="46" t="s">
        <v>457</v>
      </c>
      <c r="U19" s="76"/>
      <c r="V19" s="46">
        <v>0</v>
      </c>
      <c r="W19" s="46">
        <v>4000</v>
      </c>
      <c r="X19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6500</v>
      </c>
      <c r="Y19" s="46">
        <f>SUM(بيان.معاشات.اسكندرية[[#This Row],[يناير-23]:[ديسمبر-23]])</f>
        <v>2500</v>
      </c>
      <c r="Z19" s="46">
        <v>500</v>
      </c>
      <c r="AA19" s="46">
        <v>500</v>
      </c>
      <c r="AB19" s="46">
        <v>500</v>
      </c>
      <c r="AC19" s="46">
        <v>500</v>
      </c>
      <c r="AD19" s="46">
        <v>500</v>
      </c>
      <c r="AE19" s="46"/>
      <c r="AF19" s="46"/>
      <c r="AG19" s="46"/>
      <c r="AH19" s="46"/>
      <c r="AI19" s="46"/>
      <c r="AJ19" s="46"/>
      <c r="AK19" s="55"/>
    </row>
    <row r="20" spans="3:37" ht="21" x14ac:dyDescent="0.35">
      <c r="C20" s="71">
        <v>13</v>
      </c>
      <c r="D20" s="46" t="s">
        <v>436</v>
      </c>
      <c r="E20" s="46">
        <v>19</v>
      </c>
      <c r="F20" s="50">
        <v>44925</v>
      </c>
      <c r="G20" s="50"/>
      <c r="H20" s="46">
        <v>21060.18</v>
      </c>
      <c r="I20" s="46">
        <v>0</v>
      </c>
      <c r="J20" s="46">
        <v>4341.5</v>
      </c>
      <c r="K20" s="46">
        <v>50</v>
      </c>
      <c r="L20" s="46">
        <f>SUM(بيان.معاشات.اسكندرية[[#This Row],[المنحة]:[مقابل نقدي]])</f>
        <v>25401.68</v>
      </c>
      <c r="M20" s="46">
        <f>بيان.معاشات.اسكندرية[[#This Row],[إجمالي الدفعات]]</f>
        <v>2000</v>
      </c>
      <c r="N20" s="46">
        <f>بيان.معاشات.اسكندرية[[#This Row],[إجمالي المستحق]]-بيان.معاشات.اسكندرية[[#This Row],[إجمالي المنصرف]]</f>
        <v>23401.68</v>
      </c>
      <c r="O20" s="46">
        <f>IF(بيان.معاشات.اسكندرية[[#This Row],[المتبقي]]&lt;0,0,بيان.معاشات.اسكندرية[[#This Row],[المتبقي]])</f>
        <v>23401.68</v>
      </c>
      <c r="P20" s="48">
        <f>(بيان.معاشات.اسكندرية[[#This Row],[المنحة]]+بيان.معاشات.اسكندرية[[#This Row],[مستحقات]])-بيان.معاشات.اسكندرية[[#This Row],[إجمالي المنصرف]]</f>
        <v>19060.18</v>
      </c>
      <c r="Q20" s="48">
        <f>IF(بيان.معاشات.اسكندرية[[#This Row],[المتبقي من المنحة]]&lt;0,0,بيان.معاشات.اسكندرية[[#This Row],[المتبقي من المنحة]])</f>
        <v>19060.18</v>
      </c>
      <c r="R20" s="53">
        <v>26212301800512</v>
      </c>
      <c r="S20" s="46"/>
      <c r="T20" s="46"/>
      <c r="U20" s="76"/>
      <c r="V20" s="46">
        <v>0</v>
      </c>
      <c r="W20" s="46">
        <v>0</v>
      </c>
      <c r="X20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2000</v>
      </c>
      <c r="Y20" s="46">
        <f>SUM(بيان.معاشات.اسكندرية[[#This Row],[يناير-23]:[ديسمبر-23]])</f>
        <v>2000</v>
      </c>
      <c r="Z20" s="46"/>
      <c r="AA20" s="46">
        <v>500</v>
      </c>
      <c r="AB20" s="46">
        <v>500</v>
      </c>
      <c r="AC20" s="46">
        <v>500</v>
      </c>
      <c r="AD20" s="46">
        <v>500</v>
      </c>
      <c r="AE20" s="46"/>
      <c r="AF20" s="46"/>
      <c r="AG20" s="46"/>
      <c r="AH20" s="46"/>
      <c r="AI20" s="46"/>
      <c r="AJ20" s="46"/>
      <c r="AK20" s="55"/>
    </row>
    <row r="21" spans="3:37" ht="21" x14ac:dyDescent="0.35">
      <c r="C21" s="71">
        <v>14</v>
      </c>
      <c r="D21" s="46" t="s">
        <v>466</v>
      </c>
      <c r="E21" s="46">
        <v>20</v>
      </c>
      <c r="F21" s="50">
        <v>44984</v>
      </c>
      <c r="G21" s="50"/>
      <c r="H21" s="46">
        <v>24455.52</v>
      </c>
      <c r="I21" s="46">
        <v>0</v>
      </c>
      <c r="J21" s="46">
        <v>9022.92</v>
      </c>
      <c r="K21" s="46">
        <v>90</v>
      </c>
      <c r="L21" s="46">
        <f>SUM(بيان.معاشات.اسكندرية[[#This Row],[المنحة]:[مقابل نقدي]])</f>
        <v>33478.44</v>
      </c>
      <c r="M21" s="46">
        <f>بيان.معاشات.اسكندرية[[#This Row],[إجمالي الدفعات]]</f>
        <v>500</v>
      </c>
      <c r="N21" s="46">
        <f>بيان.معاشات.اسكندرية[[#This Row],[إجمالي المستحق]]-بيان.معاشات.اسكندرية[[#This Row],[إجمالي المنصرف]]</f>
        <v>32978.44</v>
      </c>
      <c r="O21" s="46">
        <f>IF(بيان.معاشات.اسكندرية[[#This Row],[المتبقي]]&lt;0,0,بيان.معاشات.اسكندرية[[#This Row],[المتبقي]])</f>
        <v>32978.44</v>
      </c>
      <c r="P21" s="48">
        <f>(بيان.معاشات.اسكندرية[[#This Row],[المنحة]]+بيان.معاشات.اسكندرية[[#This Row],[مستحقات]])-بيان.معاشات.اسكندرية[[#This Row],[إجمالي المنصرف]]</f>
        <v>23955.52</v>
      </c>
      <c r="Q21" s="48">
        <f>IF(بيان.معاشات.اسكندرية[[#This Row],[المتبقي من المنحة]]&lt;0,0,بيان.معاشات.اسكندرية[[#This Row],[المتبقي من المنحة]])</f>
        <v>23955.52</v>
      </c>
      <c r="R21" s="53"/>
      <c r="S21" s="46"/>
      <c r="T21" s="46"/>
      <c r="U21" s="76"/>
      <c r="V21" s="46">
        <v>0</v>
      </c>
      <c r="W21" s="46">
        <v>0</v>
      </c>
      <c r="X21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500</v>
      </c>
      <c r="Y21" s="46">
        <f>SUM(بيان.معاشات.اسكندرية[[#This Row],[يناير-23]:[ديسمبر-23]])</f>
        <v>500</v>
      </c>
      <c r="Z21" s="46"/>
      <c r="AA21" s="46"/>
      <c r="AB21" s="46"/>
      <c r="AC21" s="46">
        <v>500</v>
      </c>
      <c r="AD21" s="46"/>
      <c r="AE21" s="46"/>
      <c r="AF21" s="46"/>
      <c r="AG21" s="46"/>
      <c r="AH21" s="46"/>
      <c r="AI21" s="46"/>
      <c r="AJ21" s="46"/>
      <c r="AK21" s="55"/>
    </row>
    <row r="22" spans="3:37" ht="21" x14ac:dyDescent="0.35">
      <c r="C22" s="71">
        <v>15</v>
      </c>
      <c r="D22" s="46"/>
      <c r="E22" s="46"/>
      <c r="F22" s="50"/>
      <c r="G22" s="50"/>
      <c r="H22" s="46"/>
      <c r="I22" s="46"/>
      <c r="J22" s="46"/>
      <c r="K22" s="46"/>
      <c r="L22" s="46">
        <f>SUM(بيان.معاشات.اسكندرية[[#This Row],[المنحة]:[مقابل نقدي]])</f>
        <v>0</v>
      </c>
      <c r="M22" s="46">
        <f>بيان.معاشات.اسكندرية[[#This Row],[إجمالي الدفعات]]</f>
        <v>0</v>
      </c>
      <c r="N22" s="46">
        <f>بيان.معاشات.اسكندرية[[#This Row],[إجمالي المستحق]]-بيان.معاشات.اسكندرية[[#This Row],[إجمالي المنصرف]]</f>
        <v>0</v>
      </c>
      <c r="O22" s="46">
        <f>IF(بيان.معاشات.اسكندرية[[#This Row],[المتبقي]]&lt;0,0,بيان.معاشات.اسكندرية[[#This Row],[المتبقي]])</f>
        <v>0</v>
      </c>
      <c r="P22" s="48">
        <f>(بيان.معاشات.اسكندرية[[#This Row],[المنحة]]+بيان.معاشات.اسكندرية[[#This Row],[مستحقات]])-بيان.معاشات.اسكندرية[[#This Row],[إجمالي المنصرف]]</f>
        <v>0</v>
      </c>
      <c r="Q22" s="48">
        <f>IF(بيان.معاشات.اسكندرية[[#This Row],[المتبقي من المنحة]]&lt;0,0,بيان.معاشات.اسكندرية[[#This Row],[المتبقي من المنحة]])</f>
        <v>0</v>
      </c>
      <c r="R22" s="53"/>
      <c r="S22" s="46"/>
      <c r="T22" s="46"/>
      <c r="U22" s="76"/>
      <c r="V22" s="46">
        <v>0</v>
      </c>
      <c r="W22" s="46">
        <v>0</v>
      </c>
      <c r="X22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0</v>
      </c>
      <c r="Y22" s="46">
        <f>SUM(بيان.معاشات.اسكندرية[[#This Row],[يناير-23]:[ديسمبر-23]])</f>
        <v>0</v>
      </c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55"/>
    </row>
    <row r="23" spans="3:37" ht="21" x14ac:dyDescent="0.35">
      <c r="C23" s="71"/>
      <c r="D23" s="46" t="s">
        <v>72</v>
      </c>
      <c r="E23" s="46"/>
      <c r="F23" s="50"/>
      <c r="G23" s="50"/>
      <c r="H23" s="46"/>
      <c r="I23" s="46"/>
      <c r="J23" s="46"/>
      <c r="K23" s="46"/>
      <c r="L23" s="46">
        <f>SUM(بيان.معاشات.اسكندرية[[#This Row],[المنحة]:[مقابل نقدي]])</f>
        <v>0</v>
      </c>
      <c r="M23" s="46">
        <f>بيان.معاشات.اسكندرية[[#This Row],[إجمالي الدفعات]]</f>
        <v>0</v>
      </c>
      <c r="N23" s="46">
        <f>بيان.معاشات.اسكندرية[[#This Row],[إجمالي المستحق]]-بيان.معاشات.اسكندرية[[#This Row],[إجمالي المنصرف]]</f>
        <v>0</v>
      </c>
      <c r="O23" s="46">
        <f>IF(بيان.معاشات.اسكندرية[[#This Row],[المتبقي]]&lt;0,0,بيان.معاشات.اسكندرية[[#This Row],[المتبقي]])</f>
        <v>0</v>
      </c>
      <c r="P23" s="48">
        <f>(بيان.معاشات.اسكندرية[[#This Row],[المنحة]]+بيان.معاشات.اسكندرية[[#This Row],[مستحقات]])-بيان.معاشات.اسكندرية[[#This Row],[إجمالي المنصرف]]</f>
        <v>0</v>
      </c>
      <c r="Q23" s="48">
        <f>IF(بيان.معاشات.اسكندرية[[#This Row],[المتبقي من المنحة]]&lt;0,0,بيان.معاشات.اسكندرية[[#This Row],[المتبقي من المنحة]])</f>
        <v>0</v>
      </c>
      <c r="R23" s="53"/>
      <c r="S23" s="46"/>
      <c r="T23" s="46"/>
      <c r="U23" s="76"/>
      <c r="V23" s="46">
        <v>0</v>
      </c>
      <c r="W23" s="46">
        <v>0</v>
      </c>
      <c r="X23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0</v>
      </c>
      <c r="Y23" s="46">
        <f>SUM(بيان.معاشات.اسكندرية[[#This Row],[يناير-23]:[ديسمبر-23]])</f>
        <v>0</v>
      </c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55"/>
    </row>
    <row r="24" spans="3:37" ht="21" x14ac:dyDescent="0.35">
      <c r="C24" s="71">
        <v>1</v>
      </c>
      <c r="D24" s="46" t="s">
        <v>196</v>
      </c>
      <c r="E24" s="46">
        <v>12</v>
      </c>
      <c r="F24" s="50">
        <v>43676</v>
      </c>
      <c r="G24" s="50">
        <v>43676</v>
      </c>
      <c r="H24" s="46">
        <v>14230.93</v>
      </c>
      <c r="I24" s="46">
        <v>7489.15</v>
      </c>
      <c r="J24" s="46">
        <v>0</v>
      </c>
      <c r="K24" s="46">
        <v>0</v>
      </c>
      <c r="L24" s="46">
        <f>SUM(بيان.معاشات.اسكندرية[[#This Row],[المنحة]:[مقابل نقدي]])</f>
        <v>21720.080000000002</v>
      </c>
      <c r="M24" s="46">
        <f>بيان.معاشات.اسكندرية[[#This Row],[إجمالي الدفعات]]</f>
        <v>9949.82</v>
      </c>
      <c r="N24" s="46">
        <f>بيان.معاشات.اسكندرية[[#This Row],[إجمالي المستحق]]-بيان.معاشات.اسكندرية[[#This Row],[إجمالي المنصرف]]</f>
        <v>11770.260000000002</v>
      </c>
      <c r="O24" s="46">
        <f>IF(بيان.معاشات.اسكندرية[[#This Row],[المتبقي]]&lt;0,0,بيان.معاشات.اسكندرية[[#This Row],[المتبقي]])</f>
        <v>11770.260000000002</v>
      </c>
      <c r="P24" s="48">
        <f>(بيان.معاشات.اسكندرية[[#This Row],[المنحة]]+بيان.معاشات.اسكندرية[[#This Row],[مستحقات]])-بيان.معاشات.اسكندرية[[#This Row],[إجمالي المنصرف]]</f>
        <v>11770.260000000002</v>
      </c>
      <c r="Q24" s="48">
        <f>IF(بيان.معاشات.اسكندرية[[#This Row],[المتبقي من المنحة]]&lt;0,0,بيان.معاشات.اسكندرية[[#This Row],[المتبقي من المنحة]])</f>
        <v>11770.260000000002</v>
      </c>
      <c r="R24" s="53"/>
      <c r="S24" s="46"/>
      <c r="T24" s="46" t="s">
        <v>296</v>
      </c>
      <c r="U24" s="76"/>
      <c r="V24" s="46">
        <v>4449.82</v>
      </c>
      <c r="W24" s="46">
        <v>5500</v>
      </c>
      <c r="X24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9949.82</v>
      </c>
      <c r="Y24" s="46">
        <f>SUM(بيان.معاشات.اسكندرية[[#This Row],[يناير-23]:[ديسمبر-23]])</f>
        <v>0</v>
      </c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55"/>
    </row>
    <row r="25" spans="3:37" ht="21" x14ac:dyDescent="0.35">
      <c r="C25" s="71">
        <v>2</v>
      </c>
      <c r="D25" s="46" t="s">
        <v>194</v>
      </c>
      <c r="E25" s="46">
        <v>13</v>
      </c>
      <c r="F25" s="50">
        <v>43523</v>
      </c>
      <c r="G25" s="50">
        <v>43532</v>
      </c>
      <c r="H25" s="46">
        <v>13798.98</v>
      </c>
      <c r="I25" s="46">
        <v>13999.43</v>
      </c>
      <c r="J25" s="46">
        <v>12569.4</v>
      </c>
      <c r="K25" s="46">
        <v>90</v>
      </c>
      <c r="L25" s="46">
        <f>SUM(بيان.معاشات.اسكندرية[[#This Row],[المنحة]:[مقابل نقدي]])</f>
        <v>40367.81</v>
      </c>
      <c r="M25" s="46">
        <f>بيان.معاشات.اسكندرية[[#This Row],[إجمالي الدفعات]]</f>
        <v>23322.49</v>
      </c>
      <c r="N25" s="46">
        <f>بيان.معاشات.اسكندرية[[#This Row],[إجمالي المستحق]]-بيان.معاشات.اسكندرية[[#This Row],[إجمالي المنصرف]]</f>
        <v>17045.319999999996</v>
      </c>
      <c r="O25" s="46">
        <f>IF(بيان.معاشات.اسكندرية[[#This Row],[المتبقي]]&lt;0,0,بيان.معاشات.اسكندرية[[#This Row],[المتبقي]])</f>
        <v>17045.319999999996</v>
      </c>
      <c r="P25" s="48">
        <f>(بيان.معاشات.اسكندرية[[#This Row],[المنحة]]+بيان.معاشات.اسكندرية[[#This Row],[مستحقات]])-بيان.معاشات.اسكندرية[[#This Row],[إجمالي المنصرف]]</f>
        <v>4475.9199999999983</v>
      </c>
      <c r="Q25" s="48">
        <f>IF(بيان.معاشات.اسكندرية[[#This Row],[المتبقي من المنحة]]&lt;0,0,بيان.معاشات.اسكندرية[[#This Row],[المتبقي من المنحة]])</f>
        <v>4475.9199999999983</v>
      </c>
      <c r="R25" s="53"/>
      <c r="S25" s="46"/>
      <c r="T25" s="46" t="s">
        <v>297</v>
      </c>
      <c r="U25" s="76"/>
      <c r="V25" s="46">
        <v>17822.490000000002</v>
      </c>
      <c r="W25" s="46">
        <v>5500</v>
      </c>
      <c r="X25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23322.49</v>
      </c>
      <c r="Y25" s="46">
        <f>SUM(بيان.معاشات.اسكندرية[[#This Row],[يناير-23]:[ديسمبر-23]])</f>
        <v>0</v>
      </c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55"/>
    </row>
    <row r="26" spans="3:37" ht="21" x14ac:dyDescent="0.35">
      <c r="C26" s="71">
        <v>3</v>
      </c>
      <c r="D26" s="46" t="s">
        <v>195</v>
      </c>
      <c r="E26" s="46">
        <v>14</v>
      </c>
      <c r="F26" s="50">
        <v>43680</v>
      </c>
      <c r="G26" s="50">
        <v>43680</v>
      </c>
      <c r="H26" s="46">
        <v>14254.44</v>
      </c>
      <c r="I26" s="46">
        <v>7326.26</v>
      </c>
      <c r="J26" s="46">
        <v>11617.2</v>
      </c>
      <c r="K26" s="46">
        <v>90</v>
      </c>
      <c r="L26" s="46">
        <f>SUM(بيان.معاشات.اسكندرية[[#This Row],[المنحة]:[مقابل نقدي]])</f>
        <v>33197.9</v>
      </c>
      <c r="M26" s="46">
        <f>بيان.معاشات.اسكندرية[[#This Row],[إجمالي الدفعات]]</f>
        <v>11054.07</v>
      </c>
      <c r="N26" s="46">
        <f>بيان.معاشات.اسكندرية[[#This Row],[إجمالي المستحق]]-بيان.معاشات.اسكندرية[[#This Row],[إجمالي المنصرف]]</f>
        <v>22143.83</v>
      </c>
      <c r="O26" s="46">
        <f>IF(بيان.معاشات.اسكندرية[[#This Row],[المتبقي]]&lt;0,0,بيان.معاشات.اسكندرية[[#This Row],[المتبقي]])</f>
        <v>22143.83</v>
      </c>
      <c r="P26" s="48">
        <f>(بيان.معاشات.اسكندرية[[#This Row],[المنحة]]+بيان.معاشات.اسكندرية[[#This Row],[مستحقات]])-بيان.معاشات.اسكندرية[[#This Row],[إجمالي المنصرف]]</f>
        <v>10526.630000000001</v>
      </c>
      <c r="Q26" s="48">
        <f>IF(بيان.معاشات.اسكندرية[[#This Row],[المتبقي من المنحة]]&lt;0,0,بيان.معاشات.اسكندرية[[#This Row],[المتبقي من المنحة]])</f>
        <v>10526.630000000001</v>
      </c>
      <c r="R26" s="53"/>
      <c r="S26" s="46"/>
      <c r="T26" s="46" t="s">
        <v>298</v>
      </c>
      <c r="U26" s="76"/>
      <c r="V26" s="46">
        <v>5054.07</v>
      </c>
      <c r="W26" s="46">
        <v>6000</v>
      </c>
      <c r="X26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11054.07</v>
      </c>
      <c r="Y26" s="46">
        <f>SUM(بيان.معاشات.اسكندرية[[#This Row],[يناير-23]:[ديسمبر-23]])</f>
        <v>0</v>
      </c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55"/>
    </row>
    <row r="27" spans="3:37" ht="21" x14ac:dyDescent="0.35">
      <c r="C27" s="71">
        <v>4</v>
      </c>
      <c r="D27" s="46" t="s">
        <v>299</v>
      </c>
      <c r="E27" s="46">
        <v>16</v>
      </c>
      <c r="F27" s="50">
        <v>43484</v>
      </c>
      <c r="G27" s="50">
        <v>43484</v>
      </c>
      <c r="H27" s="46">
        <v>919.5</v>
      </c>
      <c r="I27" s="46">
        <v>10204.459999999999</v>
      </c>
      <c r="J27" s="46">
        <v>4185.9399999999996</v>
      </c>
      <c r="K27" s="46">
        <v>53</v>
      </c>
      <c r="L27" s="46">
        <f>SUM(بيان.معاشات.اسكندرية[[#This Row],[المنحة]:[مقابل نقدي]])</f>
        <v>15309.899999999998</v>
      </c>
      <c r="M27" s="46">
        <f>بيان.معاشات.اسكندرية[[#This Row],[إجمالي الدفعات]]</f>
        <v>12976.51</v>
      </c>
      <c r="N27" s="46">
        <f>بيان.معاشات.اسكندرية[[#This Row],[إجمالي المستحق]]-بيان.معاشات.اسكندرية[[#This Row],[إجمالي المنصرف]]</f>
        <v>2333.3899999999976</v>
      </c>
      <c r="O27" s="46">
        <f>IF(بيان.معاشات.اسكندرية[[#This Row],[المتبقي]]&lt;0,0,بيان.معاشات.اسكندرية[[#This Row],[المتبقي]])</f>
        <v>2333.3899999999976</v>
      </c>
      <c r="P27" s="48">
        <f>(بيان.معاشات.اسكندرية[[#This Row],[المنحة]]+بيان.معاشات.اسكندرية[[#This Row],[مستحقات]])-بيان.معاشات.اسكندرية[[#This Row],[إجمالي المنصرف]]</f>
        <v>-1852.5500000000011</v>
      </c>
      <c r="Q27" s="48">
        <f>IF(بيان.معاشات.اسكندرية[[#This Row],[المتبقي من المنحة]]&lt;0,0,بيان.معاشات.اسكندرية[[#This Row],[المتبقي من المنحة]])</f>
        <v>0</v>
      </c>
      <c r="R27" s="53"/>
      <c r="S27" s="46"/>
      <c r="T27" s="46" t="s">
        <v>300</v>
      </c>
      <c r="U27" s="76"/>
      <c r="V27" s="46">
        <v>8909.36</v>
      </c>
      <c r="W27" s="46">
        <v>4067.15</v>
      </c>
      <c r="X27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12976.51</v>
      </c>
      <c r="Y27" s="46">
        <f>SUM(بيان.معاشات.اسكندرية[[#This Row],[يناير-23]:[ديسمبر-23]])</f>
        <v>0</v>
      </c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55"/>
    </row>
    <row r="28" spans="3:37" ht="21" x14ac:dyDescent="0.35">
      <c r="C28" s="71">
        <v>5</v>
      </c>
      <c r="D28" s="46"/>
      <c r="E28" s="46"/>
      <c r="F28" s="50"/>
      <c r="G28" s="50"/>
      <c r="H28" s="46"/>
      <c r="I28" s="46"/>
      <c r="J28" s="46"/>
      <c r="K28" s="46"/>
      <c r="L28" s="46">
        <f>SUM(بيان.معاشات.اسكندرية[[#This Row],[المنحة]:[مقابل نقدي]])</f>
        <v>0</v>
      </c>
      <c r="M28" s="46">
        <f>بيان.معاشات.اسكندرية[[#This Row],[إجمالي الدفعات]]</f>
        <v>0</v>
      </c>
      <c r="N28" s="46">
        <f>بيان.معاشات.اسكندرية[[#This Row],[إجمالي المستحق]]-بيان.معاشات.اسكندرية[[#This Row],[إجمالي المنصرف]]</f>
        <v>0</v>
      </c>
      <c r="O28" s="46">
        <f>IF(بيان.معاشات.اسكندرية[[#This Row],[المتبقي]]&lt;0,0,بيان.معاشات.اسكندرية[[#This Row],[المتبقي]])</f>
        <v>0</v>
      </c>
      <c r="P28" s="48">
        <f>(بيان.معاشات.اسكندرية[[#This Row],[المنحة]]+بيان.معاشات.اسكندرية[[#This Row],[مستحقات]])-بيان.معاشات.اسكندرية[[#This Row],[إجمالي المنصرف]]</f>
        <v>0</v>
      </c>
      <c r="Q28" s="48">
        <f>IF(بيان.معاشات.اسكندرية[[#This Row],[المتبقي من المنحة]]&lt;0,0,بيان.معاشات.اسكندرية[[#This Row],[المتبقي من المنحة]])</f>
        <v>0</v>
      </c>
      <c r="R28" s="53"/>
      <c r="S28" s="46"/>
      <c r="T28" s="46"/>
      <c r="U28" s="76"/>
      <c r="V28" s="46"/>
      <c r="W28" s="46">
        <v>0</v>
      </c>
      <c r="X28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0</v>
      </c>
      <c r="Y28" s="46">
        <f>SUM(بيان.معاشات.اسكندرية[[#This Row],[يناير-23]:[ديسمبر-23]])</f>
        <v>0</v>
      </c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55"/>
    </row>
    <row r="29" spans="3:37" ht="21" x14ac:dyDescent="0.35">
      <c r="C29" s="71">
        <v>6</v>
      </c>
      <c r="D29" s="46"/>
      <c r="E29" s="46"/>
      <c r="F29" s="50"/>
      <c r="G29" s="50"/>
      <c r="H29" s="46"/>
      <c r="I29" s="46"/>
      <c r="J29" s="46"/>
      <c r="K29" s="46"/>
      <c r="L29" s="46">
        <f>SUM(بيان.معاشات.اسكندرية[[#This Row],[المنحة]:[مقابل نقدي]])</f>
        <v>0</v>
      </c>
      <c r="M29" s="46">
        <f>بيان.معاشات.اسكندرية[[#This Row],[إجمالي الدفعات]]</f>
        <v>0</v>
      </c>
      <c r="N29" s="46">
        <f>بيان.معاشات.اسكندرية[[#This Row],[إجمالي المستحق]]-بيان.معاشات.اسكندرية[[#This Row],[إجمالي المنصرف]]</f>
        <v>0</v>
      </c>
      <c r="O29" s="46">
        <f>IF(بيان.معاشات.اسكندرية[[#This Row],[المتبقي]]&lt;0,0,بيان.معاشات.اسكندرية[[#This Row],[المتبقي]])</f>
        <v>0</v>
      </c>
      <c r="P29" s="48">
        <f>(بيان.معاشات.اسكندرية[[#This Row],[المنحة]]+بيان.معاشات.اسكندرية[[#This Row],[مستحقات]])-بيان.معاشات.اسكندرية[[#This Row],[إجمالي المنصرف]]</f>
        <v>0</v>
      </c>
      <c r="Q29" s="48">
        <f>IF(بيان.معاشات.اسكندرية[[#This Row],[المتبقي من المنحة]]&lt;0,0,بيان.معاشات.اسكندرية[[#This Row],[المتبقي من المنحة]])</f>
        <v>0</v>
      </c>
      <c r="R29" s="53"/>
      <c r="S29" s="46"/>
      <c r="T29" s="46"/>
      <c r="U29" s="76"/>
      <c r="V29" s="46"/>
      <c r="W29" s="46">
        <v>0</v>
      </c>
      <c r="X29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0</v>
      </c>
      <c r="Y29" s="46">
        <f>SUM(بيان.معاشات.اسكندرية[[#This Row],[يناير-23]:[ديسمبر-23]])</f>
        <v>0</v>
      </c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55"/>
    </row>
    <row r="30" spans="3:37" ht="21" x14ac:dyDescent="0.35">
      <c r="C30" s="72">
        <v>7</v>
      </c>
      <c r="D30" s="52"/>
      <c r="E30" s="52"/>
      <c r="F30" s="80"/>
      <c r="G30" s="80"/>
      <c r="H30" s="52"/>
      <c r="I30" s="52"/>
      <c r="J30" s="52"/>
      <c r="K30" s="52"/>
      <c r="L30" s="46">
        <f>SUM(بيان.معاشات.اسكندرية[[#This Row],[المنحة]:[مقابل نقدي]])</f>
        <v>0</v>
      </c>
      <c r="M30" s="46">
        <f>بيان.معاشات.اسكندرية[[#This Row],[إجمالي الدفعات]]</f>
        <v>0</v>
      </c>
      <c r="N30" s="46">
        <f>بيان.معاشات.اسكندرية[[#This Row],[إجمالي المستحق]]-بيان.معاشات.اسكندرية[[#This Row],[إجمالي المنصرف]]</f>
        <v>0</v>
      </c>
      <c r="O30" s="52">
        <f>IF(بيان.معاشات.اسكندرية[[#This Row],[المتبقي]]&lt;0,0,بيان.معاشات.اسكندرية[[#This Row],[المتبقي]])</f>
        <v>0</v>
      </c>
      <c r="P30" s="48">
        <f>(بيان.معاشات.اسكندرية[[#This Row],[المنحة]]+بيان.معاشات.اسكندرية[[#This Row],[مستحقات]])-بيان.معاشات.اسكندرية[[#This Row],[إجمالي المنصرف]]</f>
        <v>0</v>
      </c>
      <c r="Q30" s="56">
        <f>IF(بيان.معاشات.اسكندرية[[#This Row],[المتبقي من المنحة]]&lt;0,0,بيان.معاشات.اسكندرية[[#This Row],[المتبقي من المنحة]])</f>
        <v>0</v>
      </c>
      <c r="R30" s="62"/>
      <c r="S30" s="52"/>
      <c r="T30" s="52"/>
      <c r="U30" s="81"/>
      <c r="V30" s="52"/>
      <c r="W30" s="52">
        <v>0</v>
      </c>
      <c r="X30" s="46">
        <f>بيان.معاشات.اسكندرية[[#This Row],[المنصرف قبل الاستلام]]+بيان.معاشات.اسكندرية[[#This Row],[ما تم صرفة من7/2021 حتى12/2022]]+بيان.معاشات.اسكندرية[[#This Row],[إجمالي دفعات 2023]]</f>
        <v>0</v>
      </c>
      <c r="Y30" s="46">
        <f>SUM(بيان.معاشات.اسكندرية[[#This Row],[يناير-23]:[ديسمبر-23]])</f>
        <v>0</v>
      </c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4"/>
    </row>
    <row r="31" spans="3:37" ht="23.25" x14ac:dyDescent="0.35">
      <c r="C31" s="150" t="s">
        <v>396</v>
      </c>
      <c r="D31" s="151"/>
      <c r="E31" s="152"/>
      <c r="F31" s="152"/>
      <c r="G31" s="152"/>
      <c r="H31" s="152">
        <f>SUBTOTAL(109,بيان.معاشات.اسكندرية[المنحة])</f>
        <v>283841</v>
      </c>
      <c r="I31" s="152">
        <f>SUBTOTAL(109,بيان.معاشات.اسكندرية[مستحقات])</f>
        <v>39019.300000000003</v>
      </c>
      <c r="J31" s="152">
        <f>SUBTOTAL(109,بيان.معاشات.اسكندرية[مقابل نقدي])</f>
        <v>193191.72000000003</v>
      </c>
      <c r="K31" s="152"/>
      <c r="L31" s="152">
        <f>SUBTOTAL(109,بيان.معاشات.اسكندرية[إجمالي المستحق])</f>
        <v>516052.02</v>
      </c>
      <c r="M31" s="152">
        <f>SUBTOTAL(109,بيان.معاشات.اسكندرية[إجمالي المنصرف])</f>
        <v>211114.19</v>
      </c>
      <c r="N31" s="152">
        <f>SUBTOTAL(109,بيان.معاشات.اسكندرية[المتبقي])</f>
        <v>304937.83</v>
      </c>
      <c r="O31" s="152">
        <f>SUBTOTAL(109,بيان.معاشات.اسكندرية[المتبقي 1-])</f>
        <v>304937.83</v>
      </c>
      <c r="P31" s="152">
        <f>SUBTOTAL(109,بيان.معاشات.اسكندرية[المتبقي من المنحة])</f>
        <v>111746.10999999999</v>
      </c>
      <c r="Q31" s="152">
        <f>SUBTOTAL(109,بيان.معاشات.اسكندرية[المتبقي من المنحة 1-])</f>
        <v>140805.59999999998</v>
      </c>
      <c r="R31" s="152"/>
      <c r="S31" s="152"/>
      <c r="T31" s="152"/>
      <c r="U31" s="152"/>
      <c r="V31" s="152"/>
      <c r="W31" s="152"/>
      <c r="X31" s="152">
        <f>SUBTOTAL(109,بيان.معاشات.اسكندرية[إجمالي الدفعات])</f>
        <v>211114.19</v>
      </c>
      <c r="Y31" s="152">
        <f>SUBTOTAL(109,بيان.معاشات.اسكندرية[إجمالي دفعات 2023])</f>
        <v>15000</v>
      </c>
      <c r="Z31" s="152">
        <f>SUBTOTAL(109,بيان.معاشات.اسكندرية[يناير-23])</f>
        <v>4000</v>
      </c>
      <c r="AA31" s="152">
        <f>SUBTOTAL(109,بيان.معاشات.اسكندرية[فبراير-23])</f>
        <v>2500</v>
      </c>
      <c r="AB31" s="152">
        <f>SUBTOTAL(109,بيان.معاشات.اسكندرية[مارس-23])</f>
        <v>5000</v>
      </c>
      <c r="AC31" s="152">
        <f>SUBTOTAL(109,بيان.معاشات.اسكندرية[أبريل-23])</f>
        <v>2000</v>
      </c>
      <c r="AD31" s="152">
        <f>SUBTOTAL(109,بيان.معاشات.اسكندرية[مايو-23])</f>
        <v>1500</v>
      </c>
      <c r="AE31" s="152">
        <f>SUBTOTAL(109,بيان.معاشات.اسكندرية[يونيو-23])</f>
        <v>0</v>
      </c>
      <c r="AF31" s="152">
        <f>SUBTOTAL(109,بيان.معاشات.اسكندرية[يوليه-23])</f>
        <v>0</v>
      </c>
      <c r="AG31" s="152">
        <f>SUBTOTAL(109,بيان.معاشات.اسكندرية[أغسطس-23])</f>
        <v>0</v>
      </c>
      <c r="AH31" s="152">
        <f>SUBTOTAL(109,بيان.معاشات.اسكندرية[سبتمبر-23])</f>
        <v>0</v>
      </c>
      <c r="AI31" s="152">
        <f>SUBTOTAL(109,بيان.معاشات.اسكندرية[أكتوبر-23])</f>
        <v>0</v>
      </c>
      <c r="AJ31" s="152">
        <f>SUBTOTAL(109,بيان.معاشات.اسكندرية[نوفمبر-23])</f>
        <v>0</v>
      </c>
      <c r="AK31" s="152">
        <f>SUBTOTAL(109,بيان.معاشات.اسكندرية[ديسمبر-23])</f>
        <v>0</v>
      </c>
    </row>
  </sheetData>
  <mergeCells count="6">
    <mergeCell ref="C6:T6"/>
    <mergeCell ref="V6:AK6"/>
    <mergeCell ref="C2:D2"/>
    <mergeCell ref="C3:D3"/>
    <mergeCell ref="C4:AK4"/>
    <mergeCell ref="C5:AK5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C2:AJ46"/>
  <sheetViews>
    <sheetView rightToLeft="1" topLeftCell="C7" workbookViewId="0">
      <pane xSplit="2" ySplit="1" topLeftCell="E8" activePane="bottomRight" state="frozen"/>
      <selection activeCell="C7" sqref="C7"/>
      <selection pane="topRight" activeCell="E7" sqref="E7"/>
      <selection pane="bottomLeft" activeCell="C8" sqref="C8"/>
      <selection pane="bottomRight" activeCell="G1" sqref="G1"/>
    </sheetView>
  </sheetViews>
  <sheetFormatPr defaultRowHeight="15" x14ac:dyDescent="0.25"/>
  <cols>
    <col min="3" max="3" width="5.7109375" customWidth="1"/>
    <col min="4" max="4" width="27.42578125" bestFit="1" customWidth="1"/>
    <col min="5" max="5" width="7.140625" customWidth="1"/>
    <col min="6" max="6" width="13.7109375" customWidth="1"/>
    <col min="7" max="7" width="12.5703125" customWidth="1"/>
    <col min="8" max="8" width="12.140625" customWidth="1"/>
    <col min="9" max="9" width="10.5703125" customWidth="1"/>
    <col min="10" max="10" width="12.140625" customWidth="1"/>
    <col min="11" max="11" width="6.7109375" customWidth="1"/>
    <col min="12" max="12" width="14.7109375" customWidth="1"/>
    <col min="13" max="13" width="12.140625" customWidth="1"/>
    <col min="14" max="16" width="13" customWidth="1"/>
    <col min="17" max="17" width="11.5703125" customWidth="1"/>
    <col min="18" max="18" width="22.140625" bestFit="1" customWidth="1"/>
    <col min="19" max="19" width="77.7109375" customWidth="1"/>
    <col min="20" max="20" width="9.140625" customWidth="1"/>
    <col min="21" max="21" width="9" customWidth="1"/>
    <col min="22" max="22" width="12.85546875" customWidth="1"/>
    <col min="23" max="23" width="16.140625" bestFit="1" customWidth="1"/>
    <col min="24" max="24" width="17.5703125" bestFit="1" customWidth="1"/>
    <col min="25" max="25" width="10.42578125" customWidth="1"/>
    <col min="27" max="27" width="14.42578125" bestFit="1" customWidth="1"/>
    <col min="33" max="33" width="10.5703125" customWidth="1"/>
    <col min="34" max="34" width="9.42578125" customWidth="1"/>
    <col min="35" max="35" width="9.140625" customWidth="1"/>
    <col min="36" max="36" width="9.42578125" customWidth="1"/>
    <col min="37" max="37" width="9.5703125" customWidth="1"/>
  </cols>
  <sheetData>
    <row r="2" spans="3:36" ht="18.75" x14ac:dyDescent="0.3">
      <c r="C2" s="277"/>
      <c r="D2" s="277"/>
    </row>
    <row r="3" spans="3:36" ht="18.75" x14ac:dyDescent="0.3">
      <c r="C3" s="277"/>
      <c r="D3" s="277"/>
    </row>
    <row r="4" spans="3:36" ht="21" x14ac:dyDescent="0.35"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  <c r="AI4" s="288"/>
      <c r="AJ4" s="288"/>
    </row>
    <row r="5" spans="3:36" ht="21" x14ac:dyDescent="0.35"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</row>
    <row r="6" spans="3:36" s="86" customFormat="1" ht="23.25" x14ac:dyDescent="0.35"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88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</row>
    <row r="7" spans="3:36" s="85" customFormat="1" ht="105" x14ac:dyDescent="0.25">
      <c r="C7" s="73" t="s">
        <v>0</v>
      </c>
      <c r="D7" s="73" t="s">
        <v>1</v>
      </c>
      <c r="E7" s="87" t="s">
        <v>279</v>
      </c>
      <c r="F7" s="73" t="s">
        <v>218</v>
      </c>
      <c r="G7" s="73" t="s">
        <v>223</v>
      </c>
      <c r="H7" s="73" t="s">
        <v>281</v>
      </c>
      <c r="I7" s="73" t="s">
        <v>185</v>
      </c>
      <c r="J7" s="73" t="s">
        <v>4</v>
      </c>
      <c r="K7" s="73" t="s">
        <v>301</v>
      </c>
      <c r="L7" s="73" t="s">
        <v>5</v>
      </c>
      <c r="M7" s="73" t="s">
        <v>252</v>
      </c>
      <c r="N7" s="73" t="s">
        <v>7</v>
      </c>
      <c r="O7" s="73" t="s">
        <v>399</v>
      </c>
      <c r="P7" s="79" t="s">
        <v>8</v>
      </c>
      <c r="Q7" s="89" t="s">
        <v>400</v>
      </c>
      <c r="R7" s="73" t="s">
        <v>9</v>
      </c>
      <c r="S7" s="73" t="s">
        <v>11</v>
      </c>
      <c r="T7" s="75" t="s">
        <v>395</v>
      </c>
      <c r="U7" s="73" t="s">
        <v>6</v>
      </c>
      <c r="V7" s="73" t="s">
        <v>302</v>
      </c>
      <c r="W7" s="73" t="s">
        <v>12</v>
      </c>
      <c r="X7" s="73" t="s">
        <v>250</v>
      </c>
      <c r="Y7" s="73" t="s">
        <v>254</v>
      </c>
      <c r="Z7" s="73" t="s">
        <v>255</v>
      </c>
      <c r="AA7" s="73" t="s">
        <v>256</v>
      </c>
      <c r="AB7" s="73" t="s">
        <v>257</v>
      </c>
      <c r="AC7" s="73" t="s">
        <v>258</v>
      </c>
      <c r="AD7" s="73" t="s">
        <v>259</v>
      </c>
      <c r="AE7" s="73" t="s">
        <v>260</v>
      </c>
      <c r="AF7" s="73" t="s">
        <v>261</v>
      </c>
      <c r="AG7" s="73" t="s">
        <v>262</v>
      </c>
      <c r="AH7" s="73" t="s">
        <v>263</v>
      </c>
      <c r="AI7" s="73" t="s">
        <v>264</v>
      </c>
      <c r="AJ7" s="73" t="s">
        <v>265</v>
      </c>
    </row>
    <row r="8" spans="3:36" ht="21" x14ac:dyDescent="0.35">
      <c r="C8" s="61">
        <v>1</v>
      </c>
      <c r="D8" s="46" t="s">
        <v>303</v>
      </c>
      <c r="E8" s="47">
        <v>1</v>
      </c>
      <c r="F8" s="50">
        <v>43693</v>
      </c>
      <c r="G8" s="50"/>
      <c r="H8" s="46">
        <v>21649.56</v>
      </c>
      <c r="I8" s="46">
        <v>0</v>
      </c>
      <c r="J8" s="46">
        <v>14501.26</v>
      </c>
      <c r="K8" s="46">
        <v>90</v>
      </c>
      <c r="L8" s="46">
        <f>SUM(بيان.معاشات.قنا[[#This Row],[المنحة]:[مقابل نقدي]])</f>
        <v>36150.82</v>
      </c>
      <c r="M8" s="46">
        <f>بيان.معاشات.قنا[[#This Row],[إجمالي الدفعات]]</f>
        <v>19000</v>
      </c>
      <c r="N8" s="46">
        <f>بيان.معاشات.قنا[[#This Row],[إجمالي المستحق]]-بيان.معاشات.قنا[[#This Row],[إجمالي المنصرف]]</f>
        <v>17150.82</v>
      </c>
      <c r="O8" s="46">
        <f>IF(بيان.معاشات.قنا[[#This Row],[المتبقي]]&lt;0,0,بيان.معاشات.قنا[[#This Row],[المتبقي]])</f>
        <v>17150.82</v>
      </c>
      <c r="P8" s="48">
        <f>(بيان.معاشات.قنا[[#This Row],[المنحة]]+بيان.معاشات.قنا[[#This Row],[مستحقات]])-بيان.معاشات.قنا[[#This Row],[إجمالي المنصرف]]</f>
        <v>2649.5600000000013</v>
      </c>
      <c r="Q8" s="48">
        <f>IF(بيان.معاشات.قنا[[#This Row],[المتبقي من المنحة]]&lt;0,0,بيان.معاشات.قنا[[#This Row],[المتبقي من المنحة]])</f>
        <v>2649.5600000000013</v>
      </c>
      <c r="R8" s="53">
        <v>25908162601519</v>
      </c>
      <c r="S8" s="46"/>
      <c r="T8" s="76"/>
      <c r="U8" s="46">
        <v>9000</v>
      </c>
      <c r="V8" s="46">
        <v>6500</v>
      </c>
      <c r="W8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19000</v>
      </c>
      <c r="X8" s="46">
        <f>SUM(بيان.معاشات.قنا[[#This Row],[يناير-23]:[ديسمبر-23]])</f>
        <v>3500</v>
      </c>
      <c r="Y8" s="46"/>
      <c r="Z8" s="46"/>
      <c r="AA8" s="46">
        <v>3500</v>
      </c>
      <c r="AB8" s="46"/>
      <c r="AC8" s="46"/>
      <c r="AD8" s="46"/>
      <c r="AE8" s="46"/>
      <c r="AF8" s="46"/>
      <c r="AG8" s="46"/>
      <c r="AH8" s="46"/>
      <c r="AI8" s="46"/>
      <c r="AJ8" s="46"/>
    </row>
    <row r="9" spans="3:36" ht="21" x14ac:dyDescent="0.35">
      <c r="C9" s="61">
        <v>2</v>
      </c>
      <c r="D9" s="46" t="s">
        <v>304</v>
      </c>
      <c r="E9" s="191">
        <v>2</v>
      </c>
      <c r="F9" s="50">
        <v>43728</v>
      </c>
      <c r="G9" s="50"/>
      <c r="H9" s="46">
        <v>23805.3</v>
      </c>
      <c r="I9" s="46">
        <v>0</v>
      </c>
      <c r="J9" s="46">
        <v>15610.82</v>
      </c>
      <c r="K9" s="46">
        <v>90</v>
      </c>
      <c r="L9" s="46">
        <f>SUM(بيان.معاشات.قنا[[#This Row],[المنحة]:[مقابل نقدي]])</f>
        <v>39416.119999999995</v>
      </c>
      <c r="M9" s="46">
        <f>بيان.معاشات.قنا[[#This Row],[إجمالي الدفعات]]</f>
        <v>19500</v>
      </c>
      <c r="N9" s="46">
        <f>بيان.معاشات.قنا[[#This Row],[إجمالي المستحق]]-بيان.معاشات.قنا[[#This Row],[إجمالي المنصرف]]</f>
        <v>19916.119999999995</v>
      </c>
      <c r="O9" s="46">
        <f>IF(بيان.معاشات.قنا[[#This Row],[المتبقي]]&lt;0,0,بيان.معاشات.قنا[[#This Row],[المتبقي]])</f>
        <v>19916.119999999995</v>
      </c>
      <c r="P9" s="48">
        <f>(بيان.معاشات.قنا[[#This Row],[المنحة]]+بيان.معاشات.قنا[[#This Row],[مستحقات]])-بيان.معاشات.قنا[[#This Row],[إجمالي المنصرف]]</f>
        <v>4305.2999999999993</v>
      </c>
      <c r="Q9" s="48">
        <f>IF(بيان.معاشات.قنا[[#This Row],[المتبقي من المنحة]]&lt;0,0,بيان.معاشات.قنا[[#This Row],[المتبقي من المنحة]])</f>
        <v>4305.2999999999993</v>
      </c>
      <c r="R9" s="53"/>
      <c r="S9" s="46"/>
      <c r="T9" s="76"/>
      <c r="U9" s="46">
        <v>8500</v>
      </c>
      <c r="V9" s="46">
        <v>8000</v>
      </c>
      <c r="W9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19500</v>
      </c>
      <c r="X9" s="46">
        <f>SUM(بيان.معاشات.قنا[[#This Row],[يناير-23]:[ديسمبر-23]])</f>
        <v>3000</v>
      </c>
      <c r="Y9" s="46"/>
      <c r="Z9" s="46"/>
      <c r="AA9" s="46">
        <v>3000</v>
      </c>
      <c r="AB9" s="46"/>
      <c r="AC9" s="46"/>
      <c r="AD9" s="46"/>
      <c r="AE9" s="46"/>
      <c r="AF9" s="46"/>
      <c r="AG9" s="46"/>
      <c r="AH9" s="46"/>
      <c r="AI9" s="46"/>
      <c r="AJ9" s="46"/>
    </row>
    <row r="10" spans="3:36" s="58" customFormat="1" ht="21" x14ac:dyDescent="0.35">
      <c r="C10" s="97">
        <v>3</v>
      </c>
      <c r="D10" s="48" t="s">
        <v>305</v>
      </c>
      <c r="E10" s="49">
        <v>3</v>
      </c>
      <c r="F10" s="57">
        <v>43227</v>
      </c>
      <c r="G10" s="57"/>
      <c r="H10" s="48">
        <v>0</v>
      </c>
      <c r="I10" s="48">
        <v>0</v>
      </c>
      <c r="J10" s="48">
        <v>11705.4</v>
      </c>
      <c r="K10" s="48">
        <v>90</v>
      </c>
      <c r="L10" s="48">
        <f>SUM(بيان.معاشات.قنا[[#This Row],[المنحة]:[مقابل نقدي]])</f>
        <v>11705.4</v>
      </c>
      <c r="M10" s="48">
        <f>بيان.معاشات.قنا[[#This Row],[إجمالي الدفعات]]</f>
        <v>1773</v>
      </c>
      <c r="N10" s="48">
        <f>بيان.معاشات.قنا[[#This Row],[إجمالي المستحق]]-بيان.معاشات.قنا[[#This Row],[إجمالي المنصرف]]</f>
        <v>9932.4</v>
      </c>
      <c r="O10" s="48">
        <f>IF(بيان.معاشات.قنا[[#This Row],[المتبقي]]&lt;0,0,بيان.معاشات.قنا[[#This Row],[المتبقي]])</f>
        <v>9932.4</v>
      </c>
      <c r="P10" s="48">
        <f>(بيان.معاشات.قنا[[#This Row],[المنحة]]+بيان.معاشات.قنا[[#This Row],[مستحقات]])-بيان.معاشات.قنا[[#This Row],[إجمالي المنصرف]]</f>
        <v>-1773</v>
      </c>
      <c r="Q10" s="48">
        <f>IF(بيان.معاشات.قنا[[#This Row],[المتبقي من المنحة]]&lt;0,0,بيان.معاشات.قنا[[#This Row],[المتبقي من المنحة]])</f>
        <v>0</v>
      </c>
      <c r="R10" s="59"/>
      <c r="S10" s="48" t="s">
        <v>306</v>
      </c>
      <c r="T10" s="48"/>
      <c r="U10" s="48">
        <v>273</v>
      </c>
      <c r="V10" s="48">
        <v>1500</v>
      </c>
      <c r="W10" s="48">
        <f>بيان.معاشات.قنا[[#This Row],[المنصرف قبل الاستلام]]+بيان.معاشات.قنا[[#This Row],[ما تم صرفه من 7/2021 حتى12/2022]]+بيان.معاشات.قنا[[#This Row],[إجمالي دفعات 2023]]</f>
        <v>1773</v>
      </c>
      <c r="X10" s="46">
        <f>SUM(بيان.معاشات.قنا[[#This Row],[يناير-23]:[ديسمبر-23]])</f>
        <v>0</v>
      </c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1" spans="3:36" s="58" customFormat="1" ht="21" x14ac:dyDescent="0.35">
      <c r="C11" s="97">
        <v>4</v>
      </c>
      <c r="D11" s="48" t="s">
        <v>307</v>
      </c>
      <c r="E11" s="49">
        <v>5</v>
      </c>
      <c r="F11" s="57">
        <v>43266</v>
      </c>
      <c r="G11" s="57"/>
      <c r="H11" s="48">
        <v>0</v>
      </c>
      <c r="I11" s="48">
        <v>0</v>
      </c>
      <c r="J11" s="48">
        <v>11316.6</v>
      </c>
      <c r="K11" s="48">
        <v>90</v>
      </c>
      <c r="L11" s="48">
        <f>SUM(بيان.معاشات.قنا[[#This Row],[المنحة]:[مقابل نقدي]])</f>
        <v>11316.6</v>
      </c>
      <c r="M11" s="48">
        <f>بيان.معاشات.قنا[[#This Row],[إجمالي الدفعات]]</f>
        <v>2500</v>
      </c>
      <c r="N11" s="48">
        <f>بيان.معاشات.قنا[[#This Row],[إجمالي المستحق]]-بيان.معاشات.قنا[[#This Row],[إجمالي المنصرف]]</f>
        <v>8816.6</v>
      </c>
      <c r="O11" s="48">
        <f>IF(بيان.معاشات.قنا[[#This Row],[المتبقي]]&lt;0,0,بيان.معاشات.قنا[[#This Row],[المتبقي]])</f>
        <v>8816.6</v>
      </c>
      <c r="P11" s="48">
        <f>(بيان.معاشات.قنا[[#This Row],[المنحة]]+بيان.معاشات.قنا[[#This Row],[مستحقات]])-بيان.معاشات.قنا[[#This Row],[إجمالي المنصرف]]</f>
        <v>-2500</v>
      </c>
      <c r="Q11" s="48">
        <f>IF(بيان.معاشات.قنا[[#This Row],[المتبقي من المنحة]]&lt;0,0,بيان.معاشات.قنا[[#This Row],[المتبقي من المنحة]])</f>
        <v>0</v>
      </c>
      <c r="R11" s="59"/>
      <c r="S11" s="48" t="s">
        <v>306</v>
      </c>
      <c r="T11" s="48"/>
      <c r="U11" s="48">
        <v>0</v>
      </c>
      <c r="V11" s="48">
        <v>2500</v>
      </c>
      <c r="W11" s="48">
        <f>بيان.معاشات.قنا[[#This Row],[المنصرف قبل الاستلام]]+بيان.معاشات.قنا[[#This Row],[ما تم صرفه من 7/2021 حتى12/2022]]+بيان.معاشات.قنا[[#This Row],[إجمالي دفعات 2023]]</f>
        <v>2500</v>
      </c>
      <c r="X11" s="46">
        <f>SUM(بيان.معاشات.قنا[[#This Row],[يناير-23]:[ديسمبر-23]])</f>
        <v>0</v>
      </c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</row>
    <row r="12" spans="3:36" ht="21" x14ac:dyDescent="0.35">
      <c r="C12" s="61">
        <v>5</v>
      </c>
      <c r="D12" s="46" t="s">
        <v>308</v>
      </c>
      <c r="E12" s="47">
        <v>7</v>
      </c>
      <c r="F12" s="50">
        <v>44320</v>
      </c>
      <c r="G12" s="50"/>
      <c r="H12" s="46">
        <v>21208.080000000002</v>
      </c>
      <c r="I12" s="46">
        <v>0</v>
      </c>
      <c r="J12" s="46">
        <v>20899.8</v>
      </c>
      <c r="K12" s="46">
        <v>90</v>
      </c>
      <c r="L12" s="46">
        <f>SUM(بيان.معاشات.قنا[[#This Row],[المنحة]:[مقابل نقدي]])</f>
        <v>42107.880000000005</v>
      </c>
      <c r="M12" s="46">
        <f>بيان.معاشات.قنا[[#This Row],[إجمالي الدفعات]]</f>
        <v>11000</v>
      </c>
      <c r="N12" s="46">
        <f>بيان.معاشات.قنا[[#This Row],[إجمالي المستحق]]-بيان.معاشات.قنا[[#This Row],[إجمالي المنصرف]]</f>
        <v>31107.880000000005</v>
      </c>
      <c r="O12" s="46">
        <f>IF(بيان.معاشات.قنا[[#This Row],[المتبقي]]&lt;0,0,بيان.معاشات.قنا[[#This Row],[المتبقي]])</f>
        <v>31107.880000000005</v>
      </c>
      <c r="P12" s="48">
        <f>(بيان.معاشات.قنا[[#This Row],[المنحة]]+بيان.معاشات.قنا[[#This Row],[مستحقات]])-بيان.معاشات.قنا[[#This Row],[إجمالي المنصرف]]</f>
        <v>10208.080000000002</v>
      </c>
      <c r="Q12" s="48">
        <f>IF(بيان.معاشات.قنا[[#This Row],[المتبقي من المنحة]]&lt;0,0,بيان.معاشات.قنا[[#This Row],[المتبقي من المنحة]])</f>
        <v>10208.080000000002</v>
      </c>
      <c r="R12" s="53">
        <v>26105042700716</v>
      </c>
      <c r="S12" s="46"/>
      <c r="T12" s="76"/>
      <c r="U12" s="46">
        <v>500</v>
      </c>
      <c r="V12" s="46">
        <v>8500</v>
      </c>
      <c r="W12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11000</v>
      </c>
      <c r="X12" s="46">
        <f>SUM(بيان.معاشات.قنا[[#This Row],[يناير-23]:[ديسمبر-23]])</f>
        <v>2000</v>
      </c>
      <c r="Y12" s="46"/>
      <c r="Z12" s="46"/>
      <c r="AA12" s="46">
        <v>2000</v>
      </c>
      <c r="AB12" s="46"/>
      <c r="AC12" s="46"/>
      <c r="AD12" s="46"/>
      <c r="AE12" s="46"/>
      <c r="AF12" s="46"/>
      <c r="AG12" s="46"/>
      <c r="AH12" s="46"/>
      <c r="AI12" s="46"/>
      <c r="AJ12" s="46"/>
    </row>
    <row r="13" spans="3:36" ht="21" x14ac:dyDescent="0.35">
      <c r="C13" s="61">
        <v>6</v>
      </c>
      <c r="D13" s="46" t="s">
        <v>309</v>
      </c>
      <c r="E13" s="47">
        <v>9</v>
      </c>
      <c r="F13" s="50">
        <v>43722</v>
      </c>
      <c r="G13" s="50"/>
      <c r="H13" s="46">
        <v>17707.919999999998</v>
      </c>
      <c r="I13" s="46">
        <v>0</v>
      </c>
      <c r="J13" s="46">
        <v>13728.6</v>
      </c>
      <c r="K13" s="46">
        <v>90</v>
      </c>
      <c r="L13" s="46">
        <f>SUM(بيان.معاشات.قنا[[#This Row],[المنحة]:[مقابل نقدي]])</f>
        <v>31436.519999999997</v>
      </c>
      <c r="M13" s="46">
        <f>بيان.معاشات.قنا[[#This Row],[إجمالي الدفعات]]</f>
        <v>17707.919999999998</v>
      </c>
      <c r="N13" s="46">
        <f>بيان.معاشات.قنا[[#This Row],[إجمالي المستحق]]-بيان.معاشات.قنا[[#This Row],[إجمالي المنصرف]]</f>
        <v>13728.599999999999</v>
      </c>
      <c r="O13" s="46">
        <f>IF(بيان.معاشات.قنا[[#This Row],[المتبقي]]&lt;0,0,بيان.معاشات.قنا[[#This Row],[المتبقي]])</f>
        <v>13728.599999999999</v>
      </c>
      <c r="P13" s="48">
        <f>(بيان.معاشات.قنا[[#This Row],[المنحة]]+بيان.معاشات.قنا[[#This Row],[مستحقات]])-بيان.معاشات.قنا[[#This Row],[إجمالي المنصرف]]</f>
        <v>0</v>
      </c>
      <c r="Q13" s="48">
        <f>IF(بيان.معاشات.قنا[[#This Row],[المتبقي من المنحة]]&lt;0,0,بيان.معاشات.قنا[[#This Row],[المتبقي من المنحة]])</f>
        <v>0</v>
      </c>
      <c r="R13" s="53"/>
      <c r="S13" s="46"/>
      <c r="T13" s="76"/>
      <c r="U13" s="46">
        <v>8500</v>
      </c>
      <c r="V13" s="46">
        <v>6500</v>
      </c>
      <c r="W13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17707.919999999998</v>
      </c>
      <c r="X13" s="46">
        <f>SUM(بيان.معاشات.قنا[[#This Row],[يناير-23]:[ديسمبر-23]])</f>
        <v>2707.92</v>
      </c>
      <c r="Y13" s="46"/>
      <c r="Z13" s="46"/>
      <c r="AA13" s="46">
        <v>2707.92</v>
      </c>
      <c r="AB13" s="46"/>
      <c r="AC13" s="46"/>
      <c r="AD13" s="46"/>
      <c r="AE13" s="46"/>
      <c r="AF13" s="46"/>
      <c r="AG13" s="46"/>
      <c r="AH13" s="46"/>
      <c r="AI13" s="46"/>
      <c r="AJ13" s="46"/>
    </row>
    <row r="14" spans="3:36" s="58" customFormat="1" ht="21" x14ac:dyDescent="0.35">
      <c r="C14" s="97">
        <v>7</v>
      </c>
      <c r="D14" s="48" t="s">
        <v>310</v>
      </c>
      <c r="E14" s="49">
        <v>10</v>
      </c>
      <c r="F14" s="57">
        <v>43687</v>
      </c>
      <c r="G14" s="57"/>
      <c r="H14" s="48">
        <v>13564.2</v>
      </c>
      <c r="I14" s="48">
        <v>0</v>
      </c>
      <c r="J14" s="48">
        <v>3396.6</v>
      </c>
      <c r="K14" s="48">
        <v>27</v>
      </c>
      <c r="L14" s="48">
        <f>SUM(بيان.معاشات.قنا[[#This Row],[المنحة]:[مقابل نقدي]])</f>
        <v>16960.8</v>
      </c>
      <c r="M14" s="48">
        <f>بيان.معاشات.قنا[[#This Row],[إجمالي الدفعات]]</f>
        <v>14500</v>
      </c>
      <c r="N14" s="48">
        <f>بيان.معاشات.قنا[[#This Row],[إجمالي المستحق]]-بيان.معاشات.قنا[[#This Row],[إجمالي المنصرف]]</f>
        <v>2460.7999999999993</v>
      </c>
      <c r="O14" s="48">
        <f>IF(بيان.معاشات.قنا[[#This Row],[المتبقي]]&lt;0,0,بيان.معاشات.قنا[[#This Row],[المتبقي]])</f>
        <v>2460.7999999999993</v>
      </c>
      <c r="P14" s="48">
        <f>(بيان.معاشات.قنا[[#This Row],[المنحة]]+بيان.معاشات.قنا[[#This Row],[مستحقات]])-بيان.معاشات.قنا[[#This Row],[إجمالي المنصرف]]</f>
        <v>-935.79999999999927</v>
      </c>
      <c r="Q14" s="48">
        <f>IF(بيان.معاشات.قنا[[#This Row],[المتبقي من المنحة]]&lt;0,0,بيان.معاشات.قنا[[#This Row],[المتبقي من المنحة]])</f>
        <v>0</v>
      </c>
      <c r="R14" s="59"/>
      <c r="S14" s="48" t="s">
        <v>311</v>
      </c>
      <c r="T14" s="48"/>
      <c r="U14" s="48">
        <v>9000</v>
      </c>
      <c r="V14" s="48">
        <v>5500</v>
      </c>
      <c r="W14" s="48">
        <f>بيان.معاشات.قنا[[#This Row],[المنصرف قبل الاستلام]]+بيان.معاشات.قنا[[#This Row],[ما تم صرفه من 7/2021 حتى12/2022]]+بيان.معاشات.قنا[[#This Row],[إجمالي دفعات 2023]]</f>
        <v>14500</v>
      </c>
      <c r="X14" s="46">
        <f>SUM(بيان.معاشات.قنا[[#This Row],[يناير-23]:[ديسمبر-23]])</f>
        <v>0</v>
      </c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</row>
    <row r="15" spans="3:36" ht="21" x14ac:dyDescent="0.35">
      <c r="C15" s="61">
        <v>8</v>
      </c>
      <c r="D15" s="46" t="s">
        <v>312</v>
      </c>
      <c r="E15" s="47">
        <v>11</v>
      </c>
      <c r="F15" s="50">
        <v>43626</v>
      </c>
      <c r="G15" s="50"/>
      <c r="H15" s="46">
        <v>17072.68</v>
      </c>
      <c r="I15" s="46">
        <v>0</v>
      </c>
      <c r="J15" s="46">
        <v>13533.98</v>
      </c>
      <c r="K15" s="46">
        <v>90</v>
      </c>
      <c r="L15" s="46">
        <f>SUM(بيان.معاشات.قنا[[#This Row],[المنحة]:[مقابل نقدي]])</f>
        <v>30606.66</v>
      </c>
      <c r="M15" s="46">
        <f>بيان.معاشات.قنا[[#This Row],[إجمالي الدفعات]]</f>
        <v>17072.68</v>
      </c>
      <c r="N15" s="46">
        <f>بيان.معاشات.قنا[[#This Row],[إجمالي المستحق]]-بيان.معاشات.قنا[[#This Row],[إجمالي المنصرف]]</f>
        <v>13533.98</v>
      </c>
      <c r="O15" s="46">
        <f>IF(بيان.معاشات.قنا[[#This Row],[المتبقي]]&lt;0,0,بيان.معاشات.قنا[[#This Row],[المتبقي]])</f>
        <v>13533.98</v>
      </c>
      <c r="P15" s="48">
        <f>(بيان.معاشات.قنا[[#This Row],[المنحة]]+بيان.معاشات.قنا[[#This Row],[مستحقات]])-بيان.معاشات.قنا[[#This Row],[إجمالي المنصرف]]</f>
        <v>0</v>
      </c>
      <c r="Q15" s="48">
        <f>IF(بيان.معاشات.قنا[[#This Row],[المتبقي من المنحة]]&lt;0,0,بيان.معاشات.قنا[[#This Row],[المتبقي من المنحة]])</f>
        <v>0</v>
      </c>
      <c r="R15" s="53"/>
      <c r="S15" s="46"/>
      <c r="T15" s="76"/>
      <c r="U15" s="46">
        <v>9500</v>
      </c>
      <c r="V15" s="46">
        <v>7572.68</v>
      </c>
      <c r="W15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17072.68</v>
      </c>
      <c r="X15" s="46">
        <f>SUM(بيان.معاشات.قنا[[#This Row],[يناير-23]:[ديسمبر-23]])</f>
        <v>0</v>
      </c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</row>
    <row r="16" spans="3:36" s="58" customFormat="1" ht="21" x14ac:dyDescent="0.35">
      <c r="C16" s="97">
        <v>9</v>
      </c>
      <c r="D16" s="48" t="s">
        <v>313</v>
      </c>
      <c r="E16" s="49">
        <v>13</v>
      </c>
      <c r="F16" s="57">
        <v>43601</v>
      </c>
      <c r="G16" s="57"/>
      <c r="H16" s="48">
        <v>11837.88</v>
      </c>
      <c r="I16" s="48">
        <v>0</v>
      </c>
      <c r="J16" s="48">
        <v>10735.2</v>
      </c>
      <c r="K16" s="48">
        <v>90</v>
      </c>
      <c r="L16" s="48">
        <f>SUM(بيان.معاشات.قنا[[#This Row],[المنحة]:[مقابل نقدي]])</f>
        <v>22573.08</v>
      </c>
      <c r="M16" s="48">
        <f>بيان.معاشات.قنا[[#This Row],[إجمالي الدفعات]]</f>
        <v>13000</v>
      </c>
      <c r="N16" s="48">
        <f>بيان.معاشات.قنا[[#This Row],[إجمالي المستحق]]-بيان.معاشات.قنا[[#This Row],[إجمالي المنصرف]]</f>
        <v>9573.0800000000017</v>
      </c>
      <c r="O16" s="48">
        <f>IF(بيان.معاشات.قنا[[#This Row],[المتبقي]]&lt;0,0,بيان.معاشات.قنا[[#This Row],[المتبقي]])</f>
        <v>9573.0800000000017</v>
      </c>
      <c r="P16" s="48">
        <f>(بيان.معاشات.قنا[[#This Row],[المنحة]]+بيان.معاشات.قنا[[#This Row],[مستحقات]])-بيان.معاشات.قنا[[#This Row],[إجمالي المنصرف]]</f>
        <v>-1162.1200000000008</v>
      </c>
      <c r="Q16" s="48">
        <f>IF(بيان.معاشات.قنا[[#This Row],[المتبقي من المنحة]]&lt;0,0,بيان.معاشات.قنا[[#This Row],[المتبقي من المنحة]])</f>
        <v>0</v>
      </c>
      <c r="R16" s="59"/>
      <c r="S16" s="48" t="s">
        <v>306</v>
      </c>
      <c r="T16" s="48"/>
      <c r="U16" s="48">
        <v>10500</v>
      </c>
      <c r="V16" s="48">
        <v>2500</v>
      </c>
      <c r="W16" s="48">
        <f>بيان.معاشات.قنا[[#This Row],[المنصرف قبل الاستلام]]+بيان.معاشات.قنا[[#This Row],[ما تم صرفه من 7/2021 حتى12/2022]]+بيان.معاشات.قنا[[#This Row],[إجمالي دفعات 2023]]</f>
        <v>13000</v>
      </c>
      <c r="X16" s="46">
        <f>SUM(بيان.معاشات.قنا[[#This Row],[يناير-23]:[ديسمبر-23]])</f>
        <v>0</v>
      </c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</row>
    <row r="17" spans="3:36" ht="21" x14ac:dyDescent="0.35">
      <c r="C17" s="61">
        <v>10</v>
      </c>
      <c r="D17" s="46" t="s">
        <v>314</v>
      </c>
      <c r="E17" s="47">
        <v>16</v>
      </c>
      <c r="F17" s="50">
        <v>43483</v>
      </c>
      <c r="G17" s="50"/>
      <c r="H17" s="46">
        <v>16173.6</v>
      </c>
      <c r="I17" s="46">
        <v>0</v>
      </c>
      <c r="J17" s="46">
        <v>12420.47</v>
      </c>
      <c r="K17" s="46">
        <v>90</v>
      </c>
      <c r="L17" s="46">
        <f>SUM(بيان.معاشات.قنا[[#This Row],[المنحة]:[مقابل نقدي]])</f>
        <v>28594.07</v>
      </c>
      <c r="M17" s="46">
        <f>بيان.معاشات.قنا[[#This Row],[إجمالي الدفعات]]</f>
        <v>22594.07</v>
      </c>
      <c r="N17" s="46">
        <f>بيان.معاشات.قنا[[#This Row],[إجمالي المستحق]]-بيان.معاشات.قنا[[#This Row],[إجمالي المنصرف]]</f>
        <v>6000</v>
      </c>
      <c r="O17" s="46">
        <f>IF(بيان.معاشات.قنا[[#This Row],[المتبقي]]&lt;0,0,بيان.معاشات.قنا[[#This Row],[المتبقي]])</f>
        <v>6000</v>
      </c>
      <c r="P17" s="48">
        <f>(بيان.معاشات.قنا[[#This Row],[المنحة]]+بيان.معاشات.قنا[[#This Row],[مستحقات]])-بيان.معاشات.قنا[[#This Row],[إجمالي المنصرف]]</f>
        <v>-6420.4699999999993</v>
      </c>
      <c r="Q17" s="48">
        <f>IF(بيان.معاشات.قنا[[#This Row],[المتبقي من المنحة]]&lt;0,0,بيان.معاشات.قنا[[#This Row],[المتبقي من المنحة]])</f>
        <v>0</v>
      </c>
      <c r="R17" s="53">
        <v>2590118270853</v>
      </c>
      <c r="S17" s="46" t="s">
        <v>269</v>
      </c>
      <c r="T17" s="76"/>
      <c r="U17" s="46">
        <v>12500</v>
      </c>
      <c r="V17" s="46">
        <v>7500</v>
      </c>
      <c r="W17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22594.07</v>
      </c>
      <c r="X17" s="46">
        <f>SUM(بيان.معاشات.قنا[[#This Row],[يناير-23]:[ديسمبر-23]])</f>
        <v>2594.0700000000002</v>
      </c>
      <c r="Y17" s="46"/>
      <c r="Z17" s="46"/>
      <c r="AA17" s="46">
        <v>2594.0700000000002</v>
      </c>
      <c r="AB17" s="46"/>
      <c r="AC17" s="46"/>
      <c r="AD17" s="46"/>
      <c r="AE17" s="46"/>
      <c r="AF17" s="46"/>
      <c r="AG17" s="46"/>
      <c r="AH17" s="46"/>
      <c r="AI17" s="46"/>
      <c r="AJ17" s="46"/>
    </row>
    <row r="18" spans="3:36" s="58" customFormat="1" ht="21" x14ac:dyDescent="0.35">
      <c r="C18" s="97">
        <v>11</v>
      </c>
      <c r="D18" s="48" t="s">
        <v>315</v>
      </c>
      <c r="E18" s="49">
        <v>17</v>
      </c>
      <c r="F18" s="57">
        <v>43475</v>
      </c>
      <c r="G18" s="57"/>
      <c r="H18" s="48">
        <v>14048.1</v>
      </c>
      <c r="I18" s="48">
        <v>0</v>
      </c>
      <c r="J18" s="48">
        <v>12708.13</v>
      </c>
      <c r="K18" s="48">
        <v>90</v>
      </c>
      <c r="L18" s="48">
        <f>SUM(بيان.معاشات.قنا[[#This Row],[المنحة]:[مقابل نقدي]])</f>
        <v>26756.23</v>
      </c>
      <c r="M18" s="48">
        <f>بيان.معاشات.قنا[[#This Row],[إجمالي الدفعات]]</f>
        <v>14500</v>
      </c>
      <c r="N18" s="48">
        <f>بيان.معاشات.قنا[[#This Row],[إجمالي المستحق]]-بيان.معاشات.قنا[[#This Row],[إجمالي المنصرف]]</f>
        <v>12256.23</v>
      </c>
      <c r="O18" s="48">
        <f>IF(بيان.معاشات.قنا[[#This Row],[المتبقي]]&lt;0,0,بيان.معاشات.قنا[[#This Row],[المتبقي]])</f>
        <v>12256.23</v>
      </c>
      <c r="P18" s="48">
        <f>(بيان.معاشات.قنا[[#This Row],[المنحة]]+بيان.معاشات.قنا[[#This Row],[مستحقات]])-بيان.معاشات.قنا[[#This Row],[إجمالي المنصرف]]</f>
        <v>-451.89999999999964</v>
      </c>
      <c r="Q18" s="48">
        <f>IF(بيان.معاشات.قنا[[#This Row],[المتبقي من المنحة]]&lt;0,0,بيان.معاشات.قنا[[#This Row],[المتبقي من المنحة]])</f>
        <v>0</v>
      </c>
      <c r="R18" s="59"/>
      <c r="S18" s="48" t="s">
        <v>306</v>
      </c>
      <c r="T18" s="48"/>
      <c r="U18" s="48">
        <v>12500</v>
      </c>
      <c r="V18" s="48">
        <v>2000</v>
      </c>
      <c r="W18" s="48">
        <f>بيان.معاشات.قنا[[#This Row],[المنصرف قبل الاستلام]]+بيان.معاشات.قنا[[#This Row],[ما تم صرفه من 7/2021 حتى12/2022]]+بيان.معاشات.قنا[[#This Row],[إجمالي دفعات 2023]]</f>
        <v>14500</v>
      </c>
      <c r="X18" s="46">
        <f>SUM(بيان.معاشات.قنا[[#This Row],[يناير-23]:[ديسمبر-23]])</f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</row>
    <row r="19" spans="3:36" ht="21" x14ac:dyDescent="0.35">
      <c r="C19" s="61">
        <v>12</v>
      </c>
      <c r="D19" s="46" t="s">
        <v>316</v>
      </c>
      <c r="E19" s="47">
        <v>20</v>
      </c>
      <c r="F19" s="50">
        <v>43874</v>
      </c>
      <c r="G19" s="50"/>
      <c r="H19" s="46">
        <v>14044.42</v>
      </c>
      <c r="I19" s="46">
        <v>0</v>
      </c>
      <c r="J19" s="46">
        <v>16160</v>
      </c>
      <c r="K19" s="46">
        <v>90</v>
      </c>
      <c r="L19" s="46">
        <f>SUM(بيان.معاشات.قنا[[#This Row],[المنحة]:[مقابل نقدي]])</f>
        <v>30204.42</v>
      </c>
      <c r="M19" s="46">
        <f>بيان.معاشات.قنا[[#This Row],[إجمالي الدفعات]]</f>
        <v>15391</v>
      </c>
      <c r="N19" s="46">
        <f>بيان.معاشات.قنا[[#This Row],[إجمالي المستحق]]-بيان.معاشات.قنا[[#This Row],[إجمالي المنصرف]]</f>
        <v>14813.419999999998</v>
      </c>
      <c r="O19" s="46">
        <f>IF(بيان.معاشات.قنا[[#This Row],[المتبقي]]&lt;0,0,بيان.معاشات.قنا[[#This Row],[المتبقي]])</f>
        <v>14813.419999999998</v>
      </c>
      <c r="P19" s="48">
        <f>(بيان.معاشات.قنا[[#This Row],[المنحة]]+بيان.معاشات.قنا[[#This Row],[مستحقات]])-بيان.معاشات.قنا[[#This Row],[إجمالي المنصرف]]</f>
        <v>-1346.58</v>
      </c>
      <c r="Q19" s="48">
        <f>IF(بيان.معاشات.قنا[[#This Row],[المتبقي من المنحة]]&lt;0,0,بيان.معاشات.قنا[[#This Row],[المتبقي من المنحة]])</f>
        <v>0</v>
      </c>
      <c r="R19" s="53"/>
      <c r="S19" s="46" t="s">
        <v>269</v>
      </c>
      <c r="T19" s="76"/>
      <c r="U19" s="46">
        <v>9891</v>
      </c>
      <c r="V19" s="46">
        <v>5500</v>
      </c>
      <c r="W19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15391</v>
      </c>
      <c r="X19" s="46">
        <f>SUM(بيان.معاشات.قنا[[#This Row],[يناير-23]:[ديسمبر-23]])</f>
        <v>0</v>
      </c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</row>
    <row r="20" spans="3:36" ht="21" x14ac:dyDescent="0.35">
      <c r="C20" s="61">
        <v>13</v>
      </c>
      <c r="D20" s="46" t="s">
        <v>317</v>
      </c>
      <c r="E20" s="47">
        <v>21</v>
      </c>
      <c r="F20" s="50">
        <v>43828</v>
      </c>
      <c r="G20" s="50"/>
      <c r="H20" s="46">
        <v>14605.56</v>
      </c>
      <c r="I20" s="46">
        <v>0</v>
      </c>
      <c r="J20" s="46">
        <v>10961.69</v>
      </c>
      <c r="K20" s="46">
        <v>90</v>
      </c>
      <c r="L20" s="46">
        <f>SUM(بيان.معاشات.قنا[[#This Row],[المنحة]:[مقابل نقدي]])</f>
        <v>25567.25</v>
      </c>
      <c r="M20" s="46">
        <f>بيان.معاشات.قنا[[#This Row],[إجمالي الدفعات]]</f>
        <v>14605.56</v>
      </c>
      <c r="N20" s="46">
        <f>بيان.معاشات.قنا[[#This Row],[إجمالي المستحق]]-بيان.معاشات.قنا[[#This Row],[إجمالي المنصرف]]</f>
        <v>10961.69</v>
      </c>
      <c r="O20" s="46">
        <f>IF(بيان.معاشات.قنا[[#This Row],[المتبقي]]&lt;0,0,بيان.معاشات.قنا[[#This Row],[المتبقي]])</f>
        <v>10961.69</v>
      </c>
      <c r="P20" s="48">
        <f>(بيان.معاشات.قنا[[#This Row],[المنحة]]+بيان.معاشات.قنا[[#This Row],[مستحقات]])-بيان.معاشات.قنا[[#This Row],[إجمالي المنصرف]]</f>
        <v>0</v>
      </c>
      <c r="Q20" s="48">
        <f>IF(بيان.معاشات.قنا[[#This Row],[المتبقي من المنحة]]&lt;0,0,بيان.معاشات.قنا[[#This Row],[المتبقي من المنحة]])</f>
        <v>0</v>
      </c>
      <c r="R20" s="53"/>
      <c r="S20" s="46"/>
      <c r="T20" s="76"/>
      <c r="U20" s="46">
        <v>6500</v>
      </c>
      <c r="V20" s="46">
        <v>8105.5599999999995</v>
      </c>
      <c r="W20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14605.56</v>
      </c>
      <c r="X20" s="46">
        <f>SUM(بيان.معاشات.قنا[[#This Row],[يناير-23]:[ديسمبر-23]])</f>
        <v>0</v>
      </c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</row>
    <row r="21" spans="3:36" ht="21" x14ac:dyDescent="0.35">
      <c r="C21" s="61">
        <v>14</v>
      </c>
      <c r="D21" s="46" t="s">
        <v>318</v>
      </c>
      <c r="E21" s="47">
        <v>22</v>
      </c>
      <c r="F21" s="50">
        <v>43848</v>
      </c>
      <c r="G21" s="50"/>
      <c r="H21" s="46">
        <v>13871.2</v>
      </c>
      <c r="I21" s="46">
        <v>0</v>
      </c>
      <c r="J21" s="46">
        <v>13380</v>
      </c>
      <c r="K21" s="46">
        <v>90</v>
      </c>
      <c r="L21" s="46">
        <f>SUM(بيان.معاشات.قنا[[#This Row],[المنحة]:[مقابل نقدي]])</f>
        <v>27251.200000000001</v>
      </c>
      <c r="M21" s="46">
        <f>بيان.معاشات.قنا[[#This Row],[إجمالي الدفعات]]</f>
        <v>15751.2</v>
      </c>
      <c r="N21" s="46">
        <f>بيان.معاشات.قنا[[#This Row],[إجمالي المستحق]]-بيان.معاشات.قنا[[#This Row],[إجمالي المنصرف]]</f>
        <v>11500</v>
      </c>
      <c r="O21" s="46">
        <f>IF(بيان.معاشات.قنا[[#This Row],[المتبقي]]&lt;0,0,بيان.معاشات.قنا[[#This Row],[المتبقي]])</f>
        <v>11500</v>
      </c>
      <c r="P21" s="48">
        <f>(بيان.معاشات.قنا[[#This Row],[المنحة]]+بيان.معاشات.قنا[[#This Row],[مستحقات]])-بيان.معاشات.قنا[[#This Row],[إجمالي المنصرف]]</f>
        <v>-1880</v>
      </c>
      <c r="Q21" s="48">
        <f>IF(بيان.معاشات.قنا[[#This Row],[المتبقي من المنحة]]&lt;0,0,بيان.معاشات.قنا[[#This Row],[المتبقي من المنحة]])</f>
        <v>0</v>
      </c>
      <c r="R21" s="53">
        <v>26001182701755</v>
      </c>
      <c r="S21" s="46" t="s">
        <v>319</v>
      </c>
      <c r="T21" s="76"/>
      <c r="U21" s="46">
        <v>6500</v>
      </c>
      <c r="V21" s="46">
        <v>7751.2</v>
      </c>
      <c r="W21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15751.2</v>
      </c>
      <c r="X21" s="46">
        <f>SUM(بيان.معاشات.قنا[[#This Row],[يناير-23]:[ديسمبر-23]])</f>
        <v>1500</v>
      </c>
      <c r="Y21" s="46"/>
      <c r="Z21" s="46"/>
      <c r="AA21" s="46">
        <v>1500</v>
      </c>
      <c r="AB21" s="46"/>
      <c r="AC21" s="46"/>
      <c r="AD21" s="46"/>
      <c r="AE21" s="46"/>
      <c r="AF21" s="46"/>
      <c r="AG21" s="46"/>
      <c r="AH21" s="46"/>
      <c r="AI21" s="46"/>
      <c r="AJ21" s="46"/>
    </row>
    <row r="22" spans="3:36" ht="21" x14ac:dyDescent="0.35">
      <c r="C22" s="61">
        <v>15</v>
      </c>
      <c r="D22" s="46" t="s">
        <v>320</v>
      </c>
      <c r="E22" s="47">
        <v>23</v>
      </c>
      <c r="F22" s="50">
        <v>43811</v>
      </c>
      <c r="G22" s="50"/>
      <c r="H22" s="46">
        <v>10139.33</v>
      </c>
      <c r="I22" s="46">
        <v>0</v>
      </c>
      <c r="J22" s="46">
        <v>12679.2</v>
      </c>
      <c r="K22" s="46">
        <v>90</v>
      </c>
      <c r="L22" s="46">
        <f>SUM(بيان.معاشات.قنا[[#This Row],[المنحة]:[مقابل نقدي]])</f>
        <v>22818.53</v>
      </c>
      <c r="M22" s="46">
        <f>بيان.معاشات.قنا[[#This Row],[إجمالي الدفعات]]</f>
        <v>16916.28</v>
      </c>
      <c r="N22" s="46">
        <f>بيان.معاشات.قنا[[#This Row],[إجمالي المستحق]]-بيان.معاشات.قنا[[#This Row],[إجمالي المنصرف]]</f>
        <v>5902.25</v>
      </c>
      <c r="O22" s="46">
        <f>IF(بيان.معاشات.قنا[[#This Row],[المتبقي]]&lt;0,0,بيان.معاشات.قنا[[#This Row],[المتبقي]])</f>
        <v>5902.25</v>
      </c>
      <c r="P22" s="48">
        <f>(بيان.معاشات.قنا[[#This Row],[المنحة]]+بيان.معاشات.قنا[[#This Row],[مستحقات]])-بيان.معاشات.قنا[[#This Row],[إجمالي المنصرف]]</f>
        <v>-6776.9499999999989</v>
      </c>
      <c r="Q22" s="48">
        <f>IF(بيان.معاشات.قنا[[#This Row],[المتبقي من المنحة]]&lt;0,0,بيان.معاشات.قنا[[#This Row],[المتبقي من المنحة]])</f>
        <v>0</v>
      </c>
      <c r="R22" s="53"/>
      <c r="S22" s="46" t="s">
        <v>321</v>
      </c>
      <c r="T22" s="76"/>
      <c r="U22" s="46">
        <v>7000</v>
      </c>
      <c r="V22" s="46">
        <v>8416.2799999999988</v>
      </c>
      <c r="W22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16916.28</v>
      </c>
      <c r="X22" s="46">
        <f>SUM(بيان.معاشات.قنا[[#This Row],[يناير-23]:[ديسمبر-23]])</f>
        <v>1500</v>
      </c>
      <c r="Y22" s="46"/>
      <c r="Z22" s="46"/>
      <c r="AA22" s="46">
        <v>1500</v>
      </c>
      <c r="AB22" s="46"/>
      <c r="AC22" s="46"/>
      <c r="AD22" s="46"/>
      <c r="AE22" s="46"/>
      <c r="AF22" s="46"/>
      <c r="AG22" s="46"/>
      <c r="AH22" s="46"/>
      <c r="AI22" s="46"/>
      <c r="AJ22" s="46"/>
    </row>
    <row r="23" spans="3:36" ht="21" x14ac:dyDescent="0.35">
      <c r="C23" s="61">
        <v>16</v>
      </c>
      <c r="D23" s="46" t="s">
        <v>322</v>
      </c>
      <c r="E23" s="47">
        <v>24</v>
      </c>
      <c r="F23" s="50">
        <v>43806</v>
      </c>
      <c r="G23" s="50"/>
      <c r="H23" s="46">
        <v>20239.86</v>
      </c>
      <c r="I23" s="46">
        <v>0</v>
      </c>
      <c r="J23" s="46">
        <v>14727.6</v>
      </c>
      <c r="K23" s="46">
        <v>90</v>
      </c>
      <c r="L23" s="46">
        <f>SUM(بيان.معاشات.قنا[[#This Row],[المنحة]:[مقابل نقدي]])</f>
        <v>34967.46</v>
      </c>
      <c r="M23" s="46">
        <f>بيان.معاشات.قنا[[#This Row],[إجمالي الدفعات]]</f>
        <v>16739.86</v>
      </c>
      <c r="N23" s="46">
        <f>بيان.معاشات.قنا[[#This Row],[إجمالي المستحق]]-بيان.معاشات.قنا[[#This Row],[إجمالي المنصرف]]</f>
        <v>18227.599999999999</v>
      </c>
      <c r="O23" s="46">
        <f>IF(بيان.معاشات.قنا[[#This Row],[المتبقي]]&lt;0,0,بيان.معاشات.قنا[[#This Row],[المتبقي]])</f>
        <v>18227.599999999999</v>
      </c>
      <c r="P23" s="48">
        <f>(بيان.معاشات.قنا[[#This Row],[المنحة]]+بيان.معاشات.قنا[[#This Row],[مستحقات]])-بيان.معاشات.قنا[[#This Row],[إجمالي المنصرف]]</f>
        <v>3500</v>
      </c>
      <c r="Q23" s="48">
        <f>IF(بيان.معاشات.قنا[[#This Row],[المتبقي من المنحة]]&lt;0,0,بيان.معاشات.قنا[[#This Row],[المتبقي من المنحة]])</f>
        <v>3500</v>
      </c>
      <c r="R23" s="53">
        <v>25912072701392</v>
      </c>
      <c r="S23" s="46"/>
      <c r="T23" s="76"/>
      <c r="U23" s="46">
        <v>6500</v>
      </c>
      <c r="V23" s="46">
        <v>8739.86</v>
      </c>
      <c r="W23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16739.86</v>
      </c>
      <c r="X23" s="46">
        <f>SUM(بيان.معاشات.قنا[[#This Row],[يناير-23]:[ديسمبر-23]])</f>
        <v>1500</v>
      </c>
      <c r="Y23" s="46"/>
      <c r="Z23" s="46"/>
      <c r="AA23" s="46">
        <v>1500</v>
      </c>
      <c r="AB23" s="46"/>
      <c r="AC23" s="46"/>
      <c r="AD23" s="46"/>
      <c r="AE23" s="46"/>
      <c r="AF23" s="46"/>
      <c r="AG23" s="46"/>
      <c r="AH23" s="46"/>
      <c r="AI23" s="46"/>
      <c r="AJ23" s="46"/>
    </row>
    <row r="24" spans="3:36" ht="21" x14ac:dyDescent="0.35">
      <c r="C24" s="61">
        <v>17</v>
      </c>
      <c r="D24" s="46" t="s">
        <v>323</v>
      </c>
      <c r="E24" s="47">
        <v>25</v>
      </c>
      <c r="F24" s="50">
        <v>43943</v>
      </c>
      <c r="G24" s="50"/>
      <c r="H24" s="46">
        <v>18521.28</v>
      </c>
      <c r="I24" s="46">
        <v>0</v>
      </c>
      <c r="J24" s="46">
        <v>16110</v>
      </c>
      <c r="K24" s="46">
        <v>90</v>
      </c>
      <c r="L24" s="46">
        <f>SUM(بيان.معاشات.قنا[[#This Row],[المنحة]:[مقابل نقدي]])</f>
        <v>34631.279999999999</v>
      </c>
      <c r="M24" s="46">
        <f>بيان.معاشات.قنا[[#This Row],[إجمالي الدفعات]]</f>
        <v>13021.279999999999</v>
      </c>
      <c r="N24" s="46">
        <f>بيان.معاشات.قنا[[#This Row],[إجمالي المستحق]]-بيان.معاشات.قنا[[#This Row],[إجمالي المنصرف]]</f>
        <v>21610</v>
      </c>
      <c r="O24" s="46">
        <f>IF(بيان.معاشات.قنا[[#This Row],[المتبقي]]&lt;0,0,بيان.معاشات.قنا[[#This Row],[المتبقي]])</f>
        <v>21610</v>
      </c>
      <c r="P24" s="48">
        <f>(بيان.معاشات.قنا[[#This Row],[المنحة]]+بيان.معاشات.قنا[[#This Row],[مستحقات]])-بيان.معاشات.قنا[[#This Row],[إجمالي المنصرف]]</f>
        <v>5500</v>
      </c>
      <c r="Q24" s="48">
        <f>IF(بيان.معاشات.قنا[[#This Row],[المتبقي من المنحة]]&lt;0,0,بيان.معاشات.قنا[[#This Row],[المتبقي من المنحة]])</f>
        <v>5500</v>
      </c>
      <c r="R24" s="53">
        <v>26004222700071</v>
      </c>
      <c r="S24" s="46"/>
      <c r="T24" s="76"/>
      <c r="U24" s="46">
        <v>4500</v>
      </c>
      <c r="V24" s="46">
        <v>7021.28</v>
      </c>
      <c r="W24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13021.279999999999</v>
      </c>
      <c r="X24" s="46">
        <f>SUM(بيان.معاشات.قنا[[#This Row],[يناير-23]:[ديسمبر-23]])</f>
        <v>1500</v>
      </c>
      <c r="Y24" s="46"/>
      <c r="Z24" s="46"/>
      <c r="AA24" s="46">
        <v>1500</v>
      </c>
      <c r="AB24" s="46"/>
      <c r="AC24" s="46"/>
      <c r="AD24" s="46"/>
      <c r="AE24" s="46"/>
      <c r="AF24" s="46"/>
      <c r="AG24" s="46"/>
      <c r="AH24" s="46"/>
      <c r="AI24" s="46"/>
      <c r="AJ24" s="46"/>
    </row>
    <row r="25" spans="3:36" ht="21" x14ac:dyDescent="0.35">
      <c r="C25" s="61">
        <v>18</v>
      </c>
      <c r="D25" s="46" t="s">
        <v>324</v>
      </c>
      <c r="E25" s="47">
        <v>26</v>
      </c>
      <c r="F25" s="50">
        <v>44029</v>
      </c>
      <c r="G25" s="50"/>
      <c r="H25" s="46">
        <v>15489.06</v>
      </c>
      <c r="I25" s="46">
        <v>0</v>
      </c>
      <c r="J25" s="46">
        <v>15135.3</v>
      </c>
      <c r="K25" s="46">
        <v>90</v>
      </c>
      <c r="L25" s="46">
        <f>SUM(بيان.معاشات.قنا[[#This Row],[المنحة]:[مقابل نقدي]])</f>
        <v>30624.36</v>
      </c>
      <c r="M25" s="46">
        <f>بيان.معاشات.قنا[[#This Row],[إجمالي الدفعات]]</f>
        <v>15489.06</v>
      </c>
      <c r="N25" s="46">
        <f>بيان.معاشات.قنا[[#This Row],[إجمالي المستحق]]-بيان.معاشات.قنا[[#This Row],[إجمالي المنصرف]]</f>
        <v>15135.300000000001</v>
      </c>
      <c r="O25" s="46">
        <f>IF(بيان.معاشات.قنا[[#This Row],[المتبقي]]&lt;0,0,بيان.معاشات.قنا[[#This Row],[المتبقي]])</f>
        <v>15135.300000000001</v>
      </c>
      <c r="P25" s="48">
        <f>(بيان.معاشات.قنا[[#This Row],[المنحة]]+بيان.معاشات.قنا[[#This Row],[مستحقات]])-بيان.معاشات.قنا[[#This Row],[إجمالي المنصرف]]</f>
        <v>0</v>
      </c>
      <c r="Q25" s="48">
        <f>IF(بيان.معاشات.قنا[[#This Row],[المتبقي من المنحة]]&lt;0,0,بيان.معاشات.قنا[[#This Row],[المتبقي من المنحة]])</f>
        <v>0</v>
      </c>
      <c r="R25" s="53">
        <v>26007172700457</v>
      </c>
      <c r="S25" s="46"/>
      <c r="T25" s="76"/>
      <c r="U25" s="46">
        <v>3500</v>
      </c>
      <c r="V25" s="46">
        <v>8989.06</v>
      </c>
      <c r="W25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15489.06</v>
      </c>
      <c r="X25" s="46">
        <f>SUM(بيان.معاشات.قنا[[#This Row],[يناير-23]:[ديسمبر-23]])</f>
        <v>3000</v>
      </c>
      <c r="Y25" s="46"/>
      <c r="Z25" s="46">
        <v>1000</v>
      </c>
      <c r="AA25" s="46"/>
      <c r="AB25" s="46"/>
      <c r="AC25" s="46">
        <v>2000</v>
      </c>
      <c r="AD25" s="46"/>
      <c r="AE25" s="46"/>
      <c r="AF25" s="46"/>
      <c r="AG25" s="46"/>
      <c r="AH25" s="46"/>
      <c r="AI25" s="46"/>
      <c r="AJ25" s="46"/>
    </row>
    <row r="26" spans="3:36" ht="21" x14ac:dyDescent="0.35">
      <c r="C26" s="61">
        <v>19</v>
      </c>
      <c r="D26" s="46" t="s">
        <v>325</v>
      </c>
      <c r="E26" s="47">
        <v>27</v>
      </c>
      <c r="F26" s="50">
        <v>44108</v>
      </c>
      <c r="G26" s="50"/>
      <c r="H26" s="46">
        <v>18367.32</v>
      </c>
      <c r="I26" s="46">
        <v>0</v>
      </c>
      <c r="J26" s="46">
        <v>19170</v>
      </c>
      <c r="K26" s="46">
        <v>90</v>
      </c>
      <c r="L26" s="46">
        <f>SUM(بيان.معاشات.قنا[[#This Row],[المنحة]:[مقابل نقدي]])</f>
        <v>37537.32</v>
      </c>
      <c r="M26" s="46">
        <f>بيان.معاشات.قنا[[#This Row],[إجمالي الدفعات]]</f>
        <v>13500</v>
      </c>
      <c r="N26" s="46">
        <f>بيان.معاشات.قنا[[#This Row],[إجمالي المستحق]]-بيان.معاشات.قنا[[#This Row],[إجمالي المنصرف]]</f>
        <v>24037.32</v>
      </c>
      <c r="O26" s="46">
        <f>IF(بيان.معاشات.قنا[[#This Row],[المتبقي]]&lt;0,0,بيان.معاشات.قنا[[#This Row],[المتبقي]])</f>
        <v>24037.32</v>
      </c>
      <c r="P26" s="48">
        <f>(بيان.معاشات.قنا[[#This Row],[المنحة]]+بيان.معاشات.قنا[[#This Row],[مستحقات]])-بيان.معاشات.قنا[[#This Row],[إجمالي المنصرف]]</f>
        <v>4867.32</v>
      </c>
      <c r="Q26" s="48">
        <f>IF(بيان.معاشات.قنا[[#This Row],[المتبقي من المنحة]]&lt;0,0,بيان.معاشات.قنا[[#This Row],[المتبقي من المنحة]])</f>
        <v>4867.32</v>
      </c>
      <c r="R26" s="53">
        <v>26010040103086</v>
      </c>
      <c r="S26" s="46"/>
      <c r="T26" s="76"/>
      <c r="U26" s="46">
        <v>2500</v>
      </c>
      <c r="V26" s="46">
        <v>8500</v>
      </c>
      <c r="W26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13500</v>
      </c>
      <c r="X26" s="46">
        <f>SUM(بيان.معاشات.قنا[[#This Row],[يناير-23]:[ديسمبر-23]])</f>
        <v>2500</v>
      </c>
      <c r="Y26" s="46"/>
      <c r="Z26" s="46"/>
      <c r="AA26" s="46">
        <v>2500</v>
      </c>
      <c r="AB26" s="46"/>
      <c r="AC26" s="46"/>
      <c r="AD26" s="46"/>
      <c r="AE26" s="46"/>
      <c r="AF26" s="46"/>
      <c r="AG26" s="46"/>
      <c r="AH26" s="46"/>
      <c r="AI26" s="46"/>
      <c r="AJ26" s="46"/>
    </row>
    <row r="27" spans="3:36" ht="21" x14ac:dyDescent="0.35">
      <c r="C27" s="61">
        <v>20</v>
      </c>
      <c r="D27" s="46" t="s">
        <v>326</v>
      </c>
      <c r="E27" s="47">
        <v>28</v>
      </c>
      <c r="F27" s="50">
        <v>44166</v>
      </c>
      <c r="G27" s="50"/>
      <c r="H27" s="46">
        <v>20495.740000000002</v>
      </c>
      <c r="I27" s="46">
        <v>0</v>
      </c>
      <c r="J27" s="46">
        <v>20462.400000000001</v>
      </c>
      <c r="K27" s="46">
        <v>90</v>
      </c>
      <c r="L27" s="46">
        <f>SUM(بيان.معاشات.قنا[[#This Row],[المنحة]:[مقابل نقدي]])</f>
        <v>40958.14</v>
      </c>
      <c r="M27" s="46">
        <f>بيان.معاشات.قنا[[#This Row],[إجمالي الدفعات]]</f>
        <v>11500</v>
      </c>
      <c r="N27" s="46">
        <f>بيان.معاشات.قنا[[#This Row],[إجمالي المستحق]]-بيان.معاشات.قنا[[#This Row],[إجمالي المنصرف]]</f>
        <v>29458.14</v>
      </c>
      <c r="O27" s="46">
        <f>IF(بيان.معاشات.قنا[[#This Row],[المتبقي]]&lt;0,0,بيان.معاشات.قنا[[#This Row],[المتبقي]])</f>
        <v>29458.14</v>
      </c>
      <c r="P27" s="48">
        <f>(بيان.معاشات.قنا[[#This Row],[المنحة]]+بيان.معاشات.قنا[[#This Row],[مستحقات]])-بيان.معاشات.قنا[[#This Row],[إجمالي المنصرف]]</f>
        <v>8995.7400000000016</v>
      </c>
      <c r="Q27" s="48">
        <f>IF(بيان.معاشات.قنا[[#This Row],[المتبقي من المنحة]]&lt;0,0,بيان.معاشات.قنا[[#This Row],[المتبقي من المنحة]])</f>
        <v>8995.7400000000016</v>
      </c>
      <c r="R27" s="53"/>
      <c r="S27" s="46"/>
      <c r="T27" s="76"/>
      <c r="U27" s="46">
        <v>1500</v>
      </c>
      <c r="V27" s="46">
        <v>7000</v>
      </c>
      <c r="W27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11500</v>
      </c>
      <c r="X27" s="46">
        <f>SUM(بيان.معاشات.قنا[[#This Row],[يناير-23]:[ديسمبر-23]])</f>
        <v>3000</v>
      </c>
      <c r="Y27" s="46"/>
      <c r="Z27" s="46"/>
      <c r="AA27" s="46">
        <v>3000</v>
      </c>
      <c r="AB27" s="46"/>
      <c r="AC27" s="46"/>
      <c r="AD27" s="46"/>
      <c r="AE27" s="46"/>
      <c r="AF27" s="46"/>
      <c r="AG27" s="46"/>
      <c r="AH27" s="46"/>
      <c r="AI27" s="46"/>
      <c r="AJ27" s="46"/>
    </row>
    <row r="28" spans="3:36" ht="21" x14ac:dyDescent="0.35">
      <c r="C28" s="61">
        <v>21</v>
      </c>
      <c r="D28" s="46" t="s">
        <v>327</v>
      </c>
      <c r="E28" s="47">
        <v>29</v>
      </c>
      <c r="F28" s="50">
        <v>44178</v>
      </c>
      <c r="G28" s="50"/>
      <c r="H28" s="46">
        <v>14136.42</v>
      </c>
      <c r="I28" s="46">
        <v>0</v>
      </c>
      <c r="J28" s="46">
        <v>8841.7999999999993</v>
      </c>
      <c r="K28" s="46">
        <v>90</v>
      </c>
      <c r="L28" s="46">
        <f>SUM(بيان.معاشات.قنا[[#This Row],[المنحة]:[مقابل نقدي]])</f>
        <v>22978.22</v>
      </c>
      <c r="M28" s="46">
        <f>بيان.معاشات.قنا[[#This Row],[إجمالي الدفعات]]</f>
        <v>7500</v>
      </c>
      <c r="N28" s="46">
        <f>بيان.معاشات.قنا[[#This Row],[إجمالي المستحق]]-بيان.معاشات.قنا[[#This Row],[إجمالي المنصرف]]</f>
        <v>15478.220000000001</v>
      </c>
      <c r="O28" s="46">
        <f>IF(بيان.معاشات.قنا[[#This Row],[المتبقي]]&lt;0,0,بيان.معاشات.قنا[[#This Row],[المتبقي]])</f>
        <v>15478.220000000001</v>
      </c>
      <c r="P28" s="48">
        <f>(بيان.معاشات.قنا[[#This Row],[المنحة]]+بيان.معاشات.قنا[[#This Row],[مستحقات]])-بيان.معاشات.قنا[[#This Row],[إجمالي المنصرف]]</f>
        <v>6636.42</v>
      </c>
      <c r="Q28" s="48">
        <f>IF(بيان.معاشات.قنا[[#This Row],[المتبقي من المنحة]]&lt;0,0,بيان.معاشات.قنا[[#This Row],[المتبقي من المنحة]])</f>
        <v>6636.42</v>
      </c>
      <c r="R28" s="53"/>
      <c r="S28" s="46"/>
      <c r="T28" s="76"/>
      <c r="U28" s="46">
        <v>0</v>
      </c>
      <c r="V28" s="46">
        <v>7500</v>
      </c>
      <c r="W28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7500</v>
      </c>
      <c r="X28" s="46">
        <f>SUM(بيان.معاشات.قنا[[#This Row],[يناير-23]:[ديسمبر-23]])</f>
        <v>0</v>
      </c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</row>
    <row r="29" spans="3:36" ht="21" x14ac:dyDescent="0.35">
      <c r="C29" s="61">
        <v>22</v>
      </c>
      <c r="D29" s="46" t="s">
        <v>328</v>
      </c>
      <c r="E29" s="47">
        <v>30</v>
      </c>
      <c r="F29" s="50">
        <v>44459</v>
      </c>
      <c r="G29" s="50"/>
      <c r="H29" s="46">
        <v>16708.8</v>
      </c>
      <c r="I29" s="46">
        <v>0</v>
      </c>
      <c r="J29" s="46">
        <v>15718.48</v>
      </c>
      <c r="K29" s="46">
        <v>90</v>
      </c>
      <c r="L29" s="46">
        <f>SUM(بيان.معاشات.قنا[[#This Row],[المنحة]:[مقابل نقدي]])</f>
        <v>32427.279999999999</v>
      </c>
      <c r="M29" s="46">
        <f>بيان.معاشات.قنا[[#This Row],[إجمالي الدفعات]]</f>
        <v>7208.8</v>
      </c>
      <c r="N29" s="46">
        <f>بيان.معاشات.قنا[[#This Row],[إجمالي المستحق]]-بيان.معاشات.قنا[[#This Row],[إجمالي المنصرف]]</f>
        <v>25218.48</v>
      </c>
      <c r="O29" s="46">
        <f>IF(بيان.معاشات.قنا[[#This Row],[المتبقي]]&lt;0,0,بيان.معاشات.قنا[[#This Row],[المتبقي]])</f>
        <v>25218.48</v>
      </c>
      <c r="P29" s="48">
        <f>(بيان.معاشات.قنا[[#This Row],[المنحة]]+بيان.معاشات.قنا[[#This Row],[مستحقات]])-بيان.معاشات.قنا[[#This Row],[إجمالي المنصرف]]</f>
        <v>9500</v>
      </c>
      <c r="Q29" s="48">
        <f>IF(بيان.معاشات.قنا[[#This Row],[المتبقي من المنحة]]&lt;0,0,بيان.معاشات.قنا[[#This Row],[المتبقي من المنحة]])</f>
        <v>9500</v>
      </c>
      <c r="R29" s="53">
        <v>26109202702139</v>
      </c>
      <c r="S29" s="46"/>
      <c r="T29" s="76"/>
      <c r="U29" s="46">
        <v>0</v>
      </c>
      <c r="V29" s="46">
        <v>5708.8</v>
      </c>
      <c r="W29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7208.8</v>
      </c>
      <c r="X29" s="46">
        <f>SUM(بيان.معاشات.قنا[[#This Row],[يناير-23]:[ديسمبر-23]])</f>
        <v>1500</v>
      </c>
      <c r="Y29" s="46"/>
      <c r="Z29" s="46"/>
      <c r="AA29" s="46">
        <v>1500</v>
      </c>
      <c r="AB29" s="46"/>
      <c r="AC29" s="46"/>
      <c r="AD29" s="46"/>
      <c r="AE29" s="46"/>
      <c r="AF29" s="46"/>
      <c r="AG29" s="46"/>
      <c r="AH29" s="46"/>
      <c r="AI29" s="46"/>
      <c r="AJ29" s="46"/>
    </row>
    <row r="30" spans="3:36" s="58" customFormat="1" ht="21" x14ac:dyDescent="0.35">
      <c r="C30" s="97">
        <v>23</v>
      </c>
      <c r="D30" s="48" t="s">
        <v>329</v>
      </c>
      <c r="E30" s="49">
        <v>31</v>
      </c>
      <c r="F30" s="57">
        <v>42373</v>
      </c>
      <c r="G30" s="57"/>
      <c r="H30" s="48">
        <v>0</v>
      </c>
      <c r="I30" s="48">
        <v>0</v>
      </c>
      <c r="J30" s="48">
        <v>8688.6</v>
      </c>
      <c r="K30" s="48">
        <v>90</v>
      </c>
      <c r="L30" s="48">
        <f>SUM(بيان.معاشات.قنا[[#This Row],[المنحة]:[مقابل نقدي]])</f>
        <v>8688.6</v>
      </c>
      <c r="M30" s="48">
        <f>بيان.معاشات.قنا[[#This Row],[إجمالي الدفعات]]</f>
        <v>3818.18</v>
      </c>
      <c r="N30" s="48">
        <f>بيان.معاشات.قنا[[#This Row],[إجمالي المستحق]]-بيان.معاشات.قنا[[#This Row],[إجمالي المنصرف]]</f>
        <v>4870.42</v>
      </c>
      <c r="O30" s="48">
        <f>IF(بيان.معاشات.قنا[[#This Row],[المتبقي]]&lt;0,0,بيان.معاشات.قنا[[#This Row],[المتبقي]])</f>
        <v>4870.42</v>
      </c>
      <c r="P30" s="48">
        <f>(بيان.معاشات.قنا[[#This Row],[المنحة]]+بيان.معاشات.قنا[[#This Row],[مستحقات]])-بيان.معاشات.قنا[[#This Row],[إجمالي المنصرف]]</f>
        <v>-3818.18</v>
      </c>
      <c r="Q30" s="48">
        <f>IF(بيان.معاشات.قنا[[#This Row],[المتبقي من المنحة]]&lt;0,0,بيان.معاشات.قنا[[#This Row],[المتبقي من المنحة]])</f>
        <v>0</v>
      </c>
      <c r="R30" s="59"/>
      <c r="S30" s="48" t="s">
        <v>330</v>
      </c>
      <c r="T30" s="48"/>
      <c r="U30" s="48">
        <v>318.18</v>
      </c>
      <c r="V30" s="48">
        <v>3500</v>
      </c>
      <c r="W30" s="48">
        <f>بيان.معاشات.قنا[[#This Row],[المنصرف قبل الاستلام]]+بيان.معاشات.قنا[[#This Row],[ما تم صرفه من 7/2021 حتى12/2022]]+بيان.معاشات.قنا[[#This Row],[إجمالي دفعات 2023]]</f>
        <v>3818.18</v>
      </c>
      <c r="X30" s="46">
        <f>SUM(بيان.معاشات.قنا[[#This Row],[يناير-23]:[ديسمبر-23]])</f>
        <v>0</v>
      </c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</row>
    <row r="31" spans="3:36" ht="21" x14ac:dyDescent="0.35">
      <c r="C31" s="61">
        <v>24</v>
      </c>
      <c r="D31" s="46" t="s">
        <v>331</v>
      </c>
      <c r="E31" s="47">
        <v>32</v>
      </c>
      <c r="F31" s="50">
        <v>44579</v>
      </c>
      <c r="G31" s="50"/>
      <c r="H31" s="46">
        <v>20886.12</v>
      </c>
      <c r="I31" s="46">
        <v>0</v>
      </c>
      <c r="J31" s="46">
        <v>18900</v>
      </c>
      <c r="K31" s="46">
        <v>90</v>
      </c>
      <c r="L31" s="46">
        <f>SUM(بيان.معاشات.قنا[[#This Row],[المنحة]:[مقابل نقدي]])</f>
        <v>39786.119999999995</v>
      </c>
      <c r="M31" s="46">
        <f>بيان.معاشات.قنا[[#This Row],[إجمالي الدفعات]]</f>
        <v>10000</v>
      </c>
      <c r="N31" s="46">
        <f>بيان.معاشات.قنا[[#This Row],[إجمالي المستحق]]-بيان.معاشات.قنا[[#This Row],[إجمالي المنصرف]]</f>
        <v>29786.119999999995</v>
      </c>
      <c r="O31" s="46">
        <f>IF(بيان.معاشات.قنا[[#This Row],[المتبقي]]&lt;0,0,بيان.معاشات.قنا[[#This Row],[المتبقي]])</f>
        <v>29786.119999999995</v>
      </c>
      <c r="P31" s="48">
        <f>(بيان.معاشات.قنا[[#This Row],[المنحة]]+بيان.معاشات.قنا[[#This Row],[مستحقات]])-بيان.معاشات.قنا[[#This Row],[إجمالي المنصرف]]</f>
        <v>10886.119999999999</v>
      </c>
      <c r="Q31" s="48">
        <f>IF(بيان.معاشات.قنا[[#This Row],[المتبقي من المنحة]]&lt;0,0,بيان.معاشات.قنا[[#This Row],[المتبقي من المنحة]])</f>
        <v>10886.119999999999</v>
      </c>
      <c r="R31" s="53"/>
      <c r="S31" s="46"/>
      <c r="T31" s="76"/>
      <c r="U31" s="46"/>
      <c r="V31" s="46">
        <v>7500</v>
      </c>
      <c r="W31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10000</v>
      </c>
      <c r="X31" s="46">
        <f>SUM(بيان.معاشات.قنا[[#This Row],[يناير-23]:[ديسمبر-23]])</f>
        <v>2500</v>
      </c>
      <c r="Y31" s="46"/>
      <c r="Z31" s="46">
        <v>1000</v>
      </c>
      <c r="AA31" s="46"/>
      <c r="AB31" s="46"/>
      <c r="AC31" s="46">
        <v>1500</v>
      </c>
      <c r="AD31" s="46"/>
      <c r="AE31" s="46"/>
      <c r="AF31" s="46"/>
      <c r="AG31" s="46"/>
      <c r="AH31" s="46"/>
      <c r="AI31" s="46"/>
      <c r="AJ31" s="46"/>
    </row>
    <row r="32" spans="3:36" ht="21" x14ac:dyDescent="0.35">
      <c r="C32" s="61">
        <v>25</v>
      </c>
      <c r="D32" s="46" t="s">
        <v>332</v>
      </c>
      <c r="E32" s="47">
        <v>33</v>
      </c>
      <c r="F32" s="50">
        <v>44610</v>
      </c>
      <c r="G32" s="50"/>
      <c r="H32" s="46">
        <v>18491.04</v>
      </c>
      <c r="I32" s="46">
        <v>0</v>
      </c>
      <c r="J32" s="46">
        <v>4997.72</v>
      </c>
      <c r="K32" s="46">
        <v>26</v>
      </c>
      <c r="L32" s="46">
        <f>SUM(بيان.معاشات.قنا[[#This Row],[المنحة]:[مقابل نقدي]])</f>
        <v>23488.760000000002</v>
      </c>
      <c r="M32" s="46">
        <f>بيان.معاشات.قنا[[#This Row],[إجمالي الدفعات]]</f>
        <v>5991.04</v>
      </c>
      <c r="N32" s="46">
        <f>بيان.معاشات.قنا[[#This Row],[إجمالي المستحق]]-بيان.معاشات.قنا[[#This Row],[إجمالي المنصرف]]</f>
        <v>17497.72</v>
      </c>
      <c r="O32" s="46">
        <f>IF(بيان.معاشات.قنا[[#This Row],[المتبقي]]&lt;0,0,بيان.معاشات.قنا[[#This Row],[المتبقي]])</f>
        <v>17497.72</v>
      </c>
      <c r="P32" s="48">
        <f>(بيان.معاشات.قنا[[#This Row],[المنحة]]+بيان.معاشات.قنا[[#This Row],[مستحقات]])-بيان.معاشات.قنا[[#This Row],[إجمالي المنصرف]]</f>
        <v>12500</v>
      </c>
      <c r="Q32" s="48">
        <f>IF(بيان.معاشات.قنا[[#This Row],[المتبقي من المنحة]]&lt;0,0,بيان.معاشات.قنا[[#This Row],[المتبقي من المنحة]])</f>
        <v>12500</v>
      </c>
      <c r="R32" s="53"/>
      <c r="S32" s="46"/>
      <c r="T32" s="76"/>
      <c r="U32" s="46"/>
      <c r="V32" s="46">
        <v>4491.04</v>
      </c>
      <c r="W32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5991.04</v>
      </c>
      <c r="X32" s="46">
        <f>SUM(بيان.معاشات.قنا[[#This Row],[يناير-23]:[ديسمبر-23]])</f>
        <v>1500</v>
      </c>
      <c r="Y32" s="46"/>
      <c r="Z32" s="46"/>
      <c r="AA32" s="46">
        <v>1500</v>
      </c>
      <c r="AB32" s="46"/>
      <c r="AC32" s="46"/>
      <c r="AD32" s="46"/>
      <c r="AE32" s="46"/>
      <c r="AF32" s="46"/>
      <c r="AG32" s="46"/>
      <c r="AH32" s="46"/>
      <c r="AI32" s="46"/>
      <c r="AJ32" s="46"/>
    </row>
    <row r="33" spans="3:36" ht="21" x14ac:dyDescent="0.35">
      <c r="C33" s="61">
        <v>26</v>
      </c>
      <c r="D33" s="46" t="s">
        <v>333</v>
      </c>
      <c r="E33" s="47">
        <v>34</v>
      </c>
      <c r="F33" s="50">
        <v>44673</v>
      </c>
      <c r="G33" s="50"/>
      <c r="H33" s="46">
        <v>18673.82</v>
      </c>
      <c r="I33" s="46">
        <v>0</v>
      </c>
      <c r="J33" s="46">
        <v>12899.7</v>
      </c>
      <c r="K33" s="46">
        <v>90</v>
      </c>
      <c r="L33" s="46">
        <f>SUM(بيان.معاشات.قنا[[#This Row],[المنحة]:[مقابل نقدي]])</f>
        <v>31573.52</v>
      </c>
      <c r="M33" s="46">
        <f>بيان.معاشات.قنا[[#This Row],[إجمالي الدفعات]]</f>
        <v>2000</v>
      </c>
      <c r="N33" s="46">
        <f>بيان.معاشات.قنا[[#This Row],[إجمالي المستحق]]-بيان.معاشات.قنا[[#This Row],[إجمالي المنصرف]]</f>
        <v>29573.52</v>
      </c>
      <c r="O33" s="46">
        <f>IF(بيان.معاشات.قنا[[#This Row],[المتبقي]]&lt;0,0,بيان.معاشات.قنا[[#This Row],[المتبقي]])</f>
        <v>29573.52</v>
      </c>
      <c r="P33" s="48">
        <f>(بيان.معاشات.قنا[[#This Row],[المنحة]]+بيان.معاشات.قنا[[#This Row],[مستحقات]])-بيان.معاشات.قنا[[#This Row],[إجمالي المنصرف]]</f>
        <v>16673.82</v>
      </c>
      <c r="Q33" s="48">
        <f>IF(بيان.معاشات.قنا[[#This Row],[المتبقي من المنحة]]&lt;0,0,بيان.معاشات.قنا[[#This Row],[المتبقي من المنحة]])</f>
        <v>16673.82</v>
      </c>
      <c r="R33" s="53"/>
      <c r="S33" s="46"/>
      <c r="T33" s="76"/>
      <c r="U33" s="46"/>
      <c r="V33" s="46">
        <v>2000</v>
      </c>
      <c r="W33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2000</v>
      </c>
      <c r="X33" s="46">
        <f>SUM(بيان.معاشات.قنا[[#This Row],[يناير-23]:[ديسمبر-23]])</f>
        <v>0</v>
      </c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</row>
    <row r="34" spans="3:36" ht="21" x14ac:dyDescent="0.35">
      <c r="C34" s="61">
        <v>27</v>
      </c>
      <c r="D34" s="46" t="s">
        <v>334</v>
      </c>
      <c r="E34" s="47">
        <v>35</v>
      </c>
      <c r="F34" s="50">
        <v>44780</v>
      </c>
      <c r="G34" s="50"/>
      <c r="H34" s="46">
        <v>17291.650000000001</v>
      </c>
      <c r="I34" s="46"/>
      <c r="J34" s="46">
        <v>15024.6</v>
      </c>
      <c r="K34" s="46">
        <v>90</v>
      </c>
      <c r="L34" s="46">
        <f>SUM(بيان.معاشات.قنا[[#This Row],[المنحة]:[مقابل نقدي]])</f>
        <v>32316.25</v>
      </c>
      <c r="M34" s="46">
        <f>بيان.معاشات.قنا[[#This Row],[إجمالي الدفعات]]</f>
        <v>4500</v>
      </c>
      <c r="N34" s="46">
        <f>بيان.معاشات.قنا[[#This Row],[إجمالي المستحق]]-بيان.معاشات.قنا[[#This Row],[إجمالي المنصرف]]</f>
        <v>27816.25</v>
      </c>
      <c r="O34" s="46">
        <f>IF(بيان.معاشات.قنا[[#This Row],[المتبقي]]&lt;0,0,بيان.معاشات.قنا[[#This Row],[المتبقي]])</f>
        <v>27816.25</v>
      </c>
      <c r="P34" s="48">
        <f>(بيان.معاشات.قنا[[#This Row],[المنحة]]+بيان.معاشات.قنا[[#This Row],[مستحقات]])-بيان.معاشات.قنا[[#This Row],[إجمالي المنصرف]]</f>
        <v>12791.650000000001</v>
      </c>
      <c r="Q34" s="48">
        <f>IF(بيان.معاشات.قنا[[#This Row],[المتبقي من المنحة]]&lt;0,0,بيان.معاشات.قنا[[#This Row],[المتبقي من المنحة]])</f>
        <v>12791.650000000001</v>
      </c>
      <c r="R34" s="53">
        <v>26208072701052</v>
      </c>
      <c r="S34" s="46"/>
      <c r="T34" s="76"/>
      <c r="U34" s="46"/>
      <c r="V34" s="46">
        <v>2000</v>
      </c>
      <c r="W34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4500</v>
      </c>
      <c r="X34" s="46">
        <f>SUM(بيان.معاشات.قنا[[#This Row],[يناير-23]:[ديسمبر-23]])</f>
        <v>2500</v>
      </c>
      <c r="Y34" s="46"/>
      <c r="Z34" s="46"/>
      <c r="AA34" s="46">
        <v>2500</v>
      </c>
      <c r="AB34" s="46"/>
      <c r="AC34" s="46"/>
      <c r="AD34" s="46"/>
      <c r="AE34" s="46"/>
      <c r="AF34" s="46"/>
      <c r="AG34" s="46"/>
      <c r="AH34" s="46"/>
      <c r="AI34" s="46"/>
      <c r="AJ34" s="46"/>
    </row>
    <row r="35" spans="3:36" ht="21" x14ac:dyDescent="0.35">
      <c r="C35" s="61">
        <v>28</v>
      </c>
      <c r="D35" s="46" t="s">
        <v>335</v>
      </c>
      <c r="E35" s="47">
        <v>36</v>
      </c>
      <c r="F35" s="50">
        <v>44815</v>
      </c>
      <c r="G35" s="50"/>
      <c r="H35" s="46">
        <v>22795.03</v>
      </c>
      <c r="I35" s="46">
        <v>0</v>
      </c>
      <c r="J35" s="46">
        <v>18700.2</v>
      </c>
      <c r="K35" s="46">
        <v>90</v>
      </c>
      <c r="L35" s="46">
        <f>SUM(بيان.معاشات.قنا[[#This Row],[المنحة]:[مقابل نقدي]])</f>
        <v>41495.229999999996</v>
      </c>
      <c r="M35" s="46">
        <f>بيان.معاشات.قنا[[#This Row],[إجمالي الدفعات]]</f>
        <v>4000</v>
      </c>
      <c r="N35" s="46">
        <f>بيان.معاشات.قنا[[#This Row],[إجمالي المستحق]]-بيان.معاشات.قنا[[#This Row],[إجمالي المنصرف]]</f>
        <v>37495.229999999996</v>
      </c>
      <c r="O35" s="46">
        <f>IF(بيان.معاشات.قنا[[#This Row],[المتبقي]]&lt;0,0,بيان.معاشات.قنا[[#This Row],[المتبقي]])</f>
        <v>37495.229999999996</v>
      </c>
      <c r="P35" s="48">
        <f>(بيان.معاشات.قنا[[#This Row],[المنحة]]+بيان.معاشات.قنا[[#This Row],[مستحقات]])-بيان.معاشات.قنا[[#This Row],[إجمالي المنصرف]]</f>
        <v>18795.03</v>
      </c>
      <c r="Q35" s="48">
        <f>IF(بيان.معاشات.قنا[[#This Row],[المتبقي من المنحة]]&lt;0,0,بيان.معاشات.قنا[[#This Row],[المتبقي من المنحة]])</f>
        <v>18795.03</v>
      </c>
      <c r="R35" s="53">
        <v>26209112701294</v>
      </c>
      <c r="S35" s="46"/>
      <c r="T35" s="76"/>
      <c r="U35" s="46"/>
      <c r="V35" s="46">
        <v>1000</v>
      </c>
      <c r="W35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4000</v>
      </c>
      <c r="X35" s="46">
        <f>SUM(بيان.معاشات.قنا[[#This Row],[يناير-23]:[ديسمبر-23]])</f>
        <v>3000</v>
      </c>
      <c r="Y35" s="46"/>
      <c r="Z35" s="46">
        <v>1500</v>
      </c>
      <c r="AA35" s="46"/>
      <c r="AB35" s="46"/>
      <c r="AC35" s="46">
        <v>1500</v>
      </c>
      <c r="AD35" s="46"/>
      <c r="AE35" s="46"/>
      <c r="AF35" s="46"/>
      <c r="AG35" s="46"/>
      <c r="AH35" s="46"/>
      <c r="AI35" s="46"/>
      <c r="AJ35" s="46"/>
    </row>
    <row r="36" spans="3:36" ht="21" x14ac:dyDescent="0.35">
      <c r="C36" s="61">
        <v>29</v>
      </c>
      <c r="D36" s="46" t="s">
        <v>336</v>
      </c>
      <c r="E36" s="47">
        <v>37</v>
      </c>
      <c r="F36" s="50">
        <v>44885</v>
      </c>
      <c r="G36" s="50"/>
      <c r="H36" s="46">
        <v>22665.72</v>
      </c>
      <c r="I36" s="46">
        <v>0</v>
      </c>
      <c r="J36" s="46">
        <v>17250.3</v>
      </c>
      <c r="K36" s="46">
        <v>90</v>
      </c>
      <c r="L36" s="46">
        <f>SUM(بيان.معاشات.قنا[[#This Row],[المنحة]:[مقابل نقدي]])</f>
        <v>39916.020000000004</v>
      </c>
      <c r="M36" s="46">
        <f>بيان.معاشات.قنا[[#This Row],[إجمالي الدفعات]]</f>
        <v>3000</v>
      </c>
      <c r="N36" s="46">
        <f>بيان.معاشات.قنا[[#This Row],[إجمالي المستحق]]-بيان.معاشات.قنا[[#This Row],[إجمالي المنصرف]]</f>
        <v>36916.020000000004</v>
      </c>
      <c r="O36" s="46">
        <f>IF(بيان.معاشات.قنا[[#This Row],[المتبقي]]&lt;0,0,بيان.معاشات.قنا[[#This Row],[المتبقي]])</f>
        <v>36916.020000000004</v>
      </c>
      <c r="P36" s="48">
        <f>(بيان.معاشات.قنا[[#This Row],[المنحة]]+بيان.معاشات.قنا[[#This Row],[مستحقات]])-بيان.معاشات.قنا[[#This Row],[إجمالي المنصرف]]</f>
        <v>19665.72</v>
      </c>
      <c r="Q36" s="48">
        <f>IF(بيان.معاشات.قنا[[#This Row],[المتبقي من المنحة]]&lt;0,0,بيان.معاشات.قنا[[#This Row],[المتبقي من المنحة]])</f>
        <v>19665.72</v>
      </c>
      <c r="R36" s="53">
        <v>26211202702839</v>
      </c>
      <c r="S36" s="46"/>
      <c r="T36" s="76"/>
      <c r="U36" s="46"/>
      <c r="V36" s="46">
        <v>0</v>
      </c>
      <c r="W36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3000</v>
      </c>
      <c r="X36" s="46">
        <f>SUM(بيان.معاشات.قنا[[#This Row],[يناير-23]:[ديسمبر-23]])</f>
        <v>3000</v>
      </c>
      <c r="Y36" s="46"/>
      <c r="Z36" s="46"/>
      <c r="AA36" s="46"/>
      <c r="AB36" s="46"/>
      <c r="AC36" s="46">
        <v>3000</v>
      </c>
      <c r="AD36" s="46"/>
      <c r="AE36" s="46"/>
      <c r="AF36" s="46"/>
      <c r="AG36" s="46"/>
      <c r="AH36" s="46"/>
      <c r="AI36" s="46"/>
      <c r="AJ36" s="46"/>
    </row>
    <row r="37" spans="3:36" ht="21" x14ac:dyDescent="0.35">
      <c r="C37" s="61">
        <v>30</v>
      </c>
      <c r="D37" s="46" t="s">
        <v>460</v>
      </c>
      <c r="E37" s="47">
        <v>38</v>
      </c>
      <c r="F37" s="50">
        <v>44957</v>
      </c>
      <c r="G37" s="50"/>
      <c r="H37" s="46">
        <v>22864.560000000001</v>
      </c>
      <c r="I37" s="46"/>
      <c r="J37" s="46">
        <v>8140.46</v>
      </c>
      <c r="K37" s="46"/>
      <c r="L37" s="46">
        <f>SUM(بيان.معاشات.قنا[[#This Row],[المنحة]:[مقابل نقدي]])</f>
        <v>31005.02</v>
      </c>
      <c r="M37" s="46">
        <f>بيان.معاشات.قنا[[#This Row],[إجمالي الدفعات]]</f>
        <v>500</v>
      </c>
      <c r="N37" s="46">
        <f>بيان.معاشات.قنا[[#This Row],[إجمالي المستحق]]-بيان.معاشات.قنا[[#This Row],[إجمالي المنصرف]]</f>
        <v>30505.02</v>
      </c>
      <c r="O37" s="46">
        <f>IF(بيان.معاشات.قنا[[#This Row],[المتبقي]]&lt;0,0,بيان.معاشات.قنا[[#This Row],[المتبقي]])</f>
        <v>30505.02</v>
      </c>
      <c r="P37" s="48">
        <f>(بيان.معاشات.قنا[[#This Row],[المنحة]]+بيان.معاشات.قنا[[#This Row],[مستحقات]])-بيان.معاشات.قنا[[#This Row],[إجمالي المنصرف]]</f>
        <v>22364.560000000001</v>
      </c>
      <c r="Q37" s="48">
        <f>IF(بيان.معاشات.قنا[[#This Row],[المتبقي من المنحة]]&lt;0,0,بيان.معاشات.قنا[[#This Row],[المتبقي من المنحة]])</f>
        <v>22364.560000000001</v>
      </c>
      <c r="R37" s="53">
        <v>26301312700458</v>
      </c>
      <c r="S37" s="46"/>
      <c r="T37" s="76"/>
      <c r="U37" s="46"/>
      <c r="V37" s="46">
        <v>0</v>
      </c>
      <c r="W37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500</v>
      </c>
      <c r="X37" s="46">
        <f>SUM(بيان.معاشات.قنا[[#This Row],[يناير-23]:[ديسمبر-23]])</f>
        <v>500</v>
      </c>
      <c r="Y37" s="46"/>
      <c r="Z37" s="46"/>
      <c r="AA37" s="46">
        <v>500</v>
      </c>
      <c r="AB37" s="46"/>
      <c r="AC37" s="46"/>
      <c r="AD37" s="46"/>
      <c r="AE37" s="46"/>
      <c r="AF37" s="46"/>
      <c r="AG37" s="46"/>
      <c r="AH37" s="46"/>
      <c r="AI37" s="46"/>
      <c r="AJ37" s="46"/>
    </row>
    <row r="38" spans="3:36" ht="21" x14ac:dyDescent="0.35">
      <c r="C38" s="61">
        <v>31</v>
      </c>
      <c r="D38" s="46"/>
      <c r="E38" s="47"/>
      <c r="F38" s="50"/>
      <c r="G38" s="50"/>
      <c r="H38" s="46"/>
      <c r="I38" s="46"/>
      <c r="J38" s="46"/>
      <c r="K38" s="46"/>
      <c r="L38" s="46">
        <f>SUM(بيان.معاشات.قنا[[#This Row],[المنحة]:[مقابل نقدي]])</f>
        <v>0</v>
      </c>
      <c r="M38" s="46">
        <f>بيان.معاشات.قنا[[#This Row],[إجمالي الدفعات]]</f>
        <v>0</v>
      </c>
      <c r="N38" s="46">
        <f>بيان.معاشات.قنا[[#This Row],[إجمالي المستحق]]-بيان.معاشات.قنا[[#This Row],[إجمالي المنصرف]]</f>
        <v>0</v>
      </c>
      <c r="O38" s="46">
        <f>IF(بيان.معاشات.قنا[[#This Row],[المتبقي]]&lt;0,0,بيان.معاشات.قنا[[#This Row],[المتبقي]])</f>
        <v>0</v>
      </c>
      <c r="P38" s="48">
        <f>(بيان.معاشات.قنا[[#This Row],[المنحة]]+بيان.معاشات.قنا[[#This Row],[مستحقات]])-بيان.معاشات.قنا[[#This Row],[إجمالي المنصرف]]</f>
        <v>0</v>
      </c>
      <c r="Q38" s="48">
        <f>IF(بيان.معاشات.قنا[[#This Row],[المتبقي من المنحة]]&lt;0,0,بيان.معاشات.قنا[[#This Row],[المتبقي من المنحة]])</f>
        <v>0</v>
      </c>
      <c r="R38" s="53"/>
      <c r="S38" s="46"/>
      <c r="T38" s="76"/>
      <c r="U38" s="46"/>
      <c r="V38" s="46">
        <v>0</v>
      </c>
      <c r="W38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38" s="46">
        <f>SUM(بيان.معاشات.قنا[[#This Row],[يناير-23]:[ديسمبر-23]])</f>
        <v>0</v>
      </c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</row>
    <row r="39" spans="3:36" ht="21" x14ac:dyDescent="0.35">
      <c r="C39" s="61"/>
      <c r="D39" s="46"/>
      <c r="E39" s="47"/>
      <c r="F39" s="50"/>
      <c r="G39" s="50"/>
      <c r="H39" s="46"/>
      <c r="I39" s="46"/>
      <c r="J39" s="46"/>
      <c r="K39" s="46"/>
      <c r="L39" s="46">
        <f>SUM(بيان.معاشات.قنا[[#This Row],[المنحة]:[مقابل نقدي]])</f>
        <v>0</v>
      </c>
      <c r="M39" s="46">
        <f>بيان.معاشات.قنا[[#This Row],[إجمالي الدفعات]]</f>
        <v>0</v>
      </c>
      <c r="N39" s="46">
        <f>بيان.معاشات.قنا[[#This Row],[إجمالي المستحق]]-بيان.معاشات.قنا[[#This Row],[إجمالي المنصرف]]</f>
        <v>0</v>
      </c>
      <c r="O39" s="46">
        <f>IF(بيان.معاشات.قنا[[#This Row],[المتبقي]]&lt;0,0,بيان.معاشات.قنا[[#This Row],[المتبقي]])</f>
        <v>0</v>
      </c>
      <c r="P39" s="48">
        <f>(بيان.معاشات.قنا[[#This Row],[المنحة]]+بيان.معاشات.قنا[[#This Row],[مستحقات]])-بيان.معاشات.قنا[[#This Row],[إجمالي المنصرف]]</f>
        <v>0</v>
      </c>
      <c r="Q39" s="48">
        <f>IF(بيان.معاشات.قنا[[#This Row],[المتبقي من المنحة]]&lt;0,0,بيان.معاشات.قنا[[#This Row],[المتبقي من المنحة]])</f>
        <v>0</v>
      </c>
      <c r="R39" s="53"/>
      <c r="S39" s="46"/>
      <c r="T39" s="76"/>
      <c r="U39" s="46"/>
      <c r="V39" s="46">
        <v>0</v>
      </c>
      <c r="W39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39" s="46">
        <f>SUM(بيان.معاشات.قنا[[#This Row],[يناير-23]:[ديسمبر-23]])</f>
        <v>0</v>
      </c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</row>
    <row r="40" spans="3:36" ht="21" x14ac:dyDescent="0.35">
      <c r="C40" s="61"/>
      <c r="D40" s="46"/>
      <c r="E40" s="47"/>
      <c r="F40" s="50"/>
      <c r="G40" s="50"/>
      <c r="H40" s="46"/>
      <c r="I40" s="46"/>
      <c r="J40" s="46"/>
      <c r="K40" s="46"/>
      <c r="L40" s="46">
        <f>SUM(بيان.معاشات.قنا[[#This Row],[المنحة]:[مقابل نقدي]])</f>
        <v>0</v>
      </c>
      <c r="M40" s="46">
        <f>بيان.معاشات.قنا[[#This Row],[إجمالي الدفعات]]</f>
        <v>0</v>
      </c>
      <c r="N40" s="46">
        <f>بيان.معاشات.قنا[[#This Row],[إجمالي المستحق]]-بيان.معاشات.قنا[[#This Row],[إجمالي المنصرف]]</f>
        <v>0</v>
      </c>
      <c r="O40" s="46">
        <f>IF(بيان.معاشات.قنا[[#This Row],[المتبقي]]&lt;0,0,بيان.معاشات.قنا[[#This Row],[المتبقي]])</f>
        <v>0</v>
      </c>
      <c r="P40" s="48">
        <f>(بيان.معاشات.قنا[[#This Row],[المنحة]]+بيان.معاشات.قنا[[#This Row],[مستحقات]])-بيان.معاشات.قنا[[#This Row],[إجمالي المنصرف]]</f>
        <v>0</v>
      </c>
      <c r="Q40" s="48">
        <f>IF(بيان.معاشات.قنا[[#This Row],[المتبقي من المنحة]]&lt;0,0,بيان.معاشات.قنا[[#This Row],[المتبقي من المنحة]])</f>
        <v>0</v>
      </c>
      <c r="R40" s="53"/>
      <c r="S40" s="46"/>
      <c r="T40" s="76"/>
      <c r="U40" s="46"/>
      <c r="V40" s="46"/>
      <c r="W40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40" s="46">
        <f>SUM(بيان.معاشات.قنا[[#This Row],[يناير-23]:[ديسمبر-23]])</f>
        <v>0</v>
      </c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</row>
    <row r="41" spans="3:36" ht="21" x14ac:dyDescent="0.35">
      <c r="C41" s="61"/>
      <c r="D41" s="46" t="s">
        <v>72</v>
      </c>
      <c r="E41" s="47"/>
      <c r="F41" s="50"/>
      <c r="G41" s="50"/>
      <c r="H41" s="46"/>
      <c r="I41" s="46"/>
      <c r="J41" s="46"/>
      <c r="K41" s="46"/>
      <c r="L41" s="46">
        <f>SUM(بيان.معاشات.قنا[[#This Row],[المنحة]:[مقابل نقدي]])</f>
        <v>0</v>
      </c>
      <c r="M41" s="46">
        <f>بيان.معاشات.قنا[[#This Row],[إجمالي الدفعات]]</f>
        <v>0</v>
      </c>
      <c r="N41" s="46">
        <f>بيان.معاشات.قنا[[#This Row],[إجمالي المستحق]]-بيان.معاشات.قنا[[#This Row],[إجمالي المنصرف]]</f>
        <v>0</v>
      </c>
      <c r="O41" s="46">
        <f>IF(بيان.معاشات.قنا[[#This Row],[المتبقي]]&lt;0,0,بيان.معاشات.قنا[[#This Row],[المتبقي]])</f>
        <v>0</v>
      </c>
      <c r="P41" s="48">
        <f>(بيان.معاشات.قنا[[#This Row],[المنحة]]+بيان.معاشات.قنا[[#This Row],[مستحقات]])-بيان.معاشات.قنا[[#This Row],[إجمالي المنصرف]]</f>
        <v>0</v>
      </c>
      <c r="Q41" s="48">
        <f>IF(بيان.معاشات.قنا[[#This Row],[المتبقي من المنحة]]&lt;0,0,بيان.معاشات.قنا[[#This Row],[المتبقي من المنحة]])</f>
        <v>0</v>
      </c>
      <c r="R41" s="53"/>
      <c r="S41" s="46"/>
      <c r="T41" s="76"/>
      <c r="U41" s="46">
        <v>0</v>
      </c>
      <c r="V41" s="46">
        <v>0</v>
      </c>
      <c r="W41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41" s="46">
        <f>SUM(بيان.معاشات.قنا[[#This Row],[يناير-23]:[ديسمبر-23]])</f>
        <v>0</v>
      </c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</row>
    <row r="42" spans="3:36" ht="21" x14ac:dyDescent="0.35">
      <c r="C42" s="61">
        <v>1</v>
      </c>
      <c r="D42" s="46"/>
      <c r="E42" s="47"/>
      <c r="F42" s="50"/>
      <c r="G42" s="50"/>
      <c r="H42" s="46"/>
      <c r="I42" s="46"/>
      <c r="J42" s="46"/>
      <c r="K42" s="46"/>
      <c r="L42" s="46">
        <f>SUM(بيان.معاشات.قنا[[#This Row],[المنحة]:[مقابل نقدي]])</f>
        <v>0</v>
      </c>
      <c r="M42" s="46">
        <f>بيان.معاشات.قنا[[#This Row],[إجمالي الدفعات]]</f>
        <v>0</v>
      </c>
      <c r="N42" s="46">
        <f>بيان.معاشات.قنا[[#This Row],[إجمالي المستحق]]-بيان.معاشات.قنا[[#This Row],[إجمالي المنصرف]]</f>
        <v>0</v>
      </c>
      <c r="O42" s="46">
        <f>IF(بيان.معاشات.قنا[[#This Row],[المتبقي]]&lt;0,0,بيان.معاشات.قنا[[#This Row],[المتبقي]])</f>
        <v>0</v>
      </c>
      <c r="P42" s="48">
        <f>(بيان.معاشات.قنا[[#This Row],[المنحة]]+بيان.معاشات.قنا[[#This Row],[مستحقات]])-بيان.معاشات.قنا[[#This Row],[إجمالي المنصرف]]</f>
        <v>0</v>
      </c>
      <c r="Q42" s="48">
        <f>IF(بيان.معاشات.قنا[[#This Row],[المتبقي من المنحة]]&lt;0,0,بيان.معاشات.قنا[[#This Row],[المتبقي من المنحة]])</f>
        <v>0</v>
      </c>
      <c r="R42" s="53"/>
      <c r="S42" s="46"/>
      <c r="T42" s="76"/>
      <c r="U42" s="46"/>
      <c r="V42" s="46">
        <v>0</v>
      </c>
      <c r="W42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42" s="46">
        <f>SUM(بيان.معاشات.قنا[[#This Row],[يناير-23]:[ديسمبر-23]])</f>
        <v>0</v>
      </c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</row>
    <row r="43" spans="3:36" ht="21" x14ac:dyDescent="0.35">
      <c r="C43" s="61">
        <v>2</v>
      </c>
      <c r="D43" s="46"/>
      <c r="E43" s="47"/>
      <c r="F43" s="50"/>
      <c r="G43" s="50"/>
      <c r="H43" s="46"/>
      <c r="I43" s="46"/>
      <c r="J43" s="46"/>
      <c r="K43" s="46"/>
      <c r="L43" s="46">
        <f>SUM(بيان.معاشات.قنا[[#This Row],[المنحة]:[مقابل نقدي]])</f>
        <v>0</v>
      </c>
      <c r="M43" s="46">
        <f>بيان.معاشات.قنا[[#This Row],[إجمالي الدفعات]]</f>
        <v>0</v>
      </c>
      <c r="N43" s="46">
        <f>بيان.معاشات.قنا[[#This Row],[إجمالي المستحق]]-بيان.معاشات.قنا[[#This Row],[إجمالي المنصرف]]</f>
        <v>0</v>
      </c>
      <c r="O43" s="46">
        <f>IF(بيان.معاشات.قنا[[#This Row],[المتبقي]]&lt;0,0,بيان.معاشات.قنا[[#This Row],[المتبقي]])</f>
        <v>0</v>
      </c>
      <c r="P43" s="48">
        <f>(بيان.معاشات.قنا[[#This Row],[المنحة]]+بيان.معاشات.قنا[[#This Row],[مستحقات]])-بيان.معاشات.قنا[[#This Row],[إجمالي المنصرف]]</f>
        <v>0</v>
      </c>
      <c r="Q43" s="48">
        <f>IF(بيان.معاشات.قنا[[#This Row],[المتبقي من المنحة]]&lt;0,0,بيان.معاشات.قنا[[#This Row],[المتبقي من المنحة]])</f>
        <v>0</v>
      </c>
      <c r="R43" s="53"/>
      <c r="S43" s="46"/>
      <c r="T43" s="76"/>
      <c r="U43" s="46"/>
      <c r="V43" s="46">
        <v>0</v>
      </c>
      <c r="W43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43" s="46">
        <f>SUM(بيان.معاشات.قنا[[#This Row],[يناير-23]:[ديسمبر-23]])</f>
        <v>0</v>
      </c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</row>
    <row r="44" spans="3:36" ht="21" x14ac:dyDescent="0.35">
      <c r="C44" s="61">
        <v>3</v>
      </c>
      <c r="D44" s="46"/>
      <c r="E44" s="47"/>
      <c r="F44" s="50"/>
      <c r="G44" s="50"/>
      <c r="H44" s="46"/>
      <c r="I44" s="46"/>
      <c r="J44" s="46"/>
      <c r="K44" s="46"/>
      <c r="L44" s="46">
        <f>SUM(بيان.معاشات.قنا[[#This Row],[المنحة]:[مقابل نقدي]])</f>
        <v>0</v>
      </c>
      <c r="M44" s="46">
        <f>بيان.معاشات.قنا[[#This Row],[إجمالي الدفعات]]</f>
        <v>0</v>
      </c>
      <c r="N44" s="46">
        <f>بيان.معاشات.قنا[[#This Row],[إجمالي المستحق]]-بيان.معاشات.قنا[[#This Row],[إجمالي المنصرف]]</f>
        <v>0</v>
      </c>
      <c r="O44" s="46">
        <f>IF(بيان.معاشات.قنا[[#This Row],[المتبقي]]&lt;0,0,بيان.معاشات.قنا[[#This Row],[المتبقي]])</f>
        <v>0</v>
      </c>
      <c r="P44" s="48">
        <f>(بيان.معاشات.قنا[[#This Row],[المنحة]]+بيان.معاشات.قنا[[#This Row],[مستحقات]])-بيان.معاشات.قنا[[#This Row],[إجمالي المنصرف]]</f>
        <v>0</v>
      </c>
      <c r="Q44" s="48">
        <f>IF(بيان.معاشات.قنا[[#This Row],[المتبقي من المنحة]]&lt;0,0,بيان.معاشات.قنا[[#This Row],[المتبقي من المنحة]])</f>
        <v>0</v>
      </c>
      <c r="R44" s="53"/>
      <c r="S44" s="46"/>
      <c r="T44" s="76"/>
      <c r="U44" s="46"/>
      <c r="V44" s="46">
        <v>0</v>
      </c>
      <c r="W44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44" s="46">
        <f>SUM(بيان.معاشات.قنا[[#This Row],[يناير-23]:[ديسمبر-23]])</f>
        <v>0</v>
      </c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</row>
    <row r="45" spans="3:36" ht="21" x14ac:dyDescent="0.35">
      <c r="C45" s="61">
        <v>4</v>
      </c>
      <c r="D45" s="46"/>
      <c r="E45" s="47"/>
      <c r="F45" s="50"/>
      <c r="G45" s="50"/>
      <c r="H45" s="46"/>
      <c r="I45" s="46"/>
      <c r="J45" s="46"/>
      <c r="K45" s="46"/>
      <c r="L45" s="46">
        <f>SUM(بيان.معاشات.قنا[[#This Row],[المنحة]:[مقابل نقدي]])</f>
        <v>0</v>
      </c>
      <c r="M45" s="46">
        <f>بيان.معاشات.قنا[[#This Row],[إجمالي الدفعات]]</f>
        <v>0</v>
      </c>
      <c r="N45" s="46">
        <f>بيان.معاشات.قنا[[#This Row],[إجمالي المستحق]]-بيان.معاشات.قنا[[#This Row],[إجمالي المنصرف]]</f>
        <v>0</v>
      </c>
      <c r="O45" s="46">
        <f>IF(بيان.معاشات.قنا[[#This Row],[المتبقي]]&lt;0,0,بيان.معاشات.قنا[[#This Row],[المتبقي]])</f>
        <v>0</v>
      </c>
      <c r="P45" s="48">
        <f>(بيان.معاشات.قنا[[#This Row],[المنحة]]+بيان.معاشات.قنا[[#This Row],[مستحقات]])-بيان.معاشات.قنا[[#This Row],[إجمالي المنصرف]]</f>
        <v>0</v>
      </c>
      <c r="Q45" s="48">
        <f>IF(بيان.معاشات.قنا[[#This Row],[المتبقي من المنحة]]&lt;0,0,بيان.معاشات.قنا[[#This Row],[المتبقي من المنحة]])</f>
        <v>0</v>
      </c>
      <c r="R45" s="53"/>
      <c r="S45" s="46"/>
      <c r="T45" s="76"/>
      <c r="U45" s="46"/>
      <c r="V45" s="46">
        <v>0</v>
      </c>
      <c r="W45" s="46">
        <f>بيان.معاشات.قنا[[#This Row],[المنصرف قبل الاستلام]]+بيان.معاشات.قنا[[#This Row],[ما تم صرفه من 7/2021 حتى12/2022]]+بيان.معاشات.قنا[[#This Row],[إجمالي دفعات 2023]]</f>
        <v>0</v>
      </c>
      <c r="X45" s="46">
        <f>SUM(بيان.معاشات.قنا[[#This Row],[يناير-23]:[ديسمبر-23]])</f>
        <v>0</v>
      </c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</row>
    <row r="46" spans="3:36" s="86" customFormat="1" ht="23.25" x14ac:dyDescent="0.35">
      <c r="C46" s="153" t="s">
        <v>396</v>
      </c>
      <c r="D46" s="153"/>
      <c r="E46" s="153"/>
      <c r="F46" s="153"/>
      <c r="G46" s="153"/>
      <c r="H46" s="153">
        <f>SUBTOTAL(109,بيان.معاشات.قنا[المنحة])</f>
        <v>477354.24999999994</v>
      </c>
      <c r="I46" s="153">
        <f>SUBTOTAL(109,بيان.معاشات.قنا[مستحقات])</f>
        <v>0</v>
      </c>
      <c r="J46" s="153">
        <f>SUBTOTAL(109,بيان.معاشات.قنا[مقابل نقدي])</f>
        <v>408504.91</v>
      </c>
      <c r="K46" s="153"/>
      <c r="L46" s="153">
        <f>SUBTOTAL(109,بيان.معاشات.قنا[إجمالي المستحق])</f>
        <v>885859.15999999992</v>
      </c>
      <c r="M46" s="153">
        <f>SUBTOTAL(109,بيان.معاشات.قنا[إجمالي المنصرف])</f>
        <v>334579.93</v>
      </c>
      <c r="N46" s="153">
        <f>SUBTOTAL(109,بيان.معاشات.قنا[المتبقي])</f>
        <v>551279.2300000001</v>
      </c>
      <c r="O46" s="153">
        <f>SUBTOTAL(109,بيان.معاشات.قنا[المتبقي 1-])</f>
        <v>551279.2300000001</v>
      </c>
      <c r="P46" s="153">
        <f>SUBTOTAL(109,بيان.معاشات.قنا[المتبقي من المنحة])</f>
        <v>142774.32</v>
      </c>
      <c r="Q46" s="153">
        <f>SUBTOTAL(109,بيان.معاشات.قنا[المتبقي من المنحة 1-])</f>
        <v>169839.31999999998</v>
      </c>
      <c r="R46" s="153"/>
      <c r="S46" s="153"/>
      <c r="T46" s="154"/>
      <c r="U46" s="153"/>
      <c r="V46" s="153"/>
      <c r="W46" s="153">
        <f>SUBTOTAL(109,بيان.معاشات.قنا[إجمالي الدفعات])</f>
        <v>334579.93</v>
      </c>
      <c r="X46" s="153">
        <f>SUBTOTAL(109,بيان.معاشات.قنا[إجمالي دفعات 2023])</f>
        <v>42801.99</v>
      </c>
      <c r="Y46" s="153">
        <f>SUBTOTAL(109,بيان.معاشات.قنا[يناير-23])</f>
        <v>0</v>
      </c>
      <c r="Z46" s="153">
        <f>SUBTOTAL(109,بيان.معاشات.قنا[فبراير-23])</f>
        <v>3500</v>
      </c>
      <c r="AA46" s="153">
        <f>SUBTOTAL(109,بيان.معاشات.قنا[مارس-23])</f>
        <v>31301.989999999998</v>
      </c>
      <c r="AB46" s="153">
        <f>SUBTOTAL(109,بيان.معاشات.قنا[أبريل-23])</f>
        <v>0</v>
      </c>
      <c r="AC46" s="153">
        <f>SUBTOTAL(109,بيان.معاشات.قنا[مايو-23])</f>
        <v>8000</v>
      </c>
      <c r="AD46" s="153">
        <f>SUBTOTAL(109,بيان.معاشات.قنا[يونيو-23])</f>
        <v>0</v>
      </c>
      <c r="AE46" s="153">
        <f>SUBTOTAL(109,بيان.معاشات.قنا[يوليه-23])</f>
        <v>0</v>
      </c>
      <c r="AF46" s="153">
        <f>SUBTOTAL(109,بيان.معاشات.قنا[أغسطس-23])</f>
        <v>0</v>
      </c>
      <c r="AG46" s="153">
        <f>SUBTOTAL(109,بيان.معاشات.قنا[سبتمبر-23])</f>
        <v>0</v>
      </c>
      <c r="AH46" s="153">
        <f>SUBTOTAL(109,بيان.معاشات.قنا[أكتوبر-23])</f>
        <v>0</v>
      </c>
      <c r="AI46" s="153">
        <f>SUBTOTAL(109,بيان.معاشات.قنا[نوفمبر-23])</f>
        <v>0</v>
      </c>
      <c r="AJ46" s="153">
        <f>SUBTOTAL(109,بيان.معاشات.قنا[ديسمبر-23])</f>
        <v>0</v>
      </c>
    </row>
  </sheetData>
  <mergeCells count="6">
    <mergeCell ref="C6:S6"/>
    <mergeCell ref="W6:AJ6"/>
    <mergeCell ref="C2:D2"/>
    <mergeCell ref="C3:D3"/>
    <mergeCell ref="C4:AJ4"/>
    <mergeCell ref="C5:AJ5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C2:AJ50"/>
  <sheetViews>
    <sheetView rightToLeft="1" topLeftCell="C7" workbookViewId="0">
      <pane xSplit="2" ySplit="1" topLeftCell="E8" activePane="bottomRight" state="frozen"/>
      <selection activeCell="C7" sqref="C7"/>
      <selection pane="topRight" activeCell="E7" sqref="E7"/>
      <selection pane="bottomLeft" activeCell="C8" sqref="C8"/>
      <selection pane="bottomRight" activeCell="G8" sqref="G8"/>
    </sheetView>
  </sheetViews>
  <sheetFormatPr defaultRowHeight="15" x14ac:dyDescent="0.25"/>
  <cols>
    <col min="3" max="3" width="6.42578125" customWidth="1"/>
    <col min="4" max="4" width="25" customWidth="1"/>
    <col min="5" max="5" width="6.42578125" customWidth="1"/>
    <col min="6" max="7" width="13.7109375" customWidth="1"/>
    <col min="8" max="8" width="14.7109375" customWidth="1"/>
    <col min="9" max="9" width="13.28515625" customWidth="1"/>
    <col min="10" max="10" width="14.7109375" customWidth="1"/>
    <col min="11" max="11" width="6" customWidth="1"/>
    <col min="12" max="12" width="16.28515625" customWidth="1"/>
    <col min="13" max="13" width="14.85546875" customWidth="1"/>
    <col min="14" max="15" width="14.7109375" customWidth="1"/>
    <col min="16" max="16" width="15" customWidth="1"/>
    <col min="17" max="17" width="14.85546875" customWidth="1"/>
    <col min="18" max="18" width="20.5703125" customWidth="1"/>
    <col min="19" max="19" width="68.42578125" customWidth="1"/>
    <col min="22" max="22" width="16.5703125" bestFit="1" customWidth="1"/>
    <col min="23" max="23" width="14.7109375" customWidth="1"/>
    <col min="24" max="24" width="17.5703125" bestFit="1" customWidth="1"/>
    <col min="25" max="25" width="11" customWidth="1"/>
    <col min="26" max="26" width="11.7109375" bestFit="1" customWidth="1"/>
    <col min="27" max="27" width="11.85546875" bestFit="1" customWidth="1"/>
    <col min="28" max="28" width="11.5703125" bestFit="1" customWidth="1"/>
    <col min="29" max="29" width="12.42578125" customWidth="1"/>
    <col min="33" max="33" width="10.5703125" customWidth="1"/>
    <col min="34" max="34" width="9.42578125" customWidth="1"/>
    <col min="35" max="35" width="9.140625" customWidth="1"/>
    <col min="36" max="36" width="9.42578125" customWidth="1"/>
    <col min="37" max="37" width="9.5703125" customWidth="1"/>
  </cols>
  <sheetData>
    <row r="2" spans="3:36" ht="18.75" x14ac:dyDescent="0.3">
      <c r="C2" s="277"/>
      <c r="D2" s="277"/>
      <c r="E2" s="90"/>
      <c r="F2" s="90"/>
      <c r="G2" s="90"/>
      <c r="H2" s="90"/>
      <c r="I2" s="90"/>
      <c r="J2" s="90"/>
      <c r="K2" s="90"/>
    </row>
    <row r="3" spans="3:36" ht="18.75" x14ac:dyDescent="0.3">
      <c r="C3" s="277"/>
      <c r="D3" s="277"/>
      <c r="E3" s="90"/>
      <c r="F3" s="90"/>
      <c r="G3" s="90"/>
      <c r="H3" s="90"/>
      <c r="I3" s="90"/>
      <c r="J3" s="90"/>
      <c r="K3" s="90"/>
    </row>
    <row r="4" spans="3:36" ht="23.25" x14ac:dyDescent="0.25"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</row>
    <row r="5" spans="3:36" ht="23.25" customHeight="1" x14ac:dyDescent="0.35"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</row>
    <row r="6" spans="3:36" ht="23.25" x14ac:dyDescent="0.35"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88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</row>
    <row r="7" spans="3:36" s="67" customFormat="1" ht="63" x14ac:dyDescent="0.25">
      <c r="C7" s="68" t="s">
        <v>0</v>
      </c>
      <c r="D7" s="69" t="s">
        <v>1</v>
      </c>
      <c r="E7" s="91" t="s">
        <v>279</v>
      </c>
      <c r="F7" s="69" t="s">
        <v>218</v>
      </c>
      <c r="G7" s="69" t="s">
        <v>223</v>
      </c>
      <c r="H7" s="69" t="s">
        <v>281</v>
      </c>
      <c r="I7" s="69" t="s">
        <v>185</v>
      </c>
      <c r="J7" s="69" t="s">
        <v>4</v>
      </c>
      <c r="K7" s="69" t="s">
        <v>337</v>
      </c>
      <c r="L7" s="69" t="s">
        <v>5</v>
      </c>
      <c r="M7" s="69" t="s">
        <v>252</v>
      </c>
      <c r="N7" s="69" t="s">
        <v>7</v>
      </c>
      <c r="O7" s="69" t="s">
        <v>398</v>
      </c>
      <c r="P7" s="84" t="s">
        <v>8</v>
      </c>
      <c r="Q7" s="84" t="s">
        <v>401</v>
      </c>
      <c r="R7" s="69" t="s">
        <v>9</v>
      </c>
      <c r="S7" s="69" t="s">
        <v>11</v>
      </c>
      <c r="T7" s="82" t="s">
        <v>395</v>
      </c>
      <c r="U7" s="69" t="s">
        <v>6</v>
      </c>
      <c r="V7" s="69" t="s">
        <v>338</v>
      </c>
      <c r="W7" s="69" t="s">
        <v>12</v>
      </c>
      <c r="X7" s="69" t="s">
        <v>250</v>
      </c>
      <c r="Y7" s="69" t="s">
        <v>254</v>
      </c>
      <c r="Z7" s="69" t="s">
        <v>255</v>
      </c>
      <c r="AA7" s="69" t="s">
        <v>256</v>
      </c>
      <c r="AB7" s="69" t="s">
        <v>257</v>
      </c>
      <c r="AC7" s="69" t="s">
        <v>258</v>
      </c>
      <c r="AD7" s="69" t="s">
        <v>259</v>
      </c>
      <c r="AE7" s="69" t="s">
        <v>260</v>
      </c>
      <c r="AF7" s="69" t="s">
        <v>261</v>
      </c>
      <c r="AG7" s="69" t="s">
        <v>262</v>
      </c>
      <c r="AH7" s="69" t="s">
        <v>263</v>
      </c>
      <c r="AI7" s="69" t="s">
        <v>264</v>
      </c>
      <c r="AJ7" s="70" t="s">
        <v>265</v>
      </c>
    </row>
    <row r="8" spans="3:36" ht="21" x14ac:dyDescent="0.35">
      <c r="C8" s="51">
        <v>1</v>
      </c>
      <c r="D8" s="46" t="s">
        <v>339</v>
      </c>
      <c r="E8" s="61">
        <v>1</v>
      </c>
      <c r="F8" s="50">
        <v>43890</v>
      </c>
      <c r="G8" s="50"/>
      <c r="H8" s="46">
        <v>16484.64</v>
      </c>
      <c r="I8" s="46">
        <v>0</v>
      </c>
      <c r="J8" s="46">
        <v>13122</v>
      </c>
      <c r="K8" s="46">
        <v>90</v>
      </c>
      <c r="L8" s="46">
        <f>SUM(بيان.مغاشات.سفاجا[[#This Row],[المنحة]:[مقابل نقدي]])</f>
        <v>29606.639999999999</v>
      </c>
      <c r="M8" s="46">
        <f>بيان.مغاشات.سفاجا[[#This Row],[إجمالي الدفعات]]</f>
        <v>15000</v>
      </c>
      <c r="N8" s="46">
        <f>بيان.مغاشات.سفاجا[[#This Row],[إجمالي المستحق]]-بيان.مغاشات.سفاجا[[#This Row],[إجمالي المنصرف]]</f>
        <v>14606.64</v>
      </c>
      <c r="O8" s="46">
        <f>IF(بيان.مغاشات.سفاجا[[#This Row],[المتبقي]]&lt;0,0,بيان.مغاشات.سفاجا[[#This Row],[المتبقي]])</f>
        <v>14606.64</v>
      </c>
      <c r="P8" s="48">
        <f>(بيان.مغاشات.سفاجا[[#This Row],[المنحة]]+بيان.مغاشات.سفاجا[[#This Row],[مستحقات]])-بيان.مغاشات.سفاجا[[#This Row],[إجمالي المنصرف]]</f>
        <v>1484.6399999999994</v>
      </c>
      <c r="Q8" s="48">
        <f>IF(بيان.مغاشات.سفاجا[[#This Row],[المتبقي من المنحة]]&lt;0,0,بيان.مغاشات.سفاجا[[#This Row],[المتبقي من المنحة]])</f>
        <v>1484.6399999999994</v>
      </c>
      <c r="R8" s="53"/>
      <c r="S8" s="46"/>
      <c r="T8" s="76"/>
      <c r="U8" s="46">
        <v>5000</v>
      </c>
      <c r="V8" s="46">
        <v>7500</v>
      </c>
      <c r="W8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15000</v>
      </c>
      <c r="X8" s="46">
        <f>SUM(بيان.مغاشات.سفاجا[[#This Row],[يناير-23]:[ديسمبر-23]])</f>
        <v>2500</v>
      </c>
      <c r="Y8" s="46"/>
      <c r="Z8" s="46"/>
      <c r="AA8" s="46">
        <v>2500</v>
      </c>
      <c r="AB8" s="46"/>
      <c r="AC8" s="46"/>
      <c r="AD8" s="46"/>
      <c r="AE8" s="46"/>
      <c r="AF8" s="46"/>
      <c r="AG8" s="46"/>
      <c r="AH8" s="46"/>
      <c r="AI8" s="46"/>
      <c r="AJ8" s="55"/>
    </row>
    <row r="9" spans="3:36" ht="21" x14ac:dyDescent="0.35">
      <c r="C9" s="51">
        <v>2</v>
      </c>
      <c r="D9" s="46" t="s">
        <v>340</v>
      </c>
      <c r="E9" s="61">
        <v>2</v>
      </c>
      <c r="F9" s="50">
        <v>43970</v>
      </c>
      <c r="G9" s="50"/>
      <c r="H9" s="46">
        <v>16411.14</v>
      </c>
      <c r="I9" s="46">
        <v>0</v>
      </c>
      <c r="J9" s="46">
        <v>15319.8</v>
      </c>
      <c r="K9" s="46">
        <v>90</v>
      </c>
      <c r="L9" s="46">
        <f>SUM(بيان.مغاشات.سفاجا[[#This Row],[المنحة]:[مقابل نقدي]])</f>
        <v>31730.94</v>
      </c>
      <c r="M9" s="46">
        <f>بيان.مغاشات.سفاجا[[#This Row],[إجمالي الدفعات]]</f>
        <v>11000</v>
      </c>
      <c r="N9" s="46">
        <f>بيان.مغاشات.سفاجا[[#This Row],[إجمالي المستحق]]-بيان.مغاشات.سفاجا[[#This Row],[إجمالي المنصرف]]</f>
        <v>20730.939999999999</v>
      </c>
      <c r="O9" s="46">
        <f>IF(بيان.مغاشات.سفاجا[[#This Row],[المتبقي]]&lt;0,0,بيان.مغاشات.سفاجا[[#This Row],[المتبقي]])</f>
        <v>20730.939999999999</v>
      </c>
      <c r="P9" s="48">
        <f>(بيان.مغاشات.سفاجا[[#This Row],[المنحة]]+بيان.مغاشات.سفاجا[[#This Row],[مستحقات]])-بيان.مغاشات.سفاجا[[#This Row],[إجمالي المنصرف]]</f>
        <v>5411.1399999999994</v>
      </c>
      <c r="Q9" s="48">
        <f>IF(بيان.مغاشات.سفاجا[[#This Row],[المتبقي من المنحة]]&lt;0,0,بيان.مغاشات.سفاجا[[#This Row],[المتبقي من المنحة]])</f>
        <v>5411.1399999999994</v>
      </c>
      <c r="R9" s="53"/>
      <c r="S9" s="46"/>
      <c r="T9" s="76"/>
      <c r="U9" s="46">
        <v>0</v>
      </c>
      <c r="V9" s="46">
        <v>9000</v>
      </c>
      <c r="W9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11000</v>
      </c>
      <c r="X9" s="46">
        <f>SUM(بيان.مغاشات.سفاجا[[#This Row],[يناير-23]:[ديسمبر-23]])</f>
        <v>2000</v>
      </c>
      <c r="Y9" s="46"/>
      <c r="Z9" s="46"/>
      <c r="AA9" s="46">
        <v>2000</v>
      </c>
      <c r="AB9" s="46"/>
      <c r="AC9" s="46"/>
      <c r="AD9" s="46"/>
      <c r="AE9" s="46"/>
      <c r="AF9" s="46"/>
      <c r="AG9" s="46"/>
      <c r="AH9" s="46"/>
      <c r="AI9" s="46"/>
      <c r="AJ9" s="55"/>
    </row>
    <row r="10" spans="3:36" ht="21" x14ac:dyDescent="0.35">
      <c r="C10" s="51">
        <v>3</v>
      </c>
      <c r="D10" s="46" t="s">
        <v>341</v>
      </c>
      <c r="E10" s="61">
        <v>3</v>
      </c>
      <c r="F10" s="50">
        <v>44186</v>
      </c>
      <c r="G10" s="50"/>
      <c r="H10" s="46">
        <v>18816.02</v>
      </c>
      <c r="I10" s="46">
        <v>0</v>
      </c>
      <c r="J10" s="46">
        <v>17119.8</v>
      </c>
      <c r="K10" s="46">
        <v>90</v>
      </c>
      <c r="L10" s="46">
        <f>SUM(بيان.مغاشات.سفاجا[[#This Row],[المنحة]:[مقابل نقدي]])</f>
        <v>35935.82</v>
      </c>
      <c r="M10" s="46">
        <f>بيان.مغاشات.سفاجا[[#This Row],[إجمالي الدفعات]]</f>
        <v>15000</v>
      </c>
      <c r="N10" s="46">
        <f>بيان.مغاشات.سفاجا[[#This Row],[إجمالي المستحق]]-بيان.مغاشات.سفاجا[[#This Row],[إجمالي المنصرف]]</f>
        <v>20935.82</v>
      </c>
      <c r="O10" s="46">
        <f>IF(بيان.مغاشات.سفاجا[[#This Row],[المتبقي]]&lt;0,0,بيان.مغاشات.سفاجا[[#This Row],[المتبقي]])</f>
        <v>20935.82</v>
      </c>
      <c r="P10" s="48">
        <f>(بيان.مغاشات.سفاجا[[#This Row],[المنحة]]+بيان.مغاشات.سفاجا[[#This Row],[مستحقات]])-بيان.مغاشات.سفاجا[[#This Row],[إجمالي المنصرف]]</f>
        <v>3816.0200000000004</v>
      </c>
      <c r="Q10" s="48">
        <f>IF(بيان.مغاشات.سفاجا[[#This Row],[المتبقي من المنحة]]&lt;0,0,بيان.مغاشات.سفاجا[[#This Row],[المتبقي من المنحة]])</f>
        <v>3816.0200000000004</v>
      </c>
      <c r="R10" s="53">
        <v>26012213100056</v>
      </c>
      <c r="S10" s="46"/>
      <c r="T10" s="76"/>
      <c r="U10" s="46">
        <v>1500</v>
      </c>
      <c r="V10" s="46">
        <v>10500</v>
      </c>
      <c r="W10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15000</v>
      </c>
      <c r="X10" s="46">
        <f>SUM(بيان.مغاشات.سفاجا[[#This Row],[يناير-23]:[ديسمبر-23]])</f>
        <v>3000</v>
      </c>
      <c r="Y10" s="46"/>
      <c r="Z10" s="46"/>
      <c r="AA10" s="46"/>
      <c r="AB10" s="46"/>
      <c r="AC10" s="46">
        <v>3000</v>
      </c>
      <c r="AD10" s="46"/>
      <c r="AE10" s="46"/>
      <c r="AF10" s="46"/>
      <c r="AG10" s="46"/>
      <c r="AH10" s="46"/>
      <c r="AI10" s="46"/>
      <c r="AJ10" s="55"/>
    </row>
    <row r="11" spans="3:36" ht="21" x14ac:dyDescent="0.35">
      <c r="C11" s="51">
        <v>4</v>
      </c>
      <c r="D11" s="46" t="s">
        <v>469</v>
      </c>
      <c r="E11" s="61">
        <v>4</v>
      </c>
      <c r="F11" s="50">
        <v>44049</v>
      </c>
      <c r="G11" s="50"/>
      <c r="H11" s="46">
        <v>16481.7</v>
      </c>
      <c r="I11" s="46">
        <v>0</v>
      </c>
      <c r="J11" s="46">
        <v>12664.8</v>
      </c>
      <c r="K11" s="46">
        <v>90</v>
      </c>
      <c r="L11" s="46">
        <f>SUM(بيان.مغاشات.سفاجا[[#This Row],[المنحة]:[مقابل نقدي]])</f>
        <v>29146.5</v>
      </c>
      <c r="M11" s="46">
        <f>بيان.مغاشات.سفاجا[[#This Row],[إجمالي الدفعات]]</f>
        <v>12000</v>
      </c>
      <c r="N11" s="46">
        <f>بيان.مغاشات.سفاجا[[#This Row],[إجمالي المستحق]]-بيان.مغاشات.سفاجا[[#This Row],[إجمالي المنصرف]]</f>
        <v>17146.5</v>
      </c>
      <c r="O11" s="46">
        <f>IF(بيان.مغاشات.سفاجا[[#This Row],[المتبقي]]&lt;0,0,بيان.مغاشات.سفاجا[[#This Row],[المتبقي]])</f>
        <v>17146.5</v>
      </c>
      <c r="P11" s="48">
        <f>(بيان.مغاشات.سفاجا[[#This Row],[المنحة]]+بيان.مغاشات.سفاجا[[#This Row],[مستحقات]])-بيان.مغاشات.سفاجا[[#This Row],[إجمالي المنصرف]]</f>
        <v>4481.7000000000007</v>
      </c>
      <c r="Q11" s="48">
        <f>IF(بيان.مغاشات.سفاجا[[#This Row],[المتبقي من المنحة]]&lt;0,0,بيان.مغاشات.سفاجا[[#This Row],[المتبقي من المنحة]])</f>
        <v>4481.7000000000007</v>
      </c>
      <c r="R11" s="53">
        <v>26008063100039</v>
      </c>
      <c r="S11" s="46" t="s">
        <v>470</v>
      </c>
      <c r="T11" s="76"/>
      <c r="U11" s="46">
        <v>3000</v>
      </c>
      <c r="V11" s="46">
        <v>5500</v>
      </c>
      <c r="W11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12000</v>
      </c>
      <c r="X11" s="46">
        <f>SUM(بيان.مغاشات.سفاجا[[#This Row],[يناير-23]:[ديسمبر-23]])</f>
        <v>3500</v>
      </c>
      <c r="Y11" s="46"/>
      <c r="Z11" s="46"/>
      <c r="AA11" s="46"/>
      <c r="AB11" s="46">
        <v>3500</v>
      </c>
      <c r="AC11" s="46"/>
      <c r="AD11" s="46"/>
      <c r="AE11" s="46"/>
      <c r="AF11" s="46"/>
      <c r="AG11" s="46"/>
      <c r="AH11" s="46"/>
      <c r="AI11" s="46"/>
      <c r="AJ11" s="55"/>
    </row>
    <row r="12" spans="3:36" ht="21" x14ac:dyDescent="0.35">
      <c r="C12" s="51">
        <v>5</v>
      </c>
      <c r="D12" s="46" t="s">
        <v>343</v>
      </c>
      <c r="E12" s="61">
        <v>5</v>
      </c>
      <c r="F12" s="50">
        <v>43837</v>
      </c>
      <c r="G12" s="50"/>
      <c r="H12" s="46">
        <v>15433.02</v>
      </c>
      <c r="I12" s="46">
        <v>0</v>
      </c>
      <c r="J12" s="46">
        <v>8939.7000000000007</v>
      </c>
      <c r="K12" s="46">
        <v>90</v>
      </c>
      <c r="L12" s="46">
        <f>SUM(بيان.مغاشات.سفاجا[[#This Row],[المنحة]:[مقابل نقدي]])</f>
        <v>24372.720000000001</v>
      </c>
      <c r="M12" s="46">
        <f>بيان.مغاشات.سفاجا[[#This Row],[إجمالي الدفعات]]</f>
        <v>17433.02</v>
      </c>
      <c r="N12" s="46">
        <f>بيان.مغاشات.سفاجا[[#This Row],[إجمالي المستحق]]-بيان.مغاشات.سفاجا[[#This Row],[إجمالي المنصرف]]</f>
        <v>6939.7000000000007</v>
      </c>
      <c r="O12" s="46">
        <f>IF(بيان.مغاشات.سفاجا[[#This Row],[المتبقي]]&lt;0,0,بيان.مغاشات.سفاجا[[#This Row],[المتبقي]])</f>
        <v>6939.7000000000007</v>
      </c>
      <c r="P12" s="48">
        <f>(بيان.مغاشات.سفاجا[[#This Row],[المنحة]]+بيان.مغاشات.سفاجا[[#This Row],[مستحقات]])-بيان.مغاشات.سفاجا[[#This Row],[إجمالي المنصرف]]</f>
        <v>-2000</v>
      </c>
      <c r="Q12" s="48">
        <f>IF(بيان.مغاشات.سفاجا[[#This Row],[المتبقي من المنحة]]&lt;0,0,بيان.مغاشات.سفاجا[[#This Row],[المتبقي من المنحة]])</f>
        <v>0</v>
      </c>
      <c r="R12" s="53"/>
      <c r="S12" s="46" t="s">
        <v>344</v>
      </c>
      <c r="T12" s="76"/>
      <c r="U12" s="46">
        <v>6500</v>
      </c>
      <c r="V12" s="46">
        <v>8933.02</v>
      </c>
      <c r="W12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17433.02</v>
      </c>
      <c r="X12" s="46">
        <f>SUM(بيان.مغاشات.سفاجا[[#This Row],[يناير-23]:[ديسمبر-23]])</f>
        <v>2000</v>
      </c>
      <c r="Y12" s="46"/>
      <c r="Z12" s="46"/>
      <c r="AA12" s="46">
        <v>2000</v>
      </c>
      <c r="AB12" s="46"/>
      <c r="AC12" s="46"/>
      <c r="AD12" s="46"/>
      <c r="AE12" s="46"/>
      <c r="AF12" s="46"/>
      <c r="AG12" s="46"/>
      <c r="AH12" s="46"/>
      <c r="AI12" s="46"/>
      <c r="AJ12" s="55"/>
    </row>
    <row r="13" spans="3:36" ht="21" x14ac:dyDescent="0.35">
      <c r="C13" s="51">
        <v>6</v>
      </c>
      <c r="D13" s="46" t="s">
        <v>345</v>
      </c>
      <c r="E13" s="61">
        <v>6</v>
      </c>
      <c r="F13" s="50">
        <v>44068</v>
      </c>
      <c r="G13" s="50"/>
      <c r="H13" s="46">
        <v>26433.96</v>
      </c>
      <c r="I13" s="46">
        <v>0</v>
      </c>
      <c r="J13" s="46">
        <v>19362.599999999999</v>
      </c>
      <c r="K13" s="46">
        <v>90</v>
      </c>
      <c r="L13" s="46">
        <f>SUM(بيان.مغاشات.سفاجا[[#This Row],[المنحة]:[مقابل نقدي]])</f>
        <v>45796.56</v>
      </c>
      <c r="M13" s="46">
        <f>بيان.مغاشات.سفاجا[[#This Row],[إجمالي الدفعات]]</f>
        <v>14000</v>
      </c>
      <c r="N13" s="46">
        <f>بيان.مغاشات.سفاجا[[#This Row],[إجمالي المستحق]]-بيان.مغاشات.سفاجا[[#This Row],[إجمالي المنصرف]]</f>
        <v>31796.559999999998</v>
      </c>
      <c r="O13" s="46">
        <f>IF(بيان.مغاشات.سفاجا[[#This Row],[المتبقي]]&lt;0,0,بيان.مغاشات.سفاجا[[#This Row],[المتبقي]])</f>
        <v>31796.559999999998</v>
      </c>
      <c r="P13" s="48">
        <f>(بيان.مغاشات.سفاجا[[#This Row],[المنحة]]+بيان.مغاشات.سفاجا[[#This Row],[مستحقات]])-بيان.مغاشات.سفاجا[[#This Row],[إجمالي المنصرف]]</f>
        <v>12433.96</v>
      </c>
      <c r="Q13" s="48">
        <f>IF(بيان.مغاشات.سفاجا[[#This Row],[المتبقي من المنحة]]&lt;0,0,بيان.مغاشات.سفاجا[[#This Row],[المتبقي من المنحة]])</f>
        <v>12433.96</v>
      </c>
      <c r="R13" s="53">
        <v>26008252700896</v>
      </c>
      <c r="S13" s="46"/>
      <c r="T13" s="76"/>
      <c r="U13" s="46">
        <v>3000</v>
      </c>
      <c r="V13" s="46">
        <v>8000</v>
      </c>
      <c r="W13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14000</v>
      </c>
      <c r="X13" s="46">
        <f>SUM(بيان.مغاشات.سفاجا[[#This Row],[يناير-23]:[ديسمبر-23]])</f>
        <v>3000</v>
      </c>
      <c r="Y13" s="46"/>
      <c r="Z13" s="46">
        <v>1500</v>
      </c>
      <c r="AA13" s="46"/>
      <c r="AB13" s="46"/>
      <c r="AC13" s="46">
        <v>1500</v>
      </c>
      <c r="AD13" s="46"/>
      <c r="AE13" s="46"/>
      <c r="AF13" s="46"/>
      <c r="AG13" s="46"/>
      <c r="AH13" s="46"/>
      <c r="AI13" s="46"/>
      <c r="AJ13" s="55"/>
    </row>
    <row r="14" spans="3:36" ht="21" x14ac:dyDescent="0.35">
      <c r="C14" s="51">
        <v>7</v>
      </c>
      <c r="D14" s="46" t="s">
        <v>346</v>
      </c>
      <c r="E14" s="61">
        <v>7</v>
      </c>
      <c r="F14" s="50">
        <v>43370</v>
      </c>
      <c r="G14" s="50"/>
      <c r="H14" s="46">
        <v>15565.74</v>
      </c>
      <c r="I14" s="46">
        <v>0</v>
      </c>
      <c r="J14" s="46">
        <v>12451.5</v>
      </c>
      <c r="K14" s="46">
        <v>90</v>
      </c>
      <c r="L14" s="46">
        <f>SUM(بيان.مغاشات.سفاجا[[#This Row],[المنحة]:[مقابل نقدي]])</f>
        <v>28017.239999999998</v>
      </c>
      <c r="M14" s="46">
        <f>بيان.مغاشات.سفاجا[[#This Row],[إجمالي الدفعات]]</f>
        <v>24100</v>
      </c>
      <c r="N14" s="46">
        <f>بيان.مغاشات.سفاجا[[#This Row],[إجمالي المستحق]]-بيان.مغاشات.سفاجا[[#This Row],[إجمالي المنصرف]]</f>
        <v>3917.239999999998</v>
      </c>
      <c r="O14" s="46">
        <f>IF(بيان.مغاشات.سفاجا[[#This Row],[المتبقي]]&lt;0,0,بيان.مغاشات.سفاجا[[#This Row],[المتبقي]])</f>
        <v>3917.239999999998</v>
      </c>
      <c r="P14" s="48">
        <f>(بيان.مغاشات.سفاجا[[#This Row],[المنحة]]+بيان.مغاشات.سفاجا[[#This Row],[مستحقات]])-بيان.مغاشات.سفاجا[[#This Row],[إجمالي المنصرف]]</f>
        <v>-8534.26</v>
      </c>
      <c r="Q14" s="48">
        <f>IF(بيان.مغاشات.سفاجا[[#This Row],[المتبقي من المنحة]]&lt;0,0,بيان.مغاشات.سفاجا[[#This Row],[المتبقي من المنحة]])</f>
        <v>0</v>
      </c>
      <c r="R14" s="53"/>
      <c r="S14" s="46" t="s">
        <v>347</v>
      </c>
      <c r="T14" s="76"/>
      <c r="U14" s="46">
        <v>14600</v>
      </c>
      <c r="V14" s="46">
        <v>7000</v>
      </c>
      <c r="W14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24100</v>
      </c>
      <c r="X14" s="46">
        <f>SUM(بيان.مغاشات.سفاجا[[#This Row],[يناير-23]:[ديسمبر-23]])</f>
        <v>2500</v>
      </c>
      <c r="Y14" s="46"/>
      <c r="Z14" s="46"/>
      <c r="AA14" s="46">
        <v>2500</v>
      </c>
      <c r="AB14" s="46"/>
      <c r="AC14" s="46"/>
      <c r="AD14" s="46"/>
      <c r="AE14" s="46"/>
      <c r="AF14" s="46"/>
      <c r="AG14" s="46"/>
      <c r="AH14" s="46"/>
      <c r="AI14" s="46"/>
      <c r="AJ14" s="55"/>
    </row>
    <row r="15" spans="3:36" ht="21" x14ac:dyDescent="0.35">
      <c r="C15" s="51">
        <v>8</v>
      </c>
      <c r="D15" s="46" t="s">
        <v>348</v>
      </c>
      <c r="E15" s="61">
        <v>8</v>
      </c>
      <c r="F15" s="50">
        <v>43987</v>
      </c>
      <c r="G15" s="50"/>
      <c r="H15" s="46">
        <v>19209</v>
      </c>
      <c r="I15" s="46">
        <v>0</v>
      </c>
      <c r="J15" s="46">
        <v>16312.5</v>
      </c>
      <c r="K15" s="46">
        <v>90</v>
      </c>
      <c r="L15" s="46">
        <f>SUM(بيان.مغاشات.سفاجا[[#This Row],[المنحة]:[مقابل نقدي]])</f>
        <v>35521.5</v>
      </c>
      <c r="M15" s="46">
        <f>بيان.مغاشات.سفاجا[[#This Row],[إجمالي الدفعات]]</f>
        <v>14000</v>
      </c>
      <c r="N15" s="46">
        <f>بيان.مغاشات.سفاجا[[#This Row],[إجمالي المستحق]]-بيان.مغاشات.سفاجا[[#This Row],[إجمالي المنصرف]]</f>
        <v>21521.5</v>
      </c>
      <c r="O15" s="46">
        <f>IF(بيان.مغاشات.سفاجا[[#This Row],[المتبقي]]&lt;0,0,بيان.مغاشات.سفاجا[[#This Row],[المتبقي]])</f>
        <v>21521.5</v>
      </c>
      <c r="P15" s="48">
        <f>(بيان.مغاشات.سفاجا[[#This Row],[المنحة]]+بيان.مغاشات.سفاجا[[#This Row],[مستحقات]])-بيان.مغاشات.سفاجا[[#This Row],[إجمالي المنصرف]]</f>
        <v>5209</v>
      </c>
      <c r="Q15" s="48">
        <f>IF(بيان.مغاشات.سفاجا[[#This Row],[المتبقي من المنحة]]&lt;0,0,بيان.مغاشات.سفاجا[[#This Row],[المتبقي من المنحة]])</f>
        <v>5209</v>
      </c>
      <c r="R15" s="53">
        <v>26006052701119</v>
      </c>
      <c r="S15" s="46"/>
      <c r="T15" s="76"/>
      <c r="U15" s="46">
        <v>4500</v>
      </c>
      <c r="V15" s="46">
        <v>5500</v>
      </c>
      <c r="W15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14000</v>
      </c>
      <c r="X15" s="46">
        <f>SUM(بيان.مغاشات.سفاجا[[#This Row],[يناير-23]:[ديسمبر-23]])</f>
        <v>4000</v>
      </c>
      <c r="Y15" s="46"/>
      <c r="Z15" s="46"/>
      <c r="AA15" s="46"/>
      <c r="AB15" s="46"/>
      <c r="AC15" s="46">
        <v>4000</v>
      </c>
      <c r="AD15" s="46"/>
      <c r="AE15" s="46"/>
      <c r="AF15" s="46"/>
      <c r="AG15" s="46"/>
      <c r="AH15" s="46"/>
      <c r="AI15" s="46"/>
      <c r="AJ15" s="55"/>
    </row>
    <row r="16" spans="3:36" s="58" customFormat="1" ht="21" x14ac:dyDescent="0.35">
      <c r="C16" s="96">
        <v>9</v>
      </c>
      <c r="D16" s="48" t="s">
        <v>349</v>
      </c>
      <c r="E16" s="97">
        <v>9</v>
      </c>
      <c r="F16" s="57">
        <v>43436</v>
      </c>
      <c r="G16" s="57"/>
      <c r="H16" s="48">
        <v>17098.2</v>
      </c>
      <c r="I16" s="48">
        <v>0</v>
      </c>
      <c r="J16" s="48">
        <v>11910.53</v>
      </c>
      <c r="K16" s="48">
        <v>90</v>
      </c>
      <c r="L16" s="48">
        <f>SUM(بيان.مغاشات.سفاجا[[#This Row],[المنحة]:[مقابل نقدي]])</f>
        <v>29008.730000000003</v>
      </c>
      <c r="M16" s="48">
        <f>بيان.مغاشات.سفاجا[[#This Row],[إجمالي الدفعات]]</f>
        <v>18700</v>
      </c>
      <c r="N16" s="48">
        <f>بيان.مغاشات.سفاجا[[#This Row],[إجمالي المستحق]]-بيان.مغاشات.سفاجا[[#This Row],[إجمالي المنصرف]]</f>
        <v>10308.730000000003</v>
      </c>
      <c r="O16" s="48">
        <f>IF(بيان.مغاشات.سفاجا[[#This Row],[المتبقي]]&lt;0,0,بيان.مغاشات.سفاجا[[#This Row],[المتبقي]])</f>
        <v>10308.730000000003</v>
      </c>
      <c r="P16" s="48">
        <f>(بيان.مغاشات.سفاجا[[#This Row],[المنحة]]+بيان.مغاشات.سفاجا[[#This Row],[مستحقات]])-بيان.مغاشات.سفاجا[[#This Row],[إجمالي المنصرف]]</f>
        <v>-1601.7999999999993</v>
      </c>
      <c r="Q16" s="48">
        <f>IF(بيان.مغاشات.سفاجا[[#This Row],[المتبقي من المنحة]]&lt;0,0,بيان.مغاشات.سفاجا[[#This Row],[المتبقي من المنحة]])</f>
        <v>0</v>
      </c>
      <c r="R16" s="59"/>
      <c r="S16" s="48" t="s">
        <v>350</v>
      </c>
      <c r="T16" s="48"/>
      <c r="U16" s="48">
        <v>13200</v>
      </c>
      <c r="V16" s="48">
        <v>5500</v>
      </c>
      <c r="W16" s="48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18700</v>
      </c>
      <c r="X16" s="48">
        <f>SUM(بيان.مغاشات.سفاجا[[#This Row],[يناير-23]:[ديسمبر-23]])</f>
        <v>0</v>
      </c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60"/>
    </row>
    <row r="17" spans="3:36" ht="21" x14ac:dyDescent="0.35">
      <c r="C17" s="51">
        <v>10</v>
      </c>
      <c r="D17" s="46" t="s">
        <v>351</v>
      </c>
      <c r="E17" s="61">
        <v>10</v>
      </c>
      <c r="F17" s="50">
        <v>43523</v>
      </c>
      <c r="G17" s="50"/>
      <c r="H17" s="46">
        <v>18335.099999999999</v>
      </c>
      <c r="I17" s="46">
        <v>0</v>
      </c>
      <c r="J17" s="46">
        <v>12949.45</v>
      </c>
      <c r="K17" s="46">
        <v>90</v>
      </c>
      <c r="L17" s="46">
        <f>SUM(بيان.مغاشات.سفاجا[[#This Row],[المنحة]:[مقابل نقدي]])</f>
        <v>31284.55</v>
      </c>
      <c r="M17" s="46">
        <f>بيان.مغاشات.سفاجا[[#This Row],[إجمالي الدفعات]]</f>
        <v>21035.1</v>
      </c>
      <c r="N17" s="46">
        <f>بيان.مغاشات.سفاجا[[#This Row],[إجمالي المستحق]]-بيان.مغاشات.سفاجا[[#This Row],[إجمالي المنصرف]]</f>
        <v>10249.450000000001</v>
      </c>
      <c r="O17" s="46">
        <f>IF(بيان.مغاشات.سفاجا[[#This Row],[المتبقي]]&lt;0,0,بيان.مغاشات.سفاجا[[#This Row],[المتبقي]])</f>
        <v>10249.450000000001</v>
      </c>
      <c r="P17" s="48">
        <f>(بيان.مغاشات.سفاجا[[#This Row],[المنحة]]+بيان.مغاشات.سفاجا[[#This Row],[مستحقات]])-بيان.مغاشات.سفاجا[[#This Row],[إجمالي المنصرف]]</f>
        <v>-2700</v>
      </c>
      <c r="Q17" s="48">
        <f>IF(بيان.مغاشات.سفاجا[[#This Row],[المتبقي من المنحة]]&lt;0,0,بيان.مغاشات.سفاجا[[#This Row],[المتبقي من المنحة]])</f>
        <v>0</v>
      </c>
      <c r="R17" s="53">
        <v>25902273100031</v>
      </c>
      <c r="S17" s="46" t="s">
        <v>475</v>
      </c>
      <c r="T17" s="76"/>
      <c r="U17" s="46">
        <v>11500</v>
      </c>
      <c r="V17" s="46">
        <v>5500</v>
      </c>
      <c r="W17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21035.1</v>
      </c>
      <c r="X17" s="46">
        <f>SUM(بيان.مغاشات.سفاجا[[#This Row],[يناير-23]:[ديسمبر-23]])</f>
        <v>4035.1</v>
      </c>
      <c r="Y17" s="46"/>
      <c r="Z17" s="46"/>
      <c r="AA17" s="46"/>
      <c r="AB17" s="46"/>
      <c r="AC17" s="46">
        <f>1335.1+2700</f>
        <v>4035.1</v>
      </c>
      <c r="AD17" s="46"/>
      <c r="AE17" s="46"/>
      <c r="AF17" s="46"/>
      <c r="AG17" s="46"/>
      <c r="AH17" s="46"/>
      <c r="AI17" s="46"/>
      <c r="AJ17" s="55"/>
    </row>
    <row r="18" spans="3:36" s="58" customFormat="1" ht="21" x14ac:dyDescent="0.35">
      <c r="C18" s="96">
        <v>11</v>
      </c>
      <c r="D18" s="48" t="s">
        <v>352</v>
      </c>
      <c r="E18" s="97">
        <v>11</v>
      </c>
      <c r="F18" s="57">
        <v>43585</v>
      </c>
      <c r="G18" s="57"/>
      <c r="H18" s="48">
        <v>13221.54</v>
      </c>
      <c r="I18" s="48">
        <v>0</v>
      </c>
      <c r="J18" s="48">
        <v>8697.6</v>
      </c>
      <c r="K18" s="48">
        <v>90</v>
      </c>
      <c r="L18" s="48">
        <f>SUM(بيان.مغاشات.سفاجا[[#This Row],[المنحة]:[مقابل نقدي]])</f>
        <v>21919.14</v>
      </c>
      <c r="M18" s="48">
        <f>بيان.مغاشات.سفاجا[[#This Row],[إجمالي الدفعات]]</f>
        <v>16000</v>
      </c>
      <c r="N18" s="48">
        <f>بيان.مغاشات.سفاجا[[#This Row],[إجمالي المستحق]]-بيان.مغاشات.سفاجا[[#This Row],[إجمالي المنصرف]]</f>
        <v>5919.1399999999994</v>
      </c>
      <c r="O18" s="48">
        <f>IF(بيان.مغاشات.سفاجا[[#This Row],[المتبقي]]&lt;0,0,بيان.مغاشات.سفاجا[[#This Row],[المتبقي]])</f>
        <v>5919.1399999999994</v>
      </c>
      <c r="P18" s="48">
        <f>(بيان.مغاشات.سفاجا[[#This Row],[المنحة]]+بيان.مغاشات.سفاجا[[#This Row],[مستحقات]])-بيان.مغاشات.سفاجا[[#This Row],[إجمالي المنصرف]]</f>
        <v>-2778.4599999999991</v>
      </c>
      <c r="Q18" s="48">
        <f>IF(بيان.مغاشات.سفاجا[[#This Row],[المتبقي من المنحة]]&lt;0,0,بيان.مغاشات.سفاجا[[#This Row],[المتبقي من المنحة]])</f>
        <v>0</v>
      </c>
      <c r="R18" s="59"/>
      <c r="S18" s="48" t="s">
        <v>350</v>
      </c>
      <c r="T18" s="48"/>
      <c r="U18" s="48">
        <v>10500</v>
      </c>
      <c r="V18" s="48">
        <v>5500</v>
      </c>
      <c r="W18" s="48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16000</v>
      </c>
      <c r="X18" s="48">
        <f>SUM(بيان.مغاشات.سفاجا[[#This Row],[يناير-23]:[ديسمبر-23]])</f>
        <v>0</v>
      </c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60"/>
    </row>
    <row r="19" spans="3:36" ht="21" x14ac:dyDescent="0.35">
      <c r="C19" s="51">
        <v>12</v>
      </c>
      <c r="D19" s="46" t="s">
        <v>353</v>
      </c>
      <c r="E19" s="61">
        <v>12</v>
      </c>
      <c r="F19" s="50">
        <v>43741</v>
      </c>
      <c r="G19" s="50"/>
      <c r="H19" s="46">
        <v>17857.14</v>
      </c>
      <c r="I19" s="46">
        <v>0</v>
      </c>
      <c r="J19" s="46">
        <v>12785.6</v>
      </c>
      <c r="K19" s="46">
        <v>90</v>
      </c>
      <c r="L19" s="46">
        <f>SUM(بيان.مغاشات.سفاجا[[#This Row],[المنحة]:[مقابل نقدي]])</f>
        <v>30642.739999999998</v>
      </c>
      <c r="M19" s="46">
        <f>بيان.مغاشات.سفاجا[[#This Row],[إجمالي الدفعات]]</f>
        <v>17857.14</v>
      </c>
      <c r="N19" s="46">
        <f>بيان.مغاشات.سفاجا[[#This Row],[إجمالي المستحق]]-بيان.مغاشات.سفاجا[[#This Row],[إجمالي المنصرف]]</f>
        <v>12785.599999999999</v>
      </c>
      <c r="O19" s="46">
        <f>IF(بيان.مغاشات.سفاجا[[#This Row],[المتبقي]]&lt;0,0,بيان.مغاشات.سفاجا[[#This Row],[المتبقي]])</f>
        <v>12785.599999999999</v>
      </c>
      <c r="P19" s="48">
        <f>(بيان.مغاشات.سفاجا[[#This Row],[المنحة]]+بيان.مغاشات.سفاجا[[#This Row],[مستحقات]])-بيان.مغاشات.سفاجا[[#This Row],[إجمالي المنصرف]]</f>
        <v>0</v>
      </c>
      <c r="Q19" s="48">
        <f>IF(بيان.مغاشات.سفاجا[[#This Row],[المتبقي من المنحة]]&lt;0,0,بيان.مغاشات.سفاجا[[#This Row],[المتبقي من المنحة]])</f>
        <v>0</v>
      </c>
      <c r="R19" s="53">
        <v>25910032702997</v>
      </c>
      <c r="S19" s="46"/>
      <c r="T19" s="76"/>
      <c r="U19" s="46">
        <v>8000</v>
      </c>
      <c r="V19" s="46">
        <v>7500</v>
      </c>
      <c r="W19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17857.14</v>
      </c>
      <c r="X19" s="46">
        <f>SUM(بيان.مغاشات.سفاجا[[#This Row],[يناير-23]:[ديسمبر-23]])</f>
        <v>2357.14</v>
      </c>
      <c r="Y19" s="46">
        <v>1500</v>
      </c>
      <c r="Z19" s="46"/>
      <c r="AA19" s="46"/>
      <c r="AB19" s="46">
        <v>857.14</v>
      </c>
      <c r="AC19" s="46"/>
      <c r="AD19" s="46"/>
      <c r="AE19" s="46"/>
      <c r="AF19" s="46"/>
      <c r="AG19" s="46"/>
      <c r="AH19" s="46"/>
      <c r="AI19" s="46"/>
      <c r="AJ19" s="55"/>
    </row>
    <row r="20" spans="3:36" ht="21" x14ac:dyDescent="0.35">
      <c r="C20" s="51">
        <v>13</v>
      </c>
      <c r="D20" s="46" t="s">
        <v>354</v>
      </c>
      <c r="E20" s="61">
        <v>13</v>
      </c>
      <c r="F20" s="50">
        <v>43645</v>
      </c>
      <c r="G20" s="50"/>
      <c r="H20" s="46">
        <v>19101.66</v>
      </c>
      <c r="I20" s="46">
        <v>0</v>
      </c>
      <c r="J20" s="46">
        <v>14017.88</v>
      </c>
      <c r="K20" s="46">
        <v>90</v>
      </c>
      <c r="L20" s="46">
        <f>SUM(بيان.مغاشات.سفاجا[[#This Row],[المنحة]:[مقابل نقدي]])</f>
        <v>33119.54</v>
      </c>
      <c r="M20" s="46">
        <f>بيان.مغاشات.سفاجا[[#This Row],[إجمالي الدفعات]]</f>
        <v>9500</v>
      </c>
      <c r="N20" s="46">
        <f>بيان.مغاشات.سفاجا[[#This Row],[إجمالي المستحق]]-بيان.مغاشات.سفاجا[[#This Row],[إجمالي المنصرف]]</f>
        <v>23619.54</v>
      </c>
      <c r="O20" s="46">
        <f>IF(بيان.مغاشات.سفاجا[[#This Row],[المتبقي]]&lt;0,0,بيان.مغاشات.سفاجا[[#This Row],[المتبقي]])</f>
        <v>23619.54</v>
      </c>
      <c r="P20" s="48">
        <f>(بيان.مغاشات.سفاجا[[#This Row],[المنحة]]+بيان.مغاشات.سفاجا[[#This Row],[مستحقات]])-بيان.مغاشات.سفاجا[[#This Row],[إجمالي المنصرف]]</f>
        <v>9601.66</v>
      </c>
      <c r="Q20" s="48">
        <f>IF(بيان.مغاشات.سفاجا[[#This Row],[المتبقي من المنحة]]&lt;0,0,بيان.مغاشات.سفاجا[[#This Row],[المتبقي من المنحة]])</f>
        <v>9601.66</v>
      </c>
      <c r="R20" s="53"/>
      <c r="S20" s="46" t="s">
        <v>355</v>
      </c>
      <c r="T20" s="76"/>
      <c r="U20" s="46">
        <v>9500</v>
      </c>
      <c r="V20" s="46">
        <v>0</v>
      </c>
      <c r="W20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9500</v>
      </c>
      <c r="X20" s="46">
        <f>SUM(بيان.مغاشات.سفاجا[[#This Row],[يناير-23]:[ديسمبر-23]])</f>
        <v>0</v>
      </c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55"/>
    </row>
    <row r="21" spans="3:36" ht="21" x14ac:dyDescent="0.35">
      <c r="C21" s="51">
        <v>14</v>
      </c>
      <c r="D21" s="46" t="s">
        <v>356</v>
      </c>
      <c r="E21" s="61">
        <v>15</v>
      </c>
      <c r="F21" s="50">
        <v>43771</v>
      </c>
      <c r="G21" s="50"/>
      <c r="H21" s="46">
        <v>18962.740000000002</v>
      </c>
      <c r="I21" s="46">
        <v>0</v>
      </c>
      <c r="J21" s="46">
        <v>16470</v>
      </c>
      <c r="K21" s="46">
        <v>90</v>
      </c>
      <c r="L21" s="46">
        <f>SUM(بيان.مغاشات.سفاجا[[#This Row],[المنحة]:[مقابل نقدي]])</f>
        <v>35432.740000000005</v>
      </c>
      <c r="M21" s="46">
        <f>بيان.مغاشات.سفاجا[[#This Row],[إجمالي الدفعات]]</f>
        <v>20562.739999999998</v>
      </c>
      <c r="N21" s="46">
        <f>بيان.مغاشات.سفاجا[[#This Row],[إجمالي المستحق]]-بيان.مغاشات.سفاجا[[#This Row],[إجمالي المنصرف]]</f>
        <v>14870.000000000007</v>
      </c>
      <c r="O21" s="46">
        <f>IF(بيان.مغاشات.سفاجا[[#This Row],[المتبقي]]&lt;0,0,بيان.مغاشات.سفاجا[[#This Row],[المتبقي]])</f>
        <v>14870.000000000007</v>
      </c>
      <c r="P21" s="48">
        <f>(بيان.مغاشات.سفاجا[[#This Row],[المنحة]]+بيان.مغاشات.سفاجا[[#This Row],[مستحقات]])-بيان.مغاشات.سفاجا[[#This Row],[إجمالي المنصرف]]</f>
        <v>-1599.9999999999964</v>
      </c>
      <c r="Q21" s="48">
        <f>IF(بيان.مغاشات.سفاجا[[#This Row],[المتبقي من المنحة]]&lt;0,0,بيان.مغاشات.سفاجا[[#This Row],[المتبقي من المنحة]])</f>
        <v>0</v>
      </c>
      <c r="R21" s="53"/>
      <c r="S21" s="46" t="s">
        <v>438</v>
      </c>
      <c r="T21" s="76"/>
      <c r="U21" s="46">
        <v>10135</v>
      </c>
      <c r="V21" s="46">
        <v>7927.74</v>
      </c>
      <c r="W21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20562.739999999998</v>
      </c>
      <c r="X21" s="46">
        <f>SUM(بيان.مغاشات.سفاجا[[#This Row],[يناير-23]:[ديسمبر-23]])</f>
        <v>2500</v>
      </c>
      <c r="Y21" s="46"/>
      <c r="Z21" s="46"/>
      <c r="AA21" s="46">
        <v>2500</v>
      </c>
      <c r="AB21" s="46"/>
      <c r="AC21" s="46"/>
      <c r="AD21" s="46"/>
      <c r="AE21" s="46"/>
      <c r="AF21" s="46"/>
      <c r="AG21" s="46"/>
      <c r="AH21" s="46"/>
      <c r="AI21" s="46"/>
      <c r="AJ21" s="55"/>
    </row>
    <row r="22" spans="3:36" ht="21" x14ac:dyDescent="0.35">
      <c r="C22" s="51">
        <v>15</v>
      </c>
      <c r="D22" s="46" t="s">
        <v>357</v>
      </c>
      <c r="E22" s="61">
        <v>18</v>
      </c>
      <c r="F22" s="50">
        <v>42834</v>
      </c>
      <c r="G22" s="50"/>
      <c r="H22" s="46">
        <v>0</v>
      </c>
      <c r="I22" s="46">
        <v>0</v>
      </c>
      <c r="J22" s="46">
        <v>10199.700000000001</v>
      </c>
      <c r="K22" s="46">
        <v>90</v>
      </c>
      <c r="L22" s="46">
        <f>SUM(بيان.مغاشات.سفاجا[[#This Row],[المنحة]:[مقابل نقدي]])</f>
        <v>10199.700000000001</v>
      </c>
      <c r="M22" s="46">
        <f>بيان.مغاشات.سفاجا[[#This Row],[إجمالي الدفعات]]</f>
        <v>9000</v>
      </c>
      <c r="N22" s="46">
        <f>بيان.مغاشات.سفاجا[[#This Row],[إجمالي المستحق]]-بيان.مغاشات.سفاجا[[#This Row],[إجمالي المنصرف]]</f>
        <v>1199.7000000000007</v>
      </c>
      <c r="O22" s="46">
        <f>IF(بيان.مغاشات.سفاجا[[#This Row],[المتبقي]]&lt;0,0,بيان.مغاشات.سفاجا[[#This Row],[المتبقي]])</f>
        <v>1199.7000000000007</v>
      </c>
      <c r="P22" s="48">
        <f>(بيان.مغاشات.سفاجا[[#This Row],[المنحة]]+بيان.مغاشات.سفاجا[[#This Row],[مستحقات]])-بيان.مغاشات.سفاجا[[#This Row],[إجمالي المنصرف]]</f>
        <v>-9000</v>
      </c>
      <c r="Q22" s="48">
        <f>IF(بيان.مغاشات.سفاجا[[#This Row],[المتبقي من المنحة]]&lt;0,0,بيان.مغاشات.سفاجا[[#This Row],[المتبقي من المنحة]])</f>
        <v>0</v>
      </c>
      <c r="R22" s="53"/>
      <c r="S22" s="46" t="s">
        <v>269</v>
      </c>
      <c r="T22" s="76"/>
      <c r="U22" s="46">
        <v>2500</v>
      </c>
      <c r="V22" s="46">
        <v>6500</v>
      </c>
      <c r="W22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9000</v>
      </c>
      <c r="X22" s="46">
        <f>SUM(بيان.مغاشات.سفاجا[[#This Row],[يناير-23]:[ديسمبر-23]])</f>
        <v>0</v>
      </c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55"/>
    </row>
    <row r="23" spans="3:36" ht="21" x14ac:dyDescent="0.35">
      <c r="C23" s="51">
        <v>16</v>
      </c>
      <c r="D23" s="46" t="s">
        <v>358</v>
      </c>
      <c r="E23" s="61">
        <v>21</v>
      </c>
      <c r="F23" s="50">
        <v>43155</v>
      </c>
      <c r="G23" s="50"/>
      <c r="H23" s="46">
        <v>0</v>
      </c>
      <c r="I23" s="46">
        <v>0</v>
      </c>
      <c r="J23" s="46">
        <v>11330</v>
      </c>
      <c r="K23" s="46">
        <v>90</v>
      </c>
      <c r="L23" s="46">
        <f>SUM(بيان.مغاشات.سفاجا[[#This Row],[المنحة]:[مقابل نقدي]])</f>
        <v>11330</v>
      </c>
      <c r="M23" s="46">
        <f>بيان.مغاشات.سفاجا[[#This Row],[إجمالي الدفعات]]</f>
        <v>7000</v>
      </c>
      <c r="N23" s="46">
        <f>بيان.مغاشات.سفاجا[[#This Row],[إجمالي المستحق]]-بيان.مغاشات.سفاجا[[#This Row],[إجمالي المنصرف]]</f>
        <v>4330</v>
      </c>
      <c r="O23" s="46">
        <f>IF(بيان.مغاشات.سفاجا[[#This Row],[المتبقي]]&lt;0,0,بيان.مغاشات.سفاجا[[#This Row],[المتبقي]])</f>
        <v>4330</v>
      </c>
      <c r="P23" s="48">
        <f>(بيان.مغاشات.سفاجا[[#This Row],[المنحة]]+بيان.مغاشات.سفاجا[[#This Row],[مستحقات]])-بيان.مغاشات.سفاجا[[#This Row],[إجمالي المنصرف]]</f>
        <v>-7000</v>
      </c>
      <c r="Q23" s="48">
        <f>IF(بيان.مغاشات.سفاجا[[#This Row],[المتبقي من المنحة]]&lt;0,0,بيان.مغاشات.سفاجا[[#This Row],[المتبقي من المنحة]])</f>
        <v>0</v>
      </c>
      <c r="R23" s="53"/>
      <c r="S23" s="46" t="s">
        <v>269</v>
      </c>
      <c r="T23" s="76"/>
      <c r="U23" s="46">
        <v>2000</v>
      </c>
      <c r="V23" s="46">
        <v>5000</v>
      </c>
      <c r="W23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7000</v>
      </c>
      <c r="X23" s="46">
        <f>SUM(بيان.مغاشات.سفاجا[[#This Row],[يناير-23]:[ديسمبر-23]])</f>
        <v>0</v>
      </c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55"/>
    </row>
    <row r="24" spans="3:36" ht="21" x14ac:dyDescent="0.35">
      <c r="C24" s="51">
        <v>17</v>
      </c>
      <c r="D24" s="46" t="s">
        <v>359</v>
      </c>
      <c r="E24" s="61">
        <v>23</v>
      </c>
      <c r="F24" s="50">
        <v>42833</v>
      </c>
      <c r="G24" s="50"/>
      <c r="H24" s="46">
        <v>0</v>
      </c>
      <c r="I24" s="46">
        <v>0</v>
      </c>
      <c r="J24" s="46">
        <v>10199.700000000001</v>
      </c>
      <c r="K24" s="46">
        <v>90</v>
      </c>
      <c r="L24" s="46">
        <f>SUM(بيان.مغاشات.سفاجا[[#This Row],[المنحة]:[مقابل نقدي]])</f>
        <v>10199.700000000001</v>
      </c>
      <c r="M24" s="46">
        <f>بيان.مغاشات.سفاجا[[#This Row],[إجمالي الدفعات]]</f>
        <v>5269.7</v>
      </c>
      <c r="N24" s="46">
        <f>بيان.مغاشات.سفاجا[[#This Row],[إجمالي المستحق]]-بيان.مغاشات.سفاجا[[#This Row],[إجمالي المنصرف]]</f>
        <v>4930.0000000000009</v>
      </c>
      <c r="O24" s="46">
        <f>IF(بيان.مغاشات.سفاجا[[#This Row],[المتبقي]]&lt;0,0,بيان.مغاشات.سفاجا[[#This Row],[المتبقي]])</f>
        <v>4930.0000000000009</v>
      </c>
      <c r="P24" s="48">
        <f>(بيان.مغاشات.سفاجا[[#This Row],[المنحة]]+بيان.مغاشات.سفاجا[[#This Row],[مستحقات]])-بيان.مغاشات.سفاجا[[#This Row],[إجمالي المنصرف]]</f>
        <v>-5269.7</v>
      </c>
      <c r="Q24" s="48">
        <f>IF(بيان.مغاشات.سفاجا[[#This Row],[المتبقي من المنحة]]&lt;0,0,بيان.مغاشات.سفاجا[[#This Row],[المتبقي من المنحة]])</f>
        <v>0</v>
      </c>
      <c r="R24" s="53"/>
      <c r="S24" s="46" t="s">
        <v>360</v>
      </c>
      <c r="T24" s="76"/>
      <c r="U24" s="46">
        <v>269.7</v>
      </c>
      <c r="V24" s="46">
        <v>5000</v>
      </c>
      <c r="W24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5269.7</v>
      </c>
      <c r="X24" s="46">
        <f>SUM(بيان.مغاشات.سفاجا[[#This Row],[يناير-23]:[ديسمبر-23]])</f>
        <v>0</v>
      </c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55"/>
    </row>
    <row r="25" spans="3:36" ht="21" x14ac:dyDescent="0.35">
      <c r="C25" s="51">
        <v>18</v>
      </c>
      <c r="D25" s="46" t="s">
        <v>361</v>
      </c>
      <c r="E25" s="61">
        <v>24</v>
      </c>
      <c r="F25" s="50">
        <v>44069</v>
      </c>
      <c r="G25" s="50"/>
      <c r="H25" s="46">
        <v>21309.84</v>
      </c>
      <c r="I25" s="46">
        <v>0</v>
      </c>
      <c r="J25" s="46">
        <v>17447.400000000001</v>
      </c>
      <c r="K25" s="46">
        <v>90</v>
      </c>
      <c r="L25" s="46">
        <f>SUM(بيان.مغاشات.سفاجا[[#This Row],[المنحة]:[مقابل نقدي]])</f>
        <v>38757.240000000005</v>
      </c>
      <c r="M25" s="46">
        <f>بيان.مغاشات.سفاجا[[#This Row],[إجمالي الدفعات]]</f>
        <v>13000</v>
      </c>
      <c r="N25" s="46">
        <f>بيان.مغاشات.سفاجا[[#This Row],[إجمالي المستحق]]-بيان.مغاشات.سفاجا[[#This Row],[إجمالي المنصرف]]</f>
        <v>25757.240000000005</v>
      </c>
      <c r="O25" s="46">
        <f>IF(بيان.مغاشات.سفاجا[[#This Row],[المتبقي]]&lt;0,0,بيان.مغاشات.سفاجا[[#This Row],[المتبقي]])</f>
        <v>25757.240000000005</v>
      </c>
      <c r="P25" s="48">
        <f>(بيان.مغاشات.سفاجا[[#This Row],[المنحة]]+بيان.مغاشات.سفاجا[[#This Row],[مستحقات]])-بيان.مغاشات.سفاجا[[#This Row],[إجمالي المنصرف]]</f>
        <v>8309.84</v>
      </c>
      <c r="Q25" s="48">
        <f>IF(بيان.مغاشات.سفاجا[[#This Row],[المتبقي من المنحة]]&lt;0,0,بيان.مغاشات.سفاجا[[#This Row],[المتبقي من المنحة]])</f>
        <v>8309.84</v>
      </c>
      <c r="R25" s="53"/>
      <c r="S25" s="46"/>
      <c r="T25" s="76"/>
      <c r="U25" s="46">
        <v>3000</v>
      </c>
      <c r="V25" s="46">
        <v>7500</v>
      </c>
      <c r="W25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13000</v>
      </c>
      <c r="X25" s="46">
        <f>SUM(بيان.مغاشات.سفاجا[[#This Row],[يناير-23]:[ديسمبر-23]])</f>
        <v>2500</v>
      </c>
      <c r="Y25" s="46"/>
      <c r="Z25" s="46"/>
      <c r="AA25" s="46">
        <v>2500</v>
      </c>
      <c r="AB25" s="46"/>
      <c r="AC25" s="46"/>
      <c r="AD25" s="46"/>
      <c r="AE25" s="46"/>
      <c r="AF25" s="46"/>
      <c r="AG25" s="46"/>
      <c r="AH25" s="46"/>
      <c r="AI25" s="46"/>
      <c r="AJ25" s="55"/>
    </row>
    <row r="26" spans="3:36" ht="21" x14ac:dyDescent="0.35">
      <c r="C26" s="51">
        <v>19</v>
      </c>
      <c r="D26" s="46" t="s">
        <v>362</v>
      </c>
      <c r="E26" s="61">
        <v>25</v>
      </c>
      <c r="F26" s="50">
        <v>43363</v>
      </c>
      <c r="G26" s="50"/>
      <c r="H26" s="46">
        <v>15072.6</v>
      </c>
      <c r="I26" s="46">
        <v>0</v>
      </c>
      <c r="J26" s="46">
        <v>12359.7</v>
      </c>
      <c r="K26" s="46">
        <v>90</v>
      </c>
      <c r="L26" s="46">
        <f>SUM(بيان.مغاشات.سفاجا[[#This Row],[المنحة]:[مقابل نقدي]])</f>
        <v>27432.300000000003</v>
      </c>
      <c r="M26" s="46">
        <f>بيان.مغاشات.سفاجا[[#This Row],[إجمالي الدفعات]]</f>
        <v>24100</v>
      </c>
      <c r="N26" s="46">
        <f>بيان.مغاشات.سفاجا[[#This Row],[إجمالي المستحق]]-بيان.مغاشات.سفاجا[[#This Row],[إجمالي المنصرف]]</f>
        <v>3332.3000000000029</v>
      </c>
      <c r="O26" s="46">
        <f>IF(بيان.مغاشات.سفاجا[[#This Row],[المتبقي]]&lt;0,0,بيان.مغاشات.سفاجا[[#This Row],[المتبقي]])</f>
        <v>3332.3000000000029</v>
      </c>
      <c r="P26" s="48">
        <f>(بيان.مغاشات.سفاجا[[#This Row],[المنحة]]+بيان.مغاشات.سفاجا[[#This Row],[مستحقات]])-بيان.مغاشات.سفاجا[[#This Row],[إجمالي المنصرف]]</f>
        <v>-9027.4</v>
      </c>
      <c r="Q26" s="48">
        <f>IF(بيان.مغاشات.سفاجا[[#This Row],[المتبقي من المنحة]]&lt;0,0,بيان.مغاشات.سفاجا[[#This Row],[المتبقي من المنحة]])</f>
        <v>0</v>
      </c>
      <c r="R26" s="53"/>
      <c r="S26" s="46" t="s">
        <v>347</v>
      </c>
      <c r="T26" s="76"/>
      <c r="U26" s="46">
        <v>14600</v>
      </c>
      <c r="V26" s="46">
        <v>7000</v>
      </c>
      <c r="W26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24100</v>
      </c>
      <c r="X26" s="46">
        <f>SUM(بيان.مغاشات.سفاجا[[#This Row],[يناير-23]:[ديسمبر-23]])</f>
        <v>2500</v>
      </c>
      <c r="Y26" s="46"/>
      <c r="Z26" s="46"/>
      <c r="AA26" s="46">
        <v>2500</v>
      </c>
      <c r="AB26" s="46"/>
      <c r="AC26" s="46"/>
      <c r="AD26" s="46"/>
      <c r="AE26" s="46"/>
      <c r="AF26" s="46"/>
      <c r="AG26" s="46"/>
      <c r="AH26" s="46"/>
      <c r="AI26" s="46"/>
      <c r="AJ26" s="55"/>
    </row>
    <row r="27" spans="3:36" ht="21" x14ac:dyDescent="0.35">
      <c r="C27" s="51">
        <v>20</v>
      </c>
      <c r="D27" s="46" t="s">
        <v>363</v>
      </c>
      <c r="E27" s="61">
        <v>26</v>
      </c>
      <c r="F27" s="50">
        <v>43010</v>
      </c>
      <c r="G27" s="50"/>
      <c r="H27" s="46">
        <v>0</v>
      </c>
      <c r="I27" s="46">
        <v>0</v>
      </c>
      <c r="J27" s="46">
        <v>10000.799999999999</v>
      </c>
      <c r="K27" s="46">
        <v>90</v>
      </c>
      <c r="L27" s="46">
        <f>SUM(بيان.مغاشات.سفاجا[[#This Row],[المنحة]:[مقابل نقدي]])</f>
        <v>10000.799999999999</v>
      </c>
      <c r="M27" s="46">
        <f>بيان.مغاشات.سفاجا[[#This Row],[إجمالي الدفعات]]</f>
        <v>7560.74</v>
      </c>
      <c r="N27" s="46">
        <f>بيان.مغاشات.سفاجا[[#This Row],[إجمالي المستحق]]-بيان.مغاشات.سفاجا[[#This Row],[إجمالي المنصرف]]</f>
        <v>2440.0599999999995</v>
      </c>
      <c r="O27" s="46">
        <f>IF(بيان.مغاشات.سفاجا[[#This Row],[المتبقي]]&lt;0,0,بيان.مغاشات.سفاجا[[#This Row],[المتبقي]])</f>
        <v>2440.0599999999995</v>
      </c>
      <c r="P27" s="48">
        <f>(بيان.مغاشات.سفاجا[[#This Row],[المنحة]]+بيان.مغاشات.سفاجا[[#This Row],[مستحقات]])-بيان.مغاشات.سفاجا[[#This Row],[إجمالي المنصرف]]</f>
        <v>-7560.74</v>
      </c>
      <c r="Q27" s="48">
        <f>IF(بيان.مغاشات.سفاجا[[#This Row],[المتبقي من المنحة]]&lt;0,0,بيان.مغاشات.سفاجا[[#This Row],[المتبقي من المنحة]])</f>
        <v>0</v>
      </c>
      <c r="R27" s="53"/>
      <c r="S27" s="46" t="s">
        <v>347</v>
      </c>
      <c r="T27" s="76"/>
      <c r="U27" s="46">
        <v>2560.7399999999998</v>
      </c>
      <c r="V27" s="46">
        <v>5000</v>
      </c>
      <c r="W27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7560.74</v>
      </c>
      <c r="X27" s="46">
        <f>SUM(بيان.مغاشات.سفاجا[[#This Row],[يناير-23]:[ديسمبر-23]])</f>
        <v>0</v>
      </c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55"/>
    </row>
    <row r="28" spans="3:36" ht="21" x14ac:dyDescent="0.35">
      <c r="C28" s="51">
        <v>21</v>
      </c>
      <c r="D28" s="46" t="s">
        <v>364</v>
      </c>
      <c r="E28" s="61">
        <v>27</v>
      </c>
      <c r="F28" s="50">
        <v>42737</v>
      </c>
      <c r="G28" s="50"/>
      <c r="H28" s="46">
        <v>1840.14</v>
      </c>
      <c r="I28" s="46">
        <v>15022.4</v>
      </c>
      <c r="J28" s="46">
        <v>9870.2999999999993</v>
      </c>
      <c r="K28" s="46">
        <v>90</v>
      </c>
      <c r="L28" s="46">
        <f>SUM(بيان.مغاشات.سفاجا[[#This Row],[المنحة]:[مقابل نقدي]])</f>
        <v>26732.84</v>
      </c>
      <c r="M28" s="46">
        <f>بيان.مغاشات.سفاجا[[#This Row],[إجمالي الدفعات]]</f>
        <v>11568.75</v>
      </c>
      <c r="N28" s="46">
        <f>بيان.مغاشات.سفاجا[[#This Row],[إجمالي المستحق]]-بيان.مغاشات.سفاجا[[#This Row],[إجمالي المنصرف]]</f>
        <v>15164.09</v>
      </c>
      <c r="O28" s="46">
        <f>IF(بيان.مغاشات.سفاجا[[#This Row],[المتبقي]]&lt;0,0,بيان.مغاشات.سفاجا[[#This Row],[المتبقي]])</f>
        <v>15164.09</v>
      </c>
      <c r="P28" s="48">
        <f>(بيان.مغاشات.سفاجا[[#This Row],[المنحة]]+بيان.مغاشات.سفاجا[[#This Row],[مستحقات]])-بيان.مغاشات.سفاجا[[#This Row],[إجمالي المنصرف]]</f>
        <v>5293.7900000000009</v>
      </c>
      <c r="Q28" s="48">
        <f>IF(بيان.مغاشات.سفاجا[[#This Row],[المتبقي من المنحة]]&lt;0,0,بيان.مغاشات.سفاجا[[#This Row],[المتبقي من المنحة]])</f>
        <v>5293.7900000000009</v>
      </c>
      <c r="R28" s="53">
        <v>25701022701676</v>
      </c>
      <c r="S28" s="46"/>
      <c r="T28" s="76"/>
      <c r="U28" s="46">
        <v>2068.75</v>
      </c>
      <c r="V28" s="46">
        <v>5500</v>
      </c>
      <c r="W28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11568.75</v>
      </c>
      <c r="X28" s="46">
        <f>SUM(بيان.مغاشات.سفاجا[[#This Row],[يناير-23]:[ديسمبر-23]])</f>
        <v>4000</v>
      </c>
      <c r="Y28" s="46"/>
      <c r="Z28" s="46"/>
      <c r="AA28" s="46"/>
      <c r="AB28" s="46"/>
      <c r="AC28" s="46">
        <v>4000</v>
      </c>
      <c r="AD28" s="46"/>
      <c r="AE28" s="46"/>
      <c r="AF28" s="46"/>
      <c r="AG28" s="46"/>
      <c r="AH28" s="46"/>
      <c r="AI28" s="46"/>
      <c r="AJ28" s="55"/>
    </row>
    <row r="29" spans="3:36" ht="21" x14ac:dyDescent="0.35">
      <c r="C29" s="51">
        <v>22</v>
      </c>
      <c r="D29" s="46" t="s">
        <v>365</v>
      </c>
      <c r="E29" s="61">
        <v>29</v>
      </c>
      <c r="F29" s="50">
        <v>44053</v>
      </c>
      <c r="G29" s="50"/>
      <c r="H29" s="46">
        <v>23007.9</v>
      </c>
      <c r="I29" s="46">
        <v>0</v>
      </c>
      <c r="J29" s="46">
        <v>18634.5</v>
      </c>
      <c r="K29" s="46">
        <v>90</v>
      </c>
      <c r="L29" s="46">
        <f>SUM(بيان.مغاشات.سفاجا[[#This Row],[المنحة]:[مقابل نقدي]])</f>
        <v>41642.400000000001</v>
      </c>
      <c r="M29" s="46">
        <f>بيان.مغاشات.سفاجا[[#This Row],[إجمالي الدفعات]]</f>
        <v>16000</v>
      </c>
      <c r="N29" s="46">
        <f>بيان.مغاشات.سفاجا[[#This Row],[إجمالي المستحق]]-بيان.مغاشات.سفاجا[[#This Row],[إجمالي المنصرف]]</f>
        <v>25642.400000000001</v>
      </c>
      <c r="O29" s="46">
        <f>IF(بيان.مغاشات.سفاجا[[#This Row],[المتبقي]]&lt;0,0,بيان.مغاشات.سفاجا[[#This Row],[المتبقي]])</f>
        <v>25642.400000000001</v>
      </c>
      <c r="P29" s="48">
        <f>(بيان.مغاشات.سفاجا[[#This Row],[المنحة]]+بيان.مغاشات.سفاجا[[#This Row],[مستحقات]])-بيان.مغاشات.سفاجا[[#This Row],[إجمالي المنصرف]]</f>
        <v>7007.9000000000015</v>
      </c>
      <c r="Q29" s="48">
        <f>IF(بيان.مغاشات.سفاجا[[#This Row],[المتبقي من المنحة]]&lt;0,0,بيان.مغاشات.سفاجا[[#This Row],[المتبقي من المنحة]])</f>
        <v>7007.9000000000015</v>
      </c>
      <c r="R29" s="53">
        <v>26008100400072</v>
      </c>
      <c r="S29" s="46"/>
      <c r="T29" s="76"/>
      <c r="U29" s="46">
        <v>3000</v>
      </c>
      <c r="V29" s="46">
        <v>9500</v>
      </c>
      <c r="W29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16000</v>
      </c>
      <c r="X29" s="46">
        <f>SUM(بيان.مغاشات.سفاجا[[#This Row],[يناير-23]:[ديسمبر-23]])</f>
        <v>3500</v>
      </c>
      <c r="Y29" s="46">
        <v>1000</v>
      </c>
      <c r="Z29" s="46"/>
      <c r="AA29" s="46">
        <v>1000</v>
      </c>
      <c r="AB29" s="46"/>
      <c r="AC29" s="46">
        <v>1500</v>
      </c>
      <c r="AD29" s="46"/>
      <c r="AE29" s="46"/>
      <c r="AF29" s="46"/>
      <c r="AG29" s="46"/>
      <c r="AH29" s="46"/>
      <c r="AI29" s="46"/>
      <c r="AJ29" s="55"/>
    </row>
    <row r="30" spans="3:36" ht="21" x14ac:dyDescent="0.35">
      <c r="C30" s="51">
        <v>23</v>
      </c>
      <c r="D30" s="46" t="s">
        <v>366</v>
      </c>
      <c r="E30" s="61">
        <v>33</v>
      </c>
      <c r="F30" s="50">
        <v>44464</v>
      </c>
      <c r="G30" s="50"/>
      <c r="H30" s="46">
        <v>21228.48</v>
      </c>
      <c r="I30" s="46"/>
      <c r="J30" s="46">
        <v>18819.900000000001</v>
      </c>
      <c r="K30" s="46">
        <v>90</v>
      </c>
      <c r="L30" s="46">
        <f>SUM(بيان.مغاشات.سفاجا[[#This Row],[المنحة]:[مقابل نقدي]])</f>
        <v>40048.380000000005</v>
      </c>
      <c r="M30" s="46">
        <f>بيان.مغاشات.سفاجا[[#This Row],[إجمالي الدفعات]]</f>
        <v>7000</v>
      </c>
      <c r="N30" s="46">
        <f>بيان.مغاشات.سفاجا[[#This Row],[إجمالي المستحق]]-بيان.مغاشات.سفاجا[[#This Row],[إجمالي المنصرف]]</f>
        <v>33048.380000000005</v>
      </c>
      <c r="O30" s="46">
        <f>IF(بيان.مغاشات.سفاجا[[#This Row],[المتبقي]]&lt;0,0,بيان.مغاشات.سفاجا[[#This Row],[المتبقي]])</f>
        <v>33048.380000000005</v>
      </c>
      <c r="P30" s="48">
        <f>(بيان.مغاشات.سفاجا[[#This Row],[المنحة]]+بيان.مغاشات.سفاجا[[#This Row],[مستحقات]])-بيان.مغاشات.سفاجا[[#This Row],[إجمالي المنصرف]]</f>
        <v>14228.48</v>
      </c>
      <c r="Q30" s="48">
        <f>IF(بيان.مغاشات.سفاجا[[#This Row],[المتبقي من المنحة]]&lt;0,0,بيان.مغاشات.سفاجا[[#This Row],[المتبقي من المنحة]])</f>
        <v>14228.48</v>
      </c>
      <c r="R30" s="53">
        <v>26109253100036</v>
      </c>
      <c r="S30" s="46"/>
      <c r="T30" s="76"/>
      <c r="U30" s="46"/>
      <c r="V30" s="46">
        <v>3000</v>
      </c>
      <c r="W30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7000</v>
      </c>
      <c r="X30" s="46">
        <f>SUM(بيان.مغاشات.سفاجا[[#This Row],[يناير-23]:[ديسمبر-23]])</f>
        <v>4000</v>
      </c>
      <c r="Y30" s="46"/>
      <c r="Z30" s="46"/>
      <c r="AA30" s="46"/>
      <c r="AB30" s="46"/>
      <c r="AC30" s="46">
        <v>4000</v>
      </c>
      <c r="AD30" s="46"/>
      <c r="AE30" s="46"/>
      <c r="AF30" s="46"/>
      <c r="AG30" s="46"/>
      <c r="AH30" s="46"/>
      <c r="AI30" s="46"/>
      <c r="AJ30" s="55"/>
    </row>
    <row r="31" spans="3:36" ht="21" x14ac:dyDescent="0.35">
      <c r="C31" s="51">
        <v>24</v>
      </c>
      <c r="D31" s="46" t="s">
        <v>367</v>
      </c>
      <c r="E31" s="61">
        <v>34</v>
      </c>
      <c r="F31" s="50">
        <v>43865</v>
      </c>
      <c r="G31" s="50"/>
      <c r="H31" s="46">
        <v>16903.169999999998</v>
      </c>
      <c r="I31" s="46">
        <v>0</v>
      </c>
      <c r="J31" s="46">
        <v>13474.8</v>
      </c>
      <c r="K31" s="46">
        <v>90</v>
      </c>
      <c r="L31" s="46">
        <f>SUM(بيان.مغاشات.سفاجا[[#This Row],[المنحة]:[مقابل نقدي]])</f>
        <v>30377.969999999998</v>
      </c>
      <c r="M31" s="46">
        <f>بيان.مغاشات.سفاجا[[#This Row],[إجمالي الدفعات]]</f>
        <v>16903.169999999998</v>
      </c>
      <c r="N31" s="46">
        <f>بيان.مغاشات.سفاجا[[#This Row],[إجمالي المستحق]]-بيان.مغاشات.سفاجا[[#This Row],[إجمالي المنصرف]]</f>
        <v>13474.8</v>
      </c>
      <c r="O31" s="46">
        <f>IF(بيان.مغاشات.سفاجا[[#This Row],[المتبقي]]&lt;0,0,بيان.مغاشات.سفاجا[[#This Row],[المتبقي]])</f>
        <v>13474.8</v>
      </c>
      <c r="P31" s="48">
        <f>(بيان.مغاشات.سفاجا[[#This Row],[المنحة]]+بيان.مغاشات.سفاجا[[#This Row],[مستحقات]])-بيان.مغاشات.سفاجا[[#This Row],[إجمالي المنصرف]]</f>
        <v>0</v>
      </c>
      <c r="Q31" s="48">
        <f>IF(بيان.مغاشات.سفاجا[[#This Row],[المتبقي من المنحة]]&lt;0,0,بيان.مغاشات.سفاجا[[#This Row],[المتبقي من المنحة]])</f>
        <v>0</v>
      </c>
      <c r="R31" s="53">
        <v>26002042700933</v>
      </c>
      <c r="S31" s="46"/>
      <c r="T31" s="76"/>
      <c r="U31" s="46">
        <v>5500</v>
      </c>
      <c r="V31" s="46">
        <v>10703.17</v>
      </c>
      <c r="W31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16903.169999999998</v>
      </c>
      <c r="X31" s="46">
        <f>SUM(بيان.مغاشات.سفاجا[[#This Row],[يناير-23]:[ديسمبر-23]])</f>
        <v>700</v>
      </c>
      <c r="Y31" s="46">
        <v>700</v>
      </c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55"/>
    </row>
    <row r="32" spans="3:36" ht="21" x14ac:dyDescent="0.35">
      <c r="C32" s="51">
        <v>25</v>
      </c>
      <c r="D32" s="46" t="s">
        <v>368</v>
      </c>
      <c r="E32" s="61">
        <v>35</v>
      </c>
      <c r="F32" s="50">
        <v>44443</v>
      </c>
      <c r="G32" s="50"/>
      <c r="H32" s="46">
        <v>12423.95</v>
      </c>
      <c r="I32" s="46">
        <v>0</v>
      </c>
      <c r="J32" s="46">
        <v>13050</v>
      </c>
      <c r="K32" s="46">
        <v>90</v>
      </c>
      <c r="L32" s="46">
        <f>SUM(بيان.مغاشات.سفاجا[[#This Row],[المنحة]:[مقابل نقدي]])</f>
        <v>25473.95</v>
      </c>
      <c r="M32" s="46">
        <f>بيان.مغاشات.سفاجا[[#This Row],[إجمالي الدفعات]]</f>
        <v>6423.95</v>
      </c>
      <c r="N32" s="46">
        <f>بيان.مغاشات.سفاجا[[#This Row],[إجمالي المستحق]]-بيان.مغاشات.سفاجا[[#This Row],[إجمالي المنصرف]]</f>
        <v>19050</v>
      </c>
      <c r="O32" s="46">
        <f>IF(بيان.مغاشات.سفاجا[[#This Row],[المتبقي]]&lt;0,0,بيان.مغاشات.سفاجا[[#This Row],[المتبقي]])</f>
        <v>19050</v>
      </c>
      <c r="P32" s="48">
        <f>(بيان.مغاشات.سفاجا[[#This Row],[المنحة]]+بيان.مغاشات.سفاجا[[#This Row],[مستحقات]])-بيان.مغاشات.سفاجا[[#This Row],[إجمالي المنصرف]]</f>
        <v>6000.0000000000009</v>
      </c>
      <c r="Q32" s="48">
        <f>IF(بيان.مغاشات.سفاجا[[#This Row],[المتبقي من المنحة]]&lt;0,0,بيان.مغاشات.سفاجا[[#This Row],[المتبقي من المنحة]])</f>
        <v>6000.0000000000009</v>
      </c>
      <c r="R32" s="53">
        <v>26109042800112</v>
      </c>
      <c r="S32" s="46"/>
      <c r="T32" s="76"/>
      <c r="U32" s="46"/>
      <c r="V32" s="46">
        <v>5923.95</v>
      </c>
      <c r="W32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6423.95</v>
      </c>
      <c r="X32" s="46">
        <f>SUM(بيان.مغاشات.سفاجا[[#This Row],[يناير-23]:[ديسمبر-23]])</f>
        <v>500</v>
      </c>
      <c r="Y32" s="46">
        <v>500</v>
      </c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55"/>
    </row>
    <row r="33" spans="3:36" ht="21" x14ac:dyDescent="0.35">
      <c r="C33" s="51">
        <v>26</v>
      </c>
      <c r="D33" s="46" t="s">
        <v>369</v>
      </c>
      <c r="E33" s="61">
        <v>36</v>
      </c>
      <c r="F33" s="50">
        <v>44538</v>
      </c>
      <c r="G33" s="50"/>
      <c r="H33" s="46">
        <v>14432.67</v>
      </c>
      <c r="I33" s="46">
        <v>0</v>
      </c>
      <c r="J33" s="46">
        <v>12632.5</v>
      </c>
      <c r="K33" s="46">
        <v>90</v>
      </c>
      <c r="L33" s="46">
        <f>SUM(بيان.مغاشات.سفاجا[[#This Row],[المنحة]:[مقابل نقدي]])</f>
        <v>27065.17</v>
      </c>
      <c r="M33" s="46">
        <f>بيان.مغاشات.سفاجا[[#This Row],[إجمالي الدفعات]]</f>
        <v>8000</v>
      </c>
      <c r="N33" s="46">
        <f>بيان.مغاشات.سفاجا[[#This Row],[إجمالي المستحق]]-بيان.مغاشات.سفاجا[[#This Row],[إجمالي المنصرف]]</f>
        <v>19065.169999999998</v>
      </c>
      <c r="O33" s="46">
        <f>IF(بيان.مغاشات.سفاجا[[#This Row],[المتبقي]]&lt;0,0,بيان.مغاشات.سفاجا[[#This Row],[المتبقي]])</f>
        <v>19065.169999999998</v>
      </c>
      <c r="P33" s="48">
        <f>(بيان.مغاشات.سفاجا[[#This Row],[المنحة]]+بيان.مغاشات.سفاجا[[#This Row],[مستحقات]])-بيان.مغاشات.سفاجا[[#This Row],[إجمالي المنصرف]]</f>
        <v>6432.67</v>
      </c>
      <c r="Q33" s="48">
        <f>IF(بيان.مغاشات.سفاجا[[#This Row],[المتبقي من المنحة]]&lt;0,0,بيان.مغاشات.سفاجا[[#This Row],[المتبقي من المنحة]])</f>
        <v>6432.67</v>
      </c>
      <c r="R33" s="53">
        <v>26112082702556</v>
      </c>
      <c r="S33" s="46"/>
      <c r="T33" s="76"/>
      <c r="U33" s="46"/>
      <c r="V33" s="46">
        <v>4500</v>
      </c>
      <c r="W33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8000</v>
      </c>
      <c r="X33" s="46">
        <f>SUM(بيان.مغاشات.سفاجا[[#This Row],[يناير-23]:[ديسمبر-23]])</f>
        <v>3500</v>
      </c>
      <c r="Y33" s="46">
        <v>2000</v>
      </c>
      <c r="Z33" s="46"/>
      <c r="AA33" s="46">
        <v>1500</v>
      </c>
      <c r="AB33" s="46"/>
      <c r="AC33" s="46"/>
      <c r="AD33" s="46"/>
      <c r="AE33" s="46"/>
      <c r="AF33" s="46"/>
      <c r="AG33" s="46"/>
      <c r="AH33" s="46"/>
      <c r="AI33" s="46"/>
      <c r="AJ33" s="55"/>
    </row>
    <row r="34" spans="3:36" ht="21" x14ac:dyDescent="0.35">
      <c r="C34" s="51">
        <v>27</v>
      </c>
      <c r="D34" s="46" t="s">
        <v>370</v>
      </c>
      <c r="E34" s="61">
        <v>37</v>
      </c>
      <c r="F34" s="50">
        <v>44581</v>
      </c>
      <c r="G34" s="50"/>
      <c r="H34" s="46">
        <v>17086.22</v>
      </c>
      <c r="I34" s="46">
        <v>0</v>
      </c>
      <c r="J34" s="46">
        <v>16200</v>
      </c>
      <c r="K34" s="46">
        <v>90</v>
      </c>
      <c r="L34" s="46">
        <f>SUM(بيان.مغاشات.سفاجا[[#This Row],[المنحة]:[مقابل نقدي]])</f>
        <v>33286.22</v>
      </c>
      <c r="M34" s="46">
        <f>بيان.مغاشات.سفاجا[[#This Row],[إجمالي الدفعات]]</f>
        <v>5086.2199999999993</v>
      </c>
      <c r="N34" s="46">
        <f>بيان.مغاشات.سفاجا[[#This Row],[إجمالي المستحق]]-بيان.مغاشات.سفاجا[[#This Row],[إجمالي المنصرف]]</f>
        <v>28200</v>
      </c>
      <c r="O34" s="46">
        <f>IF(بيان.مغاشات.سفاجا[[#This Row],[المتبقي]]&lt;0,0,بيان.مغاشات.سفاجا[[#This Row],[المتبقي]])</f>
        <v>28200</v>
      </c>
      <c r="P34" s="48">
        <f>(بيان.مغاشات.سفاجا[[#This Row],[المنحة]]+بيان.مغاشات.سفاجا[[#This Row],[مستحقات]])-بيان.مغاشات.سفاجا[[#This Row],[إجمالي المنصرف]]</f>
        <v>12000.000000000002</v>
      </c>
      <c r="Q34" s="48">
        <f>IF(بيان.مغاشات.سفاجا[[#This Row],[المتبقي من المنحة]]&lt;0,0,بيان.مغاشات.سفاجا[[#This Row],[المتبقي من المنحة]])</f>
        <v>12000.000000000002</v>
      </c>
      <c r="R34" s="53">
        <v>26201202701535</v>
      </c>
      <c r="S34" s="46"/>
      <c r="T34" s="76"/>
      <c r="U34" s="46">
        <v>0</v>
      </c>
      <c r="V34" s="46">
        <v>4086.22</v>
      </c>
      <c r="W34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5086.2199999999993</v>
      </c>
      <c r="X34" s="46">
        <f>SUM(بيان.مغاشات.سفاجا[[#This Row],[يناير-23]:[ديسمبر-23]])</f>
        <v>1000</v>
      </c>
      <c r="Y34" s="46">
        <v>1000</v>
      </c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55"/>
    </row>
    <row r="35" spans="3:36" ht="21" x14ac:dyDescent="0.35">
      <c r="C35" s="51">
        <v>28</v>
      </c>
      <c r="D35" s="46" t="s">
        <v>371</v>
      </c>
      <c r="E35" s="61">
        <v>39</v>
      </c>
      <c r="F35" s="50">
        <v>44613</v>
      </c>
      <c r="G35" s="50"/>
      <c r="H35" s="46">
        <v>16455.43</v>
      </c>
      <c r="I35" s="46">
        <v>0</v>
      </c>
      <c r="J35" s="46">
        <v>18199.8</v>
      </c>
      <c r="K35" s="46">
        <v>90</v>
      </c>
      <c r="L35" s="46">
        <f>SUM(بيان.مغاشات.سفاجا[[#This Row],[المنحة]:[مقابل نقدي]])</f>
        <v>34655.229999999996</v>
      </c>
      <c r="M35" s="46">
        <f>بيان.مغاشات.سفاجا[[#This Row],[إجمالي الدفعات]]</f>
        <v>6955.43</v>
      </c>
      <c r="N35" s="46">
        <f>بيان.مغاشات.سفاجا[[#This Row],[إجمالي المستحق]]-بيان.مغاشات.سفاجا[[#This Row],[إجمالي المنصرف]]</f>
        <v>27699.799999999996</v>
      </c>
      <c r="O35" s="46">
        <f>IF(بيان.مغاشات.سفاجا[[#This Row],[المتبقي]]&lt;0,0,بيان.مغاشات.سفاجا[[#This Row],[المتبقي]])</f>
        <v>27699.799999999996</v>
      </c>
      <c r="P35" s="48">
        <f>(بيان.مغاشات.سفاجا[[#This Row],[المنحة]]+بيان.مغاشات.سفاجا[[#This Row],[مستحقات]])-بيان.مغاشات.سفاجا[[#This Row],[إجمالي المنصرف]]</f>
        <v>9500</v>
      </c>
      <c r="Q35" s="48">
        <f>IF(بيان.مغاشات.سفاجا[[#This Row],[المتبقي من المنحة]]&lt;0,0,بيان.مغاشات.سفاجا[[#This Row],[المتبقي من المنحة]])</f>
        <v>9500</v>
      </c>
      <c r="R35" s="53">
        <v>26202212700851</v>
      </c>
      <c r="S35" s="46" t="s">
        <v>439</v>
      </c>
      <c r="T35" s="76"/>
      <c r="U35" s="46"/>
      <c r="V35" s="46">
        <v>4455.43</v>
      </c>
      <c r="W35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6955.43</v>
      </c>
      <c r="X35" s="46">
        <f>SUM(بيان.مغاشات.سفاجا[[#This Row],[يناير-23]:[ديسمبر-23]])</f>
        <v>2500</v>
      </c>
      <c r="Y35" s="46"/>
      <c r="Z35" s="46"/>
      <c r="AA35" s="46"/>
      <c r="AB35" s="46">
        <v>2000</v>
      </c>
      <c r="AC35" s="46">
        <v>500</v>
      </c>
      <c r="AD35" s="46"/>
      <c r="AE35" s="46"/>
      <c r="AF35" s="46"/>
      <c r="AG35" s="46"/>
      <c r="AH35" s="46"/>
      <c r="AI35" s="46"/>
      <c r="AJ35" s="55"/>
    </row>
    <row r="36" spans="3:36" ht="21" x14ac:dyDescent="0.35">
      <c r="C36" s="51">
        <v>29</v>
      </c>
      <c r="D36" s="46" t="s">
        <v>372</v>
      </c>
      <c r="E36" s="61">
        <v>40</v>
      </c>
      <c r="F36" s="50">
        <v>44650</v>
      </c>
      <c r="G36" s="50"/>
      <c r="H36" s="46">
        <v>21343.56</v>
      </c>
      <c r="I36" s="46">
        <v>0</v>
      </c>
      <c r="J36" s="46">
        <v>19199.7</v>
      </c>
      <c r="K36" s="46">
        <v>90</v>
      </c>
      <c r="L36" s="46">
        <f>SUM(بيان.مغاشات.سفاجا[[#This Row],[المنحة]:[مقابل نقدي]])</f>
        <v>40543.26</v>
      </c>
      <c r="M36" s="46">
        <f>بيان.مغاشات.سفاجا[[#This Row],[إجمالي الدفعات]]</f>
        <v>5000</v>
      </c>
      <c r="N36" s="46">
        <f>بيان.مغاشات.سفاجا[[#This Row],[إجمالي المستحق]]-بيان.مغاشات.سفاجا[[#This Row],[إجمالي المنصرف]]</f>
        <v>35543.26</v>
      </c>
      <c r="O36" s="46">
        <f>IF(بيان.مغاشات.سفاجا[[#This Row],[المتبقي]]&lt;0,0,بيان.مغاشات.سفاجا[[#This Row],[المتبقي]])</f>
        <v>35543.26</v>
      </c>
      <c r="P36" s="48">
        <f>(بيان.مغاشات.سفاجا[[#This Row],[المنحة]]+بيان.مغاشات.سفاجا[[#This Row],[مستحقات]])-بيان.مغاشات.سفاجا[[#This Row],[إجمالي المنصرف]]</f>
        <v>16343.560000000001</v>
      </c>
      <c r="Q36" s="48">
        <f>IF(بيان.مغاشات.سفاجا[[#This Row],[المتبقي من المنحة]]&lt;0,0,بيان.مغاشات.سفاجا[[#This Row],[المتبقي من المنحة]])</f>
        <v>16343.560000000001</v>
      </c>
      <c r="R36" s="53">
        <v>26203302700938</v>
      </c>
      <c r="S36" s="46"/>
      <c r="T36" s="76"/>
      <c r="U36" s="46"/>
      <c r="V36" s="46">
        <v>2500</v>
      </c>
      <c r="W36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5000</v>
      </c>
      <c r="X36" s="46">
        <f>SUM(بيان.مغاشات.سفاجا[[#This Row],[يناير-23]:[ديسمبر-23]])</f>
        <v>2500</v>
      </c>
      <c r="Y36" s="46">
        <v>1500</v>
      </c>
      <c r="Z36" s="46"/>
      <c r="AA36" s="46">
        <v>1000</v>
      </c>
      <c r="AB36" s="46"/>
      <c r="AC36" s="46"/>
      <c r="AD36" s="46"/>
      <c r="AE36" s="46"/>
      <c r="AF36" s="46"/>
      <c r="AG36" s="46"/>
      <c r="AH36" s="46"/>
      <c r="AI36" s="46"/>
      <c r="AJ36" s="55"/>
    </row>
    <row r="37" spans="3:36" ht="21" x14ac:dyDescent="0.35">
      <c r="C37" s="51">
        <v>30</v>
      </c>
      <c r="D37" s="46" t="s">
        <v>373</v>
      </c>
      <c r="E37" s="61">
        <v>41</v>
      </c>
      <c r="F37" s="50">
        <v>44671</v>
      </c>
      <c r="G37" s="50"/>
      <c r="H37" s="46">
        <v>21625.439999999999</v>
      </c>
      <c r="I37" s="46">
        <v>0</v>
      </c>
      <c r="J37" s="46">
        <v>18000</v>
      </c>
      <c r="K37" s="46">
        <v>90</v>
      </c>
      <c r="L37" s="46">
        <f>SUM(بيان.مغاشات.سفاجا[[#This Row],[المنحة]:[مقابل نقدي]])</f>
        <v>39625.440000000002</v>
      </c>
      <c r="M37" s="46">
        <f>بيان.مغاشات.سفاجا[[#This Row],[إجمالي الدفعات]]</f>
        <v>5500</v>
      </c>
      <c r="N37" s="46">
        <f>بيان.مغاشات.سفاجا[[#This Row],[إجمالي المستحق]]-بيان.مغاشات.سفاجا[[#This Row],[إجمالي المنصرف]]</f>
        <v>34125.440000000002</v>
      </c>
      <c r="O37" s="46">
        <f>IF(بيان.مغاشات.سفاجا[[#This Row],[المتبقي]]&lt;0,0,بيان.مغاشات.سفاجا[[#This Row],[المتبقي]])</f>
        <v>34125.440000000002</v>
      </c>
      <c r="P37" s="48">
        <f>(بيان.مغاشات.سفاجا[[#This Row],[المنحة]]+بيان.مغاشات.سفاجا[[#This Row],[مستحقات]])-بيان.مغاشات.سفاجا[[#This Row],[إجمالي المنصرف]]</f>
        <v>16125.439999999999</v>
      </c>
      <c r="Q37" s="48">
        <f>IF(بيان.مغاشات.سفاجا[[#This Row],[المتبقي من المنحة]]&lt;0,0,بيان.مغاشات.سفاجا[[#This Row],[المتبقي من المنحة]])</f>
        <v>16125.439999999999</v>
      </c>
      <c r="R37" s="53">
        <v>26204202600151</v>
      </c>
      <c r="S37" s="46"/>
      <c r="T37" s="76"/>
      <c r="U37" s="46"/>
      <c r="V37" s="46">
        <v>3000</v>
      </c>
      <c r="W37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5500</v>
      </c>
      <c r="X37" s="46">
        <f>SUM(بيان.مغاشات.سفاجا[[#This Row],[يناير-23]:[ديسمبر-23]])</f>
        <v>2500</v>
      </c>
      <c r="Y37" s="46"/>
      <c r="Z37" s="46"/>
      <c r="AA37" s="46">
        <v>2500</v>
      </c>
      <c r="AB37" s="46"/>
      <c r="AC37" s="46"/>
      <c r="AD37" s="46"/>
      <c r="AE37" s="46"/>
      <c r="AF37" s="46"/>
      <c r="AG37" s="46"/>
      <c r="AH37" s="46"/>
      <c r="AI37" s="46"/>
      <c r="AJ37" s="55"/>
    </row>
    <row r="38" spans="3:36" ht="21" x14ac:dyDescent="0.35">
      <c r="C38" s="51">
        <v>31</v>
      </c>
      <c r="D38" s="46" t="s">
        <v>374</v>
      </c>
      <c r="E38" s="61">
        <v>42</v>
      </c>
      <c r="F38" s="50">
        <v>44781</v>
      </c>
      <c r="G38" s="50"/>
      <c r="H38" s="46">
        <v>19193.82</v>
      </c>
      <c r="I38" s="46">
        <v>0</v>
      </c>
      <c r="J38" s="46">
        <v>15474.6</v>
      </c>
      <c r="K38" s="46">
        <v>90</v>
      </c>
      <c r="L38" s="46">
        <f>SUM(بيان.مغاشات.سفاجا[[#This Row],[المنحة]:[مقابل نقدي]])</f>
        <v>34668.42</v>
      </c>
      <c r="M38" s="46">
        <f>بيان.مغاشات.سفاجا[[#This Row],[إجمالي الدفعات]]</f>
        <v>3500</v>
      </c>
      <c r="N38" s="46">
        <f>بيان.مغاشات.سفاجا[[#This Row],[إجمالي المستحق]]-بيان.مغاشات.سفاجا[[#This Row],[إجمالي المنصرف]]</f>
        <v>31168.42</v>
      </c>
      <c r="O38" s="46">
        <f>IF(بيان.مغاشات.سفاجا[[#This Row],[المتبقي]]&lt;0,0,بيان.مغاشات.سفاجا[[#This Row],[المتبقي]])</f>
        <v>31168.42</v>
      </c>
      <c r="P38" s="48">
        <f>(بيان.مغاشات.سفاجا[[#This Row],[المنحة]]+بيان.مغاشات.سفاجا[[#This Row],[مستحقات]])-بيان.مغاشات.سفاجا[[#This Row],[إجمالي المنصرف]]</f>
        <v>15693.82</v>
      </c>
      <c r="Q38" s="48">
        <f>IF(بيان.مغاشات.سفاجا[[#This Row],[المتبقي من المنحة]]&lt;0,0,بيان.مغاشات.سفاجا[[#This Row],[المتبقي من المنحة]])</f>
        <v>15693.82</v>
      </c>
      <c r="R38" s="53">
        <v>26608082700631</v>
      </c>
      <c r="S38" s="46"/>
      <c r="T38" s="76"/>
      <c r="U38" s="46"/>
      <c r="V38" s="46">
        <v>1000</v>
      </c>
      <c r="W38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3500</v>
      </c>
      <c r="X38" s="46">
        <f>SUM(بيان.مغاشات.سفاجا[[#This Row],[يناير-23]:[ديسمبر-23]])</f>
        <v>2500</v>
      </c>
      <c r="Y38" s="46"/>
      <c r="Z38" s="46"/>
      <c r="AA38" s="46">
        <v>2500</v>
      </c>
      <c r="AB38" s="46"/>
      <c r="AC38" s="46"/>
      <c r="AD38" s="46"/>
      <c r="AE38" s="46"/>
      <c r="AF38" s="46"/>
      <c r="AG38" s="46"/>
      <c r="AH38" s="46"/>
      <c r="AI38" s="46"/>
      <c r="AJ38" s="55"/>
    </row>
    <row r="39" spans="3:36" ht="21" x14ac:dyDescent="0.35">
      <c r="C39" s="51"/>
      <c r="D39" s="46"/>
      <c r="E39" s="61"/>
      <c r="F39" s="50"/>
      <c r="G39" s="50"/>
      <c r="H39" s="46"/>
      <c r="I39" s="46">
        <v>0</v>
      </c>
      <c r="J39" s="46"/>
      <c r="K39" s="46"/>
      <c r="L39" s="46">
        <f>SUM(بيان.مغاشات.سفاجا[[#This Row],[المنحة]:[مقابل نقدي]])</f>
        <v>0</v>
      </c>
      <c r="M39" s="46">
        <f>بيان.مغاشات.سفاجا[[#This Row],[إجمالي الدفعات]]</f>
        <v>0</v>
      </c>
      <c r="N39" s="46">
        <f>بيان.مغاشات.سفاجا[[#This Row],[إجمالي المستحق]]-بيان.مغاشات.سفاجا[[#This Row],[إجمالي المنصرف]]</f>
        <v>0</v>
      </c>
      <c r="O39" s="46">
        <f>IF(بيان.مغاشات.سفاجا[[#This Row],[المتبقي]]&lt;0,0,بيان.مغاشات.سفاجا[[#This Row],[المتبقي]])</f>
        <v>0</v>
      </c>
      <c r="P39" s="48">
        <f>(بيان.مغاشات.سفاجا[[#This Row],[المنحة]]+بيان.مغاشات.سفاجا[[#This Row],[مستحقات]])-بيان.مغاشات.سفاجا[[#This Row],[إجمالي المنصرف]]</f>
        <v>0</v>
      </c>
      <c r="Q39" s="48">
        <f>IF(بيان.مغاشات.سفاجا[[#This Row],[المتبقي من المنحة]]&lt;0,0,بيان.مغاشات.سفاجا[[#This Row],[المتبقي من المنحة]])</f>
        <v>0</v>
      </c>
      <c r="R39" s="53"/>
      <c r="S39" s="46"/>
      <c r="T39" s="76"/>
      <c r="U39" s="46"/>
      <c r="V39" s="46">
        <v>0</v>
      </c>
      <c r="W39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39" s="46">
        <f>SUM(بيان.مغاشات.سفاجا[[#This Row],[يناير-23]:[ديسمبر-23]])</f>
        <v>0</v>
      </c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55"/>
    </row>
    <row r="40" spans="3:36" ht="21" x14ac:dyDescent="0.35">
      <c r="C40" s="51"/>
      <c r="D40" s="46"/>
      <c r="E40" s="61"/>
      <c r="F40" s="50"/>
      <c r="G40" s="50"/>
      <c r="H40" s="46"/>
      <c r="I40" s="46">
        <v>0</v>
      </c>
      <c r="J40" s="46"/>
      <c r="K40" s="46"/>
      <c r="L40" s="46">
        <f>SUM(بيان.مغاشات.سفاجا[[#This Row],[المنحة]:[مقابل نقدي]])</f>
        <v>0</v>
      </c>
      <c r="M40" s="46">
        <f>بيان.مغاشات.سفاجا[[#This Row],[إجمالي الدفعات]]</f>
        <v>0</v>
      </c>
      <c r="N40" s="46">
        <f>بيان.مغاشات.سفاجا[[#This Row],[إجمالي المستحق]]-بيان.مغاشات.سفاجا[[#This Row],[إجمالي المنصرف]]</f>
        <v>0</v>
      </c>
      <c r="O40" s="46">
        <f>IF(بيان.مغاشات.سفاجا[[#This Row],[المتبقي]]&lt;0,0,بيان.مغاشات.سفاجا[[#This Row],[المتبقي]])</f>
        <v>0</v>
      </c>
      <c r="P40" s="48">
        <f>(بيان.مغاشات.سفاجا[[#This Row],[المنحة]]+بيان.مغاشات.سفاجا[[#This Row],[مستحقات]])-بيان.مغاشات.سفاجا[[#This Row],[إجمالي المنصرف]]</f>
        <v>0</v>
      </c>
      <c r="Q40" s="48">
        <f>IF(بيان.مغاشات.سفاجا[[#This Row],[المتبقي من المنحة]]&lt;0,0,بيان.مغاشات.سفاجا[[#This Row],[المتبقي من المنحة]])</f>
        <v>0</v>
      </c>
      <c r="R40" s="53"/>
      <c r="S40" s="46"/>
      <c r="T40" s="76"/>
      <c r="U40" s="46"/>
      <c r="V40" s="46">
        <v>0</v>
      </c>
      <c r="W40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0" s="46">
        <f>SUM(بيان.مغاشات.سفاجا[[#This Row],[يناير-23]:[ديسمبر-23]])</f>
        <v>0</v>
      </c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55"/>
    </row>
    <row r="41" spans="3:36" ht="21" x14ac:dyDescent="0.35">
      <c r="C41" s="51"/>
      <c r="D41" s="46" t="s">
        <v>72</v>
      </c>
      <c r="E41" s="61"/>
      <c r="F41" s="50"/>
      <c r="G41" s="50"/>
      <c r="H41" s="46"/>
      <c r="I41" s="46"/>
      <c r="J41" s="46"/>
      <c r="K41" s="46"/>
      <c r="L41" s="46">
        <f>SUM(بيان.مغاشات.سفاجا[[#This Row],[المنحة]:[مقابل نقدي]])</f>
        <v>0</v>
      </c>
      <c r="M41" s="46">
        <f>بيان.مغاشات.سفاجا[[#This Row],[إجمالي الدفعات]]</f>
        <v>0</v>
      </c>
      <c r="N41" s="46">
        <f>بيان.مغاشات.سفاجا[[#This Row],[إجمالي المستحق]]-بيان.مغاشات.سفاجا[[#This Row],[إجمالي المنصرف]]</f>
        <v>0</v>
      </c>
      <c r="O41" s="46">
        <f>IF(بيان.مغاشات.سفاجا[[#This Row],[المتبقي]]&lt;0,0,بيان.مغاشات.سفاجا[[#This Row],[المتبقي]])</f>
        <v>0</v>
      </c>
      <c r="P41" s="48">
        <f>(بيان.مغاشات.سفاجا[[#This Row],[المنحة]]+بيان.مغاشات.سفاجا[[#This Row],[مستحقات]])-بيان.مغاشات.سفاجا[[#This Row],[إجمالي المنصرف]]</f>
        <v>0</v>
      </c>
      <c r="Q41" s="48">
        <f>IF(بيان.مغاشات.سفاجا[[#This Row],[المتبقي من المنحة]]&lt;0,0,بيان.مغاشات.سفاجا[[#This Row],[المتبقي من المنحة]])</f>
        <v>0</v>
      </c>
      <c r="R41" s="53"/>
      <c r="S41" s="46"/>
      <c r="T41" s="76"/>
      <c r="U41" s="46">
        <v>0</v>
      </c>
      <c r="V41" s="46">
        <v>0</v>
      </c>
      <c r="W41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1" s="46">
        <f>SUM(بيان.مغاشات.سفاجا[[#This Row],[يناير-23]:[ديسمبر-23]])</f>
        <v>0</v>
      </c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55"/>
    </row>
    <row r="42" spans="3:36" ht="21" x14ac:dyDescent="0.35">
      <c r="C42" s="51">
        <v>1</v>
      </c>
      <c r="D42" s="46" t="s">
        <v>375</v>
      </c>
      <c r="E42" s="61">
        <v>30</v>
      </c>
      <c r="F42" s="50">
        <v>43279</v>
      </c>
      <c r="G42" s="50">
        <v>43279</v>
      </c>
      <c r="H42" s="46">
        <v>14019.66</v>
      </c>
      <c r="I42" s="46">
        <v>14314.18</v>
      </c>
      <c r="J42" s="46">
        <v>11672.85</v>
      </c>
      <c r="K42" s="46">
        <v>90</v>
      </c>
      <c r="L42" s="46">
        <f>SUM(بيان.مغاشات.سفاجا[[#This Row],[المنحة]:[مقابل نقدي]])</f>
        <v>40006.69</v>
      </c>
      <c r="M42" s="46">
        <f>بيان.مغاشات.سفاجا[[#This Row],[إجمالي الدفعات]]</f>
        <v>23874.2</v>
      </c>
      <c r="N42" s="46">
        <f>بيان.مغاشات.سفاجا[[#This Row],[إجمالي المستحق]]-بيان.مغاشات.سفاجا[[#This Row],[إجمالي المنصرف]]</f>
        <v>16132.490000000002</v>
      </c>
      <c r="O42" s="46">
        <f>IF(بيان.مغاشات.سفاجا[[#This Row],[المتبقي]]&lt;0,0,بيان.مغاشات.سفاجا[[#This Row],[المتبقي]])</f>
        <v>16132.490000000002</v>
      </c>
      <c r="P42" s="48">
        <f>(بيان.مغاشات.سفاجا[[#This Row],[المنحة]]+بيان.مغاشات.سفاجا[[#This Row],[مستحقات]])-بيان.مغاشات.سفاجا[[#This Row],[إجمالي المنصرف]]</f>
        <v>4459.6399999999994</v>
      </c>
      <c r="Q42" s="48">
        <f>IF(بيان.مغاشات.سفاجا[[#This Row],[المتبقي من المنحة]]&lt;0,0,بيان.مغاشات.سفاجا[[#This Row],[المتبقي من المنحة]])</f>
        <v>4459.6399999999994</v>
      </c>
      <c r="R42" s="53"/>
      <c r="S42" s="46" t="s">
        <v>376</v>
      </c>
      <c r="T42" s="76"/>
      <c r="U42" s="46">
        <v>11682</v>
      </c>
      <c r="V42" s="46">
        <v>7000</v>
      </c>
      <c r="W42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23874.2</v>
      </c>
      <c r="X42" s="46">
        <f>SUM(بيان.مغاشات.سفاجا[[#This Row],[يناير-23]:[ديسمبر-23]])</f>
        <v>5192.2</v>
      </c>
      <c r="Y42" s="46"/>
      <c r="Z42" s="46"/>
      <c r="AA42" s="46"/>
      <c r="AB42" s="46"/>
      <c r="AC42" s="46">
        <v>5192.2</v>
      </c>
      <c r="AD42" s="46"/>
      <c r="AE42" s="46"/>
      <c r="AF42" s="46"/>
      <c r="AG42" s="46"/>
      <c r="AH42" s="46"/>
      <c r="AI42" s="46"/>
      <c r="AJ42" s="55"/>
    </row>
    <row r="43" spans="3:36" ht="21" x14ac:dyDescent="0.35">
      <c r="C43" s="51">
        <v>2</v>
      </c>
      <c r="D43" s="46" t="s">
        <v>377</v>
      </c>
      <c r="E43" s="61">
        <v>31</v>
      </c>
      <c r="F43" s="50">
        <v>44018</v>
      </c>
      <c r="G43" s="50">
        <v>44018</v>
      </c>
      <c r="H43" s="46">
        <v>14385.28</v>
      </c>
      <c r="I43" s="46">
        <v>3698.49</v>
      </c>
      <c r="J43" s="46">
        <v>7208.52</v>
      </c>
      <c r="K43" s="46">
        <v>86</v>
      </c>
      <c r="L43" s="46">
        <f>SUM(بيان.مغاشات.سفاجا[[#This Row],[المنحة]:[مقابل نقدي]])</f>
        <v>25292.29</v>
      </c>
      <c r="M43" s="46">
        <f>بيان.مغاشات.سفاجا[[#This Row],[إجمالي الدفعات]]</f>
        <v>8510.4699999999993</v>
      </c>
      <c r="N43" s="46">
        <f>بيان.مغاشات.سفاجا[[#This Row],[إجمالي المستحق]]-بيان.مغاشات.سفاجا[[#This Row],[إجمالي المنصرف]]</f>
        <v>16781.82</v>
      </c>
      <c r="O43" s="46">
        <f>IF(بيان.مغاشات.سفاجا[[#This Row],[المتبقي]]&lt;0,0,بيان.مغاشات.سفاجا[[#This Row],[المتبقي]])</f>
        <v>16781.82</v>
      </c>
      <c r="P43" s="48">
        <f>(بيان.مغاشات.سفاجا[[#This Row],[المنحة]]+بيان.مغاشات.سفاجا[[#This Row],[مستحقات]])-بيان.مغاشات.سفاجا[[#This Row],[إجمالي المنصرف]]</f>
        <v>9573.3000000000011</v>
      </c>
      <c r="Q43" s="48">
        <f>IF(بيان.مغاشات.سفاجا[[#This Row],[المتبقي من المنحة]]&lt;0,0,بيان.مغاشات.سفاجا[[#This Row],[المتبقي من المنحة]])</f>
        <v>9573.3000000000011</v>
      </c>
      <c r="R43" s="53"/>
      <c r="S43" s="46" t="s">
        <v>378</v>
      </c>
      <c r="T43" s="76"/>
      <c r="U43" s="46">
        <v>1510.47</v>
      </c>
      <c r="V43" s="46">
        <v>7000</v>
      </c>
      <c r="W43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8510.4699999999993</v>
      </c>
      <c r="X43" s="46">
        <f>SUM(بيان.مغاشات.سفاجا[[#This Row],[يناير-23]:[ديسمبر-23]])</f>
        <v>0</v>
      </c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55"/>
    </row>
    <row r="44" spans="3:36" ht="21" x14ac:dyDescent="0.35">
      <c r="C44" s="51">
        <v>3</v>
      </c>
      <c r="D44" s="46" t="s">
        <v>379</v>
      </c>
      <c r="E44" s="61">
        <v>32</v>
      </c>
      <c r="F44" s="50">
        <v>44103</v>
      </c>
      <c r="G44" s="50">
        <v>44103</v>
      </c>
      <c r="H44" s="46">
        <v>13823.82</v>
      </c>
      <c r="I44" s="46">
        <v>21427.89</v>
      </c>
      <c r="J44" s="46">
        <v>11669.4</v>
      </c>
      <c r="K44" s="46">
        <v>90</v>
      </c>
      <c r="L44" s="46">
        <f>SUM(بيان.مغاشات.سفاجا[[#This Row],[المنحة]:[مقابل نقدي]])</f>
        <v>46921.11</v>
      </c>
      <c r="M44" s="46">
        <f>بيان.مغاشات.سفاجا[[#This Row],[إجمالي الدفعات]]</f>
        <v>17934.3</v>
      </c>
      <c r="N44" s="46">
        <f>بيان.مغاشات.سفاجا[[#This Row],[إجمالي المستحق]]-بيان.مغاشات.سفاجا[[#This Row],[إجمالي المنصرف]]</f>
        <v>28986.81</v>
      </c>
      <c r="O44" s="46">
        <f>IF(بيان.مغاشات.سفاجا[[#This Row],[المتبقي]]&lt;0,0,بيان.مغاشات.سفاجا[[#This Row],[المتبقي]])</f>
        <v>28986.81</v>
      </c>
      <c r="P44" s="48">
        <f>(بيان.مغاشات.سفاجا[[#This Row],[المنحة]]+بيان.مغاشات.سفاجا[[#This Row],[مستحقات]])-بيان.مغاشات.سفاجا[[#This Row],[إجمالي المنصرف]]</f>
        <v>17317.41</v>
      </c>
      <c r="Q44" s="48">
        <f>IF(بيان.مغاشات.سفاجا[[#This Row],[المتبقي من المنحة]]&lt;0,0,بيان.مغاشات.سفاجا[[#This Row],[المتبقي من المنحة]])</f>
        <v>17317.41</v>
      </c>
      <c r="R44" s="53"/>
      <c r="S44" s="46" t="s">
        <v>380</v>
      </c>
      <c r="T44" s="76"/>
      <c r="U44" s="46">
        <v>5766.43</v>
      </c>
      <c r="V44" s="46">
        <v>7000</v>
      </c>
      <c r="W44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17934.3</v>
      </c>
      <c r="X44" s="46">
        <f>SUM(بيان.مغاشات.سفاجا[[#This Row],[يناير-23]:[ديسمبر-23]])</f>
        <v>5167.87</v>
      </c>
      <c r="Y44" s="46"/>
      <c r="Z44" s="46"/>
      <c r="AA44" s="46"/>
      <c r="AB44" s="46"/>
      <c r="AC44" s="46">
        <v>5167.87</v>
      </c>
      <c r="AD44" s="46"/>
      <c r="AE44" s="46"/>
      <c r="AF44" s="46"/>
      <c r="AG44" s="46"/>
      <c r="AH44" s="46"/>
      <c r="AI44" s="46"/>
      <c r="AJ44" s="55"/>
    </row>
    <row r="45" spans="3:36" ht="21" x14ac:dyDescent="0.35">
      <c r="C45" s="51">
        <v>4</v>
      </c>
      <c r="D45" s="46" t="s">
        <v>381</v>
      </c>
      <c r="E45" s="61">
        <v>43</v>
      </c>
      <c r="F45" s="50">
        <v>44749</v>
      </c>
      <c r="G45" s="50">
        <v>44749</v>
      </c>
      <c r="H45" s="46">
        <v>22133.88</v>
      </c>
      <c r="I45" s="46">
        <v>28855.909999999996</v>
      </c>
      <c r="J45" s="46">
        <v>19050</v>
      </c>
      <c r="K45" s="46">
        <v>90</v>
      </c>
      <c r="L45" s="46">
        <f>SUM(بيان.مغاشات.سفاجا[[#This Row],[المنحة]:[مقابل نقدي]])</f>
        <v>70039.789999999994</v>
      </c>
      <c r="M45" s="46">
        <f>بيان.مغاشات.سفاجا[[#This Row],[إجمالي الدفعات]]</f>
        <v>0</v>
      </c>
      <c r="N45" s="46">
        <f>بيان.مغاشات.سفاجا[[#This Row],[إجمالي المستحق]]-بيان.مغاشات.سفاجا[[#This Row],[إجمالي المنصرف]]</f>
        <v>70039.789999999994</v>
      </c>
      <c r="O45" s="46">
        <f>IF(بيان.مغاشات.سفاجا[[#This Row],[المتبقي]]&lt;0,0,بيان.مغاشات.سفاجا[[#This Row],[المتبقي]])</f>
        <v>70039.789999999994</v>
      </c>
      <c r="P45" s="48">
        <f>(بيان.مغاشات.سفاجا[[#This Row],[المنحة]]+بيان.مغاشات.سفاجا[[#This Row],[مستحقات]])-بيان.مغاشات.سفاجا[[#This Row],[إجمالي المنصرف]]</f>
        <v>50989.789999999994</v>
      </c>
      <c r="Q45" s="48">
        <f>IF(بيان.مغاشات.سفاجا[[#This Row],[المتبقي من المنحة]]&lt;0,0,بيان.مغاشات.سفاجا[[#This Row],[المتبقي من المنحة]])</f>
        <v>50989.789999999994</v>
      </c>
      <c r="R45" s="53"/>
      <c r="S45" s="46"/>
      <c r="T45" s="76"/>
      <c r="U45" s="46"/>
      <c r="V45" s="46">
        <v>0</v>
      </c>
      <c r="W45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5" s="46">
        <f>SUM(بيان.مغاشات.سفاجا[[#This Row],[يناير-23]:[ديسمبر-23]])</f>
        <v>0</v>
      </c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55"/>
    </row>
    <row r="46" spans="3:36" ht="21" x14ac:dyDescent="0.35">
      <c r="C46" s="93">
        <v>5</v>
      </c>
      <c r="D46" s="52" t="s">
        <v>473</v>
      </c>
      <c r="E46" s="92">
        <v>44</v>
      </c>
      <c r="F46" s="80">
        <v>44928</v>
      </c>
      <c r="G46" s="80">
        <v>44928</v>
      </c>
      <c r="H46" s="52">
        <v>18921.900000000001</v>
      </c>
      <c r="I46" s="52">
        <f>2236.13+5880.73+5880.73+5880.73</f>
        <v>19878.32</v>
      </c>
      <c r="J46" s="52">
        <v>6874.86</v>
      </c>
      <c r="K46" s="52">
        <v>90</v>
      </c>
      <c r="L46" s="46">
        <f>SUM(بيان.مغاشات.سفاجا[[#This Row],[المنحة]:[مقابل نقدي]])</f>
        <v>45675.08</v>
      </c>
      <c r="M46" s="46">
        <f>بيان.مغاشات.سفاجا[[#This Row],[إجمالي الدفعات]]</f>
        <v>0</v>
      </c>
      <c r="N46" s="46">
        <f>بيان.مغاشات.سفاجا[[#This Row],[إجمالي المستحق]]-بيان.مغاشات.سفاجا[[#This Row],[إجمالي المنصرف]]</f>
        <v>45675.08</v>
      </c>
      <c r="O46" s="52">
        <f>IF(بيان.مغاشات.سفاجا[[#This Row],[المتبقي]]&lt;0,0,بيان.مغاشات.سفاجا[[#This Row],[المتبقي]])</f>
        <v>45675.08</v>
      </c>
      <c r="P46" s="48">
        <f>(بيان.مغاشات.سفاجا[[#This Row],[المنحة]]+بيان.مغاشات.سفاجا[[#This Row],[مستحقات]])-بيان.مغاشات.سفاجا[[#This Row],[إجمالي المنصرف]]</f>
        <v>38800.22</v>
      </c>
      <c r="Q46" s="56">
        <f>IF(بيان.مغاشات.سفاجا[[#This Row],[المتبقي من المنحة]]&lt;0,0,بيان.مغاشات.سفاجا[[#This Row],[المتبقي من المنحة]])</f>
        <v>38800.22</v>
      </c>
      <c r="R46" s="62"/>
      <c r="S46" s="52"/>
      <c r="T46" s="81"/>
      <c r="U46" s="52"/>
      <c r="V46" s="52">
        <v>0</v>
      </c>
      <c r="W46" s="46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6" s="46">
        <f>SUM(بيان.مغاشات.سفاجا[[#This Row],[يناير-23]:[ديسمبر-23]])</f>
        <v>0</v>
      </c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4"/>
    </row>
    <row r="47" spans="3:36" ht="21" x14ac:dyDescent="0.35">
      <c r="C47" s="93"/>
      <c r="D47" s="52"/>
      <c r="E47" s="92"/>
      <c r="F47" s="80"/>
      <c r="G47" s="80"/>
      <c r="H47" s="52"/>
      <c r="I47" s="52"/>
      <c r="J47" s="52"/>
      <c r="K47" s="52"/>
      <c r="L47" s="52">
        <f>SUM(بيان.مغاشات.سفاجا[[#This Row],[المنحة]:[مقابل نقدي]])</f>
        <v>0</v>
      </c>
      <c r="M47" s="52">
        <f>بيان.مغاشات.سفاجا[[#This Row],[إجمالي الدفعات]]</f>
        <v>0</v>
      </c>
      <c r="N47" s="52">
        <f>بيان.مغاشات.سفاجا[[#This Row],[إجمالي المستحق]]-بيان.مغاشات.سفاجا[[#This Row],[إجمالي المنصرف]]</f>
        <v>0</v>
      </c>
      <c r="O47" s="52">
        <f>IF(بيان.مغاشات.سفاجا[[#This Row],[المتبقي]]&lt;0,0,بيان.مغاشات.سفاجا[[#This Row],[المتبقي]])</f>
        <v>0</v>
      </c>
      <c r="P47" s="56">
        <f>(بيان.مغاشات.سفاجا[[#This Row],[المنحة]]+بيان.مغاشات.سفاجا[[#This Row],[مستحقات]])-بيان.مغاشات.سفاجا[[#This Row],[إجمالي المنصرف]]</f>
        <v>0</v>
      </c>
      <c r="Q47" s="56">
        <f>IF(بيان.مغاشات.سفاجا[[#This Row],[المتبقي من المنحة]]&lt;0,0,بيان.مغاشات.سفاجا[[#This Row],[المتبقي من المنحة]])</f>
        <v>0</v>
      </c>
      <c r="R47" s="62"/>
      <c r="S47" s="52"/>
      <c r="T47" s="81"/>
      <c r="U47" s="52"/>
      <c r="V47" s="52"/>
      <c r="W47" s="52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7" s="52">
        <f>SUM(بيان.مغاشات.سفاجا[[#This Row],[يناير-23]:[ديسمبر-23]])</f>
        <v>0</v>
      </c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4"/>
    </row>
    <row r="48" spans="3:36" ht="21" x14ac:dyDescent="0.35">
      <c r="C48" s="93"/>
      <c r="D48" s="52"/>
      <c r="E48" s="92"/>
      <c r="F48" s="80"/>
      <c r="G48" s="80"/>
      <c r="H48" s="52"/>
      <c r="I48" s="52"/>
      <c r="J48" s="52"/>
      <c r="K48" s="52"/>
      <c r="L48" s="52">
        <f>SUM(بيان.مغاشات.سفاجا[[#This Row],[المنحة]:[مقابل نقدي]])</f>
        <v>0</v>
      </c>
      <c r="M48" s="52">
        <f>بيان.مغاشات.سفاجا[[#This Row],[إجمالي الدفعات]]</f>
        <v>0</v>
      </c>
      <c r="N48" s="52">
        <f>بيان.مغاشات.سفاجا[[#This Row],[إجمالي المستحق]]-بيان.مغاشات.سفاجا[[#This Row],[إجمالي المنصرف]]</f>
        <v>0</v>
      </c>
      <c r="O48" s="52">
        <f>IF(بيان.مغاشات.سفاجا[[#This Row],[المتبقي]]&lt;0,0,بيان.مغاشات.سفاجا[[#This Row],[المتبقي]])</f>
        <v>0</v>
      </c>
      <c r="P48" s="56">
        <f>(بيان.مغاشات.سفاجا[[#This Row],[المنحة]]+بيان.مغاشات.سفاجا[[#This Row],[مستحقات]])-بيان.مغاشات.سفاجا[[#This Row],[إجمالي المنصرف]]</f>
        <v>0</v>
      </c>
      <c r="Q48" s="56">
        <f>IF(بيان.مغاشات.سفاجا[[#This Row],[المتبقي من المنحة]]&lt;0,0,بيان.مغاشات.سفاجا[[#This Row],[المتبقي من المنحة]])</f>
        <v>0</v>
      </c>
      <c r="R48" s="62"/>
      <c r="S48" s="52"/>
      <c r="T48" s="81"/>
      <c r="U48" s="52"/>
      <c r="V48" s="52"/>
      <c r="W48" s="52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8" s="52">
        <f>SUM(بيان.مغاشات.سفاجا[[#This Row],[يناير-23]:[ديسمبر-23]])</f>
        <v>0</v>
      </c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4"/>
    </row>
    <row r="49" spans="3:36" ht="21" x14ac:dyDescent="0.35">
      <c r="C49" s="93"/>
      <c r="D49" s="52"/>
      <c r="E49" s="92"/>
      <c r="F49" s="80"/>
      <c r="G49" s="80"/>
      <c r="H49" s="52"/>
      <c r="I49" s="52"/>
      <c r="J49" s="52"/>
      <c r="K49" s="52"/>
      <c r="L49" s="52">
        <f>SUM(بيان.مغاشات.سفاجا[[#This Row],[المنحة]:[مقابل نقدي]])</f>
        <v>0</v>
      </c>
      <c r="M49" s="52">
        <f>بيان.مغاشات.سفاجا[[#This Row],[إجمالي الدفعات]]</f>
        <v>0</v>
      </c>
      <c r="N49" s="52">
        <f>بيان.مغاشات.سفاجا[[#This Row],[إجمالي المستحق]]-بيان.مغاشات.سفاجا[[#This Row],[إجمالي المنصرف]]</f>
        <v>0</v>
      </c>
      <c r="O49" s="52">
        <f>IF(بيان.مغاشات.سفاجا[[#This Row],[المتبقي]]&lt;0,0,بيان.مغاشات.سفاجا[[#This Row],[المتبقي]])</f>
        <v>0</v>
      </c>
      <c r="P49" s="56">
        <f>(بيان.مغاشات.سفاجا[[#This Row],[المنحة]]+بيان.مغاشات.سفاجا[[#This Row],[مستحقات]])-بيان.مغاشات.سفاجا[[#This Row],[إجمالي المنصرف]]</f>
        <v>0</v>
      </c>
      <c r="Q49" s="56">
        <f>IF(بيان.مغاشات.سفاجا[[#This Row],[المتبقي من المنحة]]&lt;0,0,بيان.مغاشات.سفاجا[[#This Row],[المتبقي من المنحة]])</f>
        <v>0</v>
      </c>
      <c r="R49" s="62"/>
      <c r="S49" s="52"/>
      <c r="T49" s="81"/>
      <c r="U49" s="52"/>
      <c r="V49" s="52"/>
      <c r="W49" s="52">
        <f>بيان.مغاشات.سفاجا[[#This Row],[المنصرف قبل الاستلام]]+بيان.مغاشات.سفاجا[[#This Row],[ما تم صرفه من7/2023 حتى12/2022]]+بيان.مغاشات.سفاجا[[#This Row],[إجمالي دفعات 2023]]</f>
        <v>0</v>
      </c>
      <c r="X49" s="52">
        <f>SUM(بيان.مغاشات.سفاجا[[#This Row],[يناير-23]:[ديسمبر-23]])</f>
        <v>0</v>
      </c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4"/>
    </row>
    <row r="50" spans="3:36" ht="21" x14ac:dyDescent="0.35">
      <c r="C50" s="200" t="s">
        <v>396</v>
      </c>
      <c r="D50" s="201"/>
      <c r="E50" s="202"/>
      <c r="F50" s="201"/>
      <c r="G50" s="201"/>
      <c r="H50" s="201">
        <f>SUBTOTAL(109,بيان.مغاشات.سفاجا[المنحة])</f>
        <v>554619.3600000001</v>
      </c>
      <c r="I50" s="201">
        <f>SUBTOTAL(109,بيان.مغاشات.سفاجا[مستحقات])</f>
        <v>103197.19</v>
      </c>
      <c r="J50" s="201">
        <f>SUBTOTAL(109,بيان.مغاشات.سفاجا[مقابل نقدي])</f>
        <v>493692.79000000004</v>
      </c>
      <c r="K50" s="201"/>
      <c r="L50" s="201">
        <f>SUBTOTAL(109,بيان.مغاشات.سفاجا[إجمالي المستحق])</f>
        <v>1151509.3400000001</v>
      </c>
      <c r="M50" s="201">
        <f>SUBTOTAL(109,بيان.مغاشات.سفاجا[إجمالي المنصرف])</f>
        <v>434374.92999999993</v>
      </c>
      <c r="N50" s="201">
        <f>SUBTOTAL(109,بيان.مغاشات.سفاجا[المتبقي])</f>
        <v>717134.41</v>
      </c>
      <c r="O50" s="201">
        <f>SUBTOTAL(109,بيان.مغاشات.سفاجا[المتبقي بعد 1-])</f>
        <v>717134.41</v>
      </c>
      <c r="P50" s="203">
        <f>SUBTOTAL(109,بيان.مغاشات.سفاجا[المتبقي من المنحة])</f>
        <v>223441.62000000002</v>
      </c>
      <c r="Q50" s="203">
        <f>SUBTOTAL(109,بيان.مغاشات.سفاجا[إجمالي المنصرف])</f>
        <v>434374.92999999993</v>
      </c>
      <c r="R50" s="201"/>
      <c r="S50" s="201"/>
      <c r="T50" s="201"/>
      <c r="U50" s="201"/>
      <c r="V50" s="201">
        <f>SUBTOTAL(109,بيان.مغاشات.سفاجا[ما تم صرفه من7/2023 حتى12/2022])</f>
        <v>205029.53000000003</v>
      </c>
      <c r="W50" s="201">
        <f>SUBTOTAL(109,بيان.مغاشات.سفاجا[إجمالي الدفعات])</f>
        <v>434374.92999999993</v>
      </c>
      <c r="X50" s="201">
        <f>SUBTOTAL(109,بيان.مغاشات.سفاجا[إجمالي دفعات 2023])</f>
        <v>73952.31</v>
      </c>
      <c r="Y50" s="201">
        <f>SUBTOTAL(109,بيان.مغاشات.سفاجا[يناير-23])</f>
        <v>8200</v>
      </c>
      <c r="Z50" s="201">
        <f>SUBTOTAL(109,بيان.مغاشات.سفاجا[فبراير-23])</f>
        <v>1500</v>
      </c>
      <c r="AA50" s="201">
        <f>SUBTOTAL(109,بيان.مغاشات.سفاجا[مارس-23])</f>
        <v>25000</v>
      </c>
      <c r="AB50" s="201">
        <f>SUBTOTAL(109,بيان.مغاشات.سفاجا[أبريل-23])</f>
        <v>6357.14</v>
      </c>
      <c r="AC50" s="201">
        <f>SUBTOTAL(109,بيان.مغاشات.سفاجا[مايو-23])</f>
        <v>32895.17</v>
      </c>
      <c r="AD50" s="201">
        <f>SUBTOTAL(109,بيان.مغاشات.سفاجا[يونيو-23])</f>
        <v>0</v>
      </c>
      <c r="AE50" s="201">
        <f>SUBTOTAL(109,بيان.مغاشات.سفاجا[يوليه-23])</f>
        <v>0</v>
      </c>
      <c r="AF50" s="201">
        <f>SUBTOTAL(109,بيان.مغاشات.سفاجا[أغسطس-23])</f>
        <v>0</v>
      </c>
      <c r="AG50" s="201">
        <f>SUBTOTAL(109,بيان.مغاشات.سفاجا[سبتمبر-23])</f>
        <v>0</v>
      </c>
      <c r="AH50" s="201">
        <f>SUBTOTAL(109,بيان.مغاشات.سفاجا[أكتوبر-23])</f>
        <v>0</v>
      </c>
      <c r="AI50" s="201">
        <f>SUBTOTAL(109,بيان.مغاشات.سفاجا[نوفمبر-23])</f>
        <v>0</v>
      </c>
      <c r="AJ50" s="201">
        <f>SUBTOTAL(109,بيان.مغاشات.سفاجا[ديسمبر-23])</f>
        <v>0</v>
      </c>
    </row>
  </sheetData>
  <mergeCells count="6">
    <mergeCell ref="C2:D2"/>
    <mergeCell ref="C3:D3"/>
    <mergeCell ref="C4:AJ4"/>
    <mergeCell ref="C5:AJ5"/>
    <mergeCell ref="C6:S6"/>
    <mergeCell ref="U6:AJ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C2:AB137"/>
  <sheetViews>
    <sheetView rightToLeft="1" topLeftCell="C3" workbookViewId="0">
      <pane xSplit="2" ySplit="1" topLeftCell="L13" activePane="bottomRight" state="frozen"/>
      <selection activeCell="C3" sqref="C3"/>
      <selection pane="topRight" activeCell="E3" sqref="E3"/>
      <selection pane="bottomLeft" activeCell="C5" sqref="C5"/>
      <selection pane="bottomRight" activeCell="R21" sqref="R21"/>
    </sheetView>
  </sheetViews>
  <sheetFormatPr defaultRowHeight="23.25" x14ac:dyDescent="0.25"/>
  <cols>
    <col min="3" max="3" width="3.85546875" style="4" bestFit="1" customWidth="1"/>
    <col min="4" max="4" width="24.42578125" style="137" customWidth="1"/>
    <col min="5" max="6" width="14.28515625" style="4" customWidth="1"/>
    <col min="7" max="7" width="12.7109375" style="4" customWidth="1"/>
    <col min="8" max="9" width="13" style="4" customWidth="1"/>
    <col min="10" max="10" width="14.42578125" style="4" customWidth="1"/>
    <col min="11" max="11" width="11.85546875" style="4" customWidth="1"/>
    <col min="12" max="12" width="26.5703125" customWidth="1"/>
    <col min="13" max="13" width="10.7109375" customWidth="1"/>
    <col min="14" max="15" width="14.42578125" customWidth="1"/>
    <col min="16" max="16" width="14.7109375" customWidth="1"/>
    <col min="17" max="17" width="17.140625" customWidth="1"/>
    <col min="18" max="18" width="12.140625" bestFit="1" customWidth="1"/>
    <col min="19" max="19" width="15.5703125" customWidth="1"/>
    <col min="20" max="20" width="12.42578125" customWidth="1"/>
    <col min="21" max="21" width="14.140625" hidden="1" customWidth="1"/>
    <col min="22" max="22" width="16.5703125" customWidth="1"/>
    <col min="23" max="23" width="14.42578125" hidden="1" customWidth="1"/>
    <col min="24" max="24" width="14.42578125" customWidth="1"/>
    <col min="25" max="25" width="13.85546875" customWidth="1"/>
    <col min="27" max="27" width="1.28515625" customWidth="1"/>
    <col min="28" max="28" width="18.28515625" style="190" customWidth="1"/>
  </cols>
  <sheetData>
    <row r="2" spans="3:28" ht="24" thickBot="1" x14ac:dyDescent="0.3"/>
    <row r="3" spans="3:28" s="85" customFormat="1" ht="50.1" customHeight="1" thickTop="1" thickBot="1" x14ac:dyDescent="0.3">
      <c r="C3" s="204" t="s">
        <v>0</v>
      </c>
      <c r="D3" s="205" t="s">
        <v>99</v>
      </c>
      <c r="E3" s="204" t="s">
        <v>2</v>
      </c>
      <c r="F3" s="204" t="s">
        <v>226</v>
      </c>
      <c r="G3" s="119" t="s">
        <v>108</v>
      </c>
      <c r="H3" s="119" t="s">
        <v>109</v>
      </c>
      <c r="I3" s="119" t="s">
        <v>110</v>
      </c>
      <c r="J3" s="119" t="s">
        <v>5</v>
      </c>
      <c r="K3" s="119" t="s">
        <v>102</v>
      </c>
      <c r="L3" s="218" t="s">
        <v>103</v>
      </c>
      <c r="M3" s="135" t="s">
        <v>433</v>
      </c>
      <c r="N3" s="135" t="s">
        <v>111</v>
      </c>
      <c r="O3" s="135" t="s">
        <v>112</v>
      </c>
      <c r="P3" s="135" t="s">
        <v>113</v>
      </c>
      <c r="Q3" s="135" t="s">
        <v>5</v>
      </c>
      <c r="R3" s="135" t="s">
        <v>106</v>
      </c>
      <c r="S3" s="135" t="s">
        <v>183</v>
      </c>
      <c r="T3" s="135" t="s">
        <v>532</v>
      </c>
      <c r="U3" s="135" t="s">
        <v>115</v>
      </c>
      <c r="V3" s="135" t="s">
        <v>534</v>
      </c>
      <c r="W3" s="135" t="s">
        <v>116</v>
      </c>
      <c r="X3" s="135" t="s">
        <v>533</v>
      </c>
      <c r="Y3" s="135" t="s">
        <v>395</v>
      </c>
      <c r="Z3" s="136" t="s">
        <v>434</v>
      </c>
      <c r="AB3" s="189"/>
    </row>
    <row r="4" spans="3:28" ht="24.75" customHeight="1" thickTop="1" thickBot="1" x14ac:dyDescent="0.4">
      <c r="C4" s="289">
        <v>1</v>
      </c>
      <c r="D4" s="308" t="s">
        <v>96</v>
      </c>
      <c r="E4" s="289">
        <v>1</v>
      </c>
      <c r="F4" s="289" t="s">
        <v>227</v>
      </c>
      <c r="G4" s="289">
        <v>17376.96</v>
      </c>
      <c r="H4" s="289">
        <v>21303.279999999999</v>
      </c>
      <c r="I4" s="289">
        <v>15519.6</v>
      </c>
      <c r="J4" s="289">
        <v>54199.839999999997</v>
      </c>
      <c r="K4" s="289">
        <f>SUMIF(بيان.معاشات.القاهرة[الإسم],'الوفيات والورثة دينمك'!D4:D81,بيان.معاشات.القاهرة[المنصرف])</f>
        <v>33895.35</v>
      </c>
      <c r="L4" s="120" t="s">
        <v>166</v>
      </c>
      <c r="M4" s="120" t="s">
        <v>119</v>
      </c>
      <c r="N4" s="120">
        <v>17376.96</v>
      </c>
      <c r="O4" s="120">
        <v>2663.72</v>
      </c>
      <c r="P4" s="120">
        <v>1939.88</v>
      </c>
      <c r="Q4" s="120">
        <f>SUM('الوفيات والورثة دينمك'!$N4:$P4)</f>
        <v>21980.560000000001</v>
      </c>
      <c r="R4" s="120">
        <f>21979.72</f>
        <v>21979.72</v>
      </c>
      <c r="S4" s="120">
        <f>'الوفيات والورثة دينمك'!$Q4-'الوفيات والورثة دينمك'!$R4</f>
        <v>0.84000000000014552</v>
      </c>
      <c r="T4" s="120">
        <f>الجدول7[[#This Row],[المنصرف ]]-(الجدول7[[#This Row],[المنح وغيرها]]+الجدول7[[#This Row],[المقابل النقدي]]+الجدول7[[#This Row],[منحة 3شهور]])</f>
        <v>-0.83999999999650754</v>
      </c>
      <c r="U4" s="120">
        <f>الجدول7[[#This Row],[المنصرف ]]-(الجدول7[[#This Row],[المقابل النقدي]]+الجدول7[[#This Row],[المنح وغيرها]]+الجدول7[[#This Row],[منحة 3شهور]])</f>
        <v>-0.83999999999650754</v>
      </c>
      <c r="V4" s="120">
        <f>IF(الجدول7[[#This Row],[المنح وغيرها]]-الجدول7[[#This Row],[المنصرف ]]&lt;0,0,الجدول7[[#This Row],[المنح وغيرها]]-الجدول7[[#This Row],[المنصرف ]])</f>
        <v>0</v>
      </c>
      <c r="W4" s="120">
        <f>الجدول7[[#This Row],[المنصرف ]]-(الجدول7[[#This Row],[المقابل النقدي]]+الجدول7[[#This Row],[المنح وغيرها]]+الجدول7[[#This Row],[منحة 3شهور]])</f>
        <v>-0.83999999999650754</v>
      </c>
      <c r="X4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1.6799999999966531</v>
      </c>
      <c r="Y4" s="123">
        <f>SUM(Q4:Q12)</f>
        <v>54199.839999999997</v>
      </c>
      <c r="Z4" s="124" t="s">
        <v>127</v>
      </c>
      <c r="AB4" s="295">
        <f>SUMIF(بيان.معاشات.القاهرة[الإسم],'الوفيات والورثة دينمك'!D4:D81,بيان.معاشات.القاهرة[المتبقي])</f>
        <v>20304.489999999998</v>
      </c>
    </row>
    <row r="5" spans="3:28" ht="24.75" customHeight="1" thickTop="1" thickBot="1" x14ac:dyDescent="0.4">
      <c r="C5" s="290"/>
      <c r="D5" s="309"/>
      <c r="E5" s="290"/>
      <c r="F5" s="290"/>
      <c r="G5" s="290"/>
      <c r="H5" s="290"/>
      <c r="I5" s="290"/>
      <c r="J5" s="290"/>
      <c r="K5" s="290"/>
      <c r="L5" s="121" t="s">
        <v>167</v>
      </c>
      <c r="M5" s="121" t="s">
        <v>124</v>
      </c>
      <c r="N5" s="121"/>
      <c r="O5" s="121">
        <v>2867.71</v>
      </c>
      <c r="P5" s="121">
        <v>2089.1</v>
      </c>
      <c r="Q5" s="121">
        <f>SUM('الوفيات والورثة دينمك'!$N5:$P5)</f>
        <v>4956.8099999999995</v>
      </c>
      <c r="R5" s="121">
        <f>4500+456.81</f>
        <v>4956.8100000000004</v>
      </c>
      <c r="S5" s="121">
        <f>'الوفيات والورثة دينمك'!$Q5-'الوفيات والورثة دينمك'!$R5</f>
        <v>0</v>
      </c>
      <c r="T5" s="121"/>
      <c r="U5" s="120">
        <f>IF(الجدول7[[#This Row],[المنح وغيرها]]-الجدول7[[#This Row],[المنصرف ]]&lt;0,0,الجدول7[[#This Row],[المنح وغيرها]]-الجدول7[[#This Row],[المنصرف ]])</f>
        <v>0</v>
      </c>
      <c r="V5" s="121">
        <f>IF(الجدول7[[#This Row],[المنح وغيرها]]-الجدول7[[#This Row],[المنصرف ]]&lt;0,0,الجدول7[[#This Row],[المنح وغيرها]]-الجدول7[[#This Row],[المنصرف ]])</f>
        <v>0</v>
      </c>
      <c r="W5" s="120">
        <f>SUM(الجدول7[[#This Row],[منحة 3شهور]:[المقابل النقدي]])-الجدول7[[#This Row],[المنصرف ]]</f>
        <v>0</v>
      </c>
      <c r="X5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5" s="123">
        <f>SUM(R4:R12)</f>
        <v>33893.350000000006</v>
      </c>
      <c r="Z5" s="124" t="s">
        <v>129</v>
      </c>
      <c r="AB5" s="295"/>
    </row>
    <row r="6" spans="3:28" ht="24.75" customHeight="1" thickTop="1" thickBot="1" x14ac:dyDescent="0.4">
      <c r="C6" s="290"/>
      <c r="D6" s="309"/>
      <c r="E6" s="290"/>
      <c r="F6" s="290"/>
      <c r="G6" s="290"/>
      <c r="H6" s="290"/>
      <c r="I6" s="290"/>
      <c r="J6" s="290"/>
      <c r="K6" s="290"/>
      <c r="L6" s="121" t="s">
        <v>168</v>
      </c>
      <c r="M6" s="121" t="s">
        <v>121</v>
      </c>
      <c r="N6" s="121"/>
      <c r="O6" s="121">
        <v>1433.86</v>
      </c>
      <c r="P6" s="121">
        <v>1044.55</v>
      </c>
      <c r="Q6" s="121">
        <f>SUM('الوفيات والورثة دينمك'!$N6:$P6)</f>
        <v>2478.41</v>
      </c>
      <c r="R6" s="121">
        <f>1043.19+1435.22</f>
        <v>2478.41</v>
      </c>
      <c r="S6" s="121">
        <f>'الوفيات والورثة دينمك'!$Q6-'الوفيات والورثة دينمك'!$R6</f>
        <v>0</v>
      </c>
      <c r="T6" s="107"/>
      <c r="U6" s="120">
        <f>IF(الجدول7[[#This Row],[المنح وغيرها]]-الجدول7[[#This Row],[المنصرف ]]&lt;0,0,الجدول7[[#This Row],[المنح وغيرها]]-الجدول7[[#This Row],[المنصرف ]])</f>
        <v>0</v>
      </c>
      <c r="V6" s="107">
        <f>IF(الجدول7[[#This Row],[المنح وغيرها]]-الجدول7[[#This Row],[المنصرف ]]&lt;0,0,الجدول7[[#This Row],[المنح وغيرها]]-الجدول7[[#This Row],[المنصرف ]])</f>
        <v>0</v>
      </c>
      <c r="W6" s="120">
        <f>SUM(الجدول7[[#This Row],[منحة 3شهور]:[المقابل النقدي]])-الجدول7[[#This Row],[المنصرف ]]</f>
        <v>0</v>
      </c>
      <c r="X6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" s="123">
        <f>Y4-Y5</f>
        <v>20306.489999999991</v>
      </c>
      <c r="Z6" s="124" t="s">
        <v>7</v>
      </c>
      <c r="AB6" s="295"/>
    </row>
    <row r="7" spans="3:28" ht="24.75" customHeight="1" thickTop="1" thickBot="1" x14ac:dyDescent="0.4">
      <c r="C7" s="290"/>
      <c r="D7" s="309"/>
      <c r="E7" s="290"/>
      <c r="F7" s="290"/>
      <c r="G7" s="290"/>
      <c r="H7" s="290"/>
      <c r="I7" s="290"/>
      <c r="J7" s="290"/>
      <c r="K7" s="290"/>
      <c r="L7" s="121" t="s">
        <v>461</v>
      </c>
      <c r="M7" s="121" t="s">
        <v>121</v>
      </c>
      <c r="N7" s="121"/>
      <c r="O7" s="121">
        <v>1433.86</v>
      </c>
      <c r="P7" s="121">
        <v>1044.55</v>
      </c>
      <c r="Q7" s="121">
        <f>SUM('الوفيات والورثة دينمك'!$N7:$P7)</f>
        <v>2478.41</v>
      </c>
      <c r="R7" s="121">
        <f>562.78+1915.63</f>
        <v>2478.41</v>
      </c>
      <c r="S7" s="121">
        <f>'الوفيات والورثة دينمك'!$Q7-'الوفيات والورثة دينمك'!$R7</f>
        <v>0</v>
      </c>
      <c r="T7" s="121"/>
      <c r="U7" s="120">
        <f>IF(الجدول7[[#This Row],[المنح وغيرها]]-الجدول7[[#This Row],[المنصرف ]]&lt;0,0,الجدول7[[#This Row],[المنح وغيرها]]-الجدول7[[#This Row],[المنصرف ]])</f>
        <v>0</v>
      </c>
      <c r="V7" s="121">
        <f>IF(الجدول7[[#This Row],[المنح وغيرها]]-الجدول7[[#This Row],[المنصرف ]]&lt;0,0,الجدول7[[#This Row],[المنح وغيرها]]-الجدول7[[#This Row],[المنصرف ]])</f>
        <v>0</v>
      </c>
      <c r="W7" s="120">
        <f>SUM(الجدول7[[#This Row],[منحة 3شهور]:[المقابل النقدي]])-الجدول7[[#This Row],[المنصرف ]]</f>
        <v>0</v>
      </c>
      <c r="X7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7" s="121"/>
      <c r="Z7" s="122"/>
      <c r="AB7" s="295"/>
    </row>
    <row r="8" spans="3:28" ht="24.75" customHeight="1" thickTop="1" thickBot="1" x14ac:dyDescent="0.4">
      <c r="C8" s="290"/>
      <c r="D8" s="309"/>
      <c r="E8" s="290"/>
      <c r="F8" s="290"/>
      <c r="G8" s="290"/>
      <c r="H8" s="290"/>
      <c r="I8" s="290"/>
      <c r="J8" s="290"/>
      <c r="K8" s="290"/>
      <c r="L8" s="121" t="s">
        <v>170</v>
      </c>
      <c r="M8" s="121" t="s">
        <v>152</v>
      </c>
      <c r="N8" s="121"/>
      <c r="O8" s="121">
        <v>2867.71</v>
      </c>
      <c r="P8" s="121">
        <v>2089.1</v>
      </c>
      <c r="Q8" s="121">
        <f>SUM('الوفيات والورثة دينمك'!$N8:$P8)</f>
        <v>4956.8099999999995</v>
      </c>
      <c r="R8" s="121">
        <f>2000</f>
        <v>2000</v>
      </c>
      <c r="S8" s="121">
        <f>'الوفيات والورثة دينمك'!$Q8-'الوفيات والورثة دينمك'!$R8</f>
        <v>2956.8099999999995</v>
      </c>
      <c r="T8" s="121"/>
      <c r="U8" s="120">
        <f>IF(الجدول7[[#This Row],[المنح وغيرها]]-الجدول7[[#This Row],[المنصرف ]]&lt;0,0,الجدول7[[#This Row],[المنح وغيرها]]-الجدول7[[#This Row],[المنصرف ]])</f>
        <v>867.71</v>
      </c>
      <c r="V8" s="121">
        <f>IF(الجدول7[[#This Row],[المنح وغيرها]]-الجدول7[[#This Row],[المنصرف ]]&lt;0,0,الجدول7[[#This Row],[المنح وغيرها]]-الجدول7[[#This Row],[المنصرف ]])</f>
        <v>867.71</v>
      </c>
      <c r="W8" s="120">
        <f>SUM(الجدول7[[#This Row],[منحة 3شهور]:[المقابل النقدي]])-الجدول7[[#This Row],[المنصرف ]]</f>
        <v>2956.8099999999995</v>
      </c>
      <c r="X8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2089.0999999999995</v>
      </c>
      <c r="Y8" s="123"/>
      <c r="Z8" s="124"/>
      <c r="AB8" s="295"/>
    </row>
    <row r="9" spans="3:28" ht="24.75" customHeight="1" thickTop="1" thickBot="1" x14ac:dyDescent="0.4">
      <c r="C9" s="290"/>
      <c r="D9" s="309"/>
      <c r="E9" s="290"/>
      <c r="F9" s="290"/>
      <c r="G9" s="290"/>
      <c r="H9" s="290"/>
      <c r="I9" s="290"/>
      <c r="J9" s="290"/>
      <c r="K9" s="290"/>
      <c r="L9" s="121" t="s">
        <v>171</v>
      </c>
      <c r="M9" s="121" t="s">
        <v>152</v>
      </c>
      <c r="N9" s="121"/>
      <c r="O9" s="121">
        <v>2867.71</v>
      </c>
      <c r="P9" s="121">
        <v>2089.1</v>
      </c>
      <c r="Q9" s="121">
        <f>SUM('الوفيات والورثة دينمك'!$N9:$P9)</f>
        <v>4956.8099999999995</v>
      </c>
      <c r="R9" s="121"/>
      <c r="S9" s="121">
        <f>'الوفيات والورثة دينمك'!$Q9-'الوفيات والورثة دينمك'!$R9</f>
        <v>4956.8099999999995</v>
      </c>
      <c r="T9" s="121"/>
      <c r="U9" s="120">
        <f>IF(الجدول7[[#This Row],[المنح وغيرها]]-الجدول7[[#This Row],[المنصرف ]]&lt;0,0,الجدول7[[#This Row],[المنح وغيرها]]-الجدول7[[#This Row],[المنصرف ]])</f>
        <v>2867.71</v>
      </c>
      <c r="V9" s="121">
        <f>IF(الجدول7[[#This Row],[المنح وغيرها]]-الجدول7[[#This Row],[المنصرف ]]&lt;0,0,الجدول7[[#This Row],[المنح وغيرها]]-الجدول7[[#This Row],[المنصرف ]])</f>
        <v>2867.71</v>
      </c>
      <c r="W9" s="120">
        <f>SUM(الجدول7[[#This Row],[منحة 3شهور]:[المقابل النقدي]])-الجدول7[[#This Row],[المنصرف ]]</f>
        <v>4956.8099999999995</v>
      </c>
      <c r="X9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2089.1</v>
      </c>
      <c r="Y9" s="123"/>
      <c r="Z9" s="124"/>
      <c r="AB9" s="295"/>
    </row>
    <row r="10" spans="3:28" ht="24.75" customHeight="1" thickTop="1" thickBot="1" x14ac:dyDescent="0.4">
      <c r="C10" s="290"/>
      <c r="D10" s="309"/>
      <c r="E10" s="290"/>
      <c r="F10" s="290"/>
      <c r="G10" s="290"/>
      <c r="H10" s="290"/>
      <c r="I10" s="290"/>
      <c r="J10" s="290"/>
      <c r="K10" s="290"/>
      <c r="L10" s="121" t="s">
        <v>172</v>
      </c>
      <c r="M10" s="121" t="s">
        <v>152</v>
      </c>
      <c r="N10" s="121"/>
      <c r="O10" s="121">
        <v>2867.71</v>
      </c>
      <c r="P10" s="121">
        <v>2089.1</v>
      </c>
      <c r="Q10" s="121">
        <f>SUM('الوفيات والورثة دينمك'!$N10:$P10)</f>
        <v>4956.8099999999995</v>
      </c>
      <c r="R10" s="121"/>
      <c r="S10" s="121">
        <f>'الوفيات والورثة دينمك'!$Q10-'الوفيات والورثة دينمك'!$R10</f>
        <v>4956.8099999999995</v>
      </c>
      <c r="T10" s="121"/>
      <c r="U10" s="120">
        <f>IF(الجدول7[[#This Row],[المنح وغيرها]]-الجدول7[[#This Row],[المنصرف ]]&lt;0,0,الجدول7[[#This Row],[المنح وغيرها]]-الجدول7[[#This Row],[المنصرف ]])</f>
        <v>2867.71</v>
      </c>
      <c r="V10" s="121">
        <f>IF(الجدول7[[#This Row],[المنح وغيرها]]-الجدول7[[#This Row],[المنصرف ]]&lt;0,0,الجدول7[[#This Row],[المنح وغيرها]]-الجدول7[[#This Row],[المنصرف ]])</f>
        <v>2867.71</v>
      </c>
      <c r="W10" s="120">
        <f>SUM(الجدول7[[#This Row],[منحة 3شهور]:[المقابل النقدي]])-الجدول7[[#This Row],[المنصرف ]]</f>
        <v>4956.8099999999995</v>
      </c>
      <c r="X10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2089.1</v>
      </c>
      <c r="Y10" s="123"/>
      <c r="Z10" s="124"/>
      <c r="AB10" s="295"/>
    </row>
    <row r="11" spans="3:28" ht="24.75" customHeight="1" thickTop="1" thickBot="1" x14ac:dyDescent="0.4">
      <c r="C11" s="290"/>
      <c r="D11" s="309"/>
      <c r="E11" s="290"/>
      <c r="F11" s="290"/>
      <c r="G11" s="290"/>
      <c r="H11" s="290"/>
      <c r="I11" s="290"/>
      <c r="J11" s="290"/>
      <c r="K11" s="290"/>
      <c r="L11" s="121" t="s">
        <v>173</v>
      </c>
      <c r="M11" s="121" t="s">
        <v>174</v>
      </c>
      <c r="N11" s="121"/>
      <c r="O11" s="121">
        <v>1433.86</v>
      </c>
      <c r="P11" s="121">
        <v>1044.55</v>
      </c>
      <c r="Q11" s="121">
        <f>SUM('الوفيات والورثة دينمك'!$N11:$P11)</f>
        <v>2478.41</v>
      </c>
      <c r="R11" s="121"/>
      <c r="S11" s="121">
        <f>'الوفيات والورثة دينمك'!$Q11-'الوفيات والورثة دينمك'!$R11</f>
        <v>2478.41</v>
      </c>
      <c r="T11" s="121"/>
      <c r="U11" s="120">
        <f>IF(الجدول7[[#This Row],[المنح وغيرها]]-الجدول7[[#This Row],[المنصرف ]]&lt;0,0,الجدول7[[#This Row],[المنح وغيرها]]-الجدول7[[#This Row],[المنصرف ]])</f>
        <v>1433.86</v>
      </c>
      <c r="V11" s="121">
        <f>IF(الجدول7[[#This Row],[المنح وغيرها]]-الجدول7[[#This Row],[المنصرف ]]&lt;0,0,الجدول7[[#This Row],[المنح وغيرها]]-الجدول7[[#This Row],[المنصرف ]])</f>
        <v>1433.86</v>
      </c>
      <c r="W11" s="120">
        <f>SUM(الجدول7[[#This Row],[منحة 3شهور]:[المقابل النقدي]])-الجدول7[[#This Row],[المنصرف ]]</f>
        <v>2478.41</v>
      </c>
      <c r="X11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1044.55</v>
      </c>
      <c r="Y11" s="121"/>
      <c r="Z11" s="122"/>
      <c r="AB11" s="295"/>
    </row>
    <row r="12" spans="3:28" ht="24" customHeight="1" thickTop="1" x14ac:dyDescent="0.35">
      <c r="C12" s="291"/>
      <c r="D12" s="310"/>
      <c r="E12" s="291"/>
      <c r="F12" s="291"/>
      <c r="G12" s="291"/>
      <c r="H12" s="291"/>
      <c r="I12" s="291"/>
      <c r="J12" s="291"/>
      <c r="K12" s="291"/>
      <c r="L12" s="121" t="s">
        <v>175</v>
      </c>
      <c r="M12" s="121" t="s">
        <v>152</v>
      </c>
      <c r="N12" s="121"/>
      <c r="O12" s="121">
        <v>2867.71</v>
      </c>
      <c r="P12" s="121">
        <v>2089.1</v>
      </c>
      <c r="Q12" s="121">
        <f>SUM('الوفيات والورثة دينمك'!$N12:$P12)</f>
        <v>4956.8099999999995</v>
      </c>
      <c r="R12" s="121"/>
      <c r="S12" s="121">
        <f>'الوفيات والورثة دينمك'!$Q12-'الوفيات والورثة دينمك'!$R12</f>
        <v>4956.8099999999995</v>
      </c>
      <c r="T12" s="121"/>
      <c r="U12" s="120">
        <f>IF(الجدول7[[#This Row],[المنح وغيرها]]-الجدول7[[#This Row],[المنصرف ]]&lt;0,0,الجدول7[[#This Row],[المنح وغيرها]]-الجدول7[[#This Row],[المنصرف ]])</f>
        <v>2867.71</v>
      </c>
      <c r="V12" s="121">
        <f>IF(الجدول7[[#This Row],[المنح وغيرها]]-الجدول7[[#This Row],[المنصرف ]]&lt;0,0,الجدول7[[#This Row],[المنح وغيرها]]-الجدول7[[#This Row],[المنصرف ]])</f>
        <v>2867.71</v>
      </c>
      <c r="W12" s="120">
        <f>SUM(الجدول7[[#This Row],[منحة 3شهور]:[المقابل النقدي]])-الجدول7[[#This Row],[المنصرف ]]</f>
        <v>4956.8099999999995</v>
      </c>
      <c r="X12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2089.1</v>
      </c>
      <c r="Y12" s="121"/>
      <c r="Z12" s="122"/>
      <c r="AB12" s="295"/>
    </row>
    <row r="13" spans="3:28" ht="23.25" customHeight="1" x14ac:dyDescent="0.35">
      <c r="C13" s="292">
        <v>2</v>
      </c>
      <c r="D13" s="311" t="s">
        <v>73</v>
      </c>
      <c r="E13" s="292">
        <v>2</v>
      </c>
      <c r="F13" s="292" t="s">
        <v>227</v>
      </c>
      <c r="G13" s="292">
        <v>16118.55</v>
      </c>
      <c r="H13" s="292">
        <v>28413.46</v>
      </c>
      <c r="I13" s="292">
        <v>13045.5</v>
      </c>
      <c r="J13" s="292">
        <v>57577.509999999995</v>
      </c>
      <c r="K13" s="292">
        <f>SUMIF(بيان.معاشات.القاهرة[الإسم],'الوفيات والورثة دينمك'!D13:D130,بيان.معاشات.القاهرة[المنصرف])</f>
        <v>49767.360000000001</v>
      </c>
      <c r="L13" s="123" t="s">
        <v>118</v>
      </c>
      <c r="M13" s="123" t="s">
        <v>119</v>
      </c>
      <c r="N13" s="123">
        <v>16118.55</v>
      </c>
      <c r="O13" s="123">
        <v>3551.68</v>
      </c>
      <c r="P13" s="123">
        <v>1630.68</v>
      </c>
      <c r="Q13" s="123">
        <f>SUM('الوفيات والورثة دينمك'!$N13:$P13)</f>
        <v>21300.91</v>
      </c>
      <c r="R13" s="123">
        <v>21300.91</v>
      </c>
      <c r="S13" s="123">
        <f>'الوفيات والورثة دينمك'!$Q13-'الوفيات والورثة دينمك'!$R13</f>
        <v>0</v>
      </c>
      <c r="T13" s="123">
        <v>0</v>
      </c>
      <c r="U13" s="123">
        <v>-17749.23</v>
      </c>
      <c r="V13" s="123">
        <f>IF(الجدول7[[#This Row],[المنح وغيرها]]-الجدول7[[#This Row],[المنصرف ]]&lt;0,0,الجدول7[[#This Row],[المنح وغيرها]]-الجدول7[[#This Row],[المنصرف ]])</f>
        <v>0</v>
      </c>
      <c r="W13" s="123">
        <v>0</v>
      </c>
      <c r="X13" s="111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17749.23</v>
      </c>
      <c r="Y13" s="123">
        <f>SUM(Q13:Q16)</f>
        <v>57577.630000000005</v>
      </c>
      <c r="Z13" s="124" t="s">
        <v>127</v>
      </c>
      <c r="AB13" s="295">
        <f>SUMIF(بيان.معاشات.القاهرة[الإسم],'الوفيات والورثة دينمك'!D13:D130,بيان.معاشات.القاهرة[المتبقي])</f>
        <v>7810.1500000000015</v>
      </c>
    </row>
    <row r="14" spans="3:28" ht="23.25" customHeight="1" x14ac:dyDescent="0.35">
      <c r="C14" s="293"/>
      <c r="D14" s="312"/>
      <c r="E14" s="293"/>
      <c r="F14" s="293"/>
      <c r="G14" s="293"/>
      <c r="H14" s="293"/>
      <c r="I14" s="293"/>
      <c r="J14" s="293"/>
      <c r="K14" s="293"/>
      <c r="L14" s="123" t="s">
        <v>120</v>
      </c>
      <c r="M14" s="123" t="s">
        <v>121</v>
      </c>
      <c r="N14" s="123">
        <v>0</v>
      </c>
      <c r="O14" s="123">
        <v>6215.44</v>
      </c>
      <c r="P14" s="123">
        <v>2853.7</v>
      </c>
      <c r="Q14" s="123">
        <f>SUM('الوفيات والورثة دينمك'!$N14:$P14)</f>
        <v>9069.14</v>
      </c>
      <c r="R14" s="123">
        <v>9069.14</v>
      </c>
      <c r="S14" s="123">
        <f>'الوفيات والورثة دينمك'!$Q14-'الوفيات والورثة دينمك'!$R14</f>
        <v>0</v>
      </c>
      <c r="T14" s="123"/>
      <c r="U14" s="123">
        <v>-2853.7</v>
      </c>
      <c r="V14" s="123">
        <f>IF(الجدول7[[#This Row],[المنح وغيرها]]-الجدول7[[#This Row],[المنصرف ]]&lt;0,0,الجدول7[[#This Row],[المنح وغيرها]]-الجدول7[[#This Row],[المنصرف ]])</f>
        <v>0</v>
      </c>
      <c r="W14" s="123">
        <v>0</v>
      </c>
      <c r="X14" s="111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2853.7</v>
      </c>
      <c r="Y14" s="123">
        <f>SUM(R13:R16)</f>
        <v>47767.48</v>
      </c>
      <c r="Z14" s="124" t="s">
        <v>129</v>
      </c>
      <c r="AB14" s="295"/>
    </row>
    <row r="15" spans="3:28" ht="23.25" customHeight="1" x14ac:dyDescent="0.35">
      <c r="C15" s="293"/>
      <c r="D15" s="312"/>
      <c r="E15" s="293"/>
      <c r="F15" s="293"/>
      <c r="G15" s="293"/>
      <c r="H15" s="293"/>
      <c r="I15" s="293"/>
      <c r="J15" s="293"/>
      <c r="K15" s="293"/>
      <c r="L15" s="123" t="s">
        <v>122</v>
      </c>
      <c r="M15" s="123" t="s">
        <v>121</v>
      </c>
      <c r="N15" s="123">
        <v>0</v>
      </c>
      <c r="O15" s="123">
        <v>6215.44</v>
      </c>
      <c r="P15" s="123">
        <v>2853.7</v>
      </c>
      <c r="Q15" s="123">
        <f>SUM('الوفيات والورثة دينمك'!$N15:$P15)</f>
        <v>9069.14</v>
      </c>
      <c r="R15" s="123">
        <v>9069.14</v>
      </c>
      <c r="S15" s="123">
        <f>'الوفيات والورثة دينمك'!$Q15-'الوفيات والورثة دينمك'!$R15</f>
        <v>0</v>
      </c>
      <c r="T15" s="123"/>
      <c r="U15" s="123">
        <v>-2853.7</v>
      </c>
      <c r="V15" s="123">
        <f>IF(الجدول7[[#This Row],[المنح وغيرها]]-الجدول7[[#This Row],[المنصرف ]]&lt;0,0,الجدول7[[#This Row],[المنح وغيرها]]-الجدول7[[#This Row],[المنصرف ]])</f>
        <v>0</v>
      </c>
      <c r="W15" s="123">
        <v>0</v>
      </c>
      <c r="X15" s="111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2853.7</v>
      </c>
      <c r="Y15" s="123">
        <f>Y13-Y14</f>
        <v>9810.1500000000015</v>
      </c>
      <c r="Z15" s="124" t="s">
        <v>7</v>
      </c>
      <c r="AB15" s="295"/>
    </row>
    <row r="16" spans="3:28" ht="23.25" customHeight="1" x14ac:dyDescent="0.35">
      <c r="C16" s="294"/>
      <c r="D16" s="313"/>
      <c r="E16" s="294"/>
      <c r="F16" s="294"/>
      <c r="G16" s="294"/>
      <c r="H16" s="294"/>
      <c r="I16" s="294"/>
      <c r="J16" s="294"/>
      <c r="K16" s="294"/>
      <c r="L16" s="123" t="s">
        <v>123</v>
      </c>
      <c r="M16" s="123" t="s">
        <v>124</v>
      </c>
      <c r="N16" s="123">
        <v>0</v>
      </c>
      <c r="O16" s="123">
        <v>12431.04</v>
      </c>
      <c r="P16" s="123">
        <v>5707.4</v>
      </c>
      <c r="Q16" s="123">
        <f>SUM('الوفيات والورثة دينمك'!$N16:$P16)</f>
        <v>18138.440000000002</v>
      </c>
      <c r="R16" s="123">
        <f>5328.29+1000+1000+1000</f>
        <v>8328.2900000000009</v>
      </c>
      <c r="S16" s="123">
        <f>'الوفيات والورثة دينمك'!$Q16-'الوفيات والورثة دينمك'!$R16</f>
        <v>9810.1500000000015</v>
      </c>
      <c r="T16" s="123"/>
      <c r="U16" s="123">
        <v>7102.5999999999995</v>
      </c>
      <c r="V16" s="123">
        <f>IF(الجدول7[[#This Row],[المنح وغيرها]]-الجدول7[[#This Row],[المنصرف ]]&lt;0,0,الجدول7[[#This Row],[المنح وغيرها]]-الجدول7[[#This Row],[المنصرف ]])</f>
        <v>4102.75</v>
      </c>
      <c r="W16" s="123"/>
      <c r="X16" s="111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2707.550000000002</v>
      </c>
      <c r="Y16" s="123"/>
      <c r="Z16" s="124"/>
      <c r="AB16" s="295"/>
    </row>
    <row r="17" spans="3:28" ht="23.25" customHeight="1" x14ac:dyDescent="0.35">
      <c r="C17" s="296">
        <v>3</v>
      </c>
      <c r="D17" s="314" t="s">
        <v>88</v>
      </c>
      <c r="E17" s="296">
        <v>4</v>
      </c>
      <c r="F17" s="296" t="s">
        <v>227</v>
      </c>
      <c r="G17" s="296">
        <v>0</v>
      </c>
      <c r="H17" s="296">
        <v>28660.17</v>
      </c>
      <c r="I17" s="296">
        <v>15650.1</v>
      </c>
      <c r="J17" s="296">
        <v>44310.27</v>
      </c>
      <c r="K17" s="296">
        <f>SUMIF(بيان.معاشات.القاهرة[الإسم],'الوفيات والورثة دينمك'!D17:D134,بيان.معاشات.القاهرة[المنصرف])</f>
        <v>28660.17</v>
      </c>
      <c r="L17" s="133" t="s">
        <v>148</v>
      </c>
      <c r="M17" s="133" t="s">
        <v>119</v>
      </c>
      <c r="N17" s="133">
        <v>0</v>
      </c>
      <c r="O17" s="133">
        <v>3457.52</v>
      </c>
      <c r="P17" s="133">
        <v>1956.26</v>
      </c>
      <c r="Q17" s="133">
        <f>SUM('الوفيات والورثة دينمك'!$N17:$P17)</f>
        <v>5413.78</v>
      </c>
      <c r="R17" s="133">
        <v>3457.52</v>
      </c>
      <c r="S17" s="133">
        <f>'الوفيات والورثة دينمك'!$Q17-'الوفيات والورثة دينمك'!$R17</f>
        <v>1956.2599999999998</v>
      </c>
      <c r="T17" s="133"/>
      <c r="U17" s="133">
        <v>0</v>
      </c>
      <c r="V17" s="133">
        <f>IF(الجدول7[[#This Row],[المنح وغيرها]]-الجدول7[[#This Row],[المنصرف ]]&lt;0,0,الجدول7[[#This Row],[المنح وغيرها]]-الجدول7[[#This Row],[المنصرف ]])</f>
        <v>0</v>
      </c>
      <c r="W17" s="133"/>
      <c r="X17" s="10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1956.2599999999998</v>
      </c>
      <c r="Y17" s="123">
        <f>SUM(Q17:Q20)</f>
        <v>43310.289999999994</v>
      </c>
      <c r="Z17" s="124" t="s">
        <v>127</v>
      </c>
      <c r="AB17" s="295">
        <f>SUMIF(بيان.معاشات.القاهرة[الإسم],'الوفيات والورثة دينمك'!D17:D134,بيان.معاشات.القاهرة[المتبقي])</f>
        <v>15650.099999999999</v>
      </c>
    </row>
    <row r="18" spans="3:28" ht="23.25" customHeight="1" x14ac:dyDescent="0.35">
      <c r="C18" s="297"/>
      <c r="D18" s="315"/>
      <c r="E18" s="297"/>
      <c r="F18" s="297"/>
      <c r="G18" s="297"/>
      <c r="H18" s="297"/>
      <c r="I18" s="297"/>
      <c r="J18" s="297"/>
      <c r="K18" s="297"/>
      <c r="L18" s="133" t="s">
        <v>149</v>
      </c>
      <c r="M18" s="133" t="s">
        <v>121</v>
      </c>
      <c r="N18" s="133"/>
      <c r="O18" s="133">
        <v>6050.66</v>
      </c>
      <c r="P18" s="133">
        <v>3423.46</v>
      </c>
      <c r="Q18" s="133">
        <f>SUM('الوفيات والورثة دينمك'!$N18:$P18)</f>
        <v>9474.119999999999</v>
      </c>
      <c r="R18" s="133">
        <v>6050.66</v>
      </c>
      <c r="S18" s="133">
        <f>'الوفيات والورثة دينمك'!$Q18-'الوفيات والورثة دينمك'!$R18</f>
        <v>3423.4599999999991</v>
      </c>
      <c r="T18" s="133"/>
      <c r="U18" s="133">
        <v>0</v>
      </c>
      <c r="V18" s="133">
        <f>IF(الجدول7[[#This Row],[المنح وغيرها]]-الجدول7[[#This Row],[المنصرف ]]&lt;0,0,الجدول7[[#This Row],[المنح وغيرها]]-الجدول7[[#This Row],[المنصرف ]])</f>
        <v>0</v>
      </c>
      <c r="W18" s="133"/>
      <c r="X18" s="10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3423.4599999999991</v>
      </c>
      <c r="Y18" s="123">
        <f>SUM(R17:R20)</f>
        <v>27660.190000000002</v>
      </c>
      <c r="Z18" s="124" t="s">
        <v>129</v>
      </c>
      <c r="AB18" s="295"/>
    </row>
    <row r="19" spans="3:28" ht="23.25" customHeight="1" x14ac:dyDescent="0.35">
      <c r="C19" s="297"/>
      <c r="D19" s="315"/>
      <c r="E19" s="297"/>
      <c r="F19" s="297"/>
      <c r="G19" s="297"/>
      <c r="H19" s="297"/>
      <c r="I19" s="297"/>
      <c r="J19" s="297"/>
      <c r="K19" s="297"/>
      <c r="L19" s="133" t="s">
        <v>150</v>
      </c>
      <c r="M19" s="133" t="s">
        <v>121</v>
      </c>
      <c r="N19" s="133"/>
      <c r="O19" s="133">
        <v>6050.66</v>
      </c>
      <c r="P19" s="133">
        <v>3423.46</v>
      </c>
      <c r="Q19" s="133">
        <f>SUM('الوفيات والورثة دينمك'!$N19:$P19)</f>
        <v>9474.119999999999</v>
      </c>
      <c r="R19" s="133">
        <v>6050.66</v>
      </c>
      <c r="S19" s="133">
        <f>'الوفيات والورثة دينمك'!$Q19-'الوفيات والورثة دينمك'!$R19</f>
        <v>3423.4599999999991</v>
      </c>
      <c r="T19" s="133"/>
      <c r="U19" s="133">
        <v>0</v>
      </c>
      <c r="V19" s="133">
        <f>IF(الجدول7[[#This Row],[المنح وغيرها]]-الجدول7[[#This Row],[المنصرف ]]&lt;0,0,الجدول7[[#This Row],[المنح وغيرها]]-الجدول7[[#This Row],[المنصرف ]])</f>
        <v>0</v>
      </c>
      <c r="W19" s="133"/>
      <c r="X19" s="10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3423.4599999999991</v>
      </c>
      <c r="Y19" s="123">
        <f>Y17-Y18</f>
        <v>15650.099999999991</v>
      </c>
      <c r="Z19" s="124" t="s">
        <v>7</v>
      </c>
      <c r="AB19" s="295"/>
    </row>
    <row r="20" spans="3:28" ht="23.25" customHeight="1" x14ac:dyDescent="0.35">
      <c r="C20" s="298"/>
      <c r="D20" s="316"/>
      <c r="E20" s="298"/>
      <c r="F20" s="298"/>
      <c r="G20" s="298"/>
      <c r="H20" s="298"/>
      <c r="I20" s="298"/>
      <c r="J20" s="298"/>
      <c r="K20" s="298"/>
      <c r="L20" s="133" t="s">
        <v>151</v>
      </c>
      <c r="M20" s="133" t="s">
        <v>152</v>
      </c>
      <c r="N20" s="133"/>
      <c r="O20" s="133">
        <v>12101.35</v>
      </c>
      <c r="P20" s="133">
        <v>6846.92</v>
      </c>
      <c r="Q20" s="133">
        <f>SUM('الوفيات والورثة دينمك'!$N20:$P20)</f>
        <v>18948.27</v>
      </c>
      <c r="R20" s="133">
        <f>7936.92+1000+1000+1000+1164.43</f>
        <v>12101.35</v>
      </c>
      <c r="S20" s="133">
        <f>'الوفيات والورثة دينمك'!$Q20-'الوفيات والورثة دينمك'!$R20</f>
        <v>6846.92</v>
      </c>
      <c r="T20" s="133"/>
      <c r="U20" s="133">
        <v>4164.3999999999996</v>
      </c>
      <c r="V20" s="133">
        <f>IF(الجدول7[[#This Row],[المنح وغيرها]]-الجدول7[[#This Row],[المنصرف ]]&lt;0,0,الجدول7[[#This Row],[المنح وغيرها]]-الجدول7[[#This Row],[المنصرف ]])</f>
        <v>0</v>
      </c>
      <c r="W20" s="133"/>
      <c r="X20" s="10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2682.5200000000004</v>
      </c>
      <c r="Y20" s="133"/>
      <c r="Z20" s="134"/>
      <c r="AB20" s="295"/>
    </row>
    <row r="21" spans="3:28" ht="23.25" customHeight="1" x14ac:dyDescent="0.35">
      <c r="C21" s="299">
        <v>4</v>
      </c>
      <c r="D21" s="320" t="s">
        <v>40</v>
      </c>
      <c r="E21" s="299">
        <v>5</v>
      </c>
      <c r="F21" s="299" t="s">
        <v>227</v>
      </c>
      <c r="G21" s="299"/>
      <c r="H21" s="299">
        <v>15128.4</v>
      </c>
      <c r="I21" s="299">
        <v>10932.3</v>
      </c>
      <c r="J21" s="299">
        <v>26060.699999999997</v>
      </c>
      <c r="K21" s="299">
        <f>SUMIF(بيان.معاشات.القاهرة[الإسم],'الوفيات والورثة دينمك'!D21:D138,بيان.معاشات.القاهرة[المنصرف])</f>
        <v>22217.25</v>
      </c>
      <c r="L21" s="121" t="s">
        <v>176</v>
      </c>
      <c r="M21" s="121" t="s">
        <v>126</v>
      </c>
      <c r="N21" s="121"/>
      <c r="O21" s="121">
        <v>3843.45</v>
      </c>
      <c r="P21" s="121"/>
      <c r="Q21" s="121">
        <f>SUM('الوفيات والورثة دينمك'!$N21:$P21)</f>
        <v>3843.45</v>
      </c>
      <c r="R21" s="121"/>
      <c r="S21" s="121">
        <f>'الوفيات والورثة دينمك'!$Q21-'الوفيات والورثة دينمك'!$R21</f>
        <v>3843.45</v>
      </c>
      <c r="T21" s="121"/>
      <c r="U21" s="121">
        <v>3843.45</v>
      </c>
      <c r="V21" s="121">
        <f>IF(الجدول7[[#This Row],[المنح وغيرها]]-الجدول7[[#This Row],[المنصرف ]]&lt;0,0,الجدول7[[#This Row],[المنح وغيرها]]-الجدول7[[#This Row],[المنصرف ]])</f>
        <v>3843.45</v>
      </c>
      <c r="W21" s="121"/>
      <c r="X21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1" s="123">
        <f>SUM(Q21:Q26)</f>
        <v>23060.7</v>
      </c>
      <c r="Z21" s="124" t="s">
        <v>127</v>
      </c>
      <c r="AB21" s="295">
        <f>SUMIF(بيان.معاشات.القاهرة[الإسم],'الوفيات والورثة دينمك'!D21:D138,بيان.معاشات.القاهرة[المتبقي])</f>
        <v>3843.4499999999971</v>
      </c>
    </row>
    <row r="22" spans="3:28" ht="23.25" customHeight="1" x14ac:dyDescent="0.35">
      <c r="C22" s="290"/>
      <c r="D22" s="309"/>
      <c r="E22" s="290"/>
      <c r="F22" s="290"/>
      <c r="G22" s="290"/>
      <c r="H22" s="290"/>
      <c r="I22" s="290"/>
      <c r="J22" s="290"/>
      <c r="K22" s="290"/>
      <c r="L22" s="121" t="s">
        <v>177</v>
      </c>
      <c r="M22" s="121" t="s">
        <v>119</v>
      </c>
      <c r="N22" s="121"/>
      <c r="O22" s="121">
        <v>2882.59</v>
      </c>
      <c r="P22" s="121"/>
      <c r="Q22" s="121">
        <f>SUM('الوفيات والورثة دينمك'!$N22:$P22)</f>
        <v>2882.59</v>
      </c>
      <c r="R22" s="121">
        <v>2882.59</v>
      </c>
      <c r="S22" s="121">
        <f>'الوفيات والورثة دينمك'!$Q22-'الوفيات والورثة دينمك'!$R22</f>
        <v>0</v>
      </c>
      <c r="T22" s="121"/>
      <c r="U22" s="121">
        <v>0</v>
      </c>
      <c r="V22" s="121">
        <f>IF(الجدول7[[#This Row],[المنح وغيرها]]-الجدول7[[#This Row],[المنصرف ]]&lt;0,0,الجدول7[[#This Row],[المنح وغيرها]]-الجدول7[[#This Row],[المنصرف ]])</f>
        <v>0</v>
      </c>
      <c r="W22" s="121"/>
      <c r="X22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2" s="123">
        <f>SUM(R21:R26)</f>
        <v>19217.25</v>
      </c>
      <c r="Z22" s="124" t="s">
        <v>129</v>
      </c>
      <c r="AB22" s="295"/>
    </row>
    <row r="23" spans="3:28" ht="23.25" customHeight="1" x14ac:dyDescent="0.35">
      <c r="C23" s="290"/>
      <c r="D23" s="309"/>
      <c r="E23" s="290"/>
      <c r="F23" s="290"/>
      <c r="G23" s="290"/>
      <c r="H23" s="290"/>
      <c r="I23" s="290"/>
      <c r="J23" s="290"/>
      <c r="K23" s="290"/>
      <c r="L23" s="121" t="s">
        <v>178</v>
      </c>
      <c r="M23" s="121" t="s">
        <v>124</v>
      </c>
      <c r="N23" s="121"/>
      <c r="O23" s="121">
        <v>6533.87</v>
      </c>
      <c r="P23" s="121"/>
      <c r="Q23" s="121">
        <f>SUM('الوفيات والورثة دينمك'!$N23:$P23)</f>
        <v>6533.87</v>
      </c>
      <c r="R23" s="121">
        <v>6533.87</v>
      </c>
      <c r="S23" s="121">
        <f>'الوفيات والورثة دينمك'!$Q23-'الوفيات والورثة دينمك'!$R23</f>
        <v>0</v>
      </c>
      <c r="T23" s="121"/>
      <c r="U23" s="121">
        <v>0</v>
      </c>
      <c r="V23" s="121">
        <f>IF(الجدول7[[#This Row],[المنح وغيرها]]-الجدول7[[#This Row],[المنصرف ]]&lt;0,0,الجدول7[[#This Row],[المنح وغيرها]]-الجدول7[[#This Row],[المنصرف ]])</f>
        <v>0</v>
      </c>
      <c r="W23" s="121"/>
      <c r="X23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3" s="123">
        <f>Y21-Y22</f>
        <v>3843.4500000000007</v>
      </c>
      <c r="Z23" s="124" t="s">
        <v>7</v>
      </c>
      <c r="AB23" s="295"/>
    </row>
    <row r="24" spans="3:28" ht="23.25" customHeight="1" x14ac:dyDescent="0.35">
      <c r="C24" s="290"/>
      <c r="D24" s="309"/>
      <c r="E24" s="290"/>
      <c r="F24" s="290"/>
      <c r="G24" s="290"/>
      <c r="H24" s="290"/>
      <c r="I24" s="290"/>
      <c r="J24" s="290"/>
      <c r="K24" s="290"/>
      <c r="L24" s="121" t="s">
        <v>179</v>
      </c>
      <c r="M24" s="121" t="s">
        <v>121</v>
      </c>
      <c r="N24" s="121"/>
      <c r="O24" s="121">
        <v>3266.93</v>
      </c>
      <c r="P24" s="121"/>
      <c r="Q24" s="121">
        <f>SUM('الوفيات والورثة دينمك'!$N24:$P24)</f>
        <v>3266.93</v>
      </c>
      <c r="R24" s="121">
        <v>3266.93</v>
      </c>
      <c r="S24" s="121">
        <f>'الوفيات والورثة دينمك'!$Q24-'الوفيات والورثة دينمك'!$R24</f>
        <v>0</v>
      </c>
      <c r="T24" s="121"/>
      <c r="U24" s="121">
        <v>0</v>
      </c>
      <c r="V24" s="121">
        <f>IF(الجدول7[[#This Row],[المنح وغيرها]]-الجدول7[[#This Row],[المنصرف ]]&lt;0,0,الجدول7[[#This Row],[المنح وغيرها]]-الجدول7[[#This Row],[المنصرف ]])</f>
        <v>0</v>
      </c>
      <c r="W24" s="121"/>
      <c r="X24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4" s="121"/>
      <c r="Z24" s="122"/>
      <c r="AB24" s="295"/>
    </row>
    <row r="25" spans="3:28" ht="23.25" customHeight="1" x14ac:dyDescent="0.35">
      <c r="C25" s="290"/>
      <c r="D25" s="309"/>
      <c r="E25" s="290"/>
      <c r="F25" s="290"/>
      <c r="G25" s="290"/>
      <c r="H25" s="290"/>
      <c r="I25" s="290"/>
      <c r="J25" s="290"/>
      <c r="K25" s="290"/>
      <c r="L25" s="121" t="s">
        <v>180</v>
      </c>
      <c r="M25" s="121" t="s">
        <v>121</v>
      </c>
      <c r="N25" s="121"/>
      <c r="O25" s="121">
        <v>3266.93</v>
      </c>
      <c r="P25" s="121"/>
      <c r="Q25" s="121">
        <f>SUM('الوفيات والورثة دينمك'!$N25:$P25)</f>
        <v>3266.93</v>
      </c>
      <c r="R25" s="121">
        <v>3266.9300000000003</v>
      </c>
      <c r="S25" s="121">
        <f>'الوفيات والورثة دينمك'!$Q25-'الوفيات والورثة دينمك'!$R25</f>
        <v>0</v>
      </c>
      <c r="T25" s="121"/>
      <c r="U25" s="121">
        <v>0</v>
      </c>
      <c r="V25" s="121">
        <f>IF(الجدول7[[#This Row],[المنح وغيرها]]-الجدول7[[#This Row],[المنصرف ]]&lt;0,0,الجدول7[[#This Row],[المنح وغيرها]]-الجدول7[[#This Row],[المنصرف ]])</f>
        <v>0</v>
      </c>
      <c r="W25" s="121"/>
      <c r="X25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5" s="121"/>
      <c r="Z25" s="122"/>
      <c r="AB25" s="295"/>
    </row>
    <row r="26" spans="3:28" ht="23.25" customHeight="1" x14ac:dyDescent="0.35">
      <c r="C26" s="291"/>
      <c r="D26" s="310"/>
      <c r="E26" s="291"/>
      <c r="F26" s="291"/>
      <c r="G26" s="291"/>
      <c r="H26" s="291"/>
      <c r="I26" s="291"/>
      <c r="J26" s="291"/>
      <c r="K26" s="291"/>
      <c r="L26" s="121" t="s">
        <v>181</v>
      </c>
      <c r="M26" s="121" t="s">
        <v>121</v>
      </c>
      <c r="N26" s="121"/>
      <c r="O26" s="121">
        <v>3266.93</v>
      </c>
      <c r="P26" s="121"/>
      <c r="Q26" s="121">
        <f>SUM('الوفيات والورثة دينمك'!$N26:$P26)</f>
        <v>3266.93</v>
      </c>
      <c r="R26" s="121">
        <v>3266.9300000000003</v>
      </c>
      <c r="S26" s="121">
        <f>'الوفيات والورثة دينمك'!$Q26-'الوفيات والورثة دينمك'!$R26</f>
        <v>0</v>
      </c>
      <c r="T26" s="121"/>
      <c r="U26" s="121">
        <v>0</v>
      </c>
      <c r="V26" s="121">
        <f>IF(الجدول7[[#This Row],[المنح وغيرها]]-الجدول7[[#This Row],[المنصرف ]]&lt;0,0,الجدول7[[#This Row],[المنح وغيرها]]-الجدول7[[#This Row],[المنصرف ]])</f>
        <v>0</v>
      </c>
      <c r="W26" s="121"/>
      <c r="X26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6" s="121"/>
      <c r="Z26" s="122"/>
      <c r="AB26" s="295"/>
    </row>
    <row r="27" spans="3:28" ht="23.25" customHeight="1" x14ac:dyDescent="0.35">
      <c r="C27" s="300">
        <v>5</v>
      </c>
      <c r="D27" s="317" t="s">
        <v>76</v>
      </c>
      <c r="E27" s="300">
        <v>6</v>
      </c>
      <c r="F27" s="300" t="s">
        <v>227</v>
      </c>
      <c r="G27" s="300">
        <v>9583.8799999999992</v>
      </c>
      <c r="H27" s="300">
        <v>25290.13</v>
      </c>
      <c r="I27" s="300">
        <v>2713.26</v>
      </c>
      <c r="J27" s="300">
        <v>37587.270000000004</v>
      </c>
      <c r="K27" s="300">
        <f>SUMIF(بيان.معاشات.القاهرة[الإسم],'الوفيات والورثة دينمك'!D27:D144,بيان.معاشات.القاهرة[المنصرف])</f>
        <v>24362.14</v>
      </c>
      <c r="L27" s="127" t="s">
        <v>125</v>
      </c>
      <c r="M27" s="127" t="s">
        <v>126</v>
      </c>
      <c r="N27" s="127"/>
      <c r="O27" s="127">
        <v>4667.2299999999996</v>
      </c>
      <c r="P27" s="127"/>
      <c r="Q27" s="127">
        <f>SUM('الوفيات والورثة دينمك'!$N27:$P27)</f>
        <v>4667.2299999999996</v>
      </c>
      <c r="R27" s="127">
        <v>4667.2299999999996</v>
      </c>
      <c r="S27" s="127">
        <f>'الوفيات والورثة دينمك'!$Q27-'الوفيات والورثة دينمك'!$R27</f>
        <v>0</v>
      </c>
      <c r="T27" s="127"/>
      <c r="U27" s="127">
        <v>0</v>
      </c>
      <c r="V27" s="127">
        <f>IF(الجدول7[[#This Row],[المنح وغيرها]]-الجدول7[[#This Row],[المنصرف ]]&lt;0,0,الجدول7[[#This Row],[المنح وغيرها]]-الجدول7[[#This Row],[المنصرف ]])</f>
        <v>0</v>
      </c>
      <c r="W27" s="127"/>
      <c r="X27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7" s="127">
        <f>SUM(Q27:Q30)</f>
        <v>37587.259999999995</v>
      </c>
      <c r="Z27" s="128" t="s">
        <v>127</v>
      </c>
      <c r="AB27" s="295">
        <f>SUMIF(بيان.معاشات.القاهرة[الإسم],'الوفيات والورثة دينمك'!D27:D144,بيان.معاشات.القاهرة[المتبقي])</f>
        <v>13225.130000000005</v>
      </c>
    </row>
    <row r="28" spans="3:28" ht="23.25" customHeight="1" x14ac:dyDescent="0.35">
      <c r="C28" s="301"/>
      <c r="D28" s="318"/>
      <c r="E28" s="301"/>
      <c r="F28" s="301"/>
      <c r="G28" s="301"/>
      <c r="H28" s="301"/>
      <c r="I28" s="301"/>
      <c r="J28" s="301"/>
      <c r="K28" s="301"/>
      <c r="L28" s="127" t="s">
        <v>128</v>
      </c>
      <c r="M28" s="127" t="s">
        <v>119</v>
      </c>
      <c r="N28" s="127">
        <v>9583.8799999999992</v>
      </c>
      <c r="O28" s="127">
        <v>3500.42</v>
      </c>
      <c r="P28" s="127"/>
      <c r="Q28" s="127">
        <f>SUM('الوفيات والورثة دينمك'!$N28:$P28)</f>
        <v>13084.3</v>
      </c>
      <c r="R28" s="127">
        <f>9583.88+500+1000</f>
        <v>11083.88</v>
      </c>
      <c r="S28" s="127">
        <f>'الوفيات والورثة دينمك'!$Q28-'الوفيات والورثة دينمك'!$R28</f>
        <v>2000.42</v>
      </c>
      <c r="T28" s="127">
        <v>0</v>
      </c>
      <c r="U28" s="127">
        <v>-6083.4599999999991</v>
      </c>
      <c r="V28" s="127">
        <f>IF(الجدول7[[#This Row],[المنح وغيرها]]-الجدول7[[#This Row],[المنصرف ]]&lt;0,0,الجدول7[[#This Row],[المنح وغيرها]]-الجدول7[[#This Row],[المنصرف ]])</f>
        <v>0</v>
      </c>
      <c r="W28" s="127"/>
      <c r="X28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8083.8799999999992</v>
      </c>
      <c r="Y28" s="127">
        <f>SUM(R27:R30)</f>
        <v>22363.019999999997</v>
      </c>
      <c r="Z28" s="128" t="s">
        <v>129</v>
      </c>
      <c r="AB28" s="295"/>
    </row>
    <row r="29" spans="3:28" ht="23.25" customHeight="1" x14ac:dyDescent="0.35">
      <c r="C29" s="301"/>
      <c r="D29" s="318"/>
      <c r="E29" s="301"/>
      <c r="F29" s="301"/>
      <c r="G29" s="301"/>
      <c r="H29" s="301"/>
      <c r="I29" s="301"/>
      <c r="J29" s="301"/>
      <c r="K29" s="301"/>
      <c r="L29" s="127" t="s">
        <v>130</v>
      </c>
      <c r="M29" s="127" t="s">
        <v>124</v>
      </c>
      <c r="N29" s="127"/>
      <c r="O29" s="127">
        <v>13223.82</v>
      </c>
      <c r="P29" s="127"/>
      <c r="Q29" s="127">
        <f>SUM('الوفيات والورثة دينمك'!$N29:$P29)</f>
        <v>13223.82</v>
      </c>
      <c r="R29" s="127"/>
      <c r="S29" s="127">
        <f>'الوفيات والورثة دينمك'!$Q29-'الوفيات والورثة دينمك'!$R29</f>
        <v>13223.82</v>
      </c>
      <c r="T29" s="127"/>
      <c r="U29" s="127">
        <v>13223.82</v>
      </c>
      <c r="V29" s="127">
        <f>IF(الجدول7[[#This Row],[المنح وغيرها]]-الجدول7[[#This Row],[المنصرف ]]&lt;0,0,الجدول7[[#This Row],[المنح وغيرها]]-الجدول7[[#This Row],[المنصرف ]])</f>
        <v>13223.82</v>
      </c>
      <c r="W29" s="127"/>
      <c r="X29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29" s="127">
        <f>Y27-Y28</f>
        <v>15224.239999999998</v>
      </c>
      <c r="Z29" s="128" t="s">
        <v>7</v>
      </c>
      <c r="AB29" s="295"/>
    </row>
    <row r="30" spans="3:28" ht="23.25" customHeight="1" x14ac:dyDescent="0.35">
      <c r="C30" s="302"/>
      <c r="D30" s="319"/>
      <c r="E30" s="302"/>
      <c r="F30" s="302"/>
      <c r="G30" s="302"/>
      <c r="H30" s="302"/>
      <c r="I30" s="302"/>
      <c r="J30" s="302"/>
      <c r="K30" s="302"/>
      <c r="L30" s="127" t="s">
        <v>131</v>
      </c>
      <c r="M30" s="127" t="s">
        <v>121</v>
      </c>
      <c r="N30" s="127"/>
      <c r="O30" s="127">
        <v>6611.91</v>
      </c>
      <c r="P30" s="127"/>
      <c r="Q30" s="127">
        <f>SUM('الوفيات والورثة دينمك'!$N30:$P30)</f>
        <v>6611.91</v>
      </c>
      <c r="R30" s="127">
        <f>5805.95+805.96</f>
        <v>6611.91</v>
      </c>
      <c r="S30" s="127">
        <f>'الوفيات والورثة دينمك'!$Q30-'الوفيات والورثة دينمك'!$R30</f>
        <v>0</v>
      </c>
      <c r="T30" s="127"/>
      <c r="U30" s="127">
        <v>0</v>
      </c>
      <c r="V30" s="127">
        <f>IF(الجدول7[[#This Row],[المنح وغيرها]]-الجدول7[[#This Row],[المنصرف ]]&lt;0,0,الجدول7[[#This Row],[المنح وغيرها]]-الجدول7[[#This Row],[المنصرف ]])</f>
        <v>0</v>
      </c>
      <c r="W30" s="127"/>
      <c r="X30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0" s="127"/>
      <c r="Z30" s="128"/>
      <c r="AB30" s="295"/>
    </row>
    <row r="31" spans="3:28" ht="23.25" customHeight="1" x14ac:dyDescent="0.35">
      <c r="C31" s="303">
        <v>6</v>
      </c>
      <c r="D31" s="321" t="s">
        <v>144</v>
      </c>
      <c r="E31" s="303">
        <v>7</v>
      </c>
      <c r="F31" s="303" t="s">
        <v>227</v>
      </c>
      <c r="G31" s="303">
        <v>21601.5</v>
      </c>
      <c r="H31" s="303">
        <v>32485</v>
      </c>
      <c r="I31" s="303">
        <v>8458.48</v>
      </c>
      <c r="J31" s="303">
        <v>62544.979999999996</v>
      </c>
      <c r="K31" s="303">
        <f>SUMIF(بيان.معاشات.القاهرة[الإسم],'الوفيات والورثة دينمك'!D31:D148,بيان.معاشات.القاهرة[المنصرف])</f>
        <v>22150.34</v>
      </c>
      <c r="L31" s="129" t="s">
        <v>145</v>
      </c>
      <c r="M31" s="129" t="s">
        <v>124</v>
      </c>
      <c r="N31" s="129"/>
      <c r="O31" s="129">
        <v>41696.65</v>
      </c>
      <c r="P31" s="129"/>
      <c r="Q31" s="129">
        <f>SUM('الوفيات والورثة دينمك'!$N31:$P31)</f>
        <v>41696.65</v>
      </c>
      <c r="R31" s="129">
        <f>15196.65+1000+1000+1000</f>
        <v>18196.650000000001</v>
      </c>
      <c r="S31" s="129">
        <f>'الوفيات والورثة دينمك'!$Q31-'الوفيات والورثة دينمك'!$R31</f>
        <v>23500</v>
      </c>
      <c r="T31" s="129"/>
      <c r="U31" s="129">
        <v>26500</v>
      </c>
      <c r="V31" s="129">
        <f>IF(الجدول7[[#This Row],[المنح وغيرها]]-الجدول7[[#This Row],[المنصرف ]]&lt;0,0,الجدول7[[#This Row],[المنح وغيرها]]-الجدول7[[#This Row],[المنصرف ]])</f>
        <v>23500</v>
      </c>
      <c r="W31" s="129"/>
      <c r="X31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-3000</v>
      </c>
      <c r="Y31" s="129">
        <f>SUM(Q31:Q32)</f>
        <v>62544.98</v>
      </c>
      <c r="Z31" s="130" t="s">
        <v>127</v>
      </c>
      <c r="AB31" s="295">
        <f>SUMIF(بيان.معاشات.القاهرة[الإسم],'الوفيات والورثة دينمك'!D31:D148,بيان.معاشات.القاهرة[المتبقي])</f>
        <v>40394.639999999999</v>
      </c>
    </row>
    <row r="32" spans="3:28" ht="23.25" customHeight="1" x14ac:dyDescent="0.35">
      <c r="C32" s="304"/>
      <c r="D32" s="322"/>
      <c r="E32" s="304"/>
      <c r="F32" s="304"/>
      <c r="G32" s="304"/>
      <c r="H32" s="304"/>
      <c r="I32" s="304"/>
      <c r="J32" s="304"/>
      <c r="K32" s="304"/>
      <c r="L32" s="129" t="s">
        <v>146</v>
      </c>
      <c r="M32" s="129" t="s">
        <v>121</v>
      </c>
      <c r="N32" s="129"/>
      <c r="O32" s="129">
        <v>20848.330000000002</v>
      </c>
      <c r="P32" s="129"/>
      <c r="Q32" s="129">
        <f>SUM('الوفيات والورثة دينمك'!$N32:$P32)</f>
        <v>20848.330000000002</v>
      </c>
      <c r="R32" s="129">
        <v>1953.69</v>
      </c>
      <c r="S32" s="129">
        <f>'الوفيات والورثة دينمك'!$Q32-'الوفيات والورثة دينمك'!$R32</f>
        <v>18894.640000000003</v>
      </c>
      <c r="T32" s="129"/>
      <c r="U32" s="129">
        <v>18894.640000000003</v>
      </c>
      <c r="V32" s="129">
        <f>IF(الجدول7[[#This Row],[المنح وغيرها]]-الجدول7[[#This Row],[المنصرف ]]&lt;0,0,الجدول7[[#This Row],[المنح وغيرها]]-الجدول7[[#This Row],[المنصرف ]])</f>
        <v>18894.640000000003</v>
      </c>
      <c r="W32" s="129"/>
      <c r="X32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2" s="129">
        <f>SUM(R31:R32)</f>
        <v>20150.34</v>
      </c>
      <c r="Z32" s="130" t="s">
        <v>129</v>
      </c>
      <c r="AB32" s="295"/>
    </row>
    <row r="33" spans="3:28" ht="23.25" customHeight="1" x14ac:dyDescent="0.35">
      <c r="C33" s="187"/>
      <c r="D33" s="188"/>
      <c r="E33" s="187"/>
      <c r="F33" s="187"/>
      <c r="G33" s="187"/>
      <c r="H33" s="187"/>
      <c r="I33" s="187"/>
      <c r="J33" s="187"/>
      <c r="K33" s="187"/>
      <c r="L33" s="129"/>
      <c r="M33" s="129"/>
      <c r="N33" s="129"/>
      <c r="O33" s="129"/>
      <c r="P33" s="129"/>
      <c r="Q33" s="129">
        <f>SUM('الوفيات والورثة دينمك'!$N33:$P33)</f>
        <v>0</v>
      </c>
      <c r="R33" s="129"/>
      <c r="S33" s="129">
        <f>'الوفيات والورثة دينمك'!$Q33-'الوفيات والورثة دينمك'!$R33</f>
        <v>0</v>
      </c>
      <c r="T33" s="129"/>
      <c r="U33" s="129"/>
      <c r="V33" s="129">
        <f>IF(الجدول7[[#This Row],[المنح وغيرها]]-الجدول7[[#This Row],[المنصرف ]]&lt;0,0,الجدول7[[#This Row],[المنح وغيرها]]-الجدول7[[#This Row],[المنصرف ]])</f>
        <v>0</v>
      </c>
      <c r="W33" s="129"/>
      <c r="X33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3" s="129">
        <f>Y31-Y32</f>
        <v>42394.64</v>
      </c>
      <c r="Z33" s="130" t="s">
        <v>7</v>
      </c>
      <c r="AB33" s="295"/>
    </row>
    <row r="34" spans="3:28" ht="23.25" customHeight="1" x14ac:dyDescent="0.35">
      <c r="C34" s="323">
        <v>7</v>
      </c>
      <c r="D34" s="326" t="s">
        <v>91</v>
      </c>
      <c r="E34" s="323">
        <v>10</v>
      </c>
      <c r="F34" s="323" t="s">
        <v>227</v>
      </c>
      <c r="G34" s="323"/>
      <c r="H34" s="323">
        <v>19225.740000000002</v>
      </c>
      <c r="I34" s="323">
        <v>14940</v>
      </c>
      <c r="J34" s="323">
        <v>34165.740000000005</v>
      </c>
      <c r="K34" s="323">
        <f>SUMIF(بيان.معاشات.القاهرة[الإسم],'الوفيات والورثة دينمك'!D34:D150,بيان.معاشات.القاهرة[المنصرف])</f>
        <v>31165.74</v>
      </c>
      <c r="L34" s="131" t="s">
        <v>156</v>
      </c>
      <c r="M34" s="131" t="s">
        <v>119</v>
      </c>
      <c r="N34" s="131"/>
      <c r="O34" s="131">
        <v>3895.72</v>
      </c>
      <c r="P34" s="131"/>
      <c r="Q34" s="131">
        <f>SUM('الوفيات والورثة دينمك'!$N34:$P34)</f>
        <v>3895.72</v>
      </c>
      <c r="R34" s="131">
        <v>3895.72</v>
      </c>
      <c r="S34" s="131">
        <f>'الوفيات والورثة دينمك'!$Q34-'الوفيات والورثة دينمك'!$R34</f>
        <v>0</v>
      </c>
      <c r="T34" s="131"/>
      <c r="U34" s="131"/>
      <c r="V34" s="131">
        <f>IF(الجدول7[[#This Row],[المنح وغيرها]]-الجدول7[[#This Row],[المنصرف ]]&lt;0,0,الجدول7[[#This Row],[المنح وغيرها]]-الجدول7[[#This Row],[المنصرف ]])</f>
        <v>0</v>
      </c>
      <c r="W34" s="131"/>
      <c r="X34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4" s="131">
        <f>SUM(Q34:Q39)</f>
        <v>31165.75</v>
      </c>
      <c r="Z34" s="132" t="s">
        <v>127</v>
      </c>
      <c r="AB34" s="295">
        <f>SUMIF(بيان.معاشات.القاهرة[الإسم],'الوفيات والورثة دينمك'!D34:D151,بيان.معاشات.القاهرة[المتبقي])</f>
        <v>3000.0000000000036</v>
      </c>
    </row>
    <row r="35" spans="3:28" ht="23.25" customHeight="1" x14ac:dyDescent="0.35">
      <c r="C35" s="324"/>
      <c r="D35" s="327"/>
      <c r="E35" s="324"/>
      <c r="F35" s="324"/>
      <c r="G35" s="324"/>
      <c r="H35" s="324"/>
      <c r="I35" s="324"/>
      <c r="J35" s="324"/>
      <c r="K35" s="324"/>
      <c r="L35" s="131" t="s">
        <v>157</v>
      </c>
      <c r="M35" s="131" t="s">
        <v>124</v>
      </c>
      <c r="N35" s="131"/>
      <c r="O35" s="131">
        <v>6817.51</v>
      </c>
      <c r="P35" s="131"/>
      <c r="Q35" s="131">
        <f>SUM('الوفيات والورثة دينمك'!$N35:$P35)</f>
        <v>6817.51</v>
      </c>
      <c r="R35" s="131">
        <v>6817.51</v>
      </c>
      <c r="S35" s="131">
        <f>'الوفيات والورثة دينمك'!$Q35-'الوفيات والورثة دينمك'!$R35</f>
        <v>0</v>
      </c>
      <c r="T35" s="131"/>
      <c r="U35" s="131"/>
      <c r="V35" s="131">
        <f>IF(الجدول7[[#This Row],[المنح وغيرها]]-الجدول7[[#This Row],[المنصرف ]]&lt;0,0,الجدول7[[#This Row],[المنح وغيرها]]-الجدول7[[#This Row],[المنصرف ]])</f>
        <v>0</v>
      </c>
      <c r="W35" s="131"/>
      <c r="X35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5" s="131">
        <f>SUM(R34:R39)</f>
        <v>27165.75</v>
      </c>
      <c r="Z35" s="132" t="s">
        <v>129</v>
      </c>
      <c r="AB35" s="295"/>
    </row>
    <row r="36" spans="3:28" ht="23.25" customHeight="1" x14ac:dyDescent="0.35">
      <c r="C36" s="324"/>
      <c r="D36" s="327"/>
      <c r="E36" s="324"/>
      <c r="F36" s="324"/>
      <c r="G36" s="324"/>
      <c r="H36" s="324"/>
      <c r="I36" s="324"/>
      <c r="J36" s="324"/>
      <c r="K36" s="324"/>
      <c r="L36" s="131" t="s">
        <v>158</v>
      </c>
      <c r="M36" s="131" t="s">
        <v>152</v>
      </c>
      <c r="N36" s="131"/>
      <c r="O36" s="131">
        <v>6817.51</v>
      </c>
      <c r="P36" s="131"/>
      <c r="Q36" s="131">
        <f>SUM('الوفيات والورثة دينمك'!$N36:$P36)</f>
        <v>6817.51</v>
      </c>
      <c r="R36" s="131">
        <f>5500+500+317.51+500</f>
        <v>6817.51</v>
      </c>
      <c r="S36" s="131">
        <f>'الوفيات والورثة دينمك'!$Q36-'الوفيات والورثة دينمك'!$R36</f>
        <v>0</v>
      </c>
      <c r="T36" s="131"/>
      <c r="U36" s="131"/>
      <c r="V36" s="131">
        <f>IF(الجدول7[[#This Row],[المنح وغيرها]]-الجدول7[[#This Row],[المنصرف ]]&lt;0,0,الجدول7[[#This Row],[المنح وغيرها]]-الجدول7[[#This Row],[المنصرف ]])</f>
        <v>0</v>
      </c>
      <c r="W36" s="131"/>
      <c r="X36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6" s="131">
        <f>Y34-Y35</f>
        <v>4000</v>
      </c>
      <c r="Z36" s="132" t="s">
        <v>7</v>
      </c>
      <c r="AB36" s="295"/>
    </row>
    <row r="37" spans="3:28" ht="23.25" customHeight="1" x14ac:dyDescent="0.35">
      <c r="C37" s="324"/>
      <c r="D37" s="327"/>
      <c r="E37" s="324"/>
      <c r="F37" s="324"/>
      <c r="G37" s="324"/>
      <c r="H37" s="324"/>
      <c r="I37" s="324"/>
      <c r="J37" s="324"/>
      <c r="K37" s="324"/>
      <c r="L37" s="131" t="s">
        <v>159</v>
      </c>
      <c r="M37" s="131" t="s">
        <v>152</v>
      </c>
      <c r="N37" s="131"/>
      <c r="O37" s="131">
        <v>6817.51</v>
      </c>
      <c r="P37" s="131"/>
      <c r="Q37" s="131">
        <f>SUM('الوفيات والورثة دينمك'!$N37:$P37)</f>
        <v>6817.51</v>
      </c>
      <c r="R37" s="131">
        <f>1000+500+1317.51</f>
        <v>2817.51</v>
      </c>
      <c r="S37" s="131">
        <f>'الوفيات والورثة دينمك'!$Q37-'الوفيات والورثة دينمك'!$R37</f>
        <v>4000</v>
      </c>
      <c r="T37" s="131"/>
      <c r="U37" s="131"/>
      <c r="V37" s="131">
        <f>IF(الجدول7[[#This Row],[المنح وغيرها]]-الجدول7[[#This Row],[المنصرف ]]&lt;0,0,الجدول7[[#This Row],[المنح وغيرها]]-الجدول7[[#This Row],[المنصرف ]])</f>
        <v>4000</v>
      </c>
      <c r="W37" s="131"/>
      <c r="X37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4000</v>
      </c>
      <c r="Y37" s="131"/>
      <c r="Z37" s="132"/>
      <c r="AB37" s="295"/>
    </row>
    <row r="38" spans="3:28" ht="23.25" customHeight="1" x14ac:dyDescent="0.35">
      <c r="C38" s="324"/>
      <c r="D38" s="327"/>
      <c r="E38" s="324"/>
      <c r="F38" s="324"/>
      <c r="G38" s="324"/>
      <c r="H38" s="324"/>
      <c r="I38" s="324"/>
      <c r="J38" s="324"/>
      <c r="K38" s="324"/>
      <c r="L38" s="131" t="s">
        <v>160</v>
      </c>
      <c r="M38" s="131" t="s">
        <v>121</v>
      </c>
      <c r="N38" s="131"/>
      <c r="O38" s="131">
        <v>3408.75</v>
      </c>
      <c r="P38" s="131"/>
      <c r="Q38" s="131">
        <f>SUM('الوفيات والورثة دينمك'!$N38:$P38)</f>
        <v>3408.75</v>
      </c>
      <c r="R38" s="131">
        <v>3408.75</v>
      </c>
      <c r="S38" s="131">
        <f>'الوفيات والورثة دينمك'!$Q38-'الوفيات والورثة دينمك'!$R38</f>
        <v>0</v>
      </c>
      <c r="T38" s="131"/>
      <c r="U38" s="131"/>
      <c r="V38" s="131">
        <f>IF(الجدول7[[#This Row],[المنح وغيرها]]-الجدول7[[#This Row],[المنصرف ]]&lt;0,0,الجدول7[[#This Row],[المنح وغيرها]]-الجدول7[[#This Row],[المنصرف ]])</f>
        <v>0</v>
      </c>
      <c r="W38" s="131"/>
      <c r="X38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8" s="131"/>
      <c r="Z38" s="132"/>
      <c r="AB38" s="295"/>
    </row>
    <row r="39" spans="3:28" ht="23.25" customHeight="1" x14ac:dyDescent="0.35">
      <c r="C39" s="325"/>
      <c r="D39" s="328"/>
      <c r="E39" s="325"/>
      <c r="F39" s="325"/>
      <c r="G39" s="325"/>
      <c r="H39" s="325"/>
      <c r="I39" s="325"/>
      <c r="J39" s="325"/>
      <c r="K39" s="325"/>
      <c r="L39" s="131" t="s">
        <v>161</v>
      </c>
      <c r="M39" s="131" t="s">
        <v>121</v>
      </c>
      <c r="N39" s="131"/>
      <c r="O39" s="131">
        <v>3408.75</v>
      </c>
      <c r="P39" s="131"/>
      <c r="Q39" s="131">
        <f>SUM('الوفيات والورثة دينمك'!$N39:$P39)</f>
        <v>3408.75</v>
      </c>
      <c r="R39" s="131">
        <v>3408.75</v>
      </c>
      <c r="S39" s="131">
        <f>'الوفيات والورثة دينمك'!$Q39-'الوفيات والورثة دينمك'!$R39</f>
        <v>0</v>
      </c>
      <c r="T39" s="131"/>
      <c r="U39" s="131"/>
      <c r="V39" s="131">
        <f>IF(الجدول7[[#This Row],[المنح وغيرها]]-الجدول7[[#This Row],[المنصرف ]]&lt;0,0,الجدول7[[#This Row],[المنح وغيرها]]-الجدول7[[#This Row],[المنصرف ]])</f>
        <v>0</v>
      </c>
      <c r="W39" s="131"/>
      <c r="X39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39" s="131"/>
      <c r="Z39" s="132"/>
      <c r="AB39" s="295"/>
    </row>
    <row r="40" spans="3:28" ht="23.25" customHeight="1" x14ac:dyDescent="0.35">
      <c r="C40" s="299">
        <v>8</v>
      </c>
      <c r="D40" s="320" t="s">
        <v>34</v>
      </c>
      <c r="E40" s="299">
        <v>11</v>
      </c>
      <c r="F40" s="299" t="s">
        <v>227</v>
      </c>
      <c r="G40" s="299"/>
      <c r="H40" s="299">
        <v>19208.759999999998</v>
      </c>
      <c r="I40" s="299">
        <v>15250.5</v>
      </c>
      <c r="J40" s="299">
        <v>34459.259999999995</v>
      </c>
      <c r="K40" s="299">
        <f>SUMIF(بيان.معاشات.القاهرة[الإسم],'الوفيات والورثة دينمك'!D40:D156,بيان.معاشات.القاهرة[المنصرف])</f>
        <v>23000</v>
      </c>
      <c r="L40" s="121" t="s">
        <v>153</v>
      </c>
      <c r="M40" s="121" t="s">
        <v>119</v>
      </c>
      <c r="N40" s="121"/>
      <c r="O40" s="121">
        <v>1963.59</v>
      </c>
      <c r="P40" s="121">
        <v>1906.31</v>
      </c>
      <c r="Q40" s="121">
        <f>SUM('الوفيات والورثة دينمك'!$N40:$P40)</f>
        <v>3869.8999999999996</v>
      </c>
      <c r="R40" s="121">
        <v>1963.59</v>
      </c>
      <c r="S40" s="121">
        <f>'الوفيات والورثة دينمك'!$Q40-'الوفيات والورثة دينمك'!$R40</f>
        <v>1906.3099999999997</v>
      </c>
      <c r="T40" s="121"/>
      <c r="U40" s="121">
        <v>0</v>
      </c>
      <c r="V40" s="121">
        <f>IF(الجدول7[[#This Row],[المنح وغيرها]]-الجدول7[[#This Row],[المنصرف ]]&lt;0,0,الجدول7[[#This Row],[المنح وغيرها]]-الجدول7[[#This Row],[المنصرف ]])</f>
        <v>0</v>
      </c>
      <c r="W40" s="121"/>
      <c r="X40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1906.3099999999997</v>
      </c>
      <c r="Y40" s="121">
        <f>SUM(Q40:Q42)</f>
        <v>30959.24</v>
      </c>
      <c r="Z40" s="122" t="s">
        <v>127</v>
      </c>
      <c r="AB40" s="295">
        <f>SUMIF(بيان.معاشات.القاهرة[الإسم],'الوفيات والورثة دينمك'!D40:D157,بيان.معاشات.القاهرة[المتبقي])</f>
        <v>11459.259999999995</v>
      </c>
    </row>
    <row r="41" spans="3:28" ht="23.25" customHeight="1" x14ac:dyDescent="0.35">
      <c r="C41" s="290"/>
      <c r="D41" s="309"/>
      <c r="E41" s="290"/>
      <c r="F41" s="290"/>
      <c r="G41" s="290"/>
      <c r="H41" s="290"/>
      <c r="I41" s="290"/>
      <c r="J41" s="290"/>
      <c r="K41" s="290"/>
      <c r="L41" s="121" t="s">
        <v>154</v>
      </c>
      <c r="M41" s="121" t="s">
        <v>121</v>
      </c>
      <c r="N41" s="121"/>
      <c r="O41" s="121">
        <v>4581.72</v>
      </c>
      <c r="P41" s="121">
        <v>4448.0600000000004</v>
      </c>
      <c r="Q41" s="121">
        <f>SUM('الوفيات والورثة دينمك'!$N41:$P41)</f>
        <v>9029.7800000000007</v>
      </c>
      <c r="R41" s="121">
        <v>9029.7800000000007</v>
      </c>
      <c r="S41" s="121">
        <f>'الوفيات والورثة دينمك'!$Q41-'الوفيات والورثة دينمك'!$R41</f>
        <v>0</v>
      </c>
      <c r="T41" s="121"/>
      <c r="U41" s="121">
        <v>-4448.0600000000004</v>
      </c>
      <c r="V41" s="121">
        <f>IF(الجدول7[[#This Row],[المنح وغيرها]]-الجدول7[[#This Row],[المنصرف ]]&lt;0,0,الجدول7[[#This Row],[المنح وغيرها]]-الجدول7[[#This Row],[المنصرف ]])</f>
        <v>0</v>
      </c>
      <c r="W41" s="121"/>
      <c r="X41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4448.0600000000004</v>
      </c>
      <c r="Y41" s="121">
        <f>SUM(R40:R42)</f>
        <v>17500</v>
      </c>
      <c r="Z41" s="122" t="s">
        <v>129</v>
      </c>
      <c r="AB41" s="295"/>
    </row>
    <row r="42" spans="3:28" ht="23.25" customHeight="1" x14ac:dyDescent="0.35">
      <c r="C42" s="291"/>
      <c r="D42" s="310"/>
      <c r="E42" s="291"/>
      <c r="F42" s="291"/>
      <c r="G42" s="291"/>
      <c r="H42" s="291"/>
      <c r="I42" s="291"/>
      <c r="J42" s="291"/>
      <c r="K42" s="291"/>
      <c r="L42" s="121" t="s">
        <v>155</v>
      </c>
      <c r="M42" s="121" t="s">
        <v>124</v>
      </c>
      <c r="N42" s="121"/>
      <c r="O42" s="121">
        <v>9163.44</v>
      </c>
      <c r="P42" s="121">
        <v>8896.1200000000008</v>
      </c>
      <c r="Q42" s="121">
        <f>SUM('الوفيات والورثة دينمك'!$N42:$P42)</f>
        <v>18059.560000000001</v>
      </c>
      <c r="R42" s="121">
        <f>3506.63+1000+1000+1000</f>
        <v>6506.63</v>
      </c>
      <c r="S42" s="121">
        <f>'الوفيات والورثة دينمك'!$Q42-'الوفيات والورثة دينمك'!$R42</f>
        <v>11552.93</v>
      </c>
      <c r="T42" s="121"/>
      <c r="U42" s="121">
        <v>5656.81</v>
      </c>
      <c r="V42" s="121">
        <f>IF(الجدول7[[#This Row],[المنح وغيرها]]-الجدول7[[#This Row],[المنصرف ]]&lt;0,0,الجدول7[[#This Row],[المنح وغيرها]]-الجدول7[[#This Row],[المنصرف ]])</f>
        <v>2656.8100000000004</v>
      </c>
      <c r="W42" s="121"/>
      <c r="X42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5896.12</v>
      </c>
      <c r="Y42" s="121">
        <f>Y40-Y41</f>
        <v>13459.240000000002</v>
      </c>
      <c r="Z42" s="122" t="s">
        <v>7</v>
      </c>
      <c r="AB42" s="295"/>
    </row>
    <row r="43" spans="3:28" ht="23.25" customHeight="1" x14ac:dyDescent="0.35">
      <c r="C43" s="329">
        <v>9</v>
      </c>
      <c r="D43" s="332" t="s">
        <v>93</v>
      </c>
      <c r="E43" s="329">
        <v>12</v>
      </c>
      <c r="F43" s="329" t="s">
        <v>227</v>
      </c>
      <c r="G43" s="329">
        <v>18263.98</v>
      </c>
      <c r="H43" s="329">
        <v>14062.98</v>
      </c>
      <c r="I43" s="329">
        <v>12724.2</v>
      </c>
      <c r="J43" s="329">
        <v>45051.16</v>
      </c>
      <c r="K43" s="329">
        <f>SUMIF(بيان.معاشات.القاهرة[الإسم],'الوفيات والورثة دينمك'!D43:D159,بيان.معاشات.القاهرة[المنصرف])</f>
        <v>19500</v>
      </c>
      <c r="L43" s="141" t="s">
        <v>95</v>
      </c>
      <c r="M43" s="141" t="s">
        <v>119</v>
      </c>
      <c r="N43" s="141"/>
      <c r="O43" s="141">
        <v>20021.849999999999</v>
      </c>
      <c r="P43" s="141">
        <v>1590.52</v>
      </c>
      <c r="Q43" s="141">
        <f>SUM('الوفيات والورثة دينمك'!$N43:$P43)</f>
        <v>21612.37</v>
      </c>
      <c r="R43" s="141">
        <f>14500+1000+1000+1000</f>
        <v>17500</v>
      </c>
      <c r="S43" s="141">
        <f>'الوفيات والورثة دينمك'!$Q43-'الوفيات والورثة دينمك'!$R43</f>
        <v>4112.369999999999</v>
      </c>
      <c r="T43" s="141"/>
      <c r="U43" s="141"/>
      <c r="V43" s="141">
        <f>IF(الجدول7[[#This Row],[المنح وغيرها]]-الجدول7[[#This Row],[المنصرف ]]&lt;0,0,الجدول7[[#This Row],[المنح وغيرها]]-الجدول7[[#This Row],[المنصرف ]])</f>
        <v>2521.8499999999985</v>
      </c>
      <c r="W43" s="141"/>
      <c r="X43" s="14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4112.369999999999</v>
      </c>
      <c r="Y43" s="141">
        <f>SUM(Q43:Q46)</f>
        <v>45051.11</v>
      </c>
      <c r="Z43" s="143" t="s">
        <v>162</v>
      </c>
      <c r="AB43" s="295">
        <f>SUMIF(بيان.معاشات.القاهرة[الإسم],'الوفيات والورثة دينمك'!D43:D160,بيان.معاشات.القاهرة[المتبقي])</f>
        <v>25551.160000000003</v>
      </c>
    </row>
    <row r="44" spans="3:28" ht="23.25" customHeight="1" x14ac:dyDescent="0.35">
      <c r="C44" s="330"/>
      <c r="D44" s="333"/>
      <c r="E44" s="330"/>
      <c r="F44" s="330"/>
      <c r="G44" s="330"/>
      <c r="H44" s="330"/>
      <c r="I44" s="330"/>
      <c r="J44" s="330"/>
      <c r="K44" s="330"/>
      <c r="L44" s="141" t="s">
        <v>163</v>
      </c>
      <c r="M44" s="141" t="s">
        <v>124</v>
      </c>
      <c r="N44" s="141"/>
      <c r="O44" s="141">
        <v>6152.55</v>
      </c>
      <c r="P44" s="141">
        <v>5566.83</v>
      </c>
      <c r="Q44" s="141">
        <f>SUM('الوفيات والورثة دينمك'!$N44:$P44)</f>
        <v>11719.380000000001</v>
      </c>
      <c r="R44" s="141"/>
      <c r="S44" s="141">
        <f>'الوفيات والورثة دينمك'!$Q44-'الوفيات والورثة دينمك'!$R44</f>
        <v>11719.380000000001</v>
      </c>
      <c r="T44" s="141"/>
      <c r="U44" s="141"/>
      <c r="V44" s="141">
        <f>IF(الجدول7[[#This Row],[المنح وغيرها]]-الجدول7[[#This Row],[المنصرف ]]&lt;0,0,الجدول7[[#This Row],[المنح وغيرها]]-الجدول7[[#This Row],[المنصرف ]])</f>
        <v>6152.55</v>
      </c>
      <c r="W44" s="141"/>
      <c r="X44" s="14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5566.83</v>
      </c>
      <c r="Y44" s="141">
        <f>SUM(R43:R46)</f>
        <v>17500</v>
      </c>
      <c r="Z44" s="143" t="s">
        <v>129</v>
      </c>
      <c r="AB44" s="295"/>
    </row>
    <row r="45" spans="3:28" ht="23.25" customHeight="1" x14ac:dyDescent="0.35">
      <c r="C45" s="330"/>
      <c r="D45" s="333"/>
      <c r="E45" s="330"/>
      <c r="F45" s="330"/>
      <c r="G45" s="330"/>
      <c r="H45" s="330"/>
      <c r="I45" s="330"/>
      <c r="J45" s="330"/>
      <c r="K45" s="330"/>
      <c r="L45" s="141" t="s">
        <v>164</v>
      </c>
      <c r="M45" s="141" t="s">
        <v>121</v>
      </c>
      <c r="N45" s="141"/>
      <c r="O45" s="141">
        <v>3076.27</v>
      </c>
      <c r="P45" s="141">
        <v>2783.41</v>
      </c>
      <c r="Q45" s="141">
        <f>SUM('الوفيات والورثة دينمك'!$N45:$P45)</f>
        <v>5859.68</v>
      </c>
      <c r="R45" s="141"/>
      <c r="S45" s="141">
        <f>'الوفيات والورثة دينمك'!$Q45-'الوفيات والورثة دينمك'!$R45</f>
        <v>5859.68</v>
      </c>
      <c r="T45" s="141"/>
      <c r="U45" s="141"/>
      <c r="V45" s="141">
        <f>IF(الجدول7[[#This Row],[المنح وغيرها]]-الجدول7[[#This Row],[المنصرف ]]&lt;0,0,الجدول7[[#This Row],[المنح وغيرها]]-الجدول7[[#This Row],[المنصرف ]])</f>
        <v>3076.27</v>
      </c>
      <c r="W45" s="141"/>
      <c r="X45" s="14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2783.41</v>
      </c>
      <c r="Y45" s="141">
        <f>Y43-Y44</f>
        <v>27551.11</v>
      </c>
      <c r="Z45" s="143" t="s">
        <v>7</v>
      </c>
      <c r="AB45" s="295"/>
    </row>
    <row r="46" spans="3:28" ht="23.25" customHeight="1" x14ac:dyDescent="0.35">
      <c r="C46" s="331"/>
      <c r="D46" s="334"/>
      <c r="E46" s="331"/>
      <c r="F46" s="331"/>
      <c r="G46" s="331"/>
      <c r="H46" s="331"/>
      <c r="I46" s="331"/>
      <c r="J46" s="331"/>
      <c r="K46" s="331"/>
      <c r="L46" s="141" t="s">
        <v>165</v>
      </c>
      <c r="M46" s="141" t="s">
        <v>121</v>
      </c>
      <c r="N46" s="141"/>
      <c r="O46" s="141">
        <v>3076.27</v>
      </c>
      <c r="P46" s="141">
        <v>2783.41</v>
      </c>
      <c r="Q46" s="141">
        <f>SUM('الوفيات والورثة دينمك'!$N46:$P46)</f>
        <v>5859.68</v>
      </c>
      <c r="R46" s="141"/>
      <c r="S46" s="141">
        <f>'الوفيات والورثة دينمك'!$Q46-'الوفيات والورثة دينمك'!$R46</f>
        <v>5859.68</v>
      </c>
      <c r="T46" s="141"/>
      <c r="U46" s="141"/>
      <c r="V46" s="141">
        <f>IF(الجدول7[[#This Row],[المنح وغيرها]]-الجدول7[[#This Row],[المنصرف ]]&lt;0,0,الجدول7[[#This Row],[المنح وغيرها]]-الجدول7[[#This Row],[المنصرف ]])</f>
        <v>3076.27</v>
      </c>
      <c r="W46" s="141"/>
      <c r="X46" s="14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2783.41</v>
      </c>
      <c r="Y46" s="141"/>
      <c r="Z46" s="143"/>
      <c r="AB46" s="295"/>
    </row>
    <row r="47" spans="3:28" ht="23.25" customHeight="1" x14ac:dyDescent="0.35">
      <c r="C47" s="299">
        <v>10</v>
      </c>
      <c r="D47" s="320" t="s">
        <v>82</v>
      </c>
      <c r="E47" s="299">
        <v>14</v>
      </c>
      <c r="F47" s="299" t="s">
        <v>227</v>
      </c>
      <c r="G47" s="299"/>
      <c r="H47" s="299">
        <v>26604.59</v>
      </c>
      <c r="I47" s="299">
        <v>10019.700000000001</v>
      </c>
      <c r="J47" s="299">
        <v>36624.29</v>
      </c>
      <c r="K47" s="299">
        <f>SUMIF(بيان.معاشات.القاهرة[الإسم],'الوفيات والورثة دينمك'!D47:D163,بيان.معاشات.القاهرة[المنصرف])</f>
        <v>31380.47</v>
      </c>
      <c r="L47" s="121" t="s">
        <v>132</v>
      </c>
      <c r="M47" s="121" t="s">
        <v>119</v>
      </c>
      <c r="N47" s="121"/>
      <c r="O47" s="121">
        <v>4578.04</v>
      </c>
      <c r="P47" s="121"/>
      <c r="Q47" s="121">
        <f>SUM('الوفيات والورثة دينمك'!$N47:$P47)</f>
        <v>4578.04</v>
      </c>
      <c r="R47" s="121">
        <v>4578.04</v>
      </c>
      <c r="S47" s="121">
        <f>'الوفيات والورثة دينمك'!$Q47-'الوفيات والورثة دينمك'!$R47</f>
        <v>0</v>
      </c>
      <c r="T47" s="121"/>
      <c r="U47" s="121"/>
      <c r="V47" s="121">
        <f>IF(الجدول7[[#This Row],[المنح وغيرها]]-الجدول7[[#This Row],[المنصرف ]]&lt;0,0,الجدول7[[#This Row],[المنح وغيرها]]-الجدول7[[#This Row],[المنصرف ]])</f>
        <v>0</v>
      </c>
      <c r="W47" s="121"/>
      <c r="X47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47" s="121">
        <f>SUM(Q47:Q51)</f>
        <v>36624.29</v>
      </c>
      <c r="Z47" s="122" t="s">
        <v>127</v>
      </c>
      <c r="AB47" s="295">
        <f>SUMIF(بيان.معاشات.القاهرة[الإسم],'الوفيات والورثة دينمك'!D47:D164,بيان.معاشات.القاهرة[المتبقي])</f>
        <v>5243.82</v>
      </c>
    </row>
    <row r="48" spans="3:28" ht="23.25" customHeight="1" x14ac:dyDescent="0.35">
      <c r="C48" s="290"/>
      <c r="D48" s="309"/>
      <c r="E48" s="290"/>
      <c r="F48" s="290"/>
      <c r="G48" s="290"/>
      <c r="H48" s="290"/>
      <c r="I48" s="290"/>
      <c r="J48" s="290"/>
      <c r="K48" s="290"/>
      <c r="L48" s="121" t="s">
        <v>133</v>
      </c>
      <c r="M48" s="121" t="s">
        <v>124</v>
      </c>
      <c r="N48" s="121"/>
      <c r="O48" s="121">
        <v>9156.07</v>
      </c>
      <c r="P48" s="121"/>
      <c r="Q48" s="121">
        <f>SUM('الوفيات والورثة دينمك'!$N48:$P48)</f>
        <v>9156.07</v>
      </c>
      <c r="R48" s="121">
        <f>7904.35+500+751.72</f>
        <v>9156.07</v>
      </c>
      <c r="S48" s="121">
        <f>'الوفيات والورثة دينمك'!$Q48-'الوفيات والورثة دينمك'!$R48</f>
        <v>0</v>
      </c>
      <c r="T48" s="121"/>
      <c r="U48" s="121"/>
      <c r="V48" s="121">
        <f>IF(الجدول7[[#This Row],[المنح وغيرها]]-الجدول7[[#This Row],[المنصرف ]]&lt;0,0,الجدول7[[#This Row],[المنح وغيرها]]-الجدول7[[#This Row],[المنصرف ]])</f>
        <v>0</v>
      </c>
      <c r="W48" s="121"/>
      <c r="X48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48" s="121">
        <f>SUM(R47:R51)</f>
        <v>29380.47</v>
      </c>
      <c r="Z48" s="122" t="s">
        <v>129</v>
      </c>
      <c r="AB48" s="295"/>
    </row>
    <row r="49" spans="3:28" ht="23.25" customHeight="1" x14ac:dyDescent="0.35">
      <c r="C49" s="290"/>
      <c r="D49" s="309"/>
      <c r="E49" s="290"/>
      <c r="F49" s="290"/>
      <c r="G49" s="290"/>
      <c r="H49" s="290"/>
      <c r="I49" s="290"/>
      <c r="J49" s="290"/>
      <c r="K49" s="290"/>
      <c r="L49" s="121" t="s">
        <v>134</v>
      </c>
      <c r="M49" s="121" t="s">
        <v>124</v>
      </c>
      <c r="N49" s="121"/>
      <c r="O49" s="121">
        <v>9156.07</v>
      </c>
      <c r="P49" s="121"/>
      <c r="Q49" s="121">
        <f>SUM('الوفيات والورثة دينمك'!$N49:$P49)</f>
        <v>9156.07</v>
      </c>
      <c r="R49" s="121">
        <v>9156.07</v>
      </c>
      <c r="S49" s="121">
        <f>'الوفيات والورثة دينمك'!$Q49-'الوفيات والورثة دينمك'!$R49</f>
        <v>0</v>
      </c>
      <c r="T49" s="121"/>
      <c r="U49" s="121"/>
      <c r="V49" s="121">
        <f>IF(الجدول7[[#This Row],[المنح وغيرها]]-الجدول7[[#This Row],[المنصرف ]]&lt;0,0,الجدول7[[#This Row],[المنح وغيرها]]-الجدول7[[#This Row],[المنصرف ]])</f>
        <v>0</v>
      </c>
      <c r="W49" s="121"/>
      <c r="X49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49" s="121">
        <f>Y47-Y48</f>
        <v>7243.82</v>
      </c>
      <c r="Z49" s="122" t="s">
        <v>7</v>
      </c>
      <c r="AB49" s="295"/>
    </row>
    <row r="50" spans="3:28" ht="23.25" customHeight="1" x14ac:dyDescent="0.35">
      <c r="C50" s="290"/>
      <c r="D50" s="309"/>
      <c r="E50" s="290"/>
      <c r="F50" s="290"/>
      <c r="G50" s="290"/>
      <c r="H50" s="290"/>
      <c r="I50" s="290"/>
      <c r="J50" s="290"/>
      <c r="K50" s="290"/>
      <c r="L50" s="121" t="s">
        <v>135</v>
      </c>
      <c r="M50" s="121" t="s">
        <v>124</v>
      </c>
      <c r="N50" s="121"/>
      <c r="O50" s="121">
        <v>9156.07</v>
      </c>
      <c r="P50" s="121"/>
      <c r="Q50" s="121">
        <f>SUM('الوفيات والورثة دينمك'!$N50:$P50)</f>
        <v>9156.07</v>
      </c>
      <c r="R50" s="121">
        <f>663.97+248.28+1000</f>
        <v>1912.25</v>
      </c>
      <c r="S50" s="121">
        <f>'الوفيات والورثة دينمك'!$Q50-'الوفيات والورثة دينمك'!$R50</f>
        <v>7243.82</v>
      </c>
      <c r="T50" s="121"/>
      <c r="U50" s="121"/>
      <c r="V50" s="121">
        <f>IF(الجدول7[[#This Row],[المنح وغيرها]]-الجدول7[[#This Row],[المنصرف ]]&lt;0,0,الجدول7[[#This Row],[المنح وغيرها]]-الجدول7[[#This Row],[المنصرف ]])</f>
        <v>7243.82</v>
      </c>
      <c r="W50" s="121"/>
      <c r="X50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7243.82</v>
      </c>
      <c r="Y50" s="121"/>
      <c r="Z50" s="122"/>
      <c r="AB50" s="295"/>
    </row>
    <row r="51" spans="3:28" ht="23.25" customHeight="1" x14ac:dyDescent="0.35">
      <c r="C51" s="291"/>
      <c r="D51" s="310"/>
      <c r="E51" s="291"/>
      <c r="F51" s="291"/>
      <c r="G51" s="291"/>
      <c r="H51" s="291"/>
      <c r="I51" s="291"/>
      <c r="J51" s="291"/>
      <c r="K51" s="291"/>
      <c r="L51" s="121" t="s">
        <v>136</v>
      </c>
      <c r="M51" s="121" t="s">
        <v>121</v>
      </c>
      <c r="N51" s="121"/>
      <c r="O51" s="121">
        <v>4578.04</v>
      </c>
      <c r="P51" s="121"/>
      <c r="Q51" s="121">
        <f>SUM('الوفيات والورثة دينمك'!$N51:$P51)</f>
        <v>4578.04</v>
      </c>
      <c r="R51" s="121">
        <v>4578.04</v>
      </c>
      <c r="S51" s="121">
        <f>'الوفيات والورثة دينمك'!$Q51-'الوفيات والورثة دينمك'!$R51</f>
        <v>0</v>
      </c>
      <c r="T51" s="121"/>
      <c r="U51" s="121"/>
      <c r="V51" s="121">
        <f>IF(الجدول7[[#This Row],[المنح وغيرها]]-الجدول7[[#This Row],[المنصرف ]]&lt;0,0,الجدول7[[#This Row],[المنح وغيرها]]-الجدول7[[#This Row],[المنصرف ]])</f>
        <v>0</v>
      </c>
      <c r="W51" s="121"/>
      <c r="X51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51" s="121"/>
      <c r="Z51" s="122"/>
      <c r="AB51" s="295"/>
    </row>
    <row r="52" spans="3:28" ht="23.25" customHeight="1" x14ac:dyDescent="0.35">
      <c r="C52" s="335">
        <v>11</v>
      </c>
      <c r="D52" s="338" t="s">
        <v>79</v>
      </c>
      <c r="E52" s="335">
        <v>15</v>
      </c>
      <c r="F52" s="335" t="s">
        <v>227</v>
      </c>
      <c r="G52" s="335"/>
      <c r="H52" s="335">
        <v>19685.440000000002</v>
      </c>
      <c r="I52" s="335">
        <v>7127.68</v>
      </c>
      <c r="J52" s="335">
        <v>26813.120000000003</v>
      </c>
      <c r="K52" s="335">
        <f>SUMIF(بيان.معاشات.القاهرة[الإسم],'الوفيات والورثة دينمك'!D52:D168,بيان.معاشات.القاهرة[المنصرف])</f>
        <v>21227.05</v>
      </c>
      <c r="L52" s="138" t="s">
        <v>137</v>
      </c>
      <c r="M52" s="138" t="s">
        <v>126</v>
      </c>
      <c r="N52" s="138"/>
      <c r="O52" s="138">
        <v>3280.9</v>
      </c>
      <c r="P52" s="138">
        <v>1187.95</v>
      </c>
      <c r="Q52" s="138">
        <f>SUM('الوفيات والورثة دينمك'!$N52:$P52)</f>
        <v>4468.8500000000004</v>
      </c>
      <c r="R52" s="138"/>
      <c r="S52" s="138">
        <f>'الوفيات والورثة دينمك'!$Q52-'الوفيات والورثة دينمك'!$R52</f>
        <v>4468.8500000000004</v>
      </c>
      <c r="T52" s="138"/>
      <c r="U52" s="138"/>
      <c r="V52" s="138">
        <f>IF(الجدول7[[#This Row],[المنح وغيرها]]-الجدول7[[#This Row],[المنصرف ]]&lt;0,0,الجدول7[[#This Row],[المنح وغيرها]]-الجدول7[[#This Row],[المنصرف ]])</f>
        <v>3280.9</v>
      </c>
      <c r="W52" s="138"/>
      <c r="X52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1187.95</v>
      </c>
      <c r="Y52" s="138"/>
      <c r="Z52" s="140"/>
      <c r="AB52" s="295">
        <f>SUMIF(بيان.معاشات.القاهرة[الإسم],'الوفيات والورثة دينمك'!D52:D169,بيان.معاشات.القاهرة[المتبقي])</f>
        <v>5586.07</v>
      </c>
    </row>
    <row r="53" spans="3:28" ht="23.25" customHeight="1" x14ac:dyDescent="0.35">
      <c r="C53" s="336"/>
      <c r="D53" s="339"/>
      <c r="E53" s="336"/>
      <c r="F53" s="336"/>
      <c r="G53" s="336"/>
      <c r="H53" s="336"/>
      <c r="I53" s="336"/>
      <c r="J53" s="336"/>
      <c r="K53" s="336"/>
      <c r="L53" s="138" t="s">
        <v>138</v>
      </c>
      <c r="M53" s="138" t="s">
        <v>119</v>
      </c>
      <c r="N53" s="138"/>
      <c r="O53" s="138">
        <v>2460.6799999999998</v>
      </c>
      <c r="P53" s="138">
        <v>890.96</v>
      </c>
      <c r="Q53" s="138">
        <f>SUM('الوفيات والورثة دينمك'!$N53:$P53)</f>
        <v>3351.64</v>
      </c>
      <c r="R53" s="138">
        <v>3351.64</v>
      </c>
      <c r="S53" s="138">
        <f>'الوفيات والورثة دينمك'!$Q53-'الوفيات والورثة دينمك'!$R53</f>
        <v>0</v>
      </c>
      <c r="T53" s="138"/>
      <c r="U53" s="138"/>
      <c r="V53" s="138">
        <f>IF(الجدول7[[#This Row],[المنح وغيرها]]-الجدول7[[#This Row],[المنصرف ]]&lt;0,0,الجدول7[[#This Row],[المنح وغيرها]]-الجدول7[[#This Row],[المنصرف ]])</f>
        <v>0</v>
      </c>
      <c r="W53" s="138"/>
      <c r="X53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53" s="138">
        <f>SUM(Q52:Q57)</f>
        <v>26813.120000000003</v>
      </c>
      <c r="Z53" s="140" t="s">
        <v>127</v>
      </c>
      <c r="AB53" s="295"/>
    </row>
    <row r="54" spans="3:28" ht="23.25" customHeight="1" x14ac:dyDescent="0.35">
      <c r="C54" s="336"/>
      <c r="D54" s="339"/>
      <c r="E54" s="336"/>
      <c r="F54" s="336"/>
      <c r="G54" s="336"/>
      <c r="H54" s="336"/>
      <c r="I54" s="336"/>
      <c r="J54" s="336"/>
      <c r="K54" s="336"/>
      <c r="L54" s="138" t="s">
        <v>139</v>
      </c>
      <c r="M54" s="138" t="s">
        <v>121</v>
      </c>
      <c r="N54" s="138"/>
      <c r="O54" s="138">
        <v>4374.54</v>
      </c>
      <c r="P54" s="138">
        <v>1583.93</v>
      </c>
      <c r="Q54" s="138">
        <f>SUM('الوفيات والورثة دينمك'!$N54:$P54)</f>
        <v>5958.47</v>
      </c>
      <c r="R54" s="138">
        <v>5958.4699999999993</v>
      </c>
      <c r="S54" s="138">
        <f>'الوفيات والورثة دينمك'!$Q54-'الوفيات والورثة دينمك'!$R54</f>
        <v>0</v>
      </c>
      <c r="T54" s="138"/>
      <c r="U54" s="138"/>
      <c r="V54" s="138">
        <f>IF(الجدول7[[#This Row],[المنح وغيرها]]-الجدول7[[#This Row],[المنصرف ]]&lt;0,0,الجدول7[[#This Row],[المنح وغيرها]]-الجدول7[[#This Row],[المنصرف ]])</f>
        <v>0</v>
      </c>
      <c r="W54" s="138"/>
      <c r="X54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54" s="138">
        <f>SUM(R52:R57)</f>
        <v>21227.049999999996</v>
      </c>
      <c r="Z54" s="140" t="s">
        <v>129</v>
      </c>
      <c r="AB54" s="295"/>
    </row>
    <row r="55" spans="3:28" ht="23.25" customHeight="1" x14ac:dyDescent="0.35">
      <c r="C55" s="336"/>
      <c r="D55" s="339"/>
      <c r="E55" s="336"/>
      <c r="F55" s="336"/>
      <c r="G55" s="336"/>
      <c r="H55" s="336"/>
      <c r="I55" s="336"/>
      <c r="J55" s="336"/>
      <c r="K55" s="336"/>
      <c r="L55" s="138" t="s">
        <v>140</v>
      </c>
      <c r="M55" s="138" t="s">
        <v>121</v>
      </c>
      <c r="N55" s="138"/>
      <c r="O55" s="138">
        <v>4374.54</v>
      </c>
      <c r="P55" s="138">
        <v>1583.93</v>
      </c>
      <c r="Q55" s="138">
        <f>SUM('الوفيات والورثة دينمك'!$N55:$P55)</f>
        <v>5958.47</v>
      </c>
      <c r="R55" s="138">
        <v>5958.47</v>
      </c>
      <c r="S55" s="138">
        <f>'الوفيات والورثة دينمك'!$Q55-'الوفيات والورثة دينمك'!$R55</f>
        <v>0</v>
      </c>
      <c r="T55" s="138"/>
      <c r="U55" s="138"/>
      <c r="V55" s="138">
        <f>IF(الجدول7[[#This Row],[المنح وغيرها]]-الجدول7[[#This Row],[المنصرف ]]&lt;0,0,الجدول7[[#This Row],[المنح وغيرها]]-الجدول7[[#This Row],[المنصرف ]])</f>
        <v>0</v>
      </c>
      <c r="W55" s="138"/>
      <c r="X55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55" s="138">
        <f>Y53-Y54</f>
        <v>5586.070000000007</v>
      </c>
      <c r="Z55" s="140" t="s">
        <v>7</v>
      </c>
      <c r="AB55" s="295"/>
    </row>
    <row r="56" spans="3:28" ht="23.25" customHeight="1" x14ac:dyDescent="0.35">
      <c r="C56" s="336"/>
      <c r="D56" s="339"/>
      <c r="E56" s="336"/>
      <c r="F56" s="336"/>
      <c r="G56" s="336"/>
      <c r="H56" s="336"/>
      <c r="I56" s="336"/>
      <c r="J56" s="336"/>
      <c r="K56" s="336"/>
      <c r="L56" s="138" t="s">
        <v>141</v>
      </c>
      <c r="M56" s="138" t="s">
        <v>121</v>
      </c>
      <c r="N56" s="138"/>
      <c r="O56" s="138">
        <v>4374.54</v>
      </c>
      <c r="P56" s="138">
        <v>1583.93</v>
      </c>
      <c r="Q56" s="138">
        <f>SUM('الوفيات والورثة دينمك'!$N56:$P56)</f>
        <v>5958.47</v>
      </c>
      <c r="R56" s="138">
        <v>5958.4699999999993</v>
      </c>
      <c r="S56" s="138">
        <f>'الوفيات والورثة دينمك'!$Q56-'الوفيات والورثة دينمك'!$R56</f>
        <v>0</v>
      </c>
      <c r="T56" s="138"/>
      <c r="U56" s="138"/>
      <c r="V56" s="138">
        <f>IF(الجدول7[[#This Row],[المنح وغيرها]]-الجدول7[[#This Row],[المنصرف ]]&lt;0,0,الجدول7[[#This Row],[المنح وغيرها]]-الجدول7[[#This Row],[المنصرف ]])</f>
        <v>0</v>
      </c>
      <c r="W56" s="138"/>
      <c r="X56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56" s="138"/>
      <c r="Z56" s="140"/>
      <c r="AB56" s="295"/>
    </row>
    <row r="57" spans="3:28" ht="23.25" customHeight="1" x14ac:dyDescent="0.35">
      <c r="C57" s="337"/>
      <c r="D57" s="340"/>
      <c r="E57" s="337"/>
      <c r="F57" s="337"/>
      <c r="G57" s="337"/>
      <c r="H57" s="337"/>
      <c r="I57" s="337"/>
      <c r="J57" s="337"/>
      <c r="K57" s="337"/>
      <c r="L57" s="138" t="s">
        <v>142</v>
      </c>
      <c r="M57" s="138" t="s">
        <v>143</v>
      </c>
      <c r="N57" s="138"/>
      <c r="O57" s="138">
        <v>820.23</v>
      </c>
      <c r="P57" s="138">
        <v>296.99</v>
      </c>
      <c r="Q57" s="138">
        <f>SUM('الوفيات والورثة دينمك'!$N57:$P57)</f>
        <v>1117.22</v>
      </c>
      <c r="R57" s="138"/>
      <c r="S57" s="138">
        <f>'الوفيات والورثة دينمك'!$Q57-'الوفيات والورثة دينمك'!$R57</f>
        <v>1117.22</v>
      </c>
      <c r="T57" s="138"/>
      <c r="U57" s="138"/>
      <c r="V57" s="138">
        <f>IF(الجدول7[[#This Row],[المنح وغيرها]]-الجدول7[[#This Row],[المنصرف ]]&lt;0,0,الجدول7[[#This Row],[المنح وغيرها]]-الجدول7[[#This Row],[المنصرف ]])</f>
        <v>820.23</v>
      </c>
      <c r="W57" s="138"/>
      <c r="X57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296.99</v>
      </c>
      <c r="Y57" s="138"/>
      <c r="Z57" s="140"/>
      <c r="AB57" s="295"/>
    </row>
    <row r="58" spans="3:28" ht="23.25" customHeight="1" x14ac:dyDescent="0.35">
      <c r="C58" s="344">
        <v>12</v>
      </c>
      <c r="D58" s="347" t="s">
        <v>236</v>
      </c>
      <c r="E58" s="344">
        <v>17</v>
      </c>
      <c r="F58" s="344" t="s">
        <v>227</v>
      </c>
      <c r="G58" s="344">
        <v>16681.05</v>
      </c>
      <c r="H58" s="344">
        <v>21572.579999999998</v>
      </c>
      <c r="I58" s="344">
        <v>11600.1</v>
      </c>
      <c r="J58" s="344">
        <v>49853.729999999996</v>
      </c>
      <c r="K58" s="344">
        <f>SUMIF(بيان.معاشات.القاهرة[الإسم],'الوفيات والورثة دينمك'!D58:D174,بيان.معاشات.القاهرة[المنصرف])</f>
        <v>18181.05</v>
      </c>
      <c r="L58" s="125" t="s">
        <v>240</v>
      </c>
      <c r="M58" s="125" t="s">
        <v>119</v>
      </c>
      <c r="N58" s="125">
        <v>16681.05</v>
      </c>
      <c r="O58" s="125">
        <v>4261.0200000000004</v>
      </c>
      <c r="P58" s="125">
        <v>1450.02</v>
      </c>
      <c r="Q58" s="125">
        <f>SUM('الوفيات والورثة دينمك'!$N58:$P58)</f>
        <v>22392.09</v>
      </c>
      <c r="R58" s="125">
        <f>9181.05+1000+2000+2000+2000+2000</f>
        <v>18181.05</v>
      </c>
      <c r="S58" s="125">
        <f>'الوفيات والورثة دينمك'!$Q58-'الوفيات والورثة دينمك'!$R58</f>
        <v>4211.0400000000009</v>
      </c>
      <c r="T58" s="125"/>
      <c r="U58" s="125"/>
      <c r="V58" s="125">
        <f>IF(الجدول7[[#This Row],[المنح وغيرها]]-الجدول7[[#This Row],[المنصرف ]]&lt;0,0,الجدول7[[#This Row],[المنح وغيرها]]-الجدول7[[#This Row],[المنصرف ]])</f>
        <v>0</v>
      </c>
      <c r="W58" s="125"/>
      <c r="X58" s="108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4211.0400000000009</v>
      </c>
      <c r="Y58" s="125">
        <f>SUM(Q58:Q60)</f>
        <v>49853.73000000001</v>
      </c>
      <c r="Z58" s="126" t="s">
        <v>127</v>
      </c>
      <c r="AB58" s="295">
        <f>SUMIF(بيان.معاشات.القاهرة[الإسم],'الوفيات والورثة دينمك'!D58:D175,بيان.معاشات.القاهرة[المتبقي])</f>
        <v>31672.680000000004</v>
      </c>
    </row>
    <row r="59" spans="3:28" ht="23.25" customHeight="1" x14ac:dyDescent="0.35">
      <c r="C59" s="345"/>
      <c r="D59" s="348"/>
      <c r="E59" s="345"/>
      <c r="F59" s="345"/>
      <c r="G59" s="345"/>
      <c r="H59" s="345"/>
      <c r="I59" s="345"/>
      <c r="J59" s="345"/>
      <c r="K59" s="345"/>
      <c r="L59" s="125" t="s">
        <v>241</v>
      </c>
      <c r="M59" s="125" t="s">
        <v>124</v>
      </c>
      <c r="N59" s="125">
        <v>0</v>
      </c>
      <c r="O59" s="125">
        <v>11541.04</v>
      </c>
      <c r="P59" s="125">
        <v>6766.72</v>
      </c>
      <c r="Q59" s="125">
        <f>SUM('الوفيات والورثة دينمك'!$N59:$P59)</f>
        <v>18307.760000000002</v>
      </c>
      <c r="R59" s="125"/>
      <c r="S59" s="125">
        <f>'الوفيات والورثة دينمك'!$Q59-'الوفيات والورثة دينمك'!$R59</f>
        <v>18307.760000000002</v>
      </c>
      <c r="T59" s="125"/>
      <c r="U59" s="125"/>
      <c r="V59" s="125">
        <f>IF(الجدول7[[#This Row],[المنح وغيرها]]-الجدول7[[#This Row],[المنصرف ]]&lt;0,0,الجدول7[[#This Row],[المنح وغيرها]]-الجدول7[[#This Row],[المنصرف ]])</f>
        <v>11541.04</v>
      </c>
      <c r="W59" s="125"/>
      <c r="X59" s="108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6766.72</v>
      </c>
      <c r="Y59" s="125">
        <f>SUM(R58:R60)</f>
        <v>18181.05</v>
      </c>
      <c r="Z59" s="126" t="s">
        <v>129</v>
      </c>
      <c r="AB59" s="295"/>
    </row>
    <row r="60" spans="3:28" ht="23.25" customHeight="1" x14ac:dyDescent="0.35">
      <c r="C60" s="346"/>
      <c r="D60" s="349"/>
      <c r="E60" s="346"/>
      <c r="F60" s="346"/>
      <c r="G60" s="346"/>
      <c r="H60" s="346"/>
      <c r="I60" s="346"/>
      <c r="J60" s="346"/>
      <c r="K60" s="346"/>
      <c r="L60" s="125" t="s">
        <v>242</v>
      </c>
      <c r="M60" s="125" t="s">
        <v>121</v>
      </c>
      <c r="N60" s="125">
        <v>0</v>
      </c>
      <c r="O60" s="125">
        <v>5770.52</v>
      </c>
      <c r="P60" s="125">
        <v>3383.36</v>
      </c>
      <c r="Q60" s="125">
        <f>SUM('الوفيات والورثة دينمك'!$N60:$P60)</f>
        <v>9153.880000000001</v>
      </c>
      <c r="R60" s="125"/>
      <c r="S60" s="125">
        <f>'الوفيات والورثة دينمك'!$Q60-'الوفيات والورثة دينمك'!$R60</f>
        <v>9153.880000000001</v>
      </c>
      <c r="T60" s="125"/>
      <c r="U60" s="125"/>
      <c r="V60" s="125">
        <f>IF(الجدول7[[#This Row],[المنح وغيرها]]-الجدول7[[#This Row],[المنصرف ]]&lt;0,0,الجدول7[[#This Row],[المنح وغيرها]]-الجدول7[[#This Row],[المنصرف ]])</f>
        <v>5770.52</v>
      </c>
      <c r="W60" s="125"/>
      <c r="X60" s="108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3383.36</v>
      </c>
      <c r="Y60" s="125">
        <f>Y58-Y59</f>
        <v>31672.680000000011</v>
      </c>
      <c r="Z60" s="126" t="s">
        <v>7</v>
      </c>
      <c r="AB60" s="295"/>
    </row>
    <row r="61" spans="3:28" ht="23.25" customHeight="1" x14ac:dyDescent="0.35">
      <c r="C61" s="299">
        <v>13</v>
      </c>
      <c r="D61" s="320" t="s">
        <v>244</v>
      </c>
      <c r="E61" s="299">
        <v>18</v>
      </c>
      <c r="F61" s="299" t="s">
        <v>227</v>
      </c>
      <c r="G61" s="299">
        <v>17094.75</v>
      </c>
      <c r="H61" s="299">
        <v>22785.47</v>
      </c>
      <c r="I61" s="299">
        <v>15399.9</v>
      </c>
      <c r="J61" s="299">
        <v>55280.12</v>
      </c>
      <c r="K61" s="299">
        <f>SUMIF(بيان.معاشات.القاهرة[الإسم],'الوفيات والورثة دينمك'!D61:D177,بيان.معاشات.القاهرة[المنصرف])</f>
        <v>13000</v>
      </c>
      <c r="L61" s="121" t="s">
        <v>246</v>
      </c>
      <c r="M61" s="121" t="s">
        <v>119</v>
      </c>
      <c r="N61" s="121">
        <v>17094.75</v>
      </c>
      <c r="O61" s="121">
        <f>4752.34+989.21</f>
        <v>5741.55</v>
      </c>
      <c r="P61" s="121">
        <v>1924.99</v>
      </c>
      <c r="Q61" s="121">
        <f>SUM('الوفيات والورثة دينمك'!$N61:$P61)</f>
        <v>24761.29</v>
      </c>
      <c r="R61" s="121">
        <f>2500+2000+2000+2000+2500</f>
        <v>11000</v>
      </c>
      <c r="S61" s="121">
        <f>'الوفيات والورثة دينمك'!$Q61-'الوفيات والورثة دينمك'!$R61</f>
        <v>13761.29</v>
      </c>
      <c r="T61" s="121"/>
      <c r="U61" s="121"/>
      <c r="V61" s="121">
        <f>IF(الجدول7[[#This Row],[المنح وغيرها]]-الجدول7[[#This Row],[المنصرف ]]&lt;0,0,الجدول7[[#This Row],[المنح وغيرها]]-الجدول7[[#This Row],[المنصرف ]])</f>
        <v>0</v>
      </c>
      <c r="W61" s="121"/>
      <c r="X61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13761.29</v>
      </c>
      <c r="Y61" s="121">
        <f>SUM(Q61:Q63)</f>
        <v>63193.83</v>
      </c>
      <c r="Z61" s="122" t="s">
        <v>127</v>
      </c>
      <c r="AB61" s="295">
        <f>SUMIF(بيان.معاشات.القاهرة[الإسم],'الوفيات والورثة دينمك'!D61:D178,بيان.معاشات.القاهرة[المتبقي])</f>
        <v>50193.829999999994</v>
      </c>
    </row>
    <row r="62" spans="3:28" ht="23.25" customHeight="1" x14ac:dyDescent="0.35">
      <c r="C62" s="290"/>
      <c r="D62" s="309"/>
      <c r="E62" s="290"/>
      <c r="F62" s="290"/>
      <c r="G62" s="290"/>
      <c r="H62" s="290"/>
      <c r="I62" s="290"/>
      <c r="J62" s="290"/>
      <c r="K62" s="290"/>
      <c r="L62" s="121" t="s">
        <v>247</v>
      </c>
      <c r="M62" s="121" t="s">
        <v>124</v>
      </c>
      <c r="N62" s="121">
        <v>0</v>
      </c>
      <c r="O62" s="121">
        <f>9016.56+3462.25</f>
        <v>12478.81</v>
      </c>
      <c r="P62" s="121">
        <v>6737.46</v>
      </c>
      <c r="Q62" s="121">
        <f>SUM('الوفيات والورثة دينمك'!$N62:$P62)</f>
        <v>19216.27</v>
      </c>
      <c r="R62" s="121"/>
      <c r="S62" s="121">
        <f>'الوفيات والورثة دينمك'!$Q62-'الوفيات والورثة دينمك'!$R62</f>
        <v>19216.27</v>
      </c>
      <c r="T62" s="121"/>
      <c r="U62" s="121"/>
      <c r="V62" s="121">
        <f>IF(الجدول7[[#This Row],[المنح وغيرها]]-الجدول7[[#This Row],[المنصرف ]]&lt;0,0,الجدول7[[#This Row],[المنح وغيرها]]-الجدول7[[#This Row],[المنصرف ]])</f>
        <v>12478.81</v>
      </c>
      <c r="W62" s="121"/>
      <c r="X62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6737.46</v>
      </c>
      <c r="Y62" s="121">
        <f>SUM(R61:R63)</f>
        <v>11000</v>
      </c>
      <c r="Z62" s="122" t="s">
        <v>129</v>
      </c>
      <c r="AB62" s="295"/>
    </row>
    <row r="63" spans="3:28" ht="23.25" customHeight="1" x14ac:dyDescent="0.35">
      <c r="C63" s="291"/>
      <c r="D63" s="310"/>
      <c r="E63" s="291"/>
      <c r="F63" s="291"/>
      <c r="G63" s="291"/>
      <c r="H63" s="291"/>
      <c r="I63" s="291"/>
      <c r="J63" s="291"/>
      <c r="K63" s="291"/>
      <c r="L63" s="121" t="s">
        <v>248</v>
      </c>
      <c r="M63" s="121" t="s">
        <v>124</v>
      </c>
      <c r="N63" s="121">
        <v>0</v>
      </c>
      <c r="O63" s="121">
        <f>9016.56+3462.25</f>
        <v>12478.81</v>
      </c>
      <c r="P63" s="121">
        <v>6737.46</v>
      </c>
      <c r="Q63" s="121">
        <f>SUM('الوفيات والورثة دينمك'!$N63:$P63)</f>
        <v>19216.27</v>
      </c>
      <c r="R63" s="121"/>
      <c r="S63" s="121">
        <f>'الوفيات والورثة دينمك'!$Q63-'الوفيات والورثة دينمك'!$R63</f>
        <v>19216.27</v>
      </c>
      <c r="T63" s="121"/>
      <c r="U63" s="121"/>
      <c r="V63" s="121">
        <f>IF(الجدول7[[#This Row],[المنح وغيرها]]-الجدول7[[#This Row],[المنصرف ]]&lt;0,0,الجدول7[[#This Row],[المنح وغيرها]]-الجدول7[[#This Row],[المنصرف ]])</f>
        <v>12478.81</v>
      </c>
      <c r="W63" s="121"/>
      <c r="X63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6737.46</v>
      </c>
      <c r="Y63" s="121">
        <f>Y61-Y62</f>
        <v>52193.83</v>
      </c>
      <c r="Z63" s="122" t="s">
        <v>7</v>
      </c>
      <c r="AB63" s="295"/>
    </row>
    <row r="64" spans="3:28" ht="23.25" customHeight="1" x14ac:dyDescent="0.35">
      <c r="C64" s="305">
        <v>14</v>
      </c>
      <c r="D64" s="353" t="s">
        <v>441</v>
      </c>
      <c r="E64" s="305"/>
      <c r="F64" s="305"/>
      <c r="G64" s="305"/>
      <c r="H64" s="305"/>
      <c r="I64" s="305"/>
      <c r="J64" s="305"/>
      <c r="K64" s="305">
        <f>SUMIF(بيان.معاشات.القاهرة[الإسم],'الوفيات والورثة دينمك'!D64:D180,بيان.معاشات.القاهرة[المنصرف])</f>
        <v>5408.14</v>
      </c>
      <c r="L64" s="161" t="s">
        <v>451</v>
      </c>
      <c r="M64" s="161" t="s">
        <v>126</v>
      </c>
      <c r="N64" s="161"/>
      <c r="O64" s="161">
        <v>3567.42</v>
      </c>
      <c r="P64" s="161"/>
      <c r="Q64" s="161">
        <f>SUM('الوفيات والورثة دينمك'!$N64:$P64)</f>
        <v>3567.42</v>
      </c>
      <c r="R64" s="161"/>
      <c r="S64" s="161">
        <f>'الوفيات والورثة دينمك'!$Q64-'الوفيات والورثة دينمك'!$R64</f>
        <v>3567.42</v>
      </c>
      <c r="T64" s="161"/>
      <c r="U64" s="161"/>
      <c r="V64" s="161">
        <f>IF(الجدول7[[#This Row],[المنح وغيرها]]-الجدول7[[#This Row],[المنصرف ]]&lt;0,0,الجدول7[[#This Row],[المنح وغيرها]]-الجدول7[[#This Row],[المنصرف ]])</f>
        <v>3567.42</v>
      </c>
      <c r="W64" s="161"/>
      <c r="X64" s="16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4" s="161">
        <f>SUM(Q64:Q68)</f>
        <v>22452.47</v>
      </c>
      <c r="Z64" s="163" t="s">
        <v>127</v>
      </c>
      <c r="AB64" s="295">
        <f>SUMIF(بيان.معاشات.القاهرة[الإسم],'الوفيات والورثة دينمك'!D64:D181,بيان.معاشات.القاهرة[المتبقي])</f>
        <v>17044.320000000003</v>
      </c>
    </row>
    <row r="65" spans="3:28" ht="23.25" customHeight="1" x14ac:dyDescent="0.35">
      <c r="C65" s="306"/>
      <c r="D65" s="354"/>
      <c r="E65" s="306"/>
      <c r="F65" s="306"/>
      <c r="G65" s="306"/>
      <c r="H65" s="306"/>
      <c r="I65" s="306"/>
      <c r="J65" s="306"/>
      <c r="K65" s="306"/>
      <c r="L65" s="161" t="s">
        <v>452</v>
      </c>
      <c r="M65" s="161" t="s">
        <v>119</v>
      </c>
      <c r="N65" s="161">
        <v>1047.97</v>
      </c>
      <c r="O65" s="161">
        <f>2675.56+1684.61</f>
        <v>4360.17</v>
      </c>
      <c r="P65" s="161"/>
      <c r="Q65" s="161">
        <f>SUM('الوفيات والورثة دينمك'!$N65:$P65)</f>
        <v>5408.14</v>
      </c>
      <c r="R65" s="161">
        <v>5408.14</v>
      </c>
      <c r="S65" s="161">
        <f>'الوفيات والورثة دينمك'!$Q65-'الوفيات والورثة دينمك'!$R65</f>
        <v>0</v>
      </c>
      <c r="T65" s="161"/>
      <c r="U65" s="161"/>
      <c r="V65" s="161">
        <f>IF(الجدول7[[#This Row],[المنح وغيرها]]-الجدول7[[#This Row],[المنصرف ]]&lt;0,0,الجدول7[[#This Row],[المنح وغيرها]]-الجدول7[[#This Row],[المنصرف ]])</f>
        <v>0</v>
      </c>
      <c r="W65" s="161"/>
      <c r="X65" s="16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5" s="161">
        <f>SUM(R64:R68)</f>
        <v>5408.14</v>
      </c>
      <c r="Z65" s="163" t="s">
        <v>129</v>
      </c>
      <c r="AB65" s="295"/>
    </row>
    <row r="66" spans="3:28" ht="23.25" customHeight="1" x14ac:dyDescent="0.35">
      <c r="C66" s="306"/>
      <c r="D66" s="354"/>
      <c r="E66" s="306"/>
      <c r="F66" s="306"/>
      <c r="G66" s="306"/>
      <c r="H66" s="306"/>
      <c r="I66" s="306"/>
      <c r="J66" s="306"/>
      <c r="K66" s="306"/>
      <c r="L66" s="161" t="s">
        <v>453</v>
      </c>
      <c r="M66" s="161" t="s">
        <v>121</v>
      </c>
      <c r="N66" s="161"/>
      <c r="O66" s="161">
        <f>5053.84+5053.84</f>
        <v>10107.68</v>
      </c>
      <c r="P66" s="161"/>
      <c r="Q66" s="161">
        <f>SUM('الوفيات والورثة دينمك'!$N66:$P66)</f>
        <v>10107.68</v>
      </c>
      <c r="R66" s="161"/>
      <c r="S66" s="161">
        <f>'الوفيات والورثة دينمك'!$Q66-'الوفيات والورثة دينمك'!$R66</f>
        <v>10107.68</v>
      </c>
      <c r="T66" s="161"/>
      <c r="U66" s="161"/>
      <c r="V66" s="161">
        <f>IF(الجدول7[[#This Row],[المنح وغيرها]]-الجدول7[[#This Row],[المنصرف ]]&lt;0,0,الجدول7[[#This Row],[المنح وغيرها]]-الجدول7[[#This Row],[المنصرف ]])</f>
        <v>10107.68</v>
      </c>
      <c r="W66" s="161"/>
      <c r="X66" s="16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6" s="161">
        <f>Y64-Y65</f>
        <v>17044.330000000002</v>
      </c>
      <c r="Z66" s="163" t="s">
        <v>7</v>
      </c>
      <c r="AB66" s="295"/>
    </row>
    <row r="67" spans="3:28" ht="23.25" customHeight="1" x14ac:dyDescent="0.35">
      <c r="C67" s="306"/>
      <c r="D67" s="354"/>
      <c r="E67" s="306"/>
      <c r="F67" s="306"/>
      <c r="G67" s="306"/>
      <c r="H67" s="306"/>
      <c r="I67" s="306"/>
      <c r="J67" s="306"/>
      <c r="K67" s="306"/>
      <c r="L67" s="161" t="s">
        <v>454</v>
      </c>
      <c r="M67" s="161" t="s">
        <v>143</v>
      </c>
      <c r="N67" s="161"/>
      <c r="O67" s="161">
        <v>2246.15</v>
      </c>
      <c r="P67" s="161"/>
      <c r="Q67" s="161">
        <f>SUM('الوفيات والورثة دينمك'!$N67:$P67)</f>
        <v>2246.15</v>
      </c>
      <c r="R67" s="161"/>
      <c r="S67" s="161">
        <f>'الوفيات والورثة دينمك'!$Q67-'الوفيات والورثة دينمك'!$R67</f>
        <v>2246.15</v>
      </c>
      <c r="T67" s="161"/>
      <c r="U67" s="161"/>
      <c r="V67" s="161">
        <f>IF(الجدول7[[#This Row],[المنح وغيرها]]-الجدول7[[#This Row],[المنصرف ]]&lt;0,0,الجدول7[[#This Row],[المنح وغيرها]]-الجدول7[[#This Row],[المنصرف ]])</f>
        <v>2246.15</v>
      </c>
      <c r="W67" s="161"/>
      <c r="X67" s="16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7" s="161"/>
      <c r="Z67" s="163"/>
      <c r="AB67" s="295"/>
    </row>
    <row r="68" spans="3:28" ht="23.25" customHeight="1" x14ac:dyDescent="0.35">
      <c r="C68" s="307"/>
      <c r="D68" s="355"/>
      <c r="E68" s="307"/>
      <c r="F68" s="307"/>
      <c r="G68" s="307"/>
      <c r="H68" s="307"/>
      <c r="I68" s="307"/>
      <c r="J68" s="307"/>
      <c r="K68" s="307"/>
      <c r="L68" s="161" t="s">
        <v>455</v>
      </c>
      <c r="M68" s="161" t="s">
        <v>456</v>
      </c>
      <c r="N68" s="161"/>
      <c r="O68" s="161">
        <v>1123.08</v>
      </c>
      <c r="P68" s="161"/>
      <c r="Q68" s="161">
        <f>SUM('الوفيات والورثة دينمك'!$N68:$P68)</f>
        <v>1123.08</v>
      </c>
      <c r="R68" s="161"/>
      <c r="S68" s="161">
        <f>'الوفيات والورثة دينمك'!$Q68-'الوفيات والورثة دينمك'!$R68</f>
        <v>1123.08</v>
      </c>
      <c r="T68" s="161"/>
      <c r="U68" s="161"/>
      <c r="V68" s="161">
        <f>IF(الجدول7[[#This Row],[المنح وغيرها]]-الجدول7[[#This Row],[المنصرف ]]&lt;0,0,الجدول7[[#This Row],[المنح وغيرها]]-الجدول7[[#This Row],[المنصرف ]])</f>
        <v>1123.08</v>
      </c>
      <c r="W68" s="161"/>
      <c r="X68" s="16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8" s="161"/>
      <c r="Z68" s="163"/>
      <c r="AB68" s="295"/>
    </row>
    <row r="69" spans="3:28" ht="23.25" customHeight="1" x14ac:dyDescent="0.35">
      <c r="C69" s="144"/>
      <c r="D69" s="145"/>
      <c r="E69" s="144"/>
      <c r="F69" s="144"/>
      <c r="G69" s="144"/>
      <c r="H69" s="144"/>
      <c r="I69" s="144"/>
      <c r="J69" s="144">
        <v>0</v>
      </c>
      <c r="K69" s="144">
        <f>SUMIF(بيان.معاشات.القاهرة[الإسم],'الوفيات والورثة دينمك'!D69:D180,بيان.معاشات.القاهرة[المنصرف])</f>
        <v>0</v>
      </c>
      <c r="L69" s="146"/>
      <c r="M69" s="146"/>
      <c r="N69" s="146"/>
      <c r="O69" s="146"/>
      <c r="P69" s="146"/>
      <c r="Q69" s="147">
        <f>SUM('الوفيات والورثة دينمك'!$N69:$P69)</f>
        <v>0</v>
      </c>
      <c r="R69" s="146"/>
      <c r="S69" s="147">
        <f>'الوفيات والورثة دينمك'!$Q69-'الوفيات والورثة دينمك'!$R69</f>
        <v>0</v>
      </c>
      <c r="T69" s="146"/>
      <c r="U69" s="146"/>
      <c r="V69" s="146">
        <f>IF(الجدول7[[#This Row],[المنح وغيرها]]-الجدول7[[#This Row],[المنصرف ]]&lt;0,0,الجدول7[[#This Row],[المنح وغيرها]]-الجدول7[[#This Row],[المنصرف ]])</f>
        <v>0</v>
      </c>
      <c r="W69" s="146"/>
      <c r="X69" s="148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69" s="146"/>
      <c r="Z69" s="149"/>
      <c r="AB69" s="295">
        <f>SUMIF(بيان.معاشات.القاهرة[الإسم],'الوفيات والورثة دينمك'!D69:D186,بيان.معاشات.القاهرة[المتبقي])</f>
        <v>0</v>
      </c>
    </row>
    <row r="70" spans="3:28" ht="23.25" customHeight="1" x14ac:dyDescent="0.35">
      <c r="C70" s="292">
        <v>1</v>
      </c>
      <c r="D70" s="350" t="s">
        <v>186</v>
      </c>
      <c r="E70" s="341">
        <v>1</v>
      </c>
      <c r="F70" s="341">
        <v>2</v>
      </c>
      <c r="G70" s="341">
        <v>17495.16</v>
      </c>
      <c r="H70" s="341">
        <v>656.23</v>
      </c>
      <c r="I70" s="341">
        <v>11670.3</v>
      </c>
      <c r="J70" s="341">
        <v>29821.69</v>
      </c>
      <c r="K70" s="341">
        <f>SUMIF(السويس!D9:D27,'الوفيات والورثة دينمك'!D70:D81,السويس!M9:M27)</f>
        <v>20953</v>
      </c>
      <c r="L70" s="155" t="s">
        <v>187</v>
      </c>
      <c r="M70" s="155" t="s">
        <v>119</v>
      </c>
      <c r="N70" s="155"/>
      <c r="O70" s="155">
        <v>1893.92</v>
      </c>
      <c r="P70" s="155">
        <v>1458.8</v>
      </c>
      <c r="Q70" s="155">
        <f>SUM('الوفيات والورثة دينمك'!$N70:$P70)</f>
        <v>3352.7200000000003</v>
      </c>
      <c r="R70" s="155">
        <f>1893.92</f>
        <v>1893.92</v>
      </c>
      <c r="S70" s="155">
        <f>'الوفيات والورثة دينمك'!$Q70-'الوفيات والورثة دينمك'!$R70</f>
        <v>1458.8000000000002</v>
      </c>
      <c r="T70" s="155"/>
      <c r="U70" s="155">
        <v>0</v>
      </c>
      <c r="V70" s="155">
        <f>IF(الجدول7[[#This Row],[المنح وغيرها]]-الجدول7[[#This Row],[المنصرف ]]&lt;0,0,الجدول7[[#This Row],[المنح وغيرها]]-الجدول7[[#This Row],[المنصرف ]])</f>
        <v>0</v>
      </c>
      <c r="W70" s="155">
        <v>-435.12000000000012</v>
      </c>
      <c r="X70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1458.8000000000002</v>
      </c>
      <c r="Y70" s="161">
        <f>SUM(Q70:Q74)</f>
        <v>26821.72</v>
      </c>
      <c r="Z70" s="163" t="s">
        <v>127</v>
      </c>
      <c r="AB70" s="295"/>
    </row>
    <row r="71" spans="3:28" ht="23.25" customHeight="1" x14ac:dyDescent="0.35">
      <c r="C71" s="293"/>
      <c r="D71" s="351"/>
      <c r="E71" s="342"/>
      <c r="F71" s="342"/>
      <c r="G71" s="342"/>
      <c r="H71" s="342"/>
      <c r="I71" s="342"/>
      <c r="J71" s="342"/>
      <c r="K71" s="342"/>
      <c r="L71" s="155" t="s">
        <v>188</v>
      </c>
      <c r="M71" s="155" t="s">
        <v>124</v>
      </c>
      <c r="N71" s="155"/>
      <c r="O71" s="155">
        <v>3314.37</v>
      </c>
      <c r="P71" s="155">
        <v>2552.88</v>
      </c>
      <c r="Q71" s="155">
        <f>SUM('الوفيات والورثة دينمك'!$N71:$P71)</f>
        <v>5867.25</v>
      </c>
      <c r="R71" s="155">
        <f>3314.37</f>
        <v>3314.37</v>
      </c>
      <c r="S71" s="155">
        <f>'الوفيات والورثة دينمك'!$Q71-'الوفيات والورثة دينمك'!$R71</f>
        <v>2552.88</v>
      </c>
      <c r="T71" s="155"/>
      <c r="U71" s="155">
        <v>0</v>
      </c>
      <c r="V71" s="155">
        <f>IF(الجدول7[[#This Row],[المنح وغيرها]]-الجدول7[[#This Row],[المنصرف ]]&lt;0,0,الجدول7[[#This Row],[المنح وغيرها]]-الجدول7[[#This Row],[المنصرف ]])</f>
        <v>0</v>
      </c>
      <c r="W71" s="155">
        <v>-761.48999999999978</v>
      </c>
      <c r="X71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2552.88</v>
      </c>
      <c r="Y71" s="161">
        <f>SUM(R70:R74)</f>
        <v>14952.999999999998</v>
      </c>
      <c r="Z71" s="163" t="s">
        <v>129</v>
      </c>
      <c r="AB71" s="295"/>
    </row>
    <row r="72" spans="3:28" ht="23.25" customHeight="1" x14ac:dyDescent="0.35">
      <c r="C72" s="293"/>
      <c r="D72" s="351"/>
      <c r="E72" s="342"/>
      <c r="F72" s="342"/>
      <c r="G72" s="342"/>
      <c r="H72" s="342"/>
      <c r="I72" s="342"/>
      <c r="J72" s="342"/>
      <c r="K72" s="342"/>
      <c r="L72" s="155" t="s">
        <v>189</v>
      </c>
      <c r="M72" s="155" t="s">
        <v>124</v>
      </c>
      <c r="N72" s="155"/>
      <c r="O72" s="155">
        <v>3314.37</v>
      </c>
      <c r="P72" s="155">
        <v>2552.88</v>
      </c>
      <c r="Q72" s="155">
        <f>SUM('الوفيات والورثة دينمك'!$N72:$P72)</f>
        <v>5867.25</v>
      </c>
      <c r="R72" s="155">
        <f>3314.37</f>
        <v>3314.37</v>
      </c>
      <c r="S72" s="155">
        <f>'الوفيات والورثة دينمك'!$Q72-'الوفيات والورثة دينمك'!$R72</f>
        <v>2552.88</v>
      </c>
      <c r="T72" s="155"/>
      <c r="U72" s="155">
        <v>0</v>
      </c>
      <c r="V72" s="155">
        <f>IF(الجدول7[[#This Row],[المنح وغيرها]]-الجدول7[[#This Row],[المنصرف ]]&lt;0,0,الجدول7[[#This Row],[المنح وغيرها]]-الجدول7[[#This Row],[المنصرف ]])</f>
        <v>0</v>
      </c>
      <c r="W72" s="155">
        <v>-761.48999999999978</v>
      </c>
      <c r="X72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2552.88</v>
      </c>
      <c r="Y72" s="161">
        <f>Y70-Y71</f>
        <v>11868.720000000003</v>
      </c>
      <c r="Z72" s="163" t="s">
        <v>7</v>
      </c>
      <c r="AB72" s="295"/>
    </row>
    <row r="73" spans="3:28" ht="23.25" customHeight="1" x14ac:dyDescent="0.35">
      <c r="C73" s="293"/>
      <c r="D73" s="351"/>
      <c r="E73" s="342"/>
      <c r="F73" s="342"/>
      <c r="G73" s="342"/>
      <c r="H73" s="342"/>
      <c r="I73" s="342"/>
      <c r="J73" s="342"/>
      <c r="K73" s="342"/>
      <c r="L73" s="155" t="s">
        <v>190</v>
      </c>
      <c r="M73" s="155" t="s">
        <v>124</v>
      </c>
      <c r="N73" s="155"/>
      <c r="O73" s="155">
        <v>3314.37</v>
      </c>
      <c r="P73" s="155">
        <v>2552.88</v>
      </c>
      <c r="Q73" s="155">
        <f>SUM('الوفيات والورثة دينمك'!$N73:$P73)</f>
        <v>5867.25</v>
      </c>
      <c r="R73" s="155">
        <f>3314.37</f>
        <v>3314.37</v>
      </c>
      <c r="S73" s="155">
        <f>'الوفيات والورثة دينمك'!$Q73-'الوفيات والورثة دينمك'!$R73</f>
        <v>2552.88</v>
      </c>
      <c r="T73" s="155"/>
      <c r="U73" s="155">
        <v>0</v>
      </c>
      <c r="V73" s="155">
        <f>IF(الجدول7[[#This Row],[المنح وغيرها]]-الجدول7[[#This Row],[المنصرف ]]&lt;0,0,الجدول7[[#This Row],[المنح وغيرها]]-الجدول7[[#This Row],[المنصرف ]])</f>
        <v>0</v>
      </c>
      <c r="W73" s="155">
        <v>-761.48999999999978</v>
      </c>
      <c r="X73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2552.88</v>
      </c>
      <c r="Y73" s="155"/>
      <c r="Z73" s="157"/>
      <c r="AB73" s="295"/>
    </row>
    <row r="74" spans="3:28" ht="23.25" customHeight="1" x14ac:dyDescent="0.35">
      <c r="C74" s="294"/>
      <c r="D74" s="352"/>
      <c r="E74" s="343"/>
      <c r="F74" s="343"/>
      <c r="G74" s="343"/>
      <c r="H74" s="343"/>
      <c r="I74" s="343"/>
      <c r="J74" s="343"/>
      <c r="K74" s="343"/>
      <c r="L74" s="155" t="s">
        <v>191</v>
      </c>
      <c r="M74" s="155" t="s">
        <v>124</v>
      </c>
      <c r="N74" s="155"/>
      <c r="O74" s="155">
        <v>3314.37</v>
      </c>
      <c r="P74" s="155">
        <v>2552.88</v>
      </c>
      <c r="Q74" s="155">
        <f>SUM('الوفيات والورثة دينمك'!$N74:$P74)</f>
        <v>5867.25</v>
      </c>
      <c r="R74" s="155">
        <f>2115.97+500+500</f>
        <v>3115.97</v>
      </c>
      <c r="S74" s="155">
        <f>'الوفيات والورثة دينمك'!$Q74-'الوفيات والورثة دينمك'!$R74</f>
        <v>2751.28</v>
      </c>
      <c r="T74" s="155"/>
      <c r="U74" s="155">
        <v>1198.3999999999996</v>
      </c>
      <c r="V74" s="155">
        <f>IF(الجدول7[[#This Row],[المنح وغيرها]]-الجدول7[[#This Row],[المنصرف ]]&lt;0,0,الجدول7[[#This Row],[المنح وغيرها]]-الجدول7[[#This Row],[المنصرف ]])</f>
        <v>198.40000000000009</v>
      </c>
      <c r="W74" s="155">
        <v>436.90999999999985</v>
      </c>
      <c r="X74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1552.8800000000006</v>
      </c>
      <c r="Y74" s="155"/>
      <c r="Z74" s="157"/>
      <c r="AB74" s="295"/>
    </row>
    <row r="75" spans="3:28" ht="23.25" customHeight="1" x14ac:dyDescent="0.35">
      <c r="C75" s="299">
        <v>2</v>
      </c>
      <c r="D75" s="320" t="s">
        <v>278</v>
      </c>
      <c r="E75" s="299">
        <v>12</v>
      </c>
      <c r="F75" s="299">
        <v>13</v>
      </c>
      <c r="G75" s="299">
        <v>14965.76</v>
      </c>
      <c r="H75" s="299">
        <v>19144.95</v>
      </c>
      <c r="I75" s="299">
        <v>14265</v>
      </c>
      <c r="J75" s="299">
        <v>48375.71</v>
      </c>
      <c r="K75" s="299">
        <f>SUMIF(السويس!D9:D27,'الوفيات والورثة دينمك'!D70:D81,السويس!M9:M27)</f>
        <v>11500</v>
      </c>
      <c r="L75" s="121" t="s">
        <v>386</v>
      </c>
      <c r="M75" s="121" t="s">
        <v>119</v>
      </c>
      <c r="N75" s="121">
        <v>19144.95</v>
      </c>
      <c r="O75" s="121">
        <v>1870.72</v>
      </c>
      <c r="P75" s="121">
        <v>1783.12</v>
      </c>
      <c r="Q75" s="121">
        <f>SUM('الوفيات والورثة دينمك'!$N75:$P75)</f>
        <v>22798.79</v>
      </c>
      <c r="R75" s="121">
        <f>6000+500+1000</f>
        <v>7500</v>
      </c>
      <c r="S75" s="121">
        <f>'الوفيات والورثة دينمك'!$Q75-'الوفيات والورثة دينمك'!$R75</f>
        <v>15298.79</v>
      </c>
      <c r="T75" s="121"/>
      <c r="U75" s="121"/>
      <c r="V75" s="121">
        <f>IF(الجدول7[[#This Row],[المنح وغيرها]]-الجدول7[[#This Row],[المنصرف ]]&lt;0,0,الجدول7[[#This Row],[المنح وغيرها]]-الجدول7[[#This Row],[المنصرف ]])</f>
        <v>0</v>
      </c>
      <c r="W75" s="121"/>
      <c r="X75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15298.79</v>
      </c>
      <c r="Y75" s="161">
        <f>SUM(Q75:Q80)</f>
        <v>48375.700000000012</v>
      </c>
      <c r="Z75" s="163" t="s">
        <v>127</v>
      </c>
      <c r="AB75" s="295">
        <f>SUMIF(بيان.معاشات.القاهرة[الإسم],'الوفيات والورثة دينمك'!D75:D192,بيان.معاشات.القاهرة[المتبقي])</f>
        <v>0</v>
      </c>
    </row>
    <row r="76" spans="3:28" ht="23.25" customHeight="1" x14ac:dyDescent="0.35">
      <c r="C76" s="290"/>
      <c r="D76" s="309"/>
      <c r="E76" s="290"/>
      <c r="F76" s="290"/>
      <c r="G76" s="290"/>
      <c r="H76" s="290"/>
      <c r="I76" s="290"/>
      <c r="J76" s="290"/>
      <c r="K76" s="290"/>
      <c r="L76" s="121" t="s">
        <v>387</v>
      </c>
      <c r="M76" s="121" t="s">
        <v>124</v>
      </c>
      <c r="N76" s="121"/>
      <c r="O76" s="121">
        <v>2910.01</v>
      </c>
      <c r="P76" s="121">
        <v>2773.75</v>
      </c>
      <c r="Q76" s="121">
        <f>SUM('الوفيات والورثة دينمك'!$N76:$P76)</f>
        <v>5683.76</v>
      </c>
      <c r="R76" s="121"/>
      <c r="S76" s="121">
        <f>'الوفيات والورثة دينمك'!$Q76-'الوفيات والورثة دينمك'!$R76</f>
        <v>5683.76</v>
      </c>
      <c r="T76" s="121"/>
      <c r="U76" s="121"/>
      <c r="V76" s="121">
        <f>IF(الجدول7[[#This Row],[المنح وغيرها]]-الجدول7[[#This Row],[المنصرف ]]&lt;0,0,الجدول7[[#This Row],[المنح وغيرها]]-الجدول7[[#This Row],[المنصرف ]])</f>
        <v>2910.01</v>
      </c>
      <c r="W76" s="121"/>
      <c r="X76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2773.75</v>
      </c>
      <c r="Y76" s="161">
        <f>SUM(R75:R80)</f>
        <v>7500</v>
      </c>
      <c r="Z76" s="163" t="s">
        <v>129</v>
      </c>
      <c r="AB76" s="295"/>
    </row>
    <row r="77" spans="3:28" ht="23.25" customHeight="1" x14ac:dyDescent="0.35">
      <c r="C77" s="290"/>
      <c r="D77" s="309"/>
      <c r="E77" s="290"/>
      <c r="F77" s="290"/>
      <c r="G77" s="290"/>
      <c r="H77" s="290"/>
      <c r="I77" s="290"/>
      <c r="J77" s="290"/>
      <c r="K77" s="290"/>
      <c r="L77" s="121" t="s">
        <v>388</v>
      </c>
      <c r="M77" s="121" t="s">
        <v>124</v>
      </c>
      <c r="N77" s="121"/>
      <c r="O77" s="121">
        <v>2910.01</v>
      </c>
      <c r="P77" s="121">
        <v>2773.75</v>
      </c>
      <c r="Q77" s="121">
        <f>SUM('الوفيات والورثة دينمك'!$N77:$P77)</f>
        <v>5683.76</v>
      </c>
      <c r="R77" s="121"/>
      <c r="S77" s="121">
        <f>'الوفيات والورثة دينمك'!$Q77-'الوفيات والورثة دينمك'!$R77</f>
        <v>5683.76</v>
      </c>
      <c r="T77" s="121"/>
      <c r="U77" s="121"/>
      <c r="V77" s="121">
        <f>IF(الجدول7[[#This Row],[المنح وغيرها]]-الجدول7[[#This Row],[المنصرف ]]&lt;0,0,الجدول7[[#This Row],[المنح وغيرها]]-الجدول7[[#This Row],[المنصرف ]])</f>
        <v>2910.01</v>
      </c>
      <c r="W77" s="121"/>
      <c r="X77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2773.75</v>
      </c>
      <c r="Y77" s="161">
        <f>Y75-Y76</f>
        <v>40875.700000000012</v>
      </c>
      <c r="Z77" s="163" t="s">
        <v>7</v>
      </c>
      <c r="AB77" s="295"/>
    </row>
    <row r="78" spans="3:28" ht="23.25" customHeight="1" x14ac:dyDescent="0.35">
      <c r="C78" s="290"/>
      <c r="D78" s="309"/>
      <c r="E78" s="290"/>
      <c r="F78" s="290"/>
      <c r="G78" s="290"/>
      <c r="H78" s="290"/>
      <c r="I78" s="290"/>
      <c r="J78" s="290"/>
      <c r="K78" s="290"/>
      <c r="L78" s="121" t="s">
        <v>389</v>
      </c>
      <c r="M78" s="121" t="s">
        <v>124</v>
      </c>
      <c r="N78" s="121"/>
      <c r="O78" s="121">
        <v>2910.01</v>
      </c>
      <c r="P78" s="121">
        <v>2773.75</v>
      </c>
      <c r="Q78" s="121">
        <f>SUM('الوفيات والورثة دينمك'!$N78:$P78)</f>
        <v>5683.76</v>
      </c>
      <c r="R78" s="121"/>
      <c r="S78" s="121">
        <f>'الوفيات والورثة دينمك'!$Q78-'الوفيات والورثة دينمك'!$R78</f>
        <v>5683.76</v>
      </c>
      <c r="T78" s="121"/>
      <c r="U78" s="121"/>
      <c r="V78" s="121">
        <f>IF(الجدول7[[#This Row],[المنح وغيرها]]-الجدول7[[#This Row],[المنصرف ]]&lt;0,0,الجدول7[[#This Row],[المنح وغيرها]]-الجدول7[[#This Row],[المنصرف ]])</f>
        <v>2910.01</v>
      </c>
      <c r="W78" s="121"/>
      <c r="X78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2773.75</v>
      </c>
      <c r="Y78" s="121"/>
      <c r="Z78" s="122"/>
      <c r="AB78" s="295"/>
    </row>
    <row r="79" spans="3:28" ht="23.25" customHeight="1" x14ac:dyDescent="0.35">
      <c r="C79" s="290"/>
      <c r="D79" s="309"/>
      <c r="E79" s="290"/>
      <c r="F79" s="290"/>
      <c r="G79" s="290"/>
      <c r="H79" s="290"/>
      <c r="I79" s="290"/>
      <c r="J79" s="290"/>
      <c r="K79" s="290"/>
      <c r="L79" s="121" t="s">
        <v>390</v>
      </c>
      <c r="M79" s="121" t="s">
        <v>121</v>
      </c>
      <c r="N79" s="121"/>
      <c r="O79" s="121">
        <v>1455</v>
      </c>
      <c r="P79" s="121">
        <v>1386.87</v>
      </c>
      <c r="Q79" s="121">
        <f>SUM('الوفيات والورثة دينمك'!$N79:$P79)</f>
        <v>2841.87</v>
      </c>
      <c r="R79" s="121"/>
      <c r="S79" s="121">
        <f>'الوفيات والورثة دينمك'!$Q79-'الوفيات والورثة دينمك'!$R79</f>
        <v>2841.87</v>
      </c>
      <c r="T79" s="121"/>
      <c r="U79" s="121"/>
      <c r="V79" s="121">
        <f>IF(الجدول7[[#This Row],[المنح وغيرها]]-الجدول7[[#This Row],[المنصرف ]]&lt;0,0,الجدول7[[#This Row],[المنح وغيرها]]-الجدول7[[#This Row],[المنصرف ]])</f>
        <v>1455</v>
      </c>
      <c r="W79" s="121"/>
      <c r="X79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1386.87</v>
      </c>
      <c r="Y79" s="121"/>
      <c r="Z79" s="122"/>
      <c r="AB79" s="295"/>
    </row>
    <row r="80" spans="3:28" ht="23.25" customHeight="1" x14ac:dyDescent="0.35">
      <c r="C80" s="291"/>
      <c r="D80" s="310"/>
      <c r="E80" s="291"/>
      <c r="F80" s="291"/>
      <c r="G80" s="291"/>
      <c r="H80" s="291"/>
      <c r="I80" s="291"/>
      <c r="J80" s="291"/>
      <c r="K80" s="291"/>
      <c r="L80" s="121" t="s">
        <v>391</v>
      </c>
      <c r="M80" s="121" t="s">
        <v>124</v>
      </c>
      <c r="N80" s="121">
        <v>0</v>
      </c>
      <c r="O80" s="121">
        <v>2910.01</v>
      </c>
      <c r="P80" s="121">
        <v>2773.75</v>
      </c>
      <c r="Q80" s="121">
        <f>SUM('الوفيات والورثة دينمك'!$N80:$P80)</f>
        <v>5683.76</v>
      </c>
      <c r="R80" s="121"/>
      <c r="S80" s="121">
        <f>'الوفيات والورثة دينمك'!$Q80-'الوفيات والورثة دينمك'!$R80</f>
        <v>5683.76</v>
      </c>
      <c r="T80" s="121"/>
      <c r="U80" s="121"/>
      <c r="V80" s="121">
        <f>IF(الجدول7[[#This Row],[المنح وغيرها]]-الجدول7[[#This Row],[المنصرف ]]&lt;0,0,الجدول7[[#This Row],[المنح وغيرها]]-الجدول7[[#This Row],[المنصرف ]])</f>
        <v>2910.01</v>
      </c>
      <c r="W80" s="121"/>
      <c r="X80" s="1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2773.75</v>
      </c>
      <c r="Y80" s="121"/>
      <c r="Z80" s="122"/>
      <c r="AB80" s="295"/>
    </row>
    <row r="81" spans="3:28" x14ac:dyDescent="0.35">
      <c r="C81" s="158">
        <v>4</v>
      </c>
      <c r="D81" s="159" t="s">
        <v>192</v>
      </c>
      <c r="E81" s="158">
        <v>11</v>
      </c>
      <c r="F81" s="158"/>
      <c r="G81" s="158">
        <v>14349.6</v>
      </c>
      <c r="H81" s="158"/>
      <c r="I81" s="158">
        <v>11762.1</v>
      </c>
      <c r="J81" s="158">
        <v>26111.7</v>
      </c>
      <c r="K81" s="160">
        <f>SUMIF(السويس!D15:D33,'الوفيات والورثة دينمك'!D76:D114,السويس!M15:M33)</f>
        <v>1000</v>
      </c>
      <c r="L81" s="138"/>
      <c r="M81" s="138"/>
      <c r="N81" s="138"/>
      <c r="O81" s="138"/>
      <c r="P81" s="138"/>
      <c r="Q81" s="138">
        <f>SUM('الوفيات والورثة دينمك'!$N81:$P81)</f>
        <v>0</v>
      </c>
      <c r="R81" s="138"/>
      <c r="S81" s="138">
        <f>'الوفيات والورثة دينمك'!$Q81-'الوفيات والورثة دينمك'!$R81</f>
        <v>0</v>
      </c>
      <c r="T81" s="138"/>
      <c r="U81" s="138"/>
      <c r="V81" s="138">
        <f>IF(الجدول7[[#This Row],[المنح وغيرها]]-الجدول7[[#This Row],[المنصرف ]]&lt;0,0,الجدول7[[#This Row],[المنح وغيرها]]-الجدول7[[#This Row],[المنصرف ]])</f>
        <v>0</v>
      </c>
      <c r="W81" s="138"/>
      <c r="X81" s="139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1" s="138"/>
      <c r="Z81" s="140"/>
      <c r="AB81" s="190">
        <f>SUMIF(بيان.معاشات.القاهرة[الإسم],'الوفيات والورثة دينمك'!D81:D198,بيان.معاشات.القاهرة[المتبقي])</f>
        <v>0</v>
      </c>
    </row>
    <row r="82" spans="3:28" ht="24.95" customHeight="1" x14ac:dyDescent="0.35">
      <c r="C82" s="358">
        <v>1</v>
      </c>
      <c r="D82" s="357" t="s">
        <v>196</v>
      </c>
      <c r="E82" s="357">
        <v>12</v>
      </c>
      <c r="F82" s="356" t="s">
        <v>405</v>
      </c>
      <c r="G82" s="356">
        <f>الاإسكندرية!H24</f>
        <v>14230.93</v>
      </c>
      <c r="H82" s="356">
        <f>الاإسكندرية!I24</f>
        <v>7489.15</v>
      </c>
      <c r="I82" s="356">
        <f>الاإسكندرية!J24</f>
        <v>0</v>
      </c>
      <c r="J82" s="356">
        <f>SUM(G82:I82)</f>
        <v>21720.080000000002</v>
      </c>
      <c r="K82" s="356">
        <f>الاإسكندرية!M24</f>
        <v>9949.82</v>
      </c>
      <c r="L82" s="131" t="s">
        <v>478</v>
      </c>
      <c r="M82" s="131" t="s">
        <v>126</v>
      </c>
      <c r="N82" s="131"/>
      <c r="O82" s="131"/>
      <c r="P82" s="131"/>
      <c r="Q82" s="131">
        <f>SUM('الوفيات والورثة دينمك'!$N82:$P82)</f>
        <v>0</v>
      </c>
      <c r="R82" s="131"/>
      <c r="S82" s="131">
        <f>'الوفيات والورثة دينمك'!$Q82-'الوفيات والورثة دينمك'!$R82</f>
        <v>0</v>
      </c>
      <c r="T82" s="131"/>
      <c r="U82" s="131"/>
      <c r="V82" s="131">
        <f>IF(الجدول7[[#This Row],[المنح وغيرها]]-الجدول7[[#This Row],[المنصرف ]]&lt;0,0,الجدول7[[#This Row],[المنح وغيرها]]-الجدول7[[#This Row],[المنصرف ]])</f>
        <v>0</v>
      </c>
      <c r="W82" s="131"/>
      <c r="X82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2" s="161">
        <f>SUM(Q82:Q87)</f>
        <v>0</v>
      </c>
      <c r="Z82" s="163" t="s">
        <v>127</v>
      </c>
      <c r="AB82" s="295">
        <f>SUMIF(بيان.معاشات.القاهرة[الإسم],'الوفيات والورثة دينمك'!D82:D199,بيان.معاشات.القاهرة[المتبقي])</f>
        <v>0</v>
      </c>
    </row>
    <row r="83" spans="3:28" ht="24.95" customHeight="1" x14ac:dyDescent="0.35">
      <c r="C83" s="358"/>
      <c r="D83" s="357"/>
      <c r="E83" s="357"/>
      <c r="F83" s="356"/>
      <c r="G83" s="356"/>
      <c r="H83" s="356"/>
      <c r="I83" s="356"/>
      <c r="J83" s="356"/>
      <c r="K83" s="356"/>
      <c r="L83" s="131" t="s">
        <v>296</v>
      </c>
      <c r="M83" s="131" t="s">
        <v>119</v>
      </c>
      <c r="N83" s="131"/>
      <c r="O83" s="131"/>
      <c r="P83" s="131"/>
      <c r="Q83" s="131">
        <f>SUM('الوفيات والورثة دينمك'!$N83:$P83)</f>
        <v>0</v>
      </c>
      <c r="R83" s="131"/>
      <c r="S83" s="131">
        <f>'الوفيات والورثة دينمك'!$Q83-'الوفيات والورثة دينمك'!$R83</f>
        <v>0</v>
      </c>
      <c r="T83" s="131"/>
      <c r="U83" s="131"/>
      <c r="V83" s="131">
        <f>IF(الجدول7[[#This Row],[المنح وغيرها]]-الجدول7[[#This Row],[المنصرف ]]&lt;0,0,الجدول7[[#This Row],[المنح وغيرها]]-الجدول7[[#This Row],[المنصرف ]])</f>
        <v>0</v>
      </c>
      <c r="W83" s="131"/>
      <c r="X83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3" s="161">
        <f>SUM(R82:R87)</f>
        <v>0</v>
      </c>
      <c r="Z83" s="163" t="s">
        <v>129</v>
      </c>
      <c r="AB83" s="295"/>
    </row>
    <row r="84" spans="3:28" ht="24.95" customHeight="1" x14ac:dyDescent="0.35">
      <c r="C84" s="358"/>
      <c r="D84" s="357"/>
      <c r="E84" s="357"/>
      <c r="F84" s="356"/>
      <c r="G84" s="356"/>
      <c r="H84" s="356"/>
      <c r="I84" s="356"/>
      <c r="J84" s="356"/>
      <c r="K84" s="356"/>
      <c r="L84" s="131" t="s">
        <v>479</v>
      </c>
      <c r="M84" s="131" t="s">
        <v>124</v>
      </c>
      <c r="N84" s="131"/>
      <c r="O84" s="131"/>
      <c r="P84" s="131"/>
      <c r="Q84" s="131">
        <f>SUM('الوفيات والورثة دينمك'!$N84:$P84)</f>
        <v>0</v>
      </c>
      <c r="R84" s="131"/>
      <c r="S84" s="131">
        <f>'الوفيات والورثة دينمك'!$Q84-'الوفيات والورثة دينمك'!$R84</f>
        <v>0</v>
      </c>
      <c r="T84" s="131"/>
      <c r="U84" s="131"/>
      <c r="V84" s="131">
        <f>IF(الجدول7[[#This Row],[المنح وغيرها]]-الجدول7[[#This Row],[المنصرف ]]&lt;0,0,الجدول7[[#This Row],[المنح وغيرها]]-الجدول7[[#This Row],[المنصرف ]])</f>
        <v>0</v>
      </c>
      <c r="W84" s="131"/>
      <c r="X84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4" s="161">
        <f>Y82-Y83</f>
        <v>0</v>
      </c>
      <c r="Z84" s="163" t="s">
        <v>7</v>
      </c>
      <c r="AB84" s="295"/>
    </row>
    <row r="85" spans="3:28" ht="24.95" customHeight="1" x14ac:dyDescent="0.35">
      <c r="C85" s="358"/>
      <c r="D85" s="357"/>
      <c r="E85" s="357"/>
      <c r="F85" s="356"/>
      <c r="G85" s="356"/>
      <c r="H85" s="356"/>
      <c r="I85" s="356"/>
      <c r="J85" s="356"/>
      <c r="K85" s="356"/>
      <c r="L85" s="131" t="s">
        <v>480</v>
      </c>
      <c r="M85" s="131" t="s">
        <v>124</v>
      </c>
      <c r="N85" s="131"/>
      <c r="O85" s="131"/>
      <c r="P85" s="131"/>
      <c r="Q85" s="131">
        <f>SUM('الوفيات والورثة دينمك'!$N85:$P85)</f>
        <v>0</v>
      </c>
      <c r="R85" s="131"/>
      <c r="S85" s="131">
        <f>'الوفيات والورثة دينمك'!$Q85-'الوفيات والورثة دينمك'!$R85</f>
        <v>0</v>
      </c>
      <c r="T85" s="131"/>
      <c r="U85" s="131"/>
      <c r="V85" s="131">
        <f>IF(الجدول7[[#This Row],[المنح وغيرها]]-الجدول7[[#This Row],[المنصرف ]]&lt;0,0,الجدول7[[#This Row],[المنح وغيرها]]-الجدول7[[#This Row],[المنصرف ]])</f>
        <v>0</v>
      </c>
      <c r="W85" s="131"/>
      <c r="X85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5" s="131"/>
      <c r="Z85" s="132"/>
      <c r="AB85" s="295"/>
    </row>
    <row r="86" spans="3:28" ht="24.95" customHeight="1" x14ac:dyDescent="0.35">
      <c r="C86" s="358"/>
      <c r="D86" s="357"/>
      <c r="E86" s="357"/>
      <c r="F86" s="356"/>
      <c r="G86" s="356"/>
      <c r="H86" s="356"/>
      <c r="I86" s="356"/>
      <c r="J86" s="356"/>
      <c r="K86" s="356"/>
      <c r="L86" s="131" t="s">
        <v>481</v>
      </c>
      <c r="M86" s="131" t="s">
        <v>121</v>
      </c>
      <c r="N86" s="131"/>
      <c r="O86" s="131"/>
      <c r="P86" s="131"/>
      <c r="Q86" s="131">
        <f>SUM('الوفيات والورثة دينمك'!$N86:$P86)</f>
        <v>0</v>
      </c>
      <c r="R86" s="131"/>
      <c r="S86" s="131">
        <f>'الوفيات والورثة دينمك'!$Q86-'الوفيات والورثة دينمك'!$R86</f>
        <v>0</v>
      </c>
      <c r="T86" s="131"/>
      <c r="U86" s="131"/>
      <c r="V86" s="131">
        <f>IF(الجدول7[[#This Row],[المنح وغيرها]]-الجدول7[[#This Row],[المنصرف ]]&lt;0,0,الجدول7[[#This Row],[المنح وغيرها]]-الجدول7[[#This Row],[المنصرف ]])</f>
        <v>0</v>
      </c>
      <c r="W86" s="131"/>
      <c r="X86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6" s="131"/>
      <c r="Z86" s="132"/>
      <c r="AB86" s="295"/>
    </row>
    <row r="87" spans="3:28" ht="24.95" customHeight="1" x14ac:dyDescent="0.35">
      <c r="C87" s="358"/>
      <c r="D87" s="357"/>
      <c r="E87" s="357"/>
      <c r="F87" s="356"/>
      <c r="G87" s="356"/>
      <c r="H87" s="356"/>
      <c r="I87" s="356"/>
      <c r="J87" s="356"/>
      <c r="K87" s="356"/>
      <c r="L87" s="131" t="s">
        <v>482</v>
      </c>
      <c r="M87" s="131" t="s">
        <v>121</v>
      </c>
      <c r="N87" s="131"/>
      <c r="O87" s="131"/>
      <c r="P87" s="131"/>
      <c r="Q87" s="131">
        <f>SUM('الوفيات والورثة دينمك'!$N87:$P87)</f>
        <v>0</v>
      </c>
      <c r="R87" s="131"/>
      <c r="S87" s="131">
        <f>'الوفيات والورثة دينمك'!$Q87-'الوفيات والورثة دينمك'!$R87</f>
        <v>0</v>
      </c>
      <c r="T87" s="131"/>
      <c r="U87" s="131"/>
      <c r="V87" s="131">
        <f>IF(الجدول7[[#This Row],[المنح وغيرها]]-الجدول7[[#This Row],[المنصرف ]]&lt;0,0,الجدول7[[#This Row],[المنح وغيرها]]-الجدول7[[#This Row],[المنصرف ]])</f>
        <v>0</v>
      </c>
      <c r="W87" s="131"/>
      <c r="X87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7" s="131"/>
      <c r="Z87" s="132"/>
      <c r="AB87" s="295"/>
    </row>
    <row r="88" spans="3:28" ht="24.95" customHeight="1" x14ac:dyDescent="0.35">
      <c r="C88" s="368">
        <v>2</v>
      </c>
      <c r="D88" s="359" t="s">
        <v>194</v>
      </c>
      <c r="E88" s="359">
        <v>13</v>
      </c>
      <c r="F88" s="359" t="s">
        <v>405</v>
      </c>
      <c r="G88" s="359">
        <f>الاإسكندرية!H25</f>
        <v>13798.98</v>
      </c>
      <c r="H88" s="359">
        <f>الاإسكندرية!I25</f>
        <v>13999.43</v>
      </c>
      <c r="I88" s="359">
        <f>الاإسكندرية!J25</f>
        <v>12569.4</v>
      </c>
      <c r="J88" s="359">
        <f t="shared" ref="J88:J130" si="0">SUM(G88:I88)</f>
        <v>40367.81</v>
      </c>
      <c r="K88" s="359">
        <f>الاإسكندرية!M25</f>
        <v>23322.49</v>
      </c>
      <c r="L88" s="209" t="s">
        <v>297</v>
      </c>
      <c r="M88" s="209" t="s">
        <v>119</v>
      </c>
      <c r="N88" s="209"/>
      <c r="O88" s="209"/>
      <c r="P88" s="209"/>
      <c r="Q88" s="209">
        <f>SUM('الوفيات والورثة دينمك'!$N88:$P88)</f>
        <v>0</v>
      </c>
      <c r="R88" s="209"/>
      <c r="S88" s="209">
        <f>'الوفيات والورثة دينمك'!$Q88-'الوفيات والورثة دينمك'!$R88</f>
        <v>0</v>
      </c>
      <c r="T88" s="209"/>
      <c r="U88" s="209"/>
      <c r="V88" s="209">
        <f>IF(الجدول7[[#This Row],[المنح وغيرها]]-الجدول7[[#This Row],[المنصرف ]]&lt;0,0,الجدول7[[#This Row],[المنح وغيرها]]-الجدول7[[#This Row],[المنصرف ]])</f>
        <v>0</v>
      </c>
      <c r="W88" s="209"/>
      <c r="X88" s="2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8" s="161">
        <f>SUM(Q88:Q91)</f>
        <v>0</v>
      </c>
      <c r="Z88" s="163" t="s">
        <v>127</v>
      </c>
      <c r="AB88" s="295">
        <f>SUMIF(بيان.معاشات.القاهرة[الإسم],'الوفيات والورثة دينمك'!D88:D207,بيان.معاشات.القاهرة[المتبقي])</f>
        <v>0</v>
      </c>
    </row>
    <row r="89" spans="3:28" ht="24.95" customHeight="1" x14ac:dyDescent="0.35">
      <c r="C89" s="369"/>
      <c r="D89" s="359"/>
      <c r="E89" s="359"/>
      <c r="F89" s="359"/>
      <c r="G89" s="359"/>
      <c r="H89" s="359"/>
      <c r="I89" s="359"/>
      <c r="J89" s="359"/>
      <c r="K89" s="359"/>
      <c r="L89" s="209" t="s">
        <v>483</v>
      </c>
      <c r="M89" s="209" t="s">
        <v>124</v>
      </c>
      <c r="N89" s="209"/>
      <c r="O89" s="209"/>
      <c r="P89" s="209"/>
      <c r="Q89" s="209">
        <f>SUM('الوفيات والورثة دينمك'!$N89:$P89)</f>
        <v>0</v>
      </c>
      <c r="R89" s="209"/>
      <c r="S89" s="209">
        <f>'الوفيات والورثة دينمك'!$Q89-'الوفيات والورثة دينمك'!$R89</f>
        <v>0</v>
      </c>
      <c r="T89" s="209"/>
      <c r="U89" s="209"/>
      <c r="V89" s="209">
        <f>IF(الجدول7[[#This Row],[المنح وغيرها]]-الجدول7[[#This Row],[المنصرف ]]&lt;0,0,الجدول7[[#This Row],[المنح وغيرها]]-الجدول7[[#This Row],[المنصرف ]])</f>
        <v>0</v>
      </c>
      <c r="W89" s="209"/>
      <c r="X89" s="2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89" s="161">
        <f>SUM(R88:R91)</f>
        <v>0</v>
      </c>
      <c r="Z89" s="163" t="s">
        <v>129</v>
      </c>
      <c r="AB89" s="295"/>
    </row>
    <row r="90" spans="3:28" ht="24.95" customHeight="1" x14ac:dyDescent="0.35">
      <c r="C90" s="369"/>
      <c r="D90" s="359"/>
      <c r="E90" s="359"/>
      <c r="F90" s="359"/>
      <c r="G90" s="359"/>
      <c r="H90" s="359"/>
      <c r="I90" s="359"/>
      <c r="J90" s="359"/>
      <c r="K90" s="359"/>
      <c r="L90" s="209" t="s">
        <v>484</v>
      </c>
      <c r="M90" s="209" t="s">
        <v>124</v>
      </c>
      <c r="N90" s="209"/>
      <c r="O90" s="209"/>
      <c r="P90" s="209"/>
      <c r="Q90" s="209">
        <f>SUM('الوفيات والورثة دينمك'!$N90:$P90)</f>
        <v>0</v>
      </c>
      <c r="R90" s="209"/>
      <c r="S90" s="209">
        <f>'الوفيات والورثة دينمك'!$Q90-'الوفيات والورثة دينمك'!$R90</f>
        <v>0</v>
      </c>
      <c r="T90" s="209"/>
      <c r="U90" s="209"/>
      <c r="V90" s="209">
        <f>IF(الجدول7[[#This Row],[المنح وغيرها]]-الجدول7[[#This Row],[المنصرف ]]&lt;0,0,الجدول7[[#This Row],[المنح وغيرها]]-الجدول7[[#This Row],[المنصرف ]])</f>
        <v>0</v>
      </c>
      <c r="W90" s="209"/>
      <c r="X90" s="2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0" s="161">
        <f>Y88-Y89</f>
        <v>0</v>
      </c>
      <c r="Z90" s="163" t="s">
        <v>7</v>
      </c>
      <c r="AB90" s="295"/>
    </row>
    <row r="91" spans="3:28" ht="24.95" customHeight="1" x14ac:dyDescent="0.35">
      <c r="C91" s="369"/>
      <c r="D91" s="359"/>
      <c r="E91" s="359"/>
      <c r="F91" s="359"/>
      <c r="G91" s="359"/>
      <c r="H91" s="359"/>
      <c r="I91" s="359"/>
      <c r="J91" s="359"/>
      <c r="K91" s="359"/>
      <c r="L91" s="209" t="s">
        <v>485</v>
      </c>
      <c r="M91" s="209" t="s">
        <v>121</v>
      </c>
      <c r="N91" s="209"/>
      <c r="O91" s="209"/>
      <c r="P91" s="209"/>
      <c r="Q91" s="209">
        <f>SUM('الوفيات والورثة دينمك'!$N91:$P91)</f>
        <v>0</v>
      </c>
      <c r="R91" s="209"/>
      <c r="S91" s="209">
        <f>'الوفيات والورثة دينمك'!$Q91-'الوفيات والورثة دينمك'!$R91</f>
        <v>0</v>
      </c>
      <c r="T91" s="209"/>
      <c r="U91" s="209"/>
      <c r="V91" s="209">
        <f>IF(الجدول7[[#This Row],[المنح وغيرها]]-الجدول7[[#This Row],[المنصرف ]]&lt;0,0,الجدول7[[#This Row],[المنح وغيرها]]-الجدول7[[#This Row],[المنصرف ]])</f>
        <v>0</v>
      </c>
      <c r="W91" s="209"/>
      <c r="X91" s="2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1" s="209"/>
      <c r="Z91" s="211"/>
      <c r="AB91" s="295"/>
    </row>
    <row r="92" spans="3:28" ht="24.95" customHeight="1" x14ac:dyDescent="0.35">
      <c r="C92" s="366">
        <v>3</v>
      </c>
      <c r="D92" s="360" t="s">
        <v>195</v>
      </c>
      <c r="E92" s="360">
        <v>14</v>
      </c>
      <c r="F92" s="361" t="s">
        <v>405</v>
      </c>
      <c r="G92" s="361">
        <f>الاإسكندرية!H26</f>
        <v>14254.44</v>
      </c>
      <c r="H92" s="361">
        <f>الاإسكندرية!I26</f>
        <v>7326.26</v>
      </c>
      <c r="I92" s="361">
        <f>الاإسكندرية!J26</f>
        <v>11617.2</v>
      </c>
      <c r="J92" s="361">
        <f t="shared" si="0"/>
        <v>33197.9</v>
      </c>
      <c r="K92" s="361">
        <f>الاإسكندرية!M26</f>
        <v>11054.07</v>
      </c>
      <c r="L92" s="127" t="s">
        <v>298</v>
      </c>
      <c r="M92" s="127" t="s">
        <v>119</v>
      </c>
      <c r="N92" s="127"/>
      <c r="O92" s="127"/>
      <c r="P92" s="127"/>
      <c r="Q92" s="127">
        <f>SUM('الوفيات والورثة دينمك'!$N92:$P92)</f>
        <v>0</v>
      </c>
      <c r="R92" s="127"/>
      <c r="S92" s="127">
        <f>'الوفيات والورثة دينمك'!$Q92-'الوفيات والورثة دينمك'!$R92</f>
        <v>0</v>
      </c>
      <c r="T92" s="127"/>
      <c r="U92" s="127"/>
      <c r="V92" s="127">
        <f>IF(الجدول7[[#This Row],[المنح وغيرها]]-الجدول7[[#This Row],[المنصرف ]]&lt;0,0,الجدول7[[#This Row],[المنح وغيرها]]-الجدول7[[#This Row],[المنصرف ]])</f>
        <v>0</v>
      </c>
      <c r="W92" s="127"/>
      <c r="X92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2" s="161">
        <f>SUM(Q92:Q97)</f>
        <v>0</v>
      </c>
      <c r="Z92" s="163" t="s">
        <v>127</v>
      </c>
      <c r="AB92" s="295">
        <f>SUMIF(بيان.معاشات.القاهرة[الإسم],'الوفيات والورثة دينمك'!D92:D213,بيان.معاشات.القاهرة[المتبقي])</f>
        <v>0</v>
      </c>
    </row>
    <row r="93" spans="3:28" ht="24.95" customHeight="1" x14ac:dyDescent="0.35">
      <c r="C93" s="366"/>
      <c r="D93" s="360"/>
      <c r="E93" s="360"/>
      <c r="F93" s="361"/>
      <c r="G93" s="361"/>
      <c r="H93" s="361"/>
      <c r="I93" s="361"/>
      <c r="J93" s="361"/>
      <c r="K93" s="361"/>
      <c r="L93" s="127" t="s">
        <v>486</v>
      </c>
      <c r="M93" s="127" t="s">
        <v>124</v>
      </c>
      <c r="N93" s="127"/>
      <c r="O93" s="127"/>
      <c r="P93" s="127"/>
      <c r="Q93" s="127">
        <f>SUM('الوفيات والورثة دينمك'!$N93:$P93)</f>
        <v>0</v>
      </c>
      <c r="R93" s="127"/>
      <c r="S93" s="127">
        <f>'الوفيات والورثة دينمك'!$Q93-'الوفيات والورثة دينمك'!$R93</f>
        <v>0</v>
      </c>
      <c r="T93" s="127"/>
      <c r="U93" s="127"/>
      <c r="V93" s="127">
        <f>IF(الجدول7[[#This Row],[المنح وغيرها]]-الجدول7[[#This Row],[المنصرف ]]&lt;0,0,الجدول7[[#This Row],[المنح وغيرها]]-الجدول7[[#This Row],[المنصرف ]])</f>
        <v>0</v>
      </c>
      <c r="W93" s="127"/>
      <c r="X93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3" s="161">
        <f>SUM(R92:R97)</f>
        <v>0</v>
      </c>
      <c r="Z93" s="163" t="s">
        <v>129</v>
      </c>
      <c r="AB93" s="295"/>
    </row>
    <row r="94" spans="3:28" ht="24.95" customHeight="1" x14ac:dyDescent="0.35">
      <c r="C94" s="366"/>
      <c r="D94" s="360"/>
      <c r="E94" s="360"/>
      <c r="F94" s="361"/>
      <c r="G94" s="361"/>
      <c r="H94" s="361"/>
      <c r="I94" s="361"/>
      <c r="J94" s="361"/>
      <c r="K94" s="361"/>
      <c r="L94" s="127" t="s">
        <v>487</v>
      </c>
      <c r="M94" s="127" t="s">
        <v>124</v>
      </c>
      <c r="N94" s="127"/>
      <c r="O94" s="127"/>
      <c r="P94" s="127"/>
      <c r="Q94" s="127">
        <f>SUM('الوفيات والورثة دينمك'!$N94:$P94)</f>
        <v>0</v>
      </c>
      <c r="R94" s="127"/>
      <c r="S94" s="127">
        <f>'الوفيات والورثة دينمك'!$Q94-'الوفيات والورثة دينمك'!$R94</f>
        <v>0</v>
      </c>
      <c r="T94" s="127"/>
      <c r="U94" s="127"/>
      <c r="V94" s="127">
        <f>IF(الجدول7[[#This Row],[المنح وغيرها]]-الجدول7[[#This Row],[المنصرف ]]&lt;0,0,الجدول7[[#This Row],[المنح وغيرها]]-الجدول7[[#This Row],[المنصرف ]])</f>
        <v>0</v>
      </c>
      <c r="W94" s="127"/>
      <c r="X94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4" s="161">
        <f>Y92-Y93</f>
        <v>0</v>
      </c>
      <c r="Z94" s="163" t="s">
        <v>7</v>
      </c>
      <c r="AB94" s="295"/>
    </row>
    <row r="95" spans="3:28" ht="24.95" customHeight="1" x14ac:dyDescent="0.35">
      <c r="C95" s="366"/>
      <c r="D95" s="360"/>
      <c r="E95" s="360"/>
      <c r="F95" s="361"/>
      <c r="G95" s="361"/>
      <c r="H95" s="361"/>
      <c r="I95" s="361"/>
      <c r="J95" s="361"/>
      <c r="K95" s="361"/>
      <c r="L95" s="127" t="s">
        <v>488</v>
      </c>
      <c r="M95" s="127" t="s">
        <v>121</v>
      </c>
      <c r="N95" s="127"/>
      <c r="O95" s="127"/>
      <c r="P95" s="127"/>
      <c r="Q95" s="127">
        <f>SUM('الوفيات والورثة دينمك'!$N95:$P95)</f>
        <v>0</v>
      </c>
      <c r="R95" s="127"/>
      <c r="S95" s="127">
        <f>'الوفيات والورثة دينمك'!$Q95-'الوفيات والورثة دينمك'!$R95</f>
        <v>0</v>
      </c>
      <c r="T95" s="127"/>
      <c r="U95" s="127"/>
      <c r="V95" s="127">
        <f>IF(الجدول7[[#This Row],[المنح وغيرها]]-الجدول7[[#This Row],[المنصرف ]]&lt;0,0,الجدول7[[#This Row],[المنح وغيرها]]-الجدول7[[#This Row],[المنصرف ]])</f>
        <v>0</v>
      </c>
      <c r="W95" s="127"/>
      <c r="X95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5" s="127"/>
      <c r="Z95" s="128"/>
      <c r="AB95" s="295"/>
    </row>
    <row r="96" spans="3:28" ht="24.95" customHeight="1" x14ac:dyDescent="0.35">
      <c r="C96" s="366"/>
      <c r="D96" s="360"/>
      <c r="E96" s="360"/>
      <c r="F96" s="361"/>
      <c r="G96" s="361"/>
      <c r="H96" s="361"/>
      <c r="I96" s="361"/>
      <c r="J96" s="361"/>
      <c r="K96" s="361"/>
      <c r="L96" s="127" t="s">
        <v>489</v>
      </c>
      <c r="M96" s="127" t="s">
        <v>121</v>
      </c>
      <c r="N96" s="127"/>
      <c r="O96" s="127"/>
      <c r="P96" s="127"/>
      <c r="Q96" s="127">
        <f>SUM('الوفيات والورثة دينمك'!$N96:$P96)</f>
        <v>0</v>
      </c>
      <c r="R96" s="127"/>
      <c r="S96" s="127">
        <f>'الوفيات والورثة دينمك'!$Q96-'الوفيات والورثة دينمك'!$R96</f>
        <v>0</v>
      </c>
      <c r="T96" s="127"/>
      <c r="U96" s="127"/>
      <c r="V96" s="127">
        <f>IF(الجدول7[[#This Row],[المنح وغيرها]]-الجدول7[[#This Row],[المنصرف ]]&lt;0,0,الجدول7[[#This Row],[المنح وغيرها]]-الجدول7[[#This Row],[المنصرف ]])</f>
        <v>0</v>
      </c>
      <c r="W96" s="127"/>
      <c r="X96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6" s="127"/>
      <c r="Z96" s="128"/>
      <c r="AB96" s="295"/>
    </row>
    <row r="97" spans="3:28" ht="24.95" customHeight="1" x14ac:dyDescent="0.35">
      <c r="C97" s="366"/>
      <c r="D97" s="360"/>
      <c r="E97" s="360"/>
      <c r="F97" s="361"/>
      <c r="G97" s="361"/>
      <c r="H97" s="361"/>
      <c r="I97" s="361"/>
      <c r="J97" s="361"/>
      <c r="K97" s="361"/>
      <c r="L97" s="127" t="s">
        <v>490</v>
      </c>
      <c r="M97" s="127" t="s">
        <v>121</v>
      </c>
      <c r="N97" s="127"/>
      <c r="O97" s="127"/>
      <c r="P97" s="127"/>
      <c r="Q97" s="127">
        <f>SUM('الوفيات والورثة دينمك'!$N97:$P97)</f>
        <v>0</v>
      </c>
      <c r="R97" s="127"/>
      <c r="S97" s="127">
        <f>'الوفيات والورثة دينمك'!$Q97-'الوفيات والورثة دينمك'!$R97</f>
        <v>0</v>
      </c>
      <c r="T97" s="127"/>
      <c r="U97" s="127"/>
      <c r="V97" s="127">
        <f>IF(الجدول7[[#This Row],[المنح وغيرها]]-الجدول7[[#This Row],[المنصرف ]]&lt;0,0,الجدول7[[#This Row],[المنح وغيرها]]-الجدول7[[#This Row],[المنصرف ]])</f>
        <v>0</v>
      </c>
      <c r="W97" s="127"/>
      <c r="X97" s="112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7" s="127"/>
      <c r="Z97" s="128"/>
      <c r="AB97" s="295"/>
    </row>
    <row r="98" spans="3:28" ht="24.95" customHeight="1" x14ac:dyDescent="0.35">
      <c r="C98" s="367">
        <v>4</v>
      </c>
      <c r="D98" s="370" t="s">
        <v>299</v>
      </c>
      <c r="E98" s="370">
        <v>16</v>
      </c>
      <c r="F98" s="370" t="s">
        <v>405</v>
      </c>
      <c r="G98" s="370">
        <f>الاإسكندرية!H27</f>
        <v>919.5</v>
      </c>
      <c r="H98" s="370">
        <f>الاإسكندرية!I27</f>
        <v>10204.459999999999</v>
      </c>
      <c r="I98" s="370">
        <f>الاإسكندرية!J27</f>
        <v>4185.9399999999996</v>
      </c>
      <c r="J98" s="370">
        <f t="shared" si="0"/>
        <v>15309.899999999998</v>
      </c>
      <c r="K98" s="370">
        <f>الاإسكندرية!M27</f>
        <v>12976.51</v>
      </c>
      <c r="L98" s="212" t="s">
        <v>491</v>
      </c>
      <c r="M98" s="212" t="s">
        <v>492</v>
      </c>
      <c r="N98" s="212"/>
      <c r="O98" s="212"/>
      <c r="P98" s="212"/>
      <c r="Q98" s="212">
        <f>SUM('الوفيات والورثة دينمك'!$N98:$P98)</f>
        <v>0</v>
      </c>
      <c r="R98" s="212"/>
      <c r="S98" s="212">
        <f>'الوفيات والورثة دينمك'!$Q98-'الوفيات والورثة دينمك'!$R98</f>
        <v>0</v>
      </c>
      <c r="T98" s="212"/>
      <c r="U98" s="212"/>
      <c r="V98" s="212">
        <f>IF(الجدول7[[#This Row],[المنح وغيرها]]-الجدول7[[#This Row],[المنصرف ]]&lt;0,0,الجدول7[[#This Row],[المنح وغيرها]]-الجدول7[[#This Row],[المنصرف ]])</f>
        <v>0</v>
      </c>
      <c r="W98" s="212"/>
      <c r="X98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8" s="161">
        <f>SUM(Q98:Q106)</f>
        <v>0</v>
      </c>
      <c r="Z98" s="163" t="s">
        <v>127</v>
      </c>
      <c r="AB98" s="295">
        <f>SUMIF(بيان.معاشات.القاهرة[الإسم],'الوفيات والورثة دينمك'!D98:D219,بيان.معاشات.القاهرة[المتبقي])</f>
        <v>0</v>
      </c>
    </row>
    <row r="99" spans="3:28" ht="24.95" customHeight="1" x14ac:dyDescent="0.35">
      <c r="C99" s="367"/>
      <c r="D99" s="370"/>
      <c r="E99" s="370"/>
      <c r="F99" s="370"/>
      <c r="G99" s="370"/>
      <c r="H99" s="370"/>
      <c r="I99" s="370"/>
      <c r="J99" s="370"/>
      <c r="K99" s="370"/>
      <c r="L99" s="212" t="s">
        <v>493</v>
      </c>
      <c r="M99" s="212" t="s">
        <v>119</v>
      </c>
      <c r="N99" s="212"/>
      <c r="O99" s="212"/>
      <c r="P99" s="212"/>
      <c r="Q99" s="212">
        <f>SUM('الوفيات والورثة دينمك'!$N99:$P99)</f>
        <v>0</v>
      </c>
      <c r="R99" s="212"/>
      <c r="S99" s="212">
        <f>'الوفيات والورثة دينمك'!$Q99-'الوفيات والورثة دينمك'!$R99</f>
        <v>0</v>
      </c>
      <c r="T99" s="212"/>
      <c r="U99" s="212"/>
      <c r="V99" s="212">
        <f>IF(الجدول7[[#This Row],[المنح وغيرها]]-الجدول7[[#This Row],[المنصرف ]]&lt;0,0,الجدول7[[#This Row],[المنح وغيرها]]-الجدول7[[#This Row],[المنصرف ]])</f>
        <v>0</v>
      </c>
      <c r="W99" s="212"/>
      <c r="X99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99" s="161">
        <f>SUM(R98:R106)</f>
        <v>0</v>
      </c>
      <c r="Z99" s="163" t="s">
        <v>129</v>
      </c>
      <c r="AB99" s="295"/>
    </row>
    <row r="100" spans="3:28" ht="24.95" customHeight="1" x14ac:dyDescent="0.35">
      <c r="C100" s="367"/>
      <c r="D100" s="370"/>
      <c r="E100" s="370"/>
      <c r="F100" s="370"/>
      <c r="G100" s="370"/>
      <c r="H100" s="370"/>
      <c r="I100" s="370"/>
      <c r="J100" s="370"/>
      <c r="K100" s="370"/>
      <c r="L100" s="212" t="s">
        <v>495</v>
      </c>
      <c r="M100" s="212" t="s">
        <v>124</v>
      </c>
      <c r="N100" s="212"/>
      <c r="O100" s="212"/>
      <c r="P100" s="212"/>
      <c r="Q100" s="212">
        <f>SUM('الوفيات والورثة دينمك'!$N100:$P100)</f>
        <v>0</v>
      </c>
      <c r="R100" s="212"/>
      <c r="S100" s="212">
        <f>'الوفيات والورثة دينمك'!$Q100-'الوفيات والورثة دينمك'!$R100</f>
        <v>0</v>
      </c>
      <c r="T100" s="212"/>
      <c r="U100" s="212"/>
      <c r="V100" s="212">
        <f>IF(الجدول7[[#This Row],[المنح وغيرها]]-الجدول7[[#This Row],[المنصرف ]]&lt;0,0,الجدول7[[#This Row],[المنح وغيرها]]-الجدول7[[#This Row],[المنصرف ]])</f>
        <v>0</v>
      </c>
      <c r="W100" s="212"/>
      <c r="X100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0" s="161">
        <f>Y98-Y99</f>
        <v>0</v>
      </c>
      <c r="Z100" s="163" t="s">
        <v>7</v>
      </c>
      <c r="AB100" s="295"/>
    </row>
    <row r="101" spans="3:28" ht="24.95" customHeight="1" x14ac:dyDescent="0.35">
      <c r="C101" s="367"/>
      <c r="D101" s="370"/>
      <c r="E101" s="370"/>
      <c r="F101" s="370"/>
      <c r="G101" s="370"/>
      <c r="H101" s="370"/>
      <c r="I101" s="370"/>
      <c r="J101" s="370"/>
      <c r="K101" s="370"/>
      <c r="L101" s="212" t="s">
        <v>496</v>
      </c>
      <c r="M101" s="212" t="s">
        <v>121</v>
      </c>
      <c r="N101" s="212"/>
      <c r="O101" s="212"/>
      <c r="P101" s="212"/>
      <c r="Q101" s="212">
        <f>SUM('الوفيات والورثة دينمك'!$N101:$P101)</f>
        <v>0</v>
      </c>
      <c r="R101" s="212"/>
      <c r="S101" s="212">
        <f>'الوفيات والورثة دينمك'!$Q101-'الوفيات والورثة دينمك'!$R101</f>
        <v>0</v>
      </c>
      <c r="T101" s="212"/>
      <c r="U101" s="212"/>
      <c r="V101" s="212">
        <f>IF(الجدول7[[#This Row],[المنح وغيرها]]-الجدول7[[#This Row],[المنصرف ]]&lt;0,0,الجدول7[[#This Row],[المنح وغيرها]]-الجدول7[[#This Row],[المنصرف ]])</f>
        <v>0</v>
      </c>
      <c r="W101" s="212"/>
      <c r="X101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1" s="212"/>
      <c r="Z101" s="214"/>
      <c r="AB101" s="295"/>
    </row>
    <row r="102" spans="3:28" ht="24.95" customHeight="1" x14ac:dyDescent="0.35">
      <c r="C102" s="367"/>
      <c r="D102" s="370"/>
      <c r="E102" s="370"/>
      <c r="F102" s="370"/>
      <c r="G102" s="370"/>
      <c r="H102" s="370"/>
      <c r="I102" s="370"/>
      <c r="J102" s="370"/>
      <c r="K102" s="370"/>
      <c r="L102" s="212" t="s">
        <v>498</v>
      </c>
      <c r="M102" s="212" t="s">
        <v>124</v>
      </c>
      <c r="N102" s="212"/>
      <c r="O102" s="212"/>
      <c r="P102" s="212"/>
      <c r="Q102" s="212">
        <f>SUM('الوفيات والورثة دينمك'!$N102:$P102)</f>
        <v>0</v>
      </c>
      <c r="R102" s="212"/>
      <c r="S102" s="212">
        <f>'الوفيات والورثة دينمك'!$Q102-'الوفيات والورثة دينمك'!$R102</f>
        <v>0</v>
      </c>
      <c r="T102" s="212"/>
      <c r="U102" s="212"/>
      <c r="V102" s="212">
        <f>IF(الجدول7[[#This Row],[المنح وغيرها]]-الجدول7[[#This Row],[المنصرف ]]&lt;0,0,الجدول7[[#This Row],[المنح وغيرها]]-الجدول7[[#This Row],[المنصرف ]])</f>
        <v>0</v>
      </c>
      <c r="W102" s="212"/>
      <c r="X102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2" s="212"/>
      <c r="Z102" s="214"/>
      <c r="AB102" s="295"/>
    </row>
    <row r="103" spans="3:28" ht="24.95" customHeight="1" x14ac:dyDescent="0.35">
      <c r="C103" s="367"/>
      <c r="D103" s="370"/>
      <c r="E103" s="370"/>
      <c r="F103" s="370"/>
      <c r="G103" s="370"/>
      <c r="H103" s="370"/>
      <c r="I103" s="370"/>
      <c r="J103" s="370"/>
      <c r="K103" s="370"/>
      <c r="L103" s="212" t="s">
        <v>499</v>
      </c>
      <c r="M103" s="212" t="s">
        <v>124</v>
      </c>
      <c r="N103" s="212"/>
      <c r="O103" s="212"/>
      <c r="P103" s="212"/>
      <c r="Q103" s="212">
        <f>SUM('الوفيات والورثة دينمك'!$N103:$P103)</f>
        <v>0</v>
      </c>
      <c r="R103" s="212"/>
      <c r="S103" s="212">
        <f>'الوفيات والورثة دينمك'!$Q103-'الوفيات والورثة دينمك'!$R103</f>
        <v>0</v>
      </c>
      <c r="T103" s="212"/>
      <c r="U103" s="212"/>
      <c r="V103" s="212">
        <f>IF(الجدول7[[#This Row],[المنح وغيرها]]-الجدول7[[#This Row],[المنصرف ]]&lt;0,0,الجدول7[[#This Row],[المنح وغيرها]]-الجدول7[[#This Row],[المنصرف ]])</f>
        <v>0</v>
      </c>
      <c r="W103" s="212"/>
      <c r="X103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3" s="212"/>
      <c r="Z103" s="214"/>
      <c r="AB103" s="295"/>
    </row>
    <row r="104" spans="3:28" ht="24.95" customHeight="1" x14ac:dyDescent="0.35">
      <c r="C104" s="367"/>
      <c r="D104" s="370"/>
      <c r="E104" s="370"/>
      <c r="F104" s="370"/>
      <c r="G104" s="370"/>
      <c r="H104" s="370"/>
      <c r="I104" s="370"/>
      <c r="J104" s="370"/>
      <c r="K104" s="370"/>
      <c r="L104" s="212" t="s">
        <v>500</v>
      </c>
      <c r="M104" s="212" t="s">
        <v>121</v>
      </c>
      <c r="N104" s="212"/>
      <c r="O104" s="212"/>
      <c r="P104" s="212"/>
      <c r="Q104" s="212">
        <f>SUM('الوفيات والورثة دينمك'!$N104:$P104)</f>
        <v>0</v>
      </c>
      <c r="R104" s="212"/>
      <c r="S104" s="212">
        <f>'الوفيات والورثة دينمك'!$Q104-'الوفيات والورثة دينمك'!$R104</f>
        <v>0</v>
      </c>
      <c r="T104" s="212"/>
      <c r="U104" s="212"/>
      <c r="V104" s="212">
        <f>IF(الجدول7[[#This Row],[المنح وغيرها]]-الجدول7[[#This Row],[المنصرف ]]&lt;0,0,الجدول7[[#This Row],[المنح وغيرها]]-الجدول7[[#This Row],[المنصرف ]])</f>
        <v>0</v>
      </c>
      <c r="W104" s="212"/>
      <c r="X104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4" s="212"/>
      <c r="Z104" s="214"/>
      <c r="AB104" s="295"/>
    </row>
    <row r="105" spans="3:28" ht="24.95" customHeight="1" x14ac:dyDescent="0.35">
      <c r="C105" s="367"/>
      <c r="D105" s="370"/>
      <c r="E105" s="370"/>
      <c r="F105" s="370"/>
      <c r="G105" s="370"/>
      <c r="H105" s="370"/>
      <c r="I105" s="370"/>
      <c r="J105" s="370"/>
      <c r="K105" s="370"/>
      <c r="L105" s="212" t="s">
        <v>494</v>
      </c>
      <c r="M105" s="212" t="s">
        <v>119</v>
      </c>
      <c r="N105" s="212"/>
      <c r="O105" s="212"/>
      <c r="P105" s="212"/>
      <c r="Q105" s="212">
        <f>SUM('الوفيات والورثة دينمك'!$N105:$P105)</f>
        <v>0</v>
      </c>
      <c r="R105" s="212"/>
      <c r="S105" s="212">
        <f>'الوفيات والورثة دينمك'!$Q105-'الوفيات والورثة دينمك'!$R105</f>
        <v>0</v>
      </c>
      <c r="T105" s="212"/>
      <c r="U105" s="212"/>
      <c r="V105" s="212">
        <f>IF(الجدول7[[#This Row],[المنح وغيرها]]-الجدول7[[#This Row],[المنصرف ]]&lt;0,0,الجدول7[[#This Row],[المنح وغيرها]]-الجدول7[[#This Row],[المنصرف ]])</f>
        <v>0</v>
      </c>
      <c r="W105" s="212"/>
      <c r="X105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5" s="212"/>
      <c r="Z105" s="214"/>
      <c r="AB105" s="295"/>
    </row>
    <row r="106" spans="3:28" ht="24.95" customHeight="1" x14ac:dyDescent="0.35">
      <c r="C106" s="367"/>
      <c r="D106" s="370"/>
      <c r="E106" s="370"/>
      <c r="F106" s="370"/>
      <c r="G106" s="370"/>
      <c r="H106" s="370"/>
      <c r="I106" s="370"/>
      <c r="J106" s="370"/>
      <c r="K106" s="370"/>
      <c r="L106" s="212" t="s">
        <v>497</v>
      </c>
      <c r="M106" s="212" t="s">
        <v>124</v>
      </c>
      <c r="N106" s="212"/>
      <c r="O106" s="212"/>
      <c r="P106" s="212"/>
      <c r="Q106" s="212">
        <f>SUM('الوفيات والورثة دينمك'!$N106:$P106)</f>
        <v>0</v>
      </c>
      <c r="R106" s="212"/>
      <c r="S106" s="212">
        <f>'الوفيات والورثة دينمك'!$Q106-'الوفيات والورثة دينمك'!$R106</f>
        <v>0</v>
      </c>
      <c r="T106" s="212"/>
      <c r="U106" s="212"/>
      <c r="V106" s="212">
        <f>IF(الجدول7[[#This Row],[المنح وغيرها]]-الجدول7[[#This Row],[المنصرف ]]&lt;0,0,الجدول7[[#This Row],[المنح وغيرها]]-الجدول7[[#This Row],[المنصرف ]])</f>
        <v>0</v>
      </c>
      <c r="W106" s="212"/>
      <c r="X106" s="2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6" s="212"/>
      <c r="Z106" s="214"/>
      <c r="AB106" s="295"/>
    </row>
    <row r="107" spans="3:28" ht="24.95" customHeight="1" x14ac:dyDescent="0.35">
      <c r="C107" s="358">
        <v>1</v>
      </c>
      <c r="D107" s="365" t="s">
        <v>375</v>
      </c>
      <c r="E107" s="365">
        <v>30</v>
      </c>
      <c r="F107" s="356" t="s">
        <v>406</v>
      </c>
      <c r="G107" s="356">
        <f>سفاجا!H42</f>
        <v>14019.66</v>
      </c>
      <c r="H107" s="356">
        <f>سفاجا!I42</f>
        <v>14314.18</v>
      </c>
      <c r="I107" s="356">
        <f>سفاجا!J42</f>
        <v>11672.85</v>
      </c>
      <c r="J107" s="356">
        <f t="shared" si="0"/>
        <v>40006.69</v>
      </c>
      <c r="K107" s="356">
        <f>سفاجا!M42</f>
        <v>23874.2</v>
      </c>
      <c r="L107" s="131" t="s">
        <v>501</v>
      </c>
      <c r="M107" s="131" t="s">
        <v>119</v>
      </c>
      <c r="N107" s="131"/>
      <c r="O107" s="131">
        <v>3541.73</v>
      </c>
      <c r="P107" s="131">
        <v>1459.11</v>
      </c>
      <c r="Q107" s="131">
        <f>SUM('الوفيات والورثة دينمك'!$N107:$P107)</f>
        <v>5000.84</v>
      </c>
      <c r="R107" s="131">
        <f>3165.76+1835.08</f>
        <v>5000.84</v>
      </c>
      <c r="S107" s="131">
        <f>'الوفيات والورثة دينمك'!$Q107-'الوفيات والورثة دينمك'!$R107</f>
        <v>0</v>
      </c>
      <c r="T107" s="131"/>
      <c r="U107" s="131"/>
      <c r="V107" s="131">
        <f>IF(الجدول7[[#This Row],[المنح وغيرها]]-الجدول7[[#This Row],[المنصرف ]]&lt;0,0,الجدول7[[#This Row],[المنح وغيرها]]-الجدول7[[#This Row],[المنصرف ]])</f>
        <v>0</v>
      </c>
      <c r="W107" s="131"/>
      <c r="X107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7" s="161">
        <f>SUM(Q107:Q113)</f>
        <v>40006.68</v>
      </c>
      <c r="Z107" s="163" t="s">
        <v>127</v>
      </c>
      <c r="AB107" s="295">
        <f>SUMIF(بيان.معاشات.القاهرة[الإسم],'الوفيات والورثة دينمك'!D107:D225,بيان.معاشات.القاهرة[المتبقي])</f>
        <v>0</v>
      </c>
    </row>
    <row r="108" spans="3:28" ht="24.95" customHeight="1" x14ac:dyDescent="0.35">
      <c r="C108" s="358"/>
      <c r="D108" s="365"/>
      <c r="E108" s="365"/>
      <c r="F108" s="356"/>
      <c r="G108" s="356"/>
      <c r="H108" s="356"/>
      <c r="I108" s="356"/>
      <c r="J108" s="356"/>
      <c r="K108" s="356"/>
      <c r="L108" s="131" t="s">
        <v>502</v>
      </c>
      <c r="M108" s="131" t="s">
        <v>121</v>
      </c>
      <c r="N108" s="131"/>
      <c r="O108" s="131">
        <v>3099.01</v>
      </c>
      <c r="P108" s="131">
        <v>1276.72</v>
      </c>
      <c r="Q108" s="131">
        <f>SUM('الوفيات والورثة دينمك'!$N108:$P108)</f>
        <v>4375.7300000000005</v>
      </c>
      <c r="R108" s="131">
        <f>2770.07+664.92+500+440.74</f>
        <v>4375.7300000000005</v>
      </c>
      <c r="S108" s="131">
        <f>'الوفيات والورثة دينمك'!$Q108-'الوفيات والورثة دينمك'!$R108</f>
        <v>0</v>
      </c>
      <c r="T108" s="131"/>
      <c r="U108" s="131"/>
      <c r="V108" s="131">
        <f>IF(الجدول7[[#This Row],[المنح وغيرها]]-الجدول7[[#This Row],[المنصرف ]]&lt;0,0,الجدول7[[#This Row],[المنح وغيرها]]-الجدول7[[#This Row],[المنصرف ]])</f>
        <v>0</v>
      </c>
      <c r="W108" s="131"/>
      <c r="X108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8" s="161">
        <f>SUM(R107:R113)</f>
        <v>18128.03</v>
      </c>
      <c r="Z108" s="163" t="s">
        <v>129</v>
      </c>
      <c r="AB108" s="295"/>
    </row>
    <row r="109" spans="3:28" ht="24.95" customHeight="1" x14ac:dyDescent="0.35">
      <c r="C109" s="358"/>
      <c r="D109" s="365"/>
      <c r="E109" s="365"/>
      <c r="F109" s="356"/>
      <c r="G109" s="356"/>
      <c r="H109" s="356"/>
      <c r="I109" s="356"/>
      <c r="J109" s="356"/>
      <c r="K109" s="356"/>
      <c r="L109" s="131" t="s">
        <v>503</v>
      </c>
      <c r="M109" s="131" t="s">
        <v>121</v>
      </c>
      <c r="N109" s="131"/>
      <c r="O109" s="131">
        <v>3099.01</v>
      </c>
      <c r="P109" s="131">
        <v>1276.72</v>
      </c>
      <c r="Q109" s="131">
        <f>SUM('الوفيات والورثة دينمك'!$N109:$P109)</f>
        <v>4375.7300000000005</v>
      </c>
      <c r="R109" s="131">
        <f>59.26+500+1000+500+1500+816.47</f>
        <v>4375.7300000000005</v>
      </c>
      <c r="S109" s="131">
        <f>'الوفيات والورثة دينمك'!$Q109-'الوفيات والورثة دينمك'!$R109</f>
        <v>0</v>
      </c>
      <c r="T109" s="131"/>
      <c r="U109" s="131"/>
      <c r="V109" s="131">
        <f>IF(الجدول7[[#This Row],[المنح وغيرها]]-الجدول7[[#This Row],[المنصرف ]]&lt;0,0,الجدول7[[#This Row],[المنح وغيرها]]-الجدول7[[#This Row],[المنصرف ]])</f>
        <v>0</v>
      </c>
      <c r="W109" s="131"/>
      <c r="X109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09" s="161">
        <f>Y107-Y108</f>
        <v>21878.65</v>
      </c>
      <c r="Z109" s="163" t="s">
        <v>7</v>
      </c>
      <c r="AB109" s="295"/>
    </row>
    <row r="110" spans="3:28" ht="24.95" customHeight="1" x14ac:dyDescent="0.35">
      <c r="C110" s="358"/>
      <c r="D110" s="365"/>
      <c r="E110" s="365"/>
      <c r="F110" s="356"/>
      <c r="G110" s="356"/>
      <c r="H110" s="356"/>
      <c r="I110" s="356"/>
      <c r="J110" s="356"/>
      <c r="K110" s="356"/>
      <c r="L110" s="131" t="s">
        <v>504</v>
      </c>
      <c r="M110" s="131" t="s">
        <v>124</v>
      </c>
      <c r="N110" s="131"/>
      <c r="O110" s="131">
        <v>6198.02</v>
      </c>
      <c r="P110" s="131">
        <v>2553.44</v>
      </c>
      <c r="Q110" s="131">
        <f>SUM('الوفيات والورثة دينمك'!$N110:$P110)</f>
        <v>8751.4600000000009</v>
      </c>
      <c r="R110" s="131"/>
      <c r="S110" s="131">
        <f>'الوفيات والورثة دينمك'!$Q110-'الوفيات والورثة دينمك'!$R110</f>
        <v>8751.4600000000009</v>
      </c>
      <c r="T110" s="131"/>
      <c r="U110" s="131"/>
      <c r="V110" s="131">
        <f>IF(الجدول7[[#This Row],[المنح وغيرها]]-الجدول7[[#This Row],[المنصرف ]]&lt;0,0,الجدول7[[#This Row],[المنح وغيرها]]-الجدول7[[#This Row],[المنصرف ]])</f>
        <v>6198.02</v>
      </c>
      <c r="W110" s="131"/>
      <c r="X110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2553.44</v>
      </c>
      <c r="Y110" s="131"/>
      <c r="Z110" s="132"/>
      <c r="AB110" s="295"/>
    </row>
    <row r="111" spans="3:28" ht="24.95" customHeight="1" x14ac:dyDescent="0.35">
      <c r="C111" s="358"/>
      <c r="D111" s="365"/>
      <c r="E111" s="365"/>
      <c r="F111" s="356"/>
      <c r="G111" s="356"/>
      <c r="H111" s="356"/>
      <c r="I111" s="356"/>
      <c r="J111" s="356"/>
      <c r="K111" s="356"/>
      <c r="L111" s="131" t="s">
        <v>505</v>
      </c>
      <c r="M111" s="131" t="s">
        <v>121</v>
      </c>
      <c r="N111" s="131"/>
      <c r="O111" s="131">
        <v>3099.01</v>
      </c>
      <c r="P111" s="131">
        <v>1276.72</v>
      </c>
      <c r="Q111" s="131">
        <f>SUM('الوفيات والورثة دينمك'!$N111:$P111)</f>
        <v>4375.7300000000005</v>
      </c>
      <c r="R111" s="131">
        <f>4375.73</f>
        <v>4375.7299999999996</v>
      </c>
      <c r="S111" s="131">
        <f>'الوفيات والورثة دينمك'!$Q111-'الوفيات والورثة دينمك'!$R111</f>
        <v>0</v>
      </c>
      <c r="T111" s="131"/>
      <c r="U111" s="131"/>
      <c r="V111" s="131">
        <f>IF(الجدول7[[#This Row],[المنح وغيرها]]-الجدول7[[#This Row],[المنصرف ]]&lt;0,0,الجدول7[[#This Row],[المنح وغيرها]]-الجدول7[[#This Row],[المنصرف ]])</f>
        <v>0</v>
      </c>
      <c r="W111" s="131"/>
      <c r="X111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1" s="131"/>
      <c r="Z111" s="132"/>
      <c r="AB111" s="295"/>
    </row>
    <row r="112" spans="3:28" ht="24.95" customHeight="1" x14ac:dyDescent="0.35">
      <c r="C112" s="358"/>
      <c r="D112" s="365"/>
      <c r="E112" s="365"/>
      <c r="F112" s="356"/>
      <c r="G112" s="356"/>
      <c r="H112" s="356"/>
      <c r="I112" s="356"/>
      <c r="J112" s="356"/>
      <c r="K112" s="356"/>
      <c r="L112" s="131" t="s">
        <v>506</v>
      </c>
      <c r="M112" s="131" t="s">
        <v>121</v>
      </c>
      <c r="N112" s="131"/>
      <c r="O112" s="131">
        <v>3099.01</v>
      </c>
      <c r="P112" s="131">
        <v>1276.72</v>
      </c>
      <c r="Q112" s="131">
        <f>SUM('الوفيات والورثة دينمك'!$N112:$P112)</f>
        <v>4375.7300000000005</v>
      </c>
      <c r="R112" s="131"/>
      <c r="S112" s="131">
        <f>'الوفيات والورثة دينمك'!$Q112-'الوفيات والورثة دينمك'!$R112</f>
        <v>4375.7300000000005</v>
      </c>
      <c r="T112" s="131"/>
      <c r="U112" s="131"/>
      <c r="V112" s="131">
        <f>IF(الجدول7[[#This Row],[المنح وغيرها]]-الجدول7[[#This Row],[المنصرف ]]&lt;0,0,الجدول7[[#This Row],[المنح وغيرها]]-الجدول7[[#This Row],[المنصرف ]])</f>
        <v>3099.01</v>
      </c>
      <c r="W112" s="131"/>
      <c r="X112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1276.72</v>
      </c>
      <c r="Y112" s="131"/>
      <c r="Z112" s="132"/>
      <c r="AB112" s="295"/>
    </row>
    <row r="113" spans="3:28" ht="24.95" customHeight="1" x14ac:dyDescent="0.35">
      <c r="C113" s="358"/>
      <c r="D113" s="365"/>
      <c r="E113" s="365"/>
      <c r="F113" s="356"/>
      <c r="G113" s="356"/>
      <c r="H113" s="356"/>
      <c r="I113" s="356"/>
      <c r="J113" s="356"/>
      <c r="K113" s="356"/>
      <c r="L113" s="131" t="s">
        <v>507</v>
      </c>
      <c r="M113" s="131" t="s">
        <v>124</v>
      </c>
      <c r="N113" s="131"/>
      <c r="O113" s="131">
        <v>6198.02</v>
      </c>
      <c r="P113" s="131">
        <v>2553.44</v>
      </c>
      <c r="Q113" s="131">
        <f>SUM('الوفيات والورثة دينمك'!$N113:$P113)</f>
        <v>8751.4600000000009</v>
      </c>
      <c r="R113" s="131"/>
      <c r="S113" s="131">
        <f>'الوفيات والورثة دينمك'!$Q113-'الوفيات والورثة دينمك'!$R113</f>
        <v>8751.4600000000009</v>
      </c>
      <c r="T113" s="131"/>
      <c r="U113" s="131"/>
      <c r="V113" s="131">
        <f>IF(الجدول7[[#This Row],[المنح وغيرها]]-الجدول7[[#This Row],[المنصرف ]]&lt;0,0,الجدول7[[#This Row],[المنح وغيرها]]-الجدول7[[#This Row],[المنصرف ]])</f>
        <v>6198.02</v>
      </c>
      <c r="W113" s="131"/>
      <c r="X113" s="110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2553.44</v>
      </c>
      <c r="Y113" s="131"/>
      <c r="Z113" s="132"/>
      <c r="AB113" s="295"/>
    </row>
    <row r="114" spans="3:28" ht="24.95" customHeight="1" x14ac:dyDescent="0.35">
      <c r="C114" s="363">
        <v>2</v>
      </c>
      <c r="D114" s="364" t="s">
        <v>377</v>
      </c>
      <c r="E114" s="364">
        <v>31</v>
      </c>
      <c r="F114" s="364" t="s">
        <v>406</v>
      </c>
      <c r="G114" s="364">
        <f>سفاجا!H43</f>
        <v>14385.28</v>
      </c>
      <c r="H114" s="364">
        <f>سفاجا!I43</f>
        <v>3698.49</v>
      </c>
      <c r="I114" s="364">
        <f>سفاجا!J43</f>
        <v>7208.52</v>
      </c>
      <c r="J114" s="364">
        <f t="shared" si="0"/>
        <v>25292.29</v>
      </c>
      <c r="K114" s="364">
        <f>سفاجا!M43</f>
        <v>8510.4699999999993</v>
      </c>
      <c r="L114" s="129" t="s">
        <v>378</v>
      </c>
      <c r="M114" s="129" t="s">
        <v>119</v>
      </c>
      <c r="N114" s="129"/>
      <c r="O114" s="129"/>
      <c r="P114" s="129"/>
      <c r="Q114" s="129">
        <f>SUM('الوفيات والورثة دينمك'!$N114:$P114)</f>
        <v>0</v>
      </c>
      <c r="R114" s="129"/>
      <c r="S114" s="129">
        <f>'الوفيات والورثة دينمك'!$Q114-'الوفيات والورثة دينمك'!$R114</f>
        <v>0</v>
      </c>
      <c r="T114" s="129"/>
      <c r="U114" s="129"/>
      <c r="V114" s="129">
        <f>IF(الجدول7[[#This Row],[المنح وغيرها]]-الجدول7[[#This Row],[المنصرف ]]&lt;0,0,الجدول7[[#This Row],[المنح وغيرها]]-الجدول7[[#This Row],[المنصرف ]])</f>
        <v>0</v>
      </c>
      <c r="W114" s="129"/>
      <c r="X114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4" s="161">
        <f>SUM(Q114:Q119)</f>
        <v>0</v>
      </c>
      <c r="Z114" s="163" t="s">
        <v>127</v>
      </c>
      <c r="AB114" s="295">
        <f>SUMIF(بيان.معاشات.القاهرة[الإسم],'الوفيات والورثة دينمك'!D114:D231,بيان.معاشات.القاهرة[المتبقي])</f>
        <v>0</v>
      </c>
    </row>
    <row r="115" spans="3:28" ht="24.95" customHeight="1" x14ac:dyDescent="0.35">
      <c r="C115" s="363"/>
      <c r="D115" s="364"/>
      <c r="E115" s="364"/>
      <c r="F115" s="364"/>
      <c r="G115" s="364"/>
      <c r="H115" s="364"/>
      <c r="I115" s="364"/>
      <c r="J115" s="364"/>
      <c r="K115" s="364"/>
      <c r="L115" s="129" t="s">
        <v>508</v>
      </c>
      <c r="M115" s="129" t="s">
        <v>121</v>
      </c>
      <c r="N115" s="129"/>
      <c r="O115" s="129"/>
      <c r="P115" s="129"/>
      <c r="Q115" s="129">
        <f>SUM('الوفيات والورثة دينمك'!$N115:$P115)</f>
        <v>0</v>
      </c>
      <c r="R115" s="129"/>
      <c r="S115" s="129">
        <f>'الوفيات والورثة دينمك'!$Q115-'الوفيات والورثة دينمك'!$R115</f>
        <v>0</v>
      </c>
      <c r="T115" s="129"/>
      <c r="U115" s="129"/>
      <c r="V115" s="129">
        <f>IF(الجدول7[[#This Row],[المنح وغيرها]]-الجدول7[[#This Row],[المنصرف ]]&lt;0,0,الجدول7[[#This Row],[المنح وغيرها]]-الجدول7[[#This Row],[المنصرف ]])</f>
        <v>0</v>
      </c>
      <c r="W115" s="129"/>
      <c r="X115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5" s="161">
        <f>SUM(R114:R119)</f>
        <v>0</v>
      </c>
      <c r="Z115" s="163" t="s">
        <v>129</v>
      </c>
      <c r="AB115" s="295"/>
    </row>
    <row r="116" spans="3:28" ht="24.95" customHeight="1" x14ac:dyDescent="0.35">
      <c r="C116" s="363"/>
      <c r="D116" s="364"/>
      <c r="E116" s="364"/>
      <c r="F116" s="364"/>
      <c r="G116" s="364"/>
      <c r="H116" s="364"/>
      <c r="I116" s="364"/>
      <c r="J116" s="364"/>
      <c r="K116" s="364"/>
      <c r="L116" s="129" t="s">
        <v>509</v>
      </c>
      <c r="M116" s="129" t="s">
        <v>121</v>
      </c>
      <c r="N116" s="129"/>
      <c r="O116" s="129"/>
      <c r="P116" s="129"/>
      <c r="Q116" s="129">
        <f>SUM('الوفيات والورثة دينمك'!$N116:$P116)</f>
        <v>0</v>
      </c>
      <c r="R116" s="129"/>
      <c r="S116" s="129">
        <f>'الوفيات والورثة دينمك'!$Q116-'الوفيات والورثة دينمك'!$R116</f>
        <v>0</v>
      </c>
      <c r="T116" s="129"/>
      <c r="U116" s="129"/>
      <c r="V116" s="129">
        <f>IF(الجدول7[[#This Row],[المنح وغيرها]]-الجدول7[[#This Row],[المنصرف ]]&lt;0,0,الجدول7[[#This Row],[المنح وغيرها]]-الجدول7[[#This Row],[المنصرف ]])</f>
        <v>0</v>
      </c>
      <c r="W116" s="129"/>
      <c r="X116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6" s="161">
        <f>Y114-Y115</f>
        <v>0</v>
      </c>
      <c r="Z116" s="163" t="s">
        <v>7</v>
      </c>
      <c r="AB116" s="295"/>
    </row>
    <row r="117" spans="3:28" ht="24.95" customHeight="1" x14ac:dyDescent="0.35">
      <c r="C117" s="363"/>
      <c r="D117" s="364"/>
      <c r="E117" s="364"/>
      <c r="F117" s="364"/>
      <c r="G117" s="364"/>
      <c r="H117" s="364"/>
      <c r="I117" s="364"/>
      <c r="J117" s="364"/>
      <c r="K117" s="364"/>
      <c r="L117" s="129" t="s">
        <v>510</v>
      </c>
      <c r="M117" s="129" t="s">
        <v>121</v>
      </c>
      <c r="N117" s="129"/>
      <c r="O117" s="129"/>
      <c r="P117" s="129"/>
      <c r="Q117" s="129">
        <f>SUM('الوفيات والورثة دينمك'!$N117:$P117)</f>
        <v>0</v>
      </c>
      <c r="R117" s="129"/>
      <c r="S117" s="129">
        <f>'الوفيات والورثة دينمك'!$Q117-'الوفيات والورثة دينمك'!$R117</f>
        <v>0</v>
      </c>
      <c r="T117" s="129"/>
      <c r="U117" s="129"/>
      <c r="V117" s="129">
        <f>IF(الجدول7[[#This Row],[المنح وغيرها]]-الجدول7[[#This Row],[المنصرف ]]&lt;0,0,الجدول7[[#This Row],[المنح وغيرها]]-الجدول7[[#This Row],[المنصرف ]])</f>
        <v>0</v>
      </c>
      <c r="W117" s="129"/>
      <c r="X117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7" s="129"/>
      <c r="Z117" s="130"/>
      <c r="AB117" s="295"/>
    </row>
    <row r="118" spans="3:28" ht="24.95" customHeight="1" x14ac:dyDescent="0.35">
      <c r="C118" s="363"/>
      <c r="D118" s="364"/>
      <c r="E118" s="364"/>
      <c r="F118" s="364"/>
      <c r="G118" s="364"/>
      <c r="H118" s="364"/>
      <c r="I118" s="364"/>
      <c r="J118" s="364"/>
      <c r="K118" s="364"/>
      <c r="L118" s="129" t="s">
        <v>511</v>
      </c>
      <c r="M118" s="129" t="s">
        <v>121</v>
      </c>
      <c r="N118" s="129"/>
      <c r="O118" s="129"/>
      <c r="P118" s="129"/>
      <c r="Q118" s="129">
        <f>SUM('الوفيات والورثة دينمك'!$N118:$P118)</f>
        <v>0</v>
      </c>
      <c r="R118" s="129"/>
      <c r="S118" s="129">
        <f>'الوفيات والورثة دينمك'!$Q118-'الوفيات والورثة دينمك'!$R118</f>
        <v>0</v>
      </c>
      <c r="T118" s="129"/>
      <c r="U118" s="129"/>
      <c r="V118" s="129">
        <f>IF(الجدول7[[#This Row],[المنح وغيرها]]-الجدول7[[#This Row],[المنصرف ]]&lt;0,0,الجدول7[[#This Row],[المنح وغيرها]]-الجدول7[[#This Row],[المنصرف ]])</f>
        <v>0</v>
      </c>
      <c r="W118" s="129"/>
      <c r="X118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8" s="129"/>
      <c r="Z118" s="130"/>
      <c r="AB118" s="295"/>
    </row>
    <row r="119" spans="3:28" ht="24.95" customHeight="1" x14ac:dyDescent="0.35">
      <c r="C119" s="363"/>
      <c r="D119" s="364"/>
      <c r="E119" s="364"/>
      <c r="F119" s="364"/>
      <c r="G119" s="364"/>
      <c r="H119" s="364"/>
      <c r="I119" s="364"/>
      <c r="J119" s="364"/>
      <c r="K119" s="364"/>
      <c r="L119" s="129" t="s">
        <v>512</v>
      </c>
      <c r="M119" s="129" t="s">
        <v>121</v>
      </c>
      <c r="N119" s="129"/>
      <c r="O119" s="129"/>
      <c r="P119" s="129"/>
      <c r="Q119" s="129">
        <f>SUM('الوفيات والورثة دينمك'!$N119:$P119)</f>
        <v>0</v>
      </c>
      <c r="R119" s="129"/>
      <c r="S119" s="129">
        <f>'الوفيات والورثة دينمك'!$Q119-'الوفيات والورثة دينمك'!$R119</f>
        <v>0</v>
      </c>
      <c r="T119" s="129"/>
      <c r="U119" s="129"/>
      <c r="V119" s="129">
        <f>IF(الجدول7[[#This Row],[المنح وغيرها]]-الجدول7[[#This Row],[المنصرف ]]&lt;0,0,الجدول7[[#This Row],[المنح وغيرها]]-الجدول7[[#This Row],[المنصرف ]])</f>
        <v>0</v>
      </c>
      <c r="W119" s="129"/>
      <c r="X119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19" s="129"/>
      <c r="Z119" s="130"/>
      <c r="AB119" s="295"/>
    </row>
    <row r="120" spans="3:28" ht="24.95" customHeight="1" x14ac:dyDescent="0.35">
      <c r="C120" s="380">
        <v>3</v>
      </c>
      <c r="D120" s="381" t="s">
        <v>379</v>
      </c>
      <c r="E120" s="381">
        <v>32</v>
      </c>
      <c r="F120" s="362" t="s">
        <v>406</v>
      </c>
      <c r="G120" s="362">
        <f>سفاجا!H44</f>
        <v>13823.82</v>
      </c>
      <c r="H120" s="362">
        <f>سفاجا!I44</f>
        <v>21427.89</v>
      </c>
      <c r="I120" s="362">
        <f>سفاجا!J44</f>
        <v>11669.4</v>
      </c>
      <c r="J120" s="362">
        <f t="shared" si="0"/>
        <v>46921.11</v>
      </c>
      <c r="K120" s="362">
        <f>سفاجا!M44</f>
        <v>17934.3</v>
      </c>
      <c r="L120" s="155" t="s">
        <v>513</v>
      </c>
      <c r="M120" s="155" t="s">
        <v>119</v>
      </c>
      <c r="N120" s="155"/>
      <c r="O120" s="155"/>
      <c r="P120" s="155"/>
      <c r="Q120" s="155">
        <f>SUM('الوفيات والورثة دينمك'!$N120:$P120)</f>
        <v>0</v>
      </c>
      <c r="R120" s="155"/>
      <c r="S120" s="155">
        <f>'الوفيات والورثة دينمك'!$Q120-'الوفيات والورثة دينمك'!$R120</f>
        <v>0</v>
      </c>
      <c r="T120" s="155"/>
      <c r="U120" s="155"/>
      <c r="V120" s="155">
        <f>IF(الجدول7[[#This Row],[المنح وغيرها]]-الجدول7[[#This Row],[المنصرف ]]&lt;0,0,الجدول7[[#This Row],[المنح وغيرها]]-الجدول7[[#This Row],[المنصرف ]])</f>
        <v>0</v>
      </c>
      <c r="W120" s="155"/>
      <c r="X120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0" s="161">
        <f>SUM(Q120:Q125)</f>
        <v>0</v>
      </c>
      <c r="Z120" s="163" t="s">
        <v>127</v>
      </c>
      <c r="AB120" s="295">
        <f>SUMIF(بيان.معاشات.القاهرة[الإسم],'الوفيات والورثة دينمك'!D120:D237,بيان.معاشات.القاهرة[المتبقي])</f>
        <v>0</v>
      </c>
    </row>
    <row r="121" spans="3:28" ht="24.95" customHeight="1" x14ac:dyDescent="0.35">
      <c r="C121" s="380"/>
      <c r="D121" s="381"/>
      <c r="E121" s="381"/>
      <c r="F121" s="362"/>
      <c r="G121" s="362"/>
      <c r="H121" s="362"/>
      <c r="I121" s="362"/>
      <c r="J121" s="362"/>
      <c r="K121" s="362"/>
      <c r="L121" s="155" t="s">
        <v>514</v>
      </c>
      <c r="M121" s="155" t="s">
        <v>124</v>
      </c>
      <c r="N121" s="155"/>
      <c r="O121" s="155"/>
      <c r="P121" s="155"/>
      <c r="Q121" s="155">
        <f>SUM('الوفيات والورثة دينمك'!$N121:$P121)</f>
        <v>0</v>
      </c>
      <c r="R121" s="155"/>
      <c r="S121" s="155">
        <f>'الوفيات والورثة دينمك'!$Q121-'الوفيات والورثة دينمك'!$R121</f>
        <v>0</v>
      </c>
      <c r="T121" s="155"/>
      <c r="U121" s="155"/>
      <c r="V121" s="155">
        <f>IF(الجدول7[[#This Row],[المنح وغيرها]]-الجدول7[[#This Row],[المنصرف ]]&lt;0,0,الجدول7[[#This Row],[المنح وغيرها]]-الجدول7[[#This Row],[المنصرف ]])</f>
        <v>0</v>
      </c>
      <c r="W121" s="155"/>
      <c r="X121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1" s="161">
        <f>SUM(R120:R125)</f>
        <v>0</v>
      </c>
      <c r="Z121" s="163" t="s">
        <v>129</v>
      </c>
      <c r="AB121" s="295"/>
    </row>
    <row r="122" spans="3:28" ht="24.95" customHeight="1" x14ac:dyDescent="0.35">
      <c r="C122" s="380"/>
      <c r="D122" s="381"/>
      <c r="E122" s="381"/>
      <c r="F122" s="362"/>
      <c r="G122" s="362"/>
      <c r="H122" s="362"/>
      <c r="I122" s="362"/>
      <c r="J122" s="362"/>
      <c r="K122" s="362"/>
      <c r="L122" s="155" t="s">
        <v>515</v>
      </c>
      <c r="M122" s="155" t="s">
        <v>124</v>
      </c>
      <c r="N122" s="155"/>
      <c r="O122" s="155"/>
      <c r="P122" s="155"/>
      <c r="Q122" s="155">
        <f>SUM('الوفيات والورثة دينمك'!$N122:$P122)</f>
        <v>0</v>
      </c>
      <c r="R122" s="155"/>
      <c r="S122" s="155">
        <f>'الوفيات والورثة دينمك'!$Q122-'الوفيات والورثة دينمك'!$R122</f>
        <v>0</v>
      </c>
      <c r="T122" s="155"/>
      <c r="U122" s="155"/>
      <c r="V122" s="155">
        <f>IF(الجدول7[[#This Row],[المنح وغيرها]]-الجدول7[[#This Row],[المنصرف ]]&lt;0,0,الجدول7[[#This Row],[المنح وغيرها]]-الجدول7[[#This Row],[المنصرف ]])</f>
        <v>0</v>
      </c>
      <c r="W122" s="155"/>
      <c r="X122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2" s="161">
        <f>Y120-Y121</f>
        <v>0</v>
      </c>
      <c r="Z122" s="163" t="s">
        <v>7</v>
      </c>
      <c r="AB122" s="295"/>
    </row>
    <row r="123" spans="3:28" ht="24.95" customHeight="1" x14ac:dyDescent="0.35">
      <c r="C123" s="380"/>
      <c r="D123" s="381"/>
      <c r="E123" s="381"/>
      <c r="F123" s="362"/>
      <c r="G123" s="362"/>
      <c r="H123" s="362"/>
      <c r="I123" s="362"/>
      <c r="J123" s="362"/>
      <c r="K123" s="362"/>
      <c r="L123" s="155" t="s">
        <v>516</v>
      </c>
      <c r="M123" s="155" t="s">
        <v>121</v>
      </c>
      <c r="N123" s="155"/>
      <c r="O123" s="155"/>
      <c r="P123" s="155"/>
      <c r="Q123" s="155">
        <f>SUM('الوفيات والورثة دينمك'!$N123:$P123)</f>
        <v>0</v>
      </c>
      <c r="R123" s="155"/>
      <c r="S123" s="155">
        <f>'الوفيات والورثة دينمك'!$Q123-'الوفيات والورثة دينمك'!$R123</f>
        <v>0</v>
      </c>
      <c r="T123" s="155"/>
      <c r="U123" s="155"/>
      <c r="V123" s="155">
        <f>IF(الجدول7[[#This Row],[المنح وغيرها]]-الجدول7[[#This Row],[المنصرف ]]&lt;0,0,الجدول7[[#This Row],[المنح وغيرها]]-الجدول7[[#This Row],[المنصرف ]])</f>
        <v>0</v>
      </c>
      <c r="W123" s="155"/>
      <c r="X123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3" s="155"/>
      <c r="Z123" s="157"/>
      <c r="AB123" s="295"/>
    </row>
    <row r="124" spans="3:28" ht="24.95" customHeight="1" x14ac:dyDescent="0.35">
      <c r="C124" s="380"/>
      <c r="D124" s="381"/>
      <c r="E124" s="381"/>
      <c r="F124" s="362"/>
      <c r="G124" s="362"/>
      <c r="H124" s="362"/>
      <c r="I124" s="362"/>
      <c r="J124" s="362"/>
      <c r="K124" s="362"/>
      <c r="L124" s="155" t="s">
        <v>517</v>
      </c>
      <c r="M124" s="155" t="s">
        <v>121</v>
      </c>
      <c r="N124" s="155"/>
      <c r="O124" s="155"/>
      <c r="P124" s="155"/>
      <c r="Q124" s="155">
        <f>SUM('الوفيات والورثة دينمك'!$N124:$P124)</f>
        <v>0</v>
      </c>
      <c r="R124" s="155"/>
      <c r="S124" s="155">
        <f>'الوفيات والورثة دينمك'!$Q124-'الوفيات والورثة دينمك'!$R124</f>
        <v>0</v>
      </c>
      <c r="T124" s="155"/>
      <c r="U124" s="155"/>
      <c r="V124" s="155">
        <f>IF(الجدول7[[#This Row],[المنح وغيرها]]-الجدول7[[#This Row],[المنصرف ]]&lt;0,0,الجدول7[[#This Row],[المنح وغيرها]]-الجدول7[[#This Row],[المنصرف ]])</f>
        <v>0</v>
      </c>
      <c r="W124" s="155"/>
      <c r="X124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4" s="155"/>
      <c r="Z124" s="157"/>
      <c r="AB124" s="295"/>
    </row>
    <row r="125" spans="3:28" ht="24.95" customHeight="1" x14ac:dyDescent="0.35">
      <c r="C125" s="380"/>
      <c r="D125" s="381"/>
      <c r="E125" s="381"/>
      <c r="F125" s="362"/>
      <c r="G125" s="362"/>
      <c r="H125" s="362"/>
      <c r="I125" s="362"/>
      <c r="J125" s="362"/>
      <c r="K125" s="362"/>
      <c r="L125" s="155" t="s">
        <v>518</v>
      </c>
      <c r="M125" s="155" t="s">
        <v>121</v>
      </c>
      <c r="N125" s="155"/>
      <c r="O125" s="155"/>
      <c r="P125" s="155"/>
      <c r="Q125" s="155">
        <f>SUM('الوفيات والورثة دينمك'!$N125:$P125)</f>
        <v>0</v>
      </c>
      <c r="R125" s="155"/>
      <c r="S125" s="155">
        <f>'الوفيات والورثة دينمك'!$Q125-'الوفيات والورثة دينمك'!$R125</f>
        <v>0</v>
      </c>
      <c r="T125" s="155"/>
      <c r="U125" s="155"/>
      <c r="V125" s="155">
        <f>IF(الجدول7[[#This Row],[المنح وغيرها]]-الجدول7[[#This Row],[المنصرف ]]&lt;0,0,الجدول7[[#This Row],[المنح وغيرها]]-الجدول7[[#This Row],[المنصرف ]])</f>
        <v>0</v>
      </c>
      <c r="W125" s="155"/>
      <c r="X125" s="156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5" s="155"/>
      <c r="Z125" s="157"/>
      <c r="AB125" s="295"/>
    </row>
    <row r="126" spans="3:28" ht="24.95" customHeight="1" x14ac:dyDescent="0.35">
      <c r="C126" s="379">
        <v>4</v>
      </c>
      <c r="D126" s="378" t="s">
        <v>381</v>
      </c>
      <c r="E126" s="378">
        <v>43</v>
      </c>
      <c r="F126" s="378" t="s">
        <v>406</v>
      </c>
      <c r="G126" s="378">
        <f>سفاجا!H45</f>
        <v>22133.88</v>
      </c>
      <c r="H126" s="378">
        <f>سفاجا!I45</f>
        <v>28855.909999999996</v>
      </c>
      <c r="I126" s="378">
        <f>سفاجا!J45</f>
        <v>19050</v>
      </c>
      <c r="J126" s="378">
        <f t="shared" si="0"/>
        <v>70039.789999999994</v>
      </c>
      <c r="K126" s="378">
        <f>سفاجا!M45</f>
        <v>0</v>
      </c>
      <c r="L126" s="206" t="s">
        <v>519</v>
      </c>
      <c r="M126" s="206" t="s">
        <v>119</v>
      </c>
      <c r="N126" s="206"/>
      <c r="O126" s="206"/>
      <c r="P126" s="206"/>
      <c r="Q126" s="206">
        <f>SUM('الوفيات والورثة دينمك'!$N126:$P126)</f>
        <v>0</v>
      </c>
      <c r="R126" s="206"/>
      <c r="S126" s="206">
        <f>'الوفيات والورثة دينمك'!$Q126-'الوفيات والورثة دينمك'!$R126</f>
        <v>0</v>
      </c>
      <c r="T126" s="206"/>
      <c r="U126" s="206"/>
      <c r="V126" s="206">
        <f>IF(الجدول7[[#This Row],[المنح وغيرها]]-الجدول7[[#This Row],[المنصرف ]]&lt;0,0,الجدول7[[#This Row],[المنح وغيرها]]-الجدول7[[#This Row],[المنصرف ]])</f>
        <v>0</v>
      </c>
      <c r="W126" s="206"/>
      <c r="X126" s="2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6" s="161">
        <f>SUM(Q126:Q129)</f>
        <v>0</v>
      </c>
      <c r="Z126" s="163" t="s">
        <v>127</v>
      </c>
      <c r="AB126" s="295">
        <f>SUMIF(بيان.معاشات.القاهرة[الإسم],'الوفيات والورثة دينمك'!D126:D243,بيان.معاشات.القاهرة[المتبقي])</f>
        <v>0</v>
      </c>
    </row>
    <row r="127" spans="3:28" ht="24.95" customHeight="1" x14ac:dyDescent="0.35">
      <c r="C127" s="379"/>
      <c r="D127" s="378"/>
      <c r="E127" s="378"/>
      <c r="F127" s="378"/>
      <c r="G127" s="378"/>
      <c r="H127" s="378"/>
      <c r="I127" s="378"/>
      <c r="J127" s="378"/>
      <c r="K127" s="378"/>
      <c r="L127" s="206" t="s">
        <v>520</v>
      </c>
      <c r="M127" s="206" t="s">
        <v>124</v>
      </c>
      <c r="N127" s="206"/>
      <c r="O127" s="206"/>
      <c r="P127" s="206"/>
      <c r="Q127" s="206">
        <f>SUM('الوفيات والورثة دينمك'!$N127:$P127)</f>
        <v>0</v>
      </c>
      <c r="R127" s="206"/>
      <c r="S127" s="206">
        <f>'الوفيات والورثة دينمك'!$Q127-'الوفيات والورثة دينمك'!$R127</f>
        <v>0</v>
      </c>
      <c r="T127" s="206"/>
      <c r="U127" s="206"/>
      <c r="V127" s="206">
        <f>IF(الجدول7[[#This Row],[المنح وغيرها]]-الجدول7[[#This Row],[المنصرف ]]&lt;0,0,الجدول7[[#This Row],[المنح وغيرها]]-الجدول7[[#This Row],[المنصرف ]])</f>
        <v>0</v>
      </c>
      <c r="W127" s="206"/>
      <c r="X127" s="2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7" s="161">
        <f>SUM(R126:R129)</f>
        <v>0</v>
      </c>
      <c r="Z127" s="163" t="s">
        <v>129</v>
      </c>
      <c r="AB127" s="295"/>
    </row>
    <row r="128" spans="3:28" ht="24.95" customHeight="1" x14ac:dyDescent="0.35">
      <c r="C128" s="379"/>
      <c r="D128" s="378"/>
      <c r="E128" s="378"/>
      <c r="F128" s="378"/>
      <c r="G128" s="378"/>
      <c r="H128" s="378"/>
      <c r="I128" s="378"/>
      <c r="J128" s="378"/>
      <c r="K128" s="378"/>
      <c r="L128" s="206" t="s">
        <v>521</v>
      </c>
      <c r="M128" s="206" t="s">
        <v>124</v>
      </c>
      <c r="N128" s="206"/>
      <c r="O128" s="206"/>
      <c r="P128" s="206"/>
      <c r="Q128" s="206">
        <f>SUM('الوفيات والورثة دينمك'!$N128:$P128)</f>
        <v>0</v>
      </c>
      <c r="R128" s="206"/>
      <c r="S128" s="206">
        <f>'الوفيات والورثة دينمك'!$Q128-'الوفيات والورثة دينمك'!$R128</f>
        <v>0</v>
      </c>
      <c r="T128" s="206"/>
      <c r="U128" s="206"/>
      <c r="V128" s="206">
        <f>IF(الجدول7[[#This Row],[المنح وغيرها]]-الجدول7[[#This Row],[المنصرف ]]&lt;0,0,الجدول7[[#This Row],[المنح وغيرها]]-الجدول7[[#This Row],[المنصرف ]])</f>
        <v>0</v>
      </c>
      <c r="W128" s="206"/>
      <c r="X128" s="2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8" s="161">
        <f>Y126-Y127</f>
        <v>0</v>
      </c>
      <c r="Z128" s="163" t="s">
        <v>7</v>
      </c>
      <c r="AB128" s="295"/>
    </row>
    <row r="129" spans="3:28" ht="24.95" customHeight="1" x14ac:dyDescent="0.35">
      <c r="C129" s="379"/>
      <c r="D129" s="378"/>
      <c r="E129" s="378"/>
      <c r="F129" s="378"/>
      <c r="G129" s="378"/>
      <c r="H129" s="378"/>
      <c r="I129" s="378"/>
      <c r="J129" s="378"/>
      <c r="K129" s="378"/>
      <c r="L129" s="206" t="s">
        <v>522</v>
      </c>
      <c r="M129" s="206" t="s">
        <v>124</v>
      </c>
      <c r="N129" s="206"/>
      <c r="O129" s="206"/>
      <c r="P129" s="206"/>
      <c r="Q129" s="206">
        <f>SUM('الوفيات والورثة دينمك'!$N129:$P129)</f>
        <v>0</v>
      </c>
      <c r="R129" s="206"/>
      <c r="S129" s="206">
        <f>'الوفيات والورثة دينمك'!$Q129-'الوفيات والورثة دينمك'!$R129</f>
        <v>0</v>
      </c>
      <c r="T129" s="206"/>
      <c r="U129" s="206"/>
      <c r="V129" s="206">
        <f>IF(الجدول7[[#This Row],[المنح وغيرها]]-الجدول7[[#This Row],[المنصرف ]]&lt;0,0,الجدول7[[#This Row],[المنح وغيرها]]-الجدول7[[#This Row],[المنصرف ]])</f>
        <v>0</v>
      </c>
      <c r="W129" s="206"/>
      <c r="X129" s="207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29" s="206"/>
      <c r="Z129" s="208"/>
      <c r="AB129" s="295"/>
    </row>
    <row r="130" spans="3:28" ht="24.95" customHeight="1" x14ac:dyDescent="0.35">
      <c r="C130" s="374">
        <v>5</v>
      </c>
      <c r="D130" s="371" t="s">
        <v>473</v>
      </c>
      <c r="E130" s="371">
        <v>44</v>
      </c>
      <c r="F130" s="303" t="s">
        <v>406</v>
      </c>
      <c r="G130" s="303">
        <f>سفاجا!H46</f>
        <v>18921.900000000001</v>
      </c>
      <c r="H130" s="303">
        <f>سفاجا!I46</f>
        <v>19878.32</v>
      </c>
      <c r="I130" s="303">
        <f>سفاجا!J46</f>
        <v>6874.86</v>
      </c>
      <c r="J130" s="303">
        <f t="shared" si="0"/>
        <v>45675.08</v>
      </c>
      <c r="K130" s="303">
        <f>سفاجا!M46</f>
        <v>0</v>
      </c>
      <c r="L130" s="129" t="s">
        <v>523</v>
      </c>
      <c r="M130" s="129" t="s">
        <v>524</v>
      </c>
      <c r="N130" s="129"/>
      <c r="O130" s="129"/>
      <c r="P130" s="129"/>
      <c r="Q130" s="129">
        <f>SUM('الوفيات والورثة دينمك'!$N130:$P130)</f>
        <v>0</v>
      </c>
      <c r="R130" s="129"/>
      <c r="S130" s="129">
        <f>'الوفيات والورثة دينمك'!$Q130-'الوفيات والورثة دينمك'!$R130</f>
        <v>0</v>
      </c>
      <c r="T130" s="129"/>
      <c r="U130" s="129"/>
      <c r="V130" s="129">
        <f>IF(الجدول7[[#This Row],[المنح وغيرها]]-الجدول7[[#This Row],[المنصرف ]]&lt;0,0,الجدول7[[#This Row],[المنح وغيرها]]-الجدول7[[#This Row],[المنصرف ]])</f>
        <v>0</v>
      </c>
      <c r="W130" s="129"/>
      <c r="X130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0" s="161">
        <f>SUM(Q130:Q135)</f>
        <v>0</v>
      </c>
      <c r="Z130" s="163" t="s">
        <v>127</v>
      </c>
      <c r="AB130" s="295">
        <f>SUMIF(بيان.معاشات.القاهرة[الإسم],'الوفيات والورثة دينمك'!D130:D249,بيان.معاشات.القاهرة[المتبقي])</f>
        <v>0</v>
      </c>
    </row>
    <row r="131" spans="3:28" ht="23.25" customHeight="1" x14ac:dyDescent="0.35">
      <c r="C131" s="375"/>
      <c r="D131" s="372"/>
      <c r="E131" s="372"/>
      <c r="F131" s="377"/>
      <c r="G131" s="377"/>
      <c r="H131" s="377"/>
      <c r="I131" s="377"/>
      <c r="J131" s="377"/>
      <c r="K131" s="377"/>
      <c r="L131" s="129" t="s">
        <v>525</v>
      </c>
      <c r="M131" s="129" t="s">
        <v>126</v>
      </c>
      <c r="N131" s="129"/>
      <c r="O131" s="129"/>
      <c r="P131" s="129"/>
      <c r="Q131" s="129">
        <f>SUM('الوفيات والورثة دينمك'!$N131:$P131)</f>
        <v>0</v>
      </c>
      <c r="R131" s="129"/>
      <c r="S131" s="129">
        <f>'الوفيات والورثة دينمك'!$Q131-'الوفيات والورثة دينمك'!$R131</f>
        <v>0</v>
      </c>
      <c r="T131" s="129"/>
      <c r="U131" s="129"/>
      <c r="V131" s="129">
        <f>IF(الجدول7[[#This Row],[المنح وغيرها]]-الجدول7[[#This Row],[المنصرف ]]&lt;0,0,الجدول7[[#This Row],[المنح وغيرها]]-الجدول7[[#This Row],[المنصرف ]])</f>
        <v>0</v>
      </c>
      <c r="W131" s="129"/>
      <c r="X131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1" s="161">
        <f>SUM(R130:R135)</f>
        <v>0</v>
      </c>
      <c r="Z131" s="163" t="s">
        <v>129</v>
      </c>
      <c r="AB131" s="295"/>
    </row>
    <row r="132" spans="3:28" ht="23.25" customHeight="1" x14ac:dyDescent="0.35">
      <c r="C132" s="375"/>
      <c r="D132" s="372"/>
      <c r="E132" s="372"/>
      <c r="F132" s="377"/>
      <c r="G132" s="377"/>
      <c r="H132" s="377"/>
      <c r="I132" s="377"/>
      <c r="J132" s="377"/>
      <c r="K132" s="377"/>
      <c r="L132" s="129" t="s">
        <v>526</v>
      </c>
      <c r="M132" s="129" t="s">
        <v>119</v>
      </c>
      <c r="N132" s="129"/>
      <c r="O132" s="129"/>
      <c r="P132" s="129"/>
      <c r="Q132" s="129">
        <f>SUM('الوفيات والورثة دينمك'!$N132:$P132)</f>
        <v>0</v>
      </c>
      <c r="R132" s="129"/>
      <c r="S132" s="129">
        <f>'الوفيات والورثة دينمك'!$Q132-'الوفيات والورثة دينمك'!$R132</f>
        <v>0</v>
      </c>
      <c r="T132" s="129"/>
      <c r="U132" s="129"/>
      <c r="V132" s="129">
        <f>IF(الجدول7[[#This Row],[المنح وغيرها]]-الجدول7[[#This Row],[المنصرف ]]&lt;0,0,الجدول7[[#This Row],[المنح وغيرها]]-الجدول7[[#This Row],[المنصرف ]])</f>
        <v>0</v>
      </c>
      <c r="W132" s="129"/>
      <c r="X132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2" s="161">
        <f>Y130-Y131</f>
        <v>0</v>
      </c>
      <c r="Z132" s="163" t="s">
        <v>7</v>
      </c>
      <c r="AB132" s="295"/>
    </row>
    <row r="133" spans="3:28" ht="23.25" customHeight="1" x14ac:dyDescent="0.35">
      <c r="C133" s="375"/>
      <c r="D133" s="372"/>
      <c r="E133" s="372"/>
      <c r="F133" s="377"/>
      <c r="G133" s="377"/>
      <c r="H133" s="377"/>
      <c r="I133" s="377"/>
      <c r="J133" s="377"/>
      <c r="K133" s="377"/>
      <c r="L133" s="129" t="s">
        <v>527</v>
      </c>
      <c r="M133" s="129" t="s">
        <v>124</v>
      </c>
      <c r="N133" s="129"/>
      <c r="O133" s="129"/>
      <c r="P133" s="129"/>
      <c r="Q133" s="129">
        <f>SUM('الوفيات والورثة دينمك'!$N133:$P133)</f>
        <v>0</v>
      </c>
      <c r="R133" s="129"/>
      <c r="S133" s="129">
        <f>'الوفيات والورثة دينمك'!$Q133-'الوفيات والورثة دينمك'!$R133</f>
        <v>0</v>
      </c>
      <c r="T133" s="129"/>
      <c r="U133" s="129"/>
      <c r="V133" s="129">
        <f>IF(الجدول7[[#This Row],[المنح وغيرها]]-الجدول7[[#This Row],[المنصرف ]]&lt;0,0,الجدول7[[#This Row],[المنح وغيرها]]-الجدول7[[#This Row],[المنصرف ]])</f>
        <v>0</v>
      </c>
      <c r="W133" s="129"/>
      <c r="X133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3" s="129"/>
      <c r="Z133" s="130"/>
      <c r="AB133" s="295"/>
    </row>
    <row r="134" spans="3:28" ht="23.25" customHeight="1" x14ac:dyDescent="0.35">
      <c r="C134" s="375"/>
      <c r="D134" s="372"/>
      <c r="E134" s="372"/>
      <c r="F134" s="377"/>
      <c r="G134" s="377"/>
      <c r="H134" s="377"/>
      <c r="I134" s="377"/>
      <c r="J134" s="377"/>
      <c r="K134" s="377"/>
      <c r="L134" s="129" t="s">
        <v>528</v>
      </c>
      <c r="M134" s="129" t="s">
        <v>121</v>
      </c>
      <c r="N134" s="129"/>
      <c r="O134" s="129"/>
      <c r="P134" s="129"/>
      <c r="Q134" s="129">
        <f>SUM('الوفيات والورثة دينمك'!$N134:$P134)</f>
        <v>0</v>
      </c>
      <c r="R134" s="129"/>
      <c r="S134" s="129">
        <f>'الوفيات والورثة دينمك'!$Q134-'الوفيات والورثة دينمك'!$R134</f>
        <v>0</v>
      </c>
      <c r="T134" s="129"/>
      <c r="U134" s="129"/>
      <c r="V134" s="129">
        <f>IF(الجدول7[[#This Row],[المنح وغيرها]]-الجدول7[[#This Row],[المنصرف ]]&lt;0,0,الجدول7[[#This Row],[المنح وغيرها]]-الجدول7[[#This Row],[المنصرف ]])</f>
        <v>0</v>
      </c>
      <c r="W134" s="129"/>
      <c r="X134" s="113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4" s="129"/>
      <c r="Z134" s="130"/>
      <c r="AB134" s="295"/>
    </row>
    <row r="135" spans="3:28" ht="23.25" customHeight="1" x14ac:dyDescent="0.35">
      <c r="C135" s="375"/>
      <c r="D135" s="372"/>
      <c r="E135" s="372"/>
      <c r="F135" s="377"/>
      <c r="G135" s="377"/>
      <c r="H135" s="377"/>
      <c r="I135" s="377"/>
      <c r="J135" s="377"/>
      <c r="K135" s="377"/>
      <c r="L135" s="215" t="s">
        <v>529</v>
      </c>
      <c r="M135" s="129" t="s">
        <v>121</v>
      </c>
      <c r="N135" s="215"/>
      <c r="O135" s="215"/>
      <c r="P135" s="215"/>
      <c r="Q135" s="113">
        <f>SUM('الوفيات والورثة دينمك'!$N135:$P135)</f>
        <v>0</v>
      </c>
      <c r="R135" s="215"/>
      <c r="S135" s="113">
        <f>'الوفيات والورثة دينمك'!$Q135-'الوفيات والورثة دينمك'!$R135</f>
        <v>0</v>
      </c>
      <c r="T135" s="215"/>
      <c r="U135" s="215"/>
      <c r="V135" s="215">
        <f>IF(الجدول7[[#This Row],[المنح وغيرها]]-الجدول7[[#This Row],[المنصرف ]]&lt;0,0,الجدول7[[#This Row],[المنح وغيرها]]-الجدول7[[#This Row],[المنصرف ]])</f>
        <v>0</v>
      </c>
      <c r="W135" s="215"/>
      <c r="X135" s="215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5" s="215"/>
      <c r="Z135" s="216"/>
      <c r="AB135" s="295"/>
    </row>
    <row r="136" spans="3:28" x14ac:dyDescent="0.35">
      <c r="C136" s="375"/>
      <c r="D136" s="372"/>
      <c r="E136" s="372"/>
      <c r="F136" s="377"/>
      <c r="G136" s="377"/>
      <c r="H136" s="377"/>
      <c r="I136" s="377"/>
      <c r="J136" s="377"/>
      <c r="K136" s="377"/>
      <c r="L136" s="215" t="s">
        <v>530</v>
      </c>
      <c r="M136" s="129" t="s">
        <v>121</v>
      </c>
      <c r="N136" s="215"/>
      <c r="O136" s="215"/>
      <c r="P136" s="215"/>
      <c r="Q136" s="113">
        <f>SUM('الوفيات والورثة دينمك'!$N136:$P136)</f>
        <v>0</v>
      </c>
      <c r="R136" s="215"/>
      <c r="S136" s="113">
        <f>'الوفيات والورثة دينمك'!$Q136-'الوفيات والورثة دينمك'!$R136</f>
        <v>0</v>
      </c>
      <c r="T136" s="215"/>
      <c r="U136" s="215"/>
      <c r="V136" s="215">
        <f>IF(الجدول7[[#This Row],[المنح وغيرها]]-الجدول7[[#This Row],[المنصرف ]]&lt;0,0,الجدول7[[#This Row],[المنح وغيرها]]-الجدول7[[#This Row],[المنصرف ]])</f>
        <v>0</v>
      </c>
      <c r="W136" s="215"/>
      <c r="X136" s="215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6" s="215"/>
      <c r="Z136" s="216"/>
    </row>
    <row r="137" spans="3:28" x14ac:dyDescent="0.35">
      <c r="C137" s="376"/>
      <c r="D137" s="373"/>
      <c r="E137" s="373"/>
      <c r="F137" s="304"/>
      <c r="G137" s="304"/>
      <c r="H137" s="304"/>
      <c r="I137" s="304"/>
      <c r="J137" s="304"/>
      <c r="K137" s="304"/>
      <c r="L137" s="215" t="s">
        <v>531</v>
      </c>
      <c r="M137" s="129" t="s">
        <v>124</v>
      </c>
      <c r="N137" s="215"/>
      <c r="O137" s="215"/>
      <c r="P137" s="215"/>
      <c r="Q137" s="113">
        <f>SUM('الوفيات والورثة دينمك'!$N137:$P137)</f>
        <v>0</v>
      </c>
      <c r="R137" s="215"/>
      <c r="S137" s="113">
        <f>'الوفيات والورثة دينمك'!$Q137-'الوفيات والورثة دينمك'!$R137</f>
        <v>0</v>
      </c>
      <c r="T137" s="215"/>
      <c r="U137" s="215"/>
      <c r="V137" s="215">
        <f>IF(الجدول7[[#This Row],[المنح وغيرها]]-الجدول7[[#This Row],[المنصرف ]]&lt;0,0,الجدول7[[#This Row],[المنح وغيرها]]-الجدول7[[#This Row],[المنصرف ]])</f>
        <v>0</v>
      </c>
      <c r="W137" s="215"/>
      <c r="X137" s="215">
        <f>IF(SUM(الجدول7[[#This Row],[منحة 3شهور]:[المقابل النقدي]])=الجدول7[[#This Row],[إجمالي المتبقي]],الجدول7[[#This Row],[المقابل النقدي]],(الجدول7[[#This Row],[إجمالي المتبقي]]-الجدول7[[#This Row],[منحة وغيرها]]))</f>
        <v>0</v>
      </c>
      <c r="Y137" s="215"/>
      <c r="Z137" s="216"/>
    </row>
  </sheetData>
  <mergeCells count="250">
    <mergeCell ref="AB120:AB125"/>
    <mergeCell ref="AB126:AB129"/>
    <mergeCell ref="AB130:AB135"/>
    <mergeCell ref="D130:D137"/>
    <mergeCell ref="C130:C137"/>
    <mergeCell ref="E130:E137"/>
    <mergeCell ref="F130:F137"/>
    <mergeCell ref="G130:G137"/>
    <mergeCell ref="H130:H137"/>
    <mergeCell ref="I130:I137"/>
    <mergeCell ref="J130:J137"/>
    <mergeCell ref="K130:K137"/>
    <mergeCell ref="K126:K129"/>
    <mergeCell ref="J126:J129"/>
    <mergeCell ref="I126:I129"/>
    <mergeCell ref="H126:H129"/>
    <mergeCell ref="G126:G129"/>
    <mergeCell ref="F126:F129"/>
    <mergeCell ref="E126:E129"/>
    <mergeCell ref="D126:D129"/>
    <mergeCell ref="C126:C129"/>
    <mergeCell ref="C120:C125"/>
    <mergeCell ref="D120:D125"/>
    <mergeCell ref="E120:E125"/>
    <mergeCell ref="C92:C97"/>
    <mergeCell ref="C98:C106"/>
    <mergeCell ref="C88:C91"/>
    <mergeCell ref="AB82:AB87"/>
    <mergeCell ref="AB88:AB91"/>
    <mergeCell ref="AB92:AB97"/>
    <mergeCell ref="AB98:AB106"/>
    <mergeCell ref="AB107:AB113"/>
    <mergeCell ref="AB114:AB119"/>
    <mergeCell ref="K114:K119"/>
    <mergeCell ref="D98:D106"/>
    <mergeCell ref="E98:E106"/>
    <mergeCell ref="F98:F106"/>
    <mergeCell ref="G98:G106"/>
    <mergeCell ref="H98:H106"/>
    <mergeCell ref="I98:I106"/>
    <mergeCell ref="J98:J106"/>
    <mergeCell ref="K98:K106"/>
    <mergeCell ref="D88:D91"/>
    <mergeCell ref="E88:E91"/>
    <mergeCell ref="F88:F91"/>
    <mergeCell ref="G88:G91"/>
    <mergeCell ref="H88:H91"/>
    <mergeCell ref="I88:I91"/>
    <mergeCell ref="F120:F125"/>
    <mergeCell ref="G120:G125"/>
    <mergeCell ref="H120:H125"/>
    <mergeCell ref="I120:I125"/>
    <mergeCell ref="J120:J125"/>
    <mergeCell ref="K120:K125"/>
    <mergeCell ref="C107:C113"/>
    <mergeCell ref="C114:C119"/>
    <mergeCell ref="D114:D119"/>
    <mergeCell ref="E114:E119"/>
    <mergeCell ref="F114:F119"/>
    <mergeCell ref="G114:G119"/>
    <mergeCell ref="H114:H119"/>
    <mergeCell ref="I114:I119"/>
    <mergeCell ref="J114:J119"/>
    <mergeCell ref="K107:K113"/>
    <mergeCell ref="J107:J113"/>
    <mergeCell ref="I107:I113"/>
    <mergeCell ref="H107:H113"/>
    <mergeCell ref="G107:G113"/>
    <mergeCell ref="F107:F113"/>
    <mergeCell ref="D107:D113"/>
    <mergeCell ref="E107:E113"/>
    <mergeCell ref="J88:J91"/>
    <mergeCell ref="K88:K91"/>
    <mergeCell ref="D92:D97"/>
    <mergeCell ref="E92:E97"/>
    <mergeCell ref="F92:F97"/>
    <mergeCell ref="G92:G97"/>
    <mergeCell ref="H92:H97"/>
    <mergeCell ref="I92:I97"/>
    <mergeCell ref="J92:J97"/>
    <mergeCell ref="K92:K97"/>
    <mergeCell ref="F82:F87"/>
    <mergeCell ref="G82:G87"/>
    <mergeCell ref="H82:H87"/>
    <mergeCell ref="I82:I87"/>
    <mergeCell ref="J82:J87"/>
    <mergeCell ref="K82:K87"/>
    <mergeCell ref="E82:E87"/>
    <mergeCell ref="D82:D87"/>
    <mergeCell ref="C82:C87"/>
    <mergeCell ref="K52:K57"/>
    <mergeCell ref="K58:K60"/>
    <mergeCell ref="K61:K63"/>
    <mergeCell ref="K70:K74"/>
    <mergeCell ref="H61:H63"/>
    <mergeCell ref="I61:I63"/>
    <mergeCell ref="K34:K39"/>
    <mergeCell ref="K40:K42"/>
    <mergeCell ref="K43:K46"/>
    <mergeCell ref="K47:K51"/>
    <mergeCell ref="H64:H68"/>
    <mergeCell ref="I43:I46"/>
    <mergeCell ref="J43:J46"/>
    <mergeCell ref="J47:J51"/>
    <mergeCell ref="I47:I51"/>
    <mergeCell ref="H47:H51"/>
    <mergeCell ref="H52:H57"/>
    <mergeCell ref="I52:I57"/>
    <mergeCell ref="J52:J57"/>
    <mergeCell ref="J58:J60"/>
    <mergeCell ref="I58:I60"/>
    <mergeCell ref="H58:H60"/>
    <mergeCell ref="I34:I39"/>
    <mergeCell ref="H34:H39"/>
    <mergeCell ref="C75:C80"/>
    <mergeCell ref="D75:D80"/>
    <mergeCell ref="E75:E80"/>
    <mergeCell ref="G75:G80"/>
    <mergeCell ref="F70:F74"/>
    <mergeCell ref="F75:F80"/>
    <mergeCell ref="E58:E60"/>
    <mergeCell ref="D58:D60"/>
    <mergeCell ref="C58:C60"/>
    <mergeCell ref="C61:C63"/>
    <mergeCell ref="D61:D63"/>
    <mergeCell ref="G61:G63"/>
    <mergeCell ref="E61:E63"/>
    <mergeCell ref="E70:E74"/>
    <mergeCell ref="D70:D74"/>
    <mergeCell ref="C70:C74"/>
    <mergeCell ref="F58:F60"/>
    <mergeCell ref="G70:G74"/>
    <mergeCell ref="G64:G68"/>
    <mergeCell ref="C64:C68"/>
    <mergeCell ref="D64:D68"/>
    <mergeCell ref="E64:E68"/>
    <mergeCell ref="F64:F68"/>
    <mergeCell ref="H75:H80"/>
    <mergeCell ref="I75:I80"/>
    <mergeCell ref="J75:J80"/>
    <mergeCell ref="F4:F12"/>
    <mergeCell ref="F13:F16"/>
    <mergeCell ref="F17:F20"/>
    <mergeCell ref="F21:F26"/>
    <mergeCell ref="F27:F30"/>
    <mergeCell ref="F31:F32"/>
    <mergeCell ref="F34:F39"/>
    <mergeCell ref="F40:F42"/>
    <mergeCell ref="F43:F46"/>
    <mergeCell ref="F47:F51"/>
    <mergeCell ref="J61:J63"/>
    <mergeCell ref="J70:J74"/>
    <mergeCell ref="I70:I74"/>
    <mergeCell ref="H70:H74"/>
    <mergeCell ref="G58:G60"/>
    <mergeCell ref="F61:F63"/>
    <mergeCell ref="J34:J39"/>
    <mergeCell ref="J40:J42"/>
    <mergeCell ref="I40:I42"/>
    <mergeCell ref="H40:H42"/>
    <mergeCell ref="G31:G32"/>
    <mergeCell ref="C43:C46"/>
    <mergeCell ref="D43:D46"/>
    <mergeCell ref="E43:E46"/>
    <mergeCell ref="G43:G46"/>
    <mergeCell ref="I64:I68"/>
    <mergeCell ref="J64:J68"/>
    <mergeCell ref="C47:C51"/>
    <mergeCell ref="C52:C57"/>
    <mergeCell ref="D52:D57"/>
    <mergeCell ref="E52:E57"/>
    <mergeCell ref="G52:G57"/>
    <mergeCell ref="H43:H46"/>
    <mergeCell ref="G47:G51"/>
    <mergeCell ref="E47:E51"/>
    <mergeCell ref="D47:D51"/>
    <mergeCell ref="F52:F57"/>
    <mergeCell ref="E31:E32"/>
    <mergeCell ref="D31:D32"/>
    <mergeCell ref="C31:C32"/>
    <mergeCell ref="C34:C39"/>
    <mergeCell ref="D34:D39"/>
    <mergeCell ref="E34:E39"/>
    <mergeCell ref="G34:G39"/>
    <mergeCell ref="G40:G42"/>
    <mergeCell ref="E40:E42"/>
    <mergeCell ref="D40:D42"/>
    <mergeCell ref="C40:C42"/>
    <mergeCell ref="J17:J20"/>
    <mergeCell ref="J21:J26"/>
    <mergeCell ref="I21:I26"/>
    <mergeCell ref="H21:H26"/>
    <mergeCell ref="H27:H30"/>
    <mergeCell ref="I27:I30"/>
    <mergeCell ref="J27:J30"/>
    <mergeCell ref="J31:J32"/>
    <mergeCell ref="I31:I32"/>
    <mergeCell ref="H31:H32"/>
    <mergeCell ref="C17:C20"/>
    <mergeCell ref="D17:D20"/>
    <mergeCell ref="E17:E20"/>
    <mergeCell ref="G17:G20"/>
    <mergeCell ref="I4:I12"/>
    <mergeCell ref="C21:C26"/>
    <mergeCell ref="C27:C30"/>
    <mergeCell ref="D27:D30"/>
    <mergeCell ref="E27:E30"/>
    <mergeCell ref="G27:G30"/>
    <mergeCell ref="H17:H20"/>
    <mergeCell ref="I17:I20"/>
    <mergeCell ref="G21:G26"/>
    <mergeCell ref="E21:E26"/>
    <mergeCell ref="D21:D26"/>
    <mergeCell ref="J4:J12"/>
    <mergeCell ref="J13:J16"/>
    <mergeCell ref="I13:I16"/>
    <mergeCell ref="H13:H16"/>
    <mergeCell ref="C4:C12"/>
    <mergeCell ref="D4:D12"/>
    <mergeCell ref="E4:E12"/>
    <mergeCell ref="G4:G12"/>
    <mergeCell ref="H4:H12"/>
    <mergeCell ref="G13:G16"/>
    <mergeCell ref="E13:E16"/>
    <mergeCell ref="D13:D16"/>
    <mergeCell ref="C13:C16"/>
    <mergeCell ref="K4:K12"/>
    <mergeCell ref="K13:K16"/>
    <mergeCell ref="AB47:AB51"/>
    <mergeCell ref="AB52:AB57"/>
    <mergeCell ref="AB58:AB60"/>
    <mergeCell ref="AB61:AB63"/>
    <mergeCell ref="AB64:AB68"/>
    <mergeCell ref="AB69:AB74"/>
    <mergeCell ref="AB75:AB80"/>
    <mergeCell ref="AB4:AB12"/>
    <mergeCell ref="AB13:AB16"/>
    <mergeCell ref="AB17:AB20"/>
    <mergeCell ref="AB21:AB26"/>
    <mergeCell ref="AB27:AB30"/>
    <mergeCell ref="AB31:AB33"/>
    <mergeCell ref="AB34:AB39"/>
    <mergeCell ref="AB40:AB42"/>
    <mergeCell ref="AB43:AB46"/>
    <mergeCell ref="K17:K20"/>
    <mergeCell ref="K21:K26"/>
    <mergeCell ref="K27:K30"/>
    <mergeCell ref="K75:K80"/>
    <mergeCell ref="K31:K32"/>
    <mergeCell ref="K64:K68"/>
  </mergeCells>
  <pageMargins left="0.7" right="0.7" top="0.75" bottom="0.75" header="0.3" footer="0.3"/>
  <pageSetup paperSize="9" orientation="portrait" r:id="rId1"/>
  <ignoredErrors>
    <ignoredError sqref="Y22 Y54" formulaRange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93"/>
  <sheetViews>
    <sheetView rightToLeft="1" tabSelected="1" topLeftCell="B2" workbookViewId="0">
      <pane xSplit="2" ySplit="1" topLeftCell="Y3" activePane="bottomRight" state="frozen"/>
      <selection activeCell="B2" sqref="B2"/>
      <selection pane="topRight" activeCell="D2" sqref="D2"/>
      <selection pane="bottomLeft" activeCell="B3" sqref="B3"/>
      <selection pane="bottomRight" activeCell="AC3" sqref="AC3"/>
    </sheetView>
  </sheetViews>
  <sheetFormatPr defaultRowHeight="15" x14ac:dyDescent="0.25"/>
  <cols>
    <col min="2" max="2" width="6.42578125" customWidth="1"/>
    <col min="3" max="3" width="26.7109375" customWidth="1"/>
    <col min="4" max="4" width="10.140625" hidden="1" customWidth="1"/>
    <col min="6" max="6" width="13.7109375" bestFit="1" customWidth="1"/>
    <col min="7" max="7" width="12.140625" hidden="1" customWidth="1"/>
    <col min="8" max="8" width="0" hidden="1" customWidth="1"/>
    <col min="9" max="9" width="13.42578125" hidden="1" customWidth="1"/>
    <col min="10" max="10" width="12.140625" bestFit="1" customWidth="1"/>
    <col min="11" max="11" width="13.42578125" bestFit="1" customWidth="1"/>
    <col min="12" max="12" width="8.85546875" hidden="1" customWidth="1"/>
    <col min="13" max="13" width="11.5703125" customWidth="1"/>
    <col min="14" max="14" width="14" hidden="1" customWidth="1"/>
    <col min="15" max="15" width="13.42578125" customWidth="1"/>
    <col min="16" max="16" width="4.42578125" hidden="1" customWidth="1"/>
    <col min="17" max="17" width="10.28515625" customWidth="1"/>
    <col min="18" max="18" width="11.42578125" customWidth="1"/>
    <col min="19" max="19" width="14.7109375" bestFit="1" customWidth="1"/>
    <col min="20" max="20" width="12.7109375" bestFit="1" customWidth="1"/>
    <col min="21" max="21" width="14.5703125" bestFit="1" customWidth="1"/>
    <col min="22" max="22" width="15" bestFit="1" customWidth="1"/>
    <col min="23" max="23" width="13" bestFit="1" customWidth="1"/>
    <col min="24" max="25" width="14.28515625" bestFit="1" customWidth="1"/>
    <col min="26" max="26" width="13.5703125" bestFit="1" customWidth="1"/>
    <col min="27" max="27" width="12.5703125" bestFit="1" customWidth="1"/>
    <col min="28" max="28" width="18.7109375" customWidth="1"/>
  </cols>
  <sheetData>
    <row r="2" spans="2:28" s="67" customFormat="1" ht="63" x14ac:dyDescent="0.25">
      <c r="B2" s="68" t="s">
        <v>0</v>
      </c>
      <c r="C2" s="69" t="s">
        <v>99</v>
      </c>
      <c r="D2" s="69" t="s">
        <v>535</v>
      </c>
      <c r="E2" s="69" t="s">
        <v>226</v>
      </c>
      <c r="F2" s="69" t="s">
        <v>218</v>
      </c>
      <c r="G2" s="69" t="s">
        <v>536</v>
      </c>
      <c r="H2" s="69" t="s">
        <v>185</v>
      </c>
      <c r="I2" s="69" t="s">
        <v>4</v>
      </c>
      <c r="J2" s="69" t="s">
        <v>5</v>
      </c>
      <c r="K2" s="69" t="s">
        <v>252</v>
      </c>
      <c r="L2" s="69" t="s">
        <v>7</v>
      </c>
      <c r="M2" s="69" t="s">
        <v>398</v>
      </c>
      <c r="N2" s="69" t="s">
        <v>8</v>
      </c>
      <c r="O2" s="69" t="s">
        <v>397</v>
      </c>
      <c r="P2" s="69" t="s">
        <v>395</v>
      </c>
      <c r="Q2" s="69" t="s">
        <v>537</v>
      </c>
      <c r="R2" s="219" t="s">
        <v>539</v>
      </c>
      <c r="S2" s="219" t="s">
        <v>540</v>
      </c>
      <c r="T2" s="219" t="s">
        <v>541</v>
      </c>
      <c r="U2" s="219" t="s">
        <v>542</v>
      </c>
      <c r="V2" s="219" t="s">
        <v>543</v>
      </c>
      <c r="W2" s="219" t="s">
        <v>254</v>
      </c>
      <c r="X2" s="219" t="s">
        <v>255</v>
      </c>
      <c r="Y2" s="219" t="s">
        <v>256</v>
      </c>
      <c r="Z2" s="219" t="s">
        <v>257</v>
      </c>
      <c r="AA2" s="220" t="s">
        <v>258</v>
      </c>
      <c r="AB2" s="471" t="s">
        <v>552</v>
      </c>
    </row>
    <row r="3" spans="2:28" ht="21" x14ac:dyDescent="0.35">
      <c r="B3" s="221">
        <v>1</v>
      </c>
      <c r="C3" s="222" t="s">
        <v>266</v>
      </c>
      <c r="D3" s="223">
        <v>2</v>
      </c>
      <c r="E3" s="113" t="s">
        <v>182</v>
      </c>
      <c r="F3" s="224">
        <v>44188</v>
      </c>
      <c r="G3" s="113">
        <f ca="1">SUMIF(السويس!$D$9:$D$29,'أخر دفعة'!$C$3:$C$14,بيان.معاشات.السويس[منحة 6شهور])</f>
        <v>14698.83</v>
      </c>
      <c r="H3" s="113">
        <f ca="1">SUMIF(السويس!$D$9:$D$29,'أخر دفعة'!$C$3:$C$14,بيان.معاشات.السويس[مستحقات])</f>
        <v>0</v>
      </c>
      <c r="I3" s="113">
        <f ca="1">SUMIF(السويس!$D$9:$D$29,'أخر دفعة'!$C$3:$C$14,بيان.معاشات.السويس[مقابل نقدي])</f>
        <v>13684.5</v>
      </c>
      <c r="J3" s="113">
        <f ca="1">SUMIF(السويس!$D$9:$D$29,'أخر دفعة'!$C$3:$C$14,بيان.معاشات.السويس[إجمالي المستحق])</f>
        <v>28383.33</v>
      </c>
      <c r="K3" s="113">
        <f ca="1">SUMIF(السويس!$D$9:$D$29,'أخر دفعة'!$C$3:$C$14,بيان.معاشات.السويس[إجمالي المنصرف])</f>
        <v>12000</v>
      </c>
      <c r="L3" s="113">
        <f ca="1">SUMIF(السويس!$D$9:$D$29,'أخر دفعة'!$C$3:$C$14,بيان.معاشات.السويس[المتبقي])</f>
        <v>16383.330000000002</v>
      </c>
      <c r="M3" s="113">
        <f ca="1">SUMIF(السويس!$D$9:$D$29,'أخر دفعة'!$C$3:$C$14,بيان.معاشات.السويس[المتبقي بعد 1-])</f>
        <v>16383.330000000002</v>
      </c>
      <c r="N3" s="113">
        <f ca="1">SUMIF(السويس!$D$9:$D$29,'أخر دفعة'!$C$3:$C$14,بيان.معاشات.السويس[المتبقي من المنحة])</f>
        <v>2698.83</v>
      </c>
      <c r="O3" s="113">
        <f ca="1">SUMIF(السويس!$D$9:$D$29,'أخر دفعة'!$C$3:$C$14,بيان.معاشات.السويس[المتبقي من المنحة بعد  1-])</f>
        <v>2698.83</v>
      </c>
      <c r="P3" s="46"/>
      <c r="Q3" s="46">
        <v>0</v>
      </c>
      <c r="R3" s="46">
        <v>0</v>
      </c>
      <c r="S3" s="46">
        <v>0</v>
      </c>
      <c r="T3" s="46">
        <v>1000</v>
      </c>
      <c r="U3" s="46">
        <v>500</v>
      </c>
      <c r="V3" s="46">
        <v>500</v>
      </c>
      <c r="W3" s="46">
        <f ca="1">SUMIF(السويس!$D$9:$D$29,'أخر دفعة'!$C$3:$C$14,بيان.معاشات.السويس[يناير-23])</f>
        <v>500</v>
      </c>
      <c r="X3" s="46">
        <f ca="1">SUMIF(السويس!$D$9:$D$29,'أخر دفعة'!$C$3:$C$14,بيان.معاشات.السويس[فبراير-23])</f>
        <v>500</v>
      </c>
      <c r="Y3" s="46">
        <f ca="1">SUMIF(السويس!$D$9:$D$29,'أخر دفعة'!$C$3:$C$14,بيان.معاشات.السويس[مارس-23])</f>
        <v>500</v>
      </c>
      <c r="Z3" s="46">
        <f ca="1">SUMIF(السويس!$D$9:$D$29,'أخر دفعة'!$C$3:$C$14,بيان.معاشات.السويس[أبريل-23])</f>
        <v>500</v>
      </c>
      <c r="AA3" s="55">
        <f ca="1">SUMIF(السويس!$D$9:$D$29,'أخر دفعة'!$C$3:$C$14,بيان.معاشات.السويس[مايو-23])</f>
        <v>1000</v>
      </c>
      <c r="AB3" s="469" t="s">
        <v>553</v>
      </c>
    </row>
    <row r="4" spans="2:28" ht="21" x14ac:dyDescent="0.35">
      <c r="B4" s="225">
        <v>2</v>
      </c>
      <c r="C4" s="113" t="s">
        <v>267</v>
      </c>
      <c r="D4" s="217">
        <v>3</v>
      </c>
      <c r="E4" s="113" t="s">
        <v>182</v>
      </c>
      <c r="F4" s="226">
        <v>44329</v>
      </c>
      <c r="G4" s="113">
        <f ca="1">SUMIF(السويس!$D$9:$D$29,'أخر دفعة'!$C$3:$C$14,بيان.معاشات.السويس[منحة 6شهور])</f>
        <v>19354.86</v>
      </c>
      <c r="H4" s="113">
        <f ca="1">SUMIF(السويس!$D$9:$D$29,'أخر دفعة'!$C$3:$C$14,بيان.معاشات.السويس[مستحقات])</f>
        <v>0</v>
      </c>
      <c r="I4" s="113">
        <f ca="1">SUMIF(السويس!$D$9:$D$29,'أخر دفعة'!$C$3:$C$14,بيان.معاشات.السويس[مقابل نقدي])</f>
        <v>18161.099999999999</v>
      </c>
      <c r="J4" s="113">
        <f ca="1">SUMIF(السويس!$D$9:$D$29,'أخر دفعة'!$C$3:$C$14,بيان.معاشات.السويس[إجمالي المستحق])</f>
        <v>37515.96</v>
      </c>
      <c r="K4" s="113">
        <f ca="1">SUMIF(السويس!$D$9:$D$29,'أخر دفعة'!$C$3:$C$14,بيان.معاشات.السويس[إجمالي المنصرف])</f>
        <v>16677.43</v>
      </c>
      <c r="L4" s="113">
        <f ca="1">SUMIF(السويس!$D$9:$D$29,'أخر دفعة'!$C$3:$C$14,بيان.معاشات.السويس[المتبقي])</f>
        <v>20838.53</v>
      </c>
      <c r="M4" s="113">
        <f ca="1">SUMIF(السويس!$D$9:$D$29,'أخر دفعة'!$C$3:$C$14,بيان.معاشات.السويس[المتبقي بعد 1-])</f>
        <v>20838.53</v>
      </c>
      <c r="N4" s="113">
        <f ca="1">SUMIF(السويس!$D$9:$D$29,'أخر دفعة'!$C$3:$C$14,بيان.معاشات.السويس[المتبقي من المنحة])</f>
        <v>2677.4300000000003</v>
      </c>
      <c r="O4" s="113">
        <f ca="1">SUMIF(السويس!$D$9:$D$29,'أخر دفعة'!$C$3:$C$14,بيان.معاشات.السويس[المتبقي من المنحة بعد  1-])</f>
        <v>2677.4300000000003</v>
      </c>
      <c r="P4" s="46"/>
      <c r="Q4" s="46">
        <v>0</v>
      </c>
      <c r="R4" s="46">
        <v>0</v>
      </c>
      <c r="S4" s="46">
        <v>1000</v>
      </c>
      <c r="T4" s="46">
        <v>500</v>
      </c>
      <c r="U4" s="46">
        <v>1000</v>
      </c>
      <c r="V4" s="46">
        <v>1000</v>
      </c>
      <c r="W4" s="46">
        <f ca="1">SUMIF(السويس!$D$9:$D$29,'أخر دفعة'!$C$3:$C$14,بيان.معاشات.السويس[يناير-23])</f>
        <v>500</v>
      </c>
      <c r="X4" s="46">
        <f ca="1">SUMIF(السويس!$D$9:$D$29,'أخر دفعة'!$C$3:$C$14,بيان.معاشات.السويس[فبراير-23])</f>
        <v>1500</v>
      </c>
      <c r="Y4" s="46">
        <f ca="1">SUMIF(السويس!$D$9:$D$29,'أخر دفعة'!$C$3:$C$14,بيان.معاشات.السويس[مارس-23])</f>
        <v>3000</v>
      </c>
      <c r="Z4" s="46">
        <f ca="1">SUMIF(السويس!$D$9:$D$29,'أخر دفعة'!$C$3:$C$14,بيان.معاشات.السويس[أبريل-23])</f>
        <v>0</v>
      </c>
      <c r="AA4" s="55">
        <f ca="1">SUMIF(السويس!$D$9:$D$29,'أخر دفعة'!$C$3:$C$14,بيان.معاشات.السويس[مايو-23])</f>
        <v>2677.43</v>
      </c>
      <c r="AB4" s="467"/>
    </row>
    <row r="5" spans="2:28" ht="21" x14ac:dyDescent="0.35">
      <c r="B5" s="221">
        <v>3</v>
      </c>
      <c r="C5" s="222" t="s">
        <v>268</v>
      </c>
      <c r="D5" s="223">
        <v>4</v>
      </c>
      <c r="E5" s="113" t="s">
        <v>182</v>
      </c>
      <c r="F5" s="224">
        <v>44115</v>
      </c>
      <c r="G5" s="113">
        <f ca="1">SUMIF(السويس!$D$9:$D$29,'أخر دفعة'!$C$3:$C$14,بيان.معاشات.السويس[منحة 6شهور])</f>
        <v>18400.09</v>
      </c>
      <c r="H5" s="113">
        <f ca="1">SUMIF(السويس!$D$9:$D$29,'أخر دفعة'!$C$3:$C$14,بيان.معاشات.السويس[مستحقات])</f>
        <v>0</v>
      </c>
      <c r="I5" s="113">
        <f ca="1">SUMIF(السويس!$D$9:$D$29,'أخر دفعة'!$C$3:$C$14,بيان.معاشات.السويس[مقابل نقدي])</f>
        <v>19963.8</v>
      </c>
      <c r="J5" s="113">
        <f ca="1">SUMIF(السويس!$D$9:$D$29,'أخر دفعة'!$C$3:$C$14,بيان.معاشات.السويس[إجمالي المستحق])</f>
        <v>38363.89</v>
      </c>
      <c r="K5" s="113">
        <f ca="1">SUMIF(السويس!$D$9:$D$29,'أخر دفعة'!$C$3:$C$14,بيان.معاشات.السويس[إجمالي المنصرف])</f>
        <v>12000</v>
      </c>
      <c r="L5" s="113">
        <f ca="1">SUMIF(السويس!$D$9:$D$29,'أخر دفعة'!$C$3:$C$14,بيان.معاشات.السويس[المتبقي])</f>
        <v>26363.89</v>
      </c>
      <c r="M5" s="113">
        <f ca="1">SUMIF(السويس!$D$9:$D$29,'أخر دفعة'!$C$3:$C$14,بيان.معاشات.السويس[المتبقي بعد 1-])</f>
        <v>26363.89</v>
      </c>
      <c r="N5" s="113">
        <f ca="1">SUMIF(السويس!$D$9:$D$29,'أخر دفعة'!$C$3:$C$14,بيان.معاشات.السويس[المتبقي من المنحة])</f>
        <v>6400.09</v>
      </c>
      <c r="O5" s="113">
        <f ca="1">SUMIF(السويس!$D$9:$D$29,'أخر دفعة'!$C$3:$C$14,بيان.معاشات.السويس[المتبقي من المنحة بعد  1-])</f>
        <v>6400.09</v>
      </c>
      <c r="P5" s="46"/>
      <c r="Q5" s="46">
        <v>0</v>
      </c>
      <c r="R5" s="46">
        <v>0</v>
      </c>
      <c r="S5" s="46">
        <v>0</v>
      </c>
      <c r="T5" s="46">
        <v>0</v>
      </c>
      <c r="U5" s="46">
        <v>1500</v>
      </c>
      <c r="V5" s="46">
        <v>500</v>
      </c>
      <c r="W5" s="46">
        <f ca="1">SUMIF(السويس!$D$9:$D$29,'أخر دفعة'!$C$3:$C$14,بيان.معاشات.السويس[يناير-23])</f>
        <v>500</v>
      </c>
      <c r="X5" s="46">
        <f ca="1">SUMIF(السويس!$D$9:$D$29,'أخر دفعة'!$C$3:$C$14,بيان.معاشات.السويس[فبراير-23])</f>
        <v>500</v>
      </c>
      <c r="Y5" s="46">
        <f ca="1">SUMIF(السويس!$D$9:$D$29,'أخر دفعة'!$C$3:$C$14,بيان.معاشات.السويس[مارس-23])</f>
        <v>500</v>
      </c>
      <c r="Z5" s="46">
        <f ca="1">SUMIF(السويس!$D$9:$D$29,'أخر دفعة'!$C$3:$C$14,بيان.معاشات.السويس[أبريل-23])</f>
        <v>500</v>
      </c>
      <c r="AA5" s="55">
        <f ca="1">SUMIF(السويس!$D$9:$D$29,'أخر دفعة'!$C$3:$C$14,بيان.معاشات.السويس[مايو-23])</f>
        <v>500</v>
      </c>
      <c r="AB5" s="467"/>
    </row>
    <row r="6" spans="2:28" ht="21" x14ac:dyDescent="0.35">
      <c r="B6" s="225">
        <v>4</v>
      </c>
      <c r="C6" s="113" t="s">
        <v>270</v>
      </c>
      <c r="D6" s="217">
        <v>6</v>
      </c>
      <c r="E6" s="113" t="s">
        <v>182</v>
      </c>
      <c r="F6" s="226">
        <v>42871</v>
      </c>
      <c r="G6" s="113">
        <f ca="1">SUMIF(السويس!$D$9:$D$29,'أخر دفعة'!$C$3:$C$14,بيان.معاشات.السويس[منحة 6شهور])</f>
        <v>0</v>
      </c>
      <c r="H6" s="113">
        <f ca="1">SUMIF(السويس!$D$9:$D$29,'أخر دفعة'!$C$3:$C$14,بيان.معاشات.السويس[مستحقات])</f>
        <v>0</v>
      </c>
      <c r="I6" s="113">
        <f ca="1">SUMIF(السويس!$D$9:$D$29,'أخر دفعة'!$C$3:$C$14,بيان.معاشات.السويس[مقابل نقدي])</f>
        <v>10309.5</v>
      </c>
      <c r="J6" s="113">
        <f ca="1">SUMIF(السويس!$D$9:$D$29,'أخر دفعة'!$C$3:$C$14,بيان.معاشات.السويس[إجمالي المستحق])</f>
        <v>10309.5</v>
      </c>
      <c r="K6" s="113">
        <f ca="1">SUMIF(السويس!$D$9:$D$29,'أخر دفعة'!$C$3:$C$14,بيان.معاشات.السويس[إجمالي المنصرف])</f>
        <v>10300</v>
      </c>
      <c r="L6" s="113">
        <f ca="1">SUMIF(السويس!$D$9:$D$29,'أخر دفعة'!$C$3:$C$14,بيان.معاشات.السويس[المتبقي])</f>
        <v>9.5</v>
      </c>
      <c r="M6" s="113">
        <f ca="1">SUMIF(السويس!$D$9:$D$29,'أخر دفعة'!$C$3:$C$14,بيان.معاشات.السويس[المتبقي بعد 1-])</f>
        <v>9.5</v>
      </c>
      <c r="N6" s="113">
        <f ca="1">SUMIF(السويس!$D$9:$D$29,'أخر دفعة'!$C$3:$C$14,بيان.معاشات.السويس[المتبقي من المنحة])</f>
        <v>-10300</v>
      </c>
      <c r="O6" s="113">
        <f ca="1">SUMIF(السويس!$D$9:$D$29,'أخر دفعة'!$C$3:$C$14,بيان.معاشات.السويس[المتبقي من المنحة بعد  1-])</f>
        <v>0</v>
      </c>
      <c r="P6" s="46"/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f ca="1">SUMIF(السويس!$D$9:$D$29,'أخر دفعة'!$C$3:$C$14,بيان.معاشات.السويس[يناير-23])</f>
        <v>0</v>
      </c>
      <c r="X6" s="46">
        <f ca="1">SUMIF(السويس!$D$9:$D$29,'أخر دفعة'!$C$3:$C$14,بيان.معاشات.السويس[فبراير-23])</f>
        <v>2300</v>
      </c>
      <c r="Y6" s="46">
        <f ca="1">SUMIF(السويس!$D$9:$D$29,'أخر دفعة'!$C$3:$C$14,بيان.معاشات.السويس[مارس-23])</f>
        <v>0</v>
      </c>
      <c r="Z6" s="46">
        <f ca="1">SUMIF(السويس!$D$9:$D$29,'أخر دفعة'!$C$3:$C$14,بيان.معاشات.السويس[أبريل-23])</f>
        <v>0</v>
      </c>
      <c r="AA6" s="55">
        <f ca="1">SUMIF(السويس!$D$9:$D$29,'أخر دفعة'!$C$3:$C$14,بيان.معاشات.السويس[مايو-23])</f>
        <v>0</v>
      </c>
      <c r="AB6" s="467"/>
    </row>
    <row r="7" spans="2:28" ht="21" x14ac:dyDescent="0.35">
      <c r="B7" s="221">
        <v>5</v>
      </c>
      <c r="C7" s="222" t="s">
        <v>271</v>
      </c>
      <c r="D7" s="223">
        <v>7</v>
      </c>
      <c r="E7" s="113" t="s">
        <v>182</v>
      </c>
      <c r="F7" s="224">
        <v>43745</v>
      </c>
      <c r="G7" s="113">
        <f ca="1">SUMIF(السويس!$D$9:$D$29,'أخر دفعة'!$C$3:$C$14,بيان.معاشات.السويس[منحة 6شهور])</f>
        <v>13727.58</v>
      </c>
      <c r="H7" s="113">
        <f ca="1">SUMIF(السويس!$D$9:$D$29,'أخر دفعة'!$C$3:$C$14,بيان.معاشات.السويس[مستحقات])</f>
        <v>0</v>
      </c>
      <c r="I7" s="113">
        <f ca="1">SUMIF(السويس!$D$9:$D$29,'أخر دفعة'!$C$3:$C$14,بيان.معاشات.السويس[مقابل نقدي])</f>
        <v>11291.4</v>
      </c>
      <c r="J7" s="113">
        <f ca="1">SUMIF(السويس!$D$9:$D$29,'أخر دفعة'!$C$3:$C$14,بيان.معاشات.السويس[إجمالي المستحق])</f>
        <v>25018.98</v>
      </c>
      <c r="K7" s="113">
        <f ca="1">SUMIF(السويس!$D$9:$D$29,'أخر دفعة'!$C$3:$C$14,بيان.معاشات.السويس[إجمالي المنصرف])</f>
        <v>19000</v>
      </c>
      <c r="L7" s="113">
        <f ca="1">SUMIF(السويس!$D$9:$D$29,'أخر دفعة'!$C$3:$C$14,بيان.معاشات.السويس[المتبقي])</f>
        <v>6018.98</v>
      </c>
      <c r="M7" s="113">
        <f ca="1">SUMIF(السويس!$D$9:$D$29,'أخر دفعة'!$C$3:$C$14,بيان.معاشات.السويس[المتبقي بعد 1-])</f>
        <v>6018.98</v>
      </c>
      <c r="N7" s="113">
        <f ca="1">SUMIF(السويس!$D$9:$D$29,'أخر دفعة'!$C$3:$C$14,بيان.معاشات.السويس[المتبقي من المنحة])</f>
        <v>-5272.42</v>
      </c>
      <c r="O7" s="113">
        <f ca="1">SUMIF(السويس!$D$9:$D$29,'أخر دفعة'!$C$3:$C$14,بيان.معاشات.السويس[المتبقي من المنحة بعد  1-])</f>
        <v>0</v>
      </c>
      <c r="P7" s="46"/>
      <c r="Q7" s="46">
        <v>0</v>
      </c>
      <c r="R7" s="46">
        <v>0</v>
      </c>
      <c r="S7" s="46">
        <v>1000</v>
      </c>
      <c r="T7" s="46">
        <v>500</v>
      </c>
      <c r="U7" s="46">
        <v>500</v>
      </c>
      <c r="V7" s="46">
        <v>500</v>
      </c>
      <c r="W7" s="46">
        <f ca="1">SUMIF(السويس!$D$9:$D$29,'أخر دفعة'!$C$3:$C$14,بيان.معاشات.السويس[يناير-23])</f>
        <v>500</v>
      </c>
      <c r="X7" s="46">
        <f ca="1">SUMIF(السويس!$D$9:$D$29,'أخر دفعة'!$C$3:$C$14,بيان.معاشات.السويس[فبراير-23])</f>
        <v>500</v>
      </c>
      <c r="Y7" s="46">
        <f ca="1">SUMIF(السويس!$D$9:$D$29,'أخر دفعة'!$C$3:$C$14,بيان.معاشات.السويس[مارس-23])</f>
        <v>500</v>
      </c>
      <c r="Z7" s="46">
        <f ca="1">SUMIF(السويس!$D$9:$D$29,'أخر دفعة'!$C$3:$C$14,بيان.معاشات.السويس[أبريل-23])</f>
        <v>500</v>
      </c>
      <c r="AA7" s="55">
        <f ca="1">SUMIF(السويس!$D$9:$D$29,'أخر دفعة'!$C$3:$C$14,بيان.معاشات.السويس[مايو-23])</f>
        <v>1000</v>
      </c>
      <c r="AB7" s="467"/>
    </row>
    <row r="8" spans="2:28" ht="21" x14ac:dyDescent="0.35">
      <c r="B8" s="225">
        <v>6</v>
      </c>
      <c r="C8" s="113" t="s">
        <v>273</v>
      </c>
      <c r="D8" s="217">
        <v>8</v>
      </c>
      <c r="E8" s="113" t="s">
        <v>182</v>
      </c>
      <c r="F8" s="226">
        <v>44196</v>
      </c>
      <c r="G8" s="113">
        <f ca="1">SUMIF(السويس!$D$9:$D$29,'أخر دفعة'!$C$3:$C$14,بيان.معاشات.السويس[منحة 6شهور])</f>
        <v>14289.95</v>
      </c>
      <c r="H8" s="113">
        <f ca="1">SUMIF(السويس!$D$9:$D$29,'أخر دفعة'!$C$3:$C$14,بيان.معاشات.السويس[مستحقات])</f>
        <v>0</v>
      </c>
      <c r="I8" s="113">
        <f ca="1">SUMIF(السويس!$D$9:$D$29,'أخر دفعة'!$C$3:$C$14,بيان.معاشات.السويس[مقابل نقدي])</f>
        <v>13339.8</v>
      </c>
      <c r="J8" s="113">
        <f ca="1">SUMIF(السويس!$D$9:$D$29,'أخر دفعة'!$C$3:$C$14,بيان.معاشات.السويس[إجمالي المستحق])</f>
        <v>27629.75</v>
      </c>
      <c r="K8" s="113">
        <f ca="1">SUMIF(السويس!$D$9:$D$29,'أخر دفعة'!$C$3:$C$14,بيان.معاشات.السويس[إجمالي المنصرف])</f>
        <v>14289.95</v>
      </c>
      <c r="L8" s="113">
        <f ca="1">SUMIF(السويس!$D$9:$D$29,'أخر دفعة'!$C$3:$C$14,بيان.معاشات.السويس[المتبقي])</f>
        <v>13339.8</v>
      </c>
      <c r="M8" s="113">
        <f ca="1">SUMIF(السويس!$D$9:$D$29,'أخر دفعة'!$C$3:$C$14,بيان.معاشات.السويس[المتبقي بعد 1-])</f>
        <v>13339.8</v>
      </c>
      <c r="N8" s="113">
        <f ca="1">SUMIF(السويس!$D$9:$D$29,'أخر دفعة'!$C$3:$C$14,بيان.معاشات.السويس[المتبقي من المنحة])</f>
        <v>0</v>
      </c>
      <c r="O8" s="113">
        <f ca="1">SUMIF(السويس!$D$9:$D$29,'أخر دفعة'!$C$3:$C$14,بيان.معاشات.السويس[المتبقي من المنحة بعد  1-])</f>
        <v>0</v>
      </c>
      <c r="P8" s="46"/>
      <c r="Q8" s="46">
        <v>0</v>
      </c>
      <c r="R8" s="46">
        <v>0</v>
      </c>
      <c r="S8" s="46">
        <v>1000</v>
      </c>
      <c r="T8" s="46">
        <v>500</v>
      </c>
      <c r="U8" s="46">
        <v>500</v>
      </c>
      <c r="V8" s="46">
        <v>500</v>
      </c>
      <c r="W8" s="46">
        <f ca="1">SUMIF(السويس!$D$9:$D$29,'أخر دفعة'!$C$3:$C$14,بيان.معاشات.السويس[يناير-23])</f>
        <v>500</v>
      </c>
      <c r="X8" s="46">
        <f ca="1">SUMIF(السويس!$D$9:$D$29,'أخر دفعة'!$C$3:$C$14,بيان.معاشات.السويس[فبراير-23])</f>
        <v>600</v>
      </c>
      <c r="Y8" s="46">
        <f ca="1">SUMIF(السويس!$D$9:$D$29,'أخر دفعة'!$C$3:$C$14,بيان.معاشات.السويس[مارس-23])</f>
        <v>1000</v>
      </c>
      <c r="Z8" s="46">
        <f ca="1">SUMIF(السويس!$D$9:$D$29,'أخر دفعة'!$C$3:$C$14,بيان.معاشات.السويس[أبريل-23])</f>
        <v>1500</v>
      </c>
      <c r="AA8" s="55">
        <f ca="1">SUMIF(السويس!$D$9:$D$29,'أخر دفعة'!$C$3:$C$14,بيان.معاشات.السويس[مايو-23])</f>
        <v>1189.95</v>
      </c>
      <c r="AB8" s="467"/>
    </row>
    <row r="9" spans="2:28" ht="21" x14ac:dyDescent="0.35">
      <c r="B9" s="221">
        <v>7</v>
      </c>
      <c r="C9" s="222" t="s">
        <v>409</v>
      </c>
      <c r="D9" s="223">
        <v>13</v>
      </c>
      <c r="E9" s="113" t="s">
        <v>182</v>
      </c>
      <c r="F9" s="224">
        <v>44817</v>
      </c>
      <c r="G9" s="113">
        <f ca="1">SUMIF(السويس!$D$9:$D$29,'أخر دفعة'!$C$3:$C$14,بيان.معاشات.السويس[منحة 6شهور])</f>
        <v>19883.080000000002</v>
      </c>
      <c r="H9" s="113">
        <f ca="1">SUMIF(السويس!$D$9:$D$29,'أخر دفعة'!$C$3:$C$14,بيان.معاشات.السويس[مستحقات])</f>
        <v>0</v>
      </c>
      <c r="I9" s="113">
        <f ca="1">SUMIF(السويس!$D$9:$D$29,'أخر دفعة'!$C$3:$C$14,بيان.معاشات.السويس[مقابل نقدي])</f>
        <v>19506.48</v>
      </c>
      <c r="J9" s="113">
        <f ca="1">SUMIF(السويس!$D$9:$D$29,'أخر دفعة'!$C$3:$C$14,بيان.معاشات.السويس[إجمالي المستحق])</f>
        <v>39389.56</v>
      </c>
      <c r="K9" s="113">
        <f ca="1">SUMIF(السويس!$D$9:$D$29,'أخر دفعة'!$C$3:$C$14,بيان.معاشات.السويس[إجمالي المنصرف])</f>
        <v>2500</v>
      </c>
      <c r="L9" s="113">
        <f ca="1">SUMIF(السويس!$D$9:$D$29,'أخر دفعة'!$C$3:$C$14,بيان.معاشات.السويس[المتبقي])</f>
        <v>36889.56</v>
      </c>
      <c r="M9" s="113">
        <f ca="1">SUMIF(السويس!$D$9:$D$29,'أخر دفعة'!$C$3:$C$14,بيان.معاشات.السويس[المتبقي بعد 1-])</f>
        <v>36889.56</v>
      </c>
      <c r="N9" s="113">
        <f ca="1">SUMIF(السويس!$D$9:$D$29,'أخر دفعة'!$C$3:$C$14,بيان.معاشات.السويس[المتبقي من المنحة])</f>
        <v>17383.080000000002</v>
      </c>
      <c r="O9" s="113">
        <f ca="1">SUMIF(السويس!$D$9:$D$29,'أخر دفعة'!$C$3:$C$14,بيان.معاشات.السويس[المتبقي من المنحة بعد  1-])</f>
        <v>17383.080000000002</v>
      </c>
      <c r="P9" s="46"/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f ca="1">SUMIF(السويس!$D$9:$D$29,'أخر دفعة'!$C$3:$C$14,بيان.معاشات.السويس[يناير-23])</f>
        <v>500</v>
      </c>
      <c r="X9" s="46">
        <f ca="1">SUMIF(السويس!$D$9:$D$29,'أخر دفعة'!$C$3:$C$14,بيان.معاشات.السويس[فبراير-23])</f>
        <v>500</v>
      </c>
      <c r="Y9" s="46">
        <f ca="1">SUMIF(السويس!$D$9:$D$29,'أخر دفعة'!$C$3:$C$14,بيان.معاشات.السويس[مارس-23])</f>
        <v>500</v>
      </c>
      <c r="Z9" s="46">
        <f ca="1">SUMIF(السويس!$D$9:$D$29,'أخر دفعة'!$C$3:$C$14,بيان.معاشات.السويس[أبريل-23])</f>
        <v>500</v>
      </c>
      <c r="AA9" s="55">
        <f ca="1">SUMIF(السويس!$D$9:$D$29,'أخر دفعة'!$C$3:$C$14,بيان.معاشات.السويس[مايو-23])</f>
        <v>500</v>
      </c>
      <c r="AB9" s="467"/>
    </row>
    <row r="10" spans="2:28" ht="21" x14ac:dyDescent="0.35">
      <c r="B10" s="225">
        <v>8</v>
      </c>
      <c r="C10" s="113" t="s">
        <v>468</v>
      </c>
      <c r="D10" s="217">
        <v>14</v>
      </c>
      <c r="E10" s="113" t="s">
        <v>182</v>
      </c>
      <c r="F10" s="226">
        <v>44907</v>
      </c>
      <c r="G10" s="113">
        <f ca="1">SUMIF(السويس!$D$9:$D$29,'أخر دفعة'!$C$3:$C$14,بيان.معاشات.السويس[منحة 6شهور])</f>
        <v>7620.04</v>
      </c>
      <c r="H10" s="113">
        <f ca="1">SUMIF(السويس!$D$9:$D$29,'أخر دفعة'!$C$3:$C$14,بيان.معاشات.السويس[مستحقات])</f>
        <v>0</v>
      </c>
      <c r="I10" s="113">
        <f ca="1">SUMIF(السويس!$D$9:$D$29,'أخر دفعة'!$C$3:$C$14,بيان.معاشات.السويس[مقابل نقدي])</f>
        <v>1703.16</v>
      </c>
      <c r="J10" s="113">
        <f ca="1">SUMIF(السويس!$D$9:$D$29,'أخر دفعة'!$C$3:$C$14,بيان.معاشات.السويس[إجمالي المستحق])</f>
        <v>9323.2000000000007</v>
      </c>
      <c r="K10" s="113">
        <f ca="1">SUMIF(السويس!$D$9:$D$29,'أخر دفعة'!$C$3:$C$14,بيان.معاشات.السويس[إجمالي المنصرف])</f>
        <v>2500</v>
      </c>
      <c r="L10" s="113">
        <f ca="1">SUMIF(السويس!$D$9:$D$29,'أخر دفعة'!$C$3:$C$14,بيان.معاشات.السويس[المتبقي])</f>
        <v>6823.2000000000007</v>
      </c>
      <c r="M10" s="113">
        <f ca="1">SUMIF(السويس!$D$9:$D$29,'أخر دفعة'!$C$3:$C$14,بيان.معاشات.السويس[المتبقي بعد 1-])</f>
        <v>6823.2000000000007</v>
      </c>
      <c r="N10" s="113">
        <f ca="1">SUMIF(السويس!$D$9:$D$29,'أخر دفعة'!$C$3:$C$14,بيان.معاشات.السويس[المتبقي من المنحة])</f>
        <v>5120.04</v>
      </c>
      <c r="O10" s="113">
        <f ca="1">SUMIF(السويس!$D$9:$D$29,'أخر دفعة'!$C$3:$C$14,بيان.معاشات.السويس[المتبقي من المنحة بعد  1-])</f>
        <v>5120.04</v>
      </c>
      <c r="P10" s="46"/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f ca="1">SUMIF(السويس!$D$9:$D$29,'أخر دفعة'!$C$3:$C$14,بيان.معاشات.السويس[يناير-23])</f>
        <v>0</v>
      </c>
      <c r="X10" s="46">
        <f ca="1">SUMIF(السويس!$D$9:$D$29,'أخر دفعة'!$C$3:$C$14,بيان.معاشات.السويس[فبراير-23])</f>
        <v>0</v>
      </c>
      <c r="Y10" s="46">
        <f ca="1">SUMIF(السويس!$D$9:$D$29,'أخر دفعة'!$C$3:$C$14,بيان.معاشات.السويس[مارس-23])</f>
        <v>0</v>
      </c>
      <c r="Z10" s="46">
        <f ca="1">SUMIF(السويس!$D$9:$D$29,'أخر دفعة'!$C$3:$C$14,بيان.معاشات.السويس[أبريل-23])</f>
        <v>1500</v>
      </c>
      <c r="AA10" s="55">
        <f ca="1">SUMIF(السويس!$D$9:$D$29,'أخر دفعة'!$C$3:$C$14,بيان.معاشات.السويس[مايو-23])</f>
        <v>1000</v>
      </c>
      <c r="AB10" s="467"/>
    </row>
    <row r="11" spans="2:28" ht="21" x14ac:dyDescent="0.35">
      <c r="B11" s="233"/>
      <c r="C11" s="162" t="s">
        <v>72</v>
      </c>
      <c r="D11" s="234"/>
      <c r="E11" s="162" t="s">
        <v>182</v>
      </c>
      <c r="F11" s="235"/>
      <c r="G11" s="162">
        <f ca="1">SUMIF(السويس!$D$9:$D$29,'أخر دفعة'!$C$3:$C$14,بيان.معاشات.السويس[منحة 6شهور])</f>
        <v>0</v>
      </c>
      <c r="H11" s="162">
        <f ca="1">SUMIF(السويس!$D$9:$D$29,'أخر دفعة'!$C$3:$C$14,بيان.معاشات.السويس[مستحقات])</f>
        <v>0</v>
      </c>
      <c r="I11" s="162">
        <f ca="1">SUMIF(السويس!$D$9:$D$29,'أخر دفعة'!$C$3:$C$14,بيان.معاشات.السويس[مقابل نقدي])</f>
        <v>0</v>
      </c>
      <c r="J11" s="162">
        <f ca="1">SUMIF(السويس!$D$9:$D$29,'أخر دفعة'!$C$3:$C$14,بيان.معاشات.السويس[إجمالي المستحق])</f>
        <v>0</v>
      </c>
      <c r="K11" s="162">
        <f ca="1">SUMIF(السويس!$D$9:$D$29,'أخر دفعة'!$C$3:$C$14,بيان.معاشات.السويس[إجمالي المنصرف])</f>
        <v>0</v>
      </c>
      <c r="L11" s="162">
        <f ca="1">SUMIF(السويس!$D$9:$D$29,'أخر دفعة'!$C$3:$C$14,بيان.معاشات.السويس[المتبقي])</f>
        <v>0</v>
      </c>
      <c r="M11" s="162">
        <f ca="1">SUMIF(السويس!$D$9:$D$29,'أخر دفعة'!$C$3:$C$14,بيان.معاشات.السويس[المتبقي بعد 1-])</f>
        <v>0</v>
      </c>
      <c r="N11" s="162">
        <f ca="1">SUMIF(السويس!$D$9:$D$29,'أخر دفعة'!$C$3:$C$14,بيان.معاشات.السويس[المتبقي من المنحة])</f>
        <v>0</v>
      </c>
      <c r="O11" s="162">
        <f ca="1">SUMIF(السويس!$D$9:$D$29,'أخر دفعة'!$C$3:$C$14,بيان.معاشات.السويس[المتبقي من المنحة بعد  1-])</f>
        <v>0</v>
      </c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236"/>
      <c r="AB11" s="467"/>
    </row>
    <row r="12" spans="2:28" ht="21" x14ac:dyDescent="0.35">
      <c r="B12" s="221">
        <v>1</v>
      </c>
      <c r="C12" s="222" t="s">
        <v>186</v>
      </c>
      <c r="D12" s="223">
        <v>1</v>
      </c>
      <c r="E12" s="113" t="s">
        <v>182</v>
      </c>
      <c r="F12" s="224">
        <v>43760</v>
      </c>
      <c r="G12" s="113">
        <f ca="1">SUMIF(السويس!$D$9:$D$29,'أخر دفعة'!$C$3:$C$14,بيان.معاشات.السويس[منحة 6شهور])</f>
        <v>17495.16</v>
      </c>
      <c r="H12" s="113">
        <f ca="1">SUMIF(السويس!$D$9:$D$29,'أخر دفعة'!$C$3:$C$14,بيان.معاشات.السويس[مستحقات])</f>
        <v>656.23</v>
      </c>
      <c r="I12" s="113">
        <f ca="1">SUMIF(السويس!$D$9:$D$29,'أخر دفعة'!$C$3:$C$14,بيان.معاشات.السويس[مقابل نقدي])</f>
        <v>11670.3</v>
      </c>
      <c r="J12" s="113">
        <f ca="1">SUMIF(السويس!$D$9:$D$29,'أخر دفعة'!$C$3:$C$14,بيان.معاشات.السويس[إجمالي المستحق])</f>
        <v>29821.69</v>
      </c>
      <c r="K12" s="113">
        <f ca="1">SUMIF(السويس!$D$9:$D$29,'أخر دفعة'!$C$3:$C$14,بيان.معاشات.السويس[إجمالي المنصرف])</f>
        <v>20953</v>
      </c>
      <c r="L12" s="113">
        <f ca="1">SUMIF(السويس!$D$9:$D$29,'أخر دفعة'!$C$3:$C$14,بيان.معاشات.السويس[المتبقي])</f>
        <v>8868.6899999999987</v>
      </c>
      <c r="M12" s="113">
        <f ca="1">SUMIF(السويس!$D$9:$D$29,'أخر دفعة'!$C$3:$C$14,بيان.معاشات.السويس[المتبقي بعد 1-])</f>
        <v>8868.6899999999987</v>
      </c>
      <c r="N12" s="113">
        <f ca="1">SUMIF(السويس!$D$9:$D$29,'أخر دفعة'!$C$3:$C$14,بيان.معاشات.السويس[المتبقي من المنحة])</f>
        <v>-2801.6100000000006</v>
      </c>
      <c r="O12" s="113">
        <f ca="1">SUMIF(السويس!$D$9:$D$29,'أخر دفعة'!$C$3:$C$14,بيان.معاشات.السويس[المتبقي من المنحة بعد  1-])</f>
        <v>0</v>
      </c>
      <c r="P12" s="46"/>
      <c r="Q12" s="46">
        <v>0</v>
      </c>
      <c r="R12" s="46">
        <v>0</v>
      </c>
      <c r="S12" s="46">
        <v>0</v>
      </c>
      <c r="T12" s="46">
        <v>1000</v>
      </c>
      <c r="U12" s="46">
        <v>500</v>
      </c>
      <c r="V12" s="46">
        <v>1000</v>
      </c>
      <c r="W12" s="46">
        <f ca="1">SUMIF(السويس!$D$9:$D$29,'أخر دفعة'!$C$3:$C$14,بيان.معاشات.السويس[يناير-23])</f>
        <v>500</v>
      </c>
      <c r="X12" s="46">
        <f ca="1">SUMIF(السويس!$D$9:$D$29,'أخر دفعة'!$C$3:$C$14,بيان.معاشات.السويس[فبراير-23])</f>
        <v>500</v>
      </c>
      <c r="Y12" s="46">
        <f ca="1">SUMIF(السويس!$D$9:$D$29,'أخر دفعة'!$C$3:$C$14,بيان.معاشات.السويس[مارس-23])</f>
        <v>1000</v>
      </c>
      <c r="Z12" s="46">
        <f ca="1">SUMIF(السويس!$D$9:$D$29,'أخر دفعة'!$C$3:$C$14,بيان.معاشات.السويس[أبريل-23])</f>
        <v>1000</v>
      </c>
      <c r="AA12" s="55">
        <f ca="1">SUMIF(السويس!$D$9:$D$29,'أخر دفعة'!$C$3:$C$14,بيان.معاشات.السويس[مايو-23])</f>
        <v>1000</v>
      </c>
      <c r="AB12" s="467"/>
    </row>
    <row r="13" spans="2:28" ht="21" x14ac:dyDescent="0.35">
      <c r="B13" s="225">
        <v>2</v>
      </c>
      <c r="C13" s="113" t="s">
        <v>192</v>
      </c>
      <c r="D13" s="217">
        <v>11</v>
      </c>
      <c r="E13" s="113" t="s">
        <v>182</v>
      </c>
      <c r="F13" s="226">
        <v>43788</v>
      </c>
      <c r="G13" s="113">
        <f ca="1">SUMIF(السويس!$D$9:$D$29,'أخر دفعة'!$C$3:$C$14,بيان.معاشات.السويس[منحة 6شهور])</f>
        <v>14349.6</v>
      </c>
      <c r="H13" s="113">
        <f ca="1">SUMIF(السويس!$D$9:$D$29,'أخر دفعة'!$C$3:$C$14,بيان.معاشات.السويس[مستحقات])</f>
        <v>0</v>
      </c>
      <c r="I13" s="113">
        <f ca="1">SUMIF(السويس!$D$9:$D$29,'أخر دفعة'!$C$3:$C$14,بيان.معاشات.السويس[مقابل نقدي])</f>
        <v>11762.1</v>
      </c>
      <c r="J13" s="113">
        <f ca="1">SUMIF(السويس!$D$9:$D$29,'أخر دفعة'!$C$3:$C$14,بيان.معاشات.السويس[إجمالي المستحق])</f>
        <v>26111.7</v>
      </c>
      <c r="K13" s="113">
        <f ca="1">SUMIF(السويس!$D$9:$D$29,'أخر دفعة'!$C$3:$C$14,بيان.معاشات.السويس[إجمالي المنصرف])</f>
        <v>1000</v>
      </c>
      <c r="L13" s="113">
        <f ca="1">SUMIF(السويس!$D$9:$D$29,'أخر دفعة'!$C$3:$C$14,بيان.معاشات.السويس[المتبقي])</f>
        <v>25111.7</v>
      </c>
      <c r="M13" s="113">
        <f ca="1">SUMIF(السويس!$D$9:$D$29,'أخر دفعة'!$C$3:$C$14,بيان.معاشات.السويس[المتبقي بعد 1-])</f>
        <v>25111.7</v>
      </c>
      <c r="N13" s="113">
        <f ca="1">SUMIF(السويس!$D$9:$D$29,'أخر دفعة'!$C$3:$C$14,بيان.معاشات.السويس[المتبقي من المنحة])</f>
        <v>13349.6</v>
      </c>
      <c r="O13" s="113">
        <f ca="1">SUMIF(السويس!$D$9:$D$29,'أخر دفعة'!$C$3:$C$14,بيان.معاشات.السويس[المتبقي من المنحة بعد  1-])</f>
        <v>13349.6</v>
      </c>
      <c r="P13" s="46"/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46">
        <f ca="1">SUMIF(السويس!$D$9:$D$29,'أخر دفعة'!$C$3:$C$14,بيان.معاشات.السويس[يناير-23])</f>
        <v>0</v>
      </c>
      <c r="X13" s="46">
        <f ca="1">SUMIF(السويس!$D$9:$D$29,'أخر دفعة'!$C$3:$C$14,بيان.معاشات.السويس[فبراير-23])</f>
        <v>0</v>
      </c>
      <c r="Y13" s="46">
        <f ca="1">SUMIF(السويس!$D$9:$D$29,'أخر دفعة'!$C$3:$C$14,بيان.معاشات.السويس[مارس-23])</f>
        <v>0</v>
      </c>
      <c r="Z13" s="46">
        <f ca="1">SUMIF(السويس!$D$9:$D$29,'أخر دفعة'!$C$3:$C$14,بيان.معاشات.السويس[أبريل-23])</f>
        <v>0</v>
      </c>
      <c r="AA13" s="55">
        <f ca="1">SUMIF(السويس!$D$9:$D$29,'أخر دفعة'!$C$3:$C$14,بيان.معاشات.السويس[مايو-23])</f>
        <v>0</v>
      </c>
      <c r="AB13" s="467"/>
    </row>
    <row r="14" spans="2:28" ht="21" x14ac:dyDescent="0.35">
      <c r="B14" s="221">
        <v>3</v>
      </c>
      <c r="C14" s="222" t="s">
        <v>278</v>
      </c>
      <c r="D14" s="223">
        <v>12</v>
      </c>
      <c r="E14" s="113" t="s">
        <v>182</v>
      </c>
      <c r="F14" s="224">
        <v>44561</v>
      </c>
      <c r="G14" s="113">
        <f ca="1">SUMIF(السويس!$D$9:$D$29,'أخر دفعة'!$C$3:$C$14,بيان.معاشات.السويس[منحة 6شهور])</f>
        <v>14965.76</v>
      </c>
      <c r="H14" s="113">
        <f ca="1">SUMIF(السويس!$D$9:$D$29,'أخر دفعة'!$C$3:$C$14,بيان.معاشات.السويس[مستحقات])</f>
        <v>19144.95</v>
      </c>
      <c r="I14" s="113">
        <f ca="1">SUMIF(السويس!$D$9:$D$29,'أخر دفعة'!$C$3:$C$14,بيان.معاشات.السويس[مقابل نقدي])</f>
        <v>14265</v>
      </c>
      <c r="J14" s="113">
        <f ca="1">SUMIF(السويس!$D$9:$D$29,'أخر دفعة'!$C$3:$C$14,بيان.معاشات.السويس[إجمالي المستحق])</f>
        <v>48375.71</v>
      </c>
      <c r="K14" s="113">
        <f ca="1">SUMIF(السويس!$D$9:$D$29,'أخر دفعة'!$C$3:$C$14,بيان.معاشات.السويس[إجمالي المنصرف])</f>
        <v>11500</v>
      </c>
      <c r="L14" s="113">
        <f ca="1">SUMIF(السويس!$D$9:$D$29,'أخر دفعة'!$C$3:$C$14,بيان.معاشات.السويس[المتبقي])</f>
        <v>36875.71</v>
      </c>
      <c r="M14" s="113">
        <f ca="1">SUMIF(السويس!$D$9:$D$29,'أخر دفعة'!$C$3:$C$14,بيان.معاشات.السويس[المتبقي بعد 1-])</f>
        <v>36875.71</v>
      </c>
      <c r="N14" s="113">
        <f ca="1">SUMIF(السويس!$D$9:$D$29,'أخر دفعة'!$C$3:$C$14,بيان.معاشات.السويس[المتبقي من المنحة])</f>
        <v>22610.71</v>
      </c>
      <c r="O14" s="113">
        <f ca="1">SUMIF(السويس!$D$9:$D$29,'أخر دفعة'!$C$3:$C$14,بيان.معاشات.السويس[المتبقي من المنحة بعد  1-])</f>
        <v>22610.71</v>
      </c>
      <c r="P14" s="46"/>
      <c r="Q14" s="46">
        <v>0</v>
      </c>
      <c r="R14" s="46">
        <v>0</v>
      </c>
      <c r="S14" s="46">
        <v>1000</v>
      </c>
      <c r="T14" s="46">
        <v>500</v>
      </c>
      <c r="U14" s="46">
        <v>1000</v>
      </c>
      <c r="V14" s="46">
        <v>1000</v>
      </c>
      <c r="W14" s="46">
        <f ca="1">SUMIF(السويس!$D$9:$D$29,'أخر دفعة'!$C$3:$C$14,بيان.معاشات.السويس[يناير-23])</f>
        <v>500</v>
      </c>
      <c r="X14" s="46">
        <f ca="1">SUMIF(السويس!$D$9:$D$29,'أخر دفعة'!$C$3:$C$14,بيان.معاشات.السويس[فبراير-23])</f>
        <v>1000</v>
      </c>
      <c r="Y14" s="46">
        <f ca="1">SUMIF(السويس!$D$9:$D$29,'أخر دفعة'!$C$3:$C$14,بيان.معاشات.السويس[مارس-23])</f>
        <v>1000</v>
      </c>
      <c r="Z14" s="46">
        <f ca="1">SUMIF(السويس!$D$9:$D$29,'أخر دفعة'!$C$3:$C$14,بيان.معاشات.السويس[أبريل-23])</f>
        <v>1000</v>
      </c>
      <c r="AA14" s="55">
        <f ca="1">SUMIF(السويس!$D$9:$D$29,'أخر دفعة'!$C$3:$C$14,بيان.معاشات.السويس[مايو-23])</f>
        <v>2000</v>
      </c>
      <c r="AB14" s="467"/>
    </row>
    <row r="15" spans="2:28" ht="21" x14ac:dyDescent="0.35">
      <c r="B15" s="227">
        <v>1</v>
      </c>
      <c r="C15" s="215" t="s">
        <v>283</v>
      </c>
      <c r="D15" s="215">
        <v>1</v>
      </c>
      <c r="E15" s="113" t="s">
        <v>405</v>
      </c>
      <c r="F15" s="228">
        <v>44275</v>
      </c>
      <c r="G15" s="113">
        <f ca="1">SUMIF(الاإسكندرية!$D$8:$D$32,'أخر دفعة'!$C$15:$C$33,بيان.معاشات.اسكندرية[المنحة])</f>
        <v>11379.82</v>
      </c>
      <c r="H15" s="113">
        <f ca="1">SUMIF(الاإسكندرية!$D$8:$D$32,'أخر دفعة'!$C$15:$C$33,بيان.معاشات.اسكندرية[مستحقات])</f>
        <v>0</v>
      </c>
      <c r="I15" s="113">
        <f ca="1">SUMIF(الاإسكندرية!$D$8:$D$32,'أخر دفعة'!$C$15:$C$33,بيان.معاشات.اسكندرية[مقابل نقدي])</f>
        <v>9174.98</v>
      </c>
      <c r="J15" s="113">
        <f ca="1">SUMIF(الاإسكندرية!$D$8:$D$32,'أخر دفعة'!$C$15:$C$33,بيان.معاشات.اسكندرية[إجمالي المستحق])</f>
        <v>20554.8</v>
      </c>
      <c r="K15" s="113">
        <f ca="1">SUMIF(الاإسكندرية!$D$8:$D$32,'أخر دفعة'!$C$15:$C$33,بيان.معاشات.اسكندرية[إجمالي المنصرف])</f>
        <v>10500</v>
      </c>
      <c r="L15" s="113">
        <f ca="1">SUMIF(الاإسكندرية!$D$8:$D$32,'أخر دفعة'!$C$15:$C$33,بيان.معاشات.اسكندرية[المتبقي])</f>
        <v>10054.799999999999</v>
      </c>
      <c r="M15" s="113">
        <f ca="1">SUMIF(الاإسكندرية!$D$8:$D$32,'أخر دفعة'!$C$15:$C$33,بيان.معاشات.اسكندرية[المتبقي 1-])</f>
        <v>10054.799999999999</v>
      </c>
      <c r="N15" s="113">
        <f ca="1">SUMIF(الاإسكندرية!$D$8:$D$32,'أخر دفعة'!$C$15:$C$33,بيان.معاشات.اسكندرية[المتبقي من المنحة])</f>
        <v>879.81999999999971</v>
      </c>
      <c r="O15" s="113">
        <f ca="1">SUMIF(الاإسكندرية!$D$8:$D$32,'أخر دفعة'!$C$15:$C$33,بيان.معاشات.اسكندرية[المتبقي من المنحة 1-])</f>
        <v>879.81999999999971</v>
      </c>
      <c r="P15" s="46"/>
      <c r="Q15" s="46">
        <v>0</v>
      </c>
      <c r="R15" s="46">
        <v>500</v>
      </c>
      <c r="S15" s="46">
        <v>1000</v>
      </c>
      <c r="T15" s="46">
        <v>0</v>
      </c>
      <c r="U15" s="46">
        <v>0</v>
      </c>
      <c r="V15" s="46">
        <v>0</v>
      </c>
      <c r="W15" s="46">
        <f ca="1">SUMIF(الاإسكندرية!$D$8:$D$32,'أخر دفعة'!$C$15:$C$33,بيان.معاشات.اسكندرية[يناير-23])</f>
        <v>500</v>
      </c>
      <c r="X15" s="46">
        <f ca="1">SUMIF(الاإسكندرية!$D$8:$D$32,'أخر دفعة'!$C$15:$C$33,بيان.معاشات.اسكندرية[فبراير-23])</f>
        <v>500</v>
      </c>
      <c r="Y15" s="46">
        <f ca="1">SUMIF(الاإسكندرية!$D$8:$D$32,'أخر دفعة'!$C$15:$C$33,بيان.معاشات.اسكندرية[مارس-23])</f>
        <v>500</v>
      </c>
      <c r="Z15" s="46">
        <f ca="1">SUMIF(الاإسكندرية!$D$8:$D$32,'أخر دفعة'!$C$15:$C$33,بيان.معاشات.اسكندرية[أبريل-23])</f>
        <v>0</v>
      </c>
      <c r="AA15" s="55">
        <f ca="1">SUMIF(الاإسكندرية!$D$8:$D$32,'أخر دفعة'!$C$15:$C$33,بيان.معاشات.اسكندرية[مايو-23])</f>
        <v>0</v>
      </c>
      <c r="AB15" s="467"/>
    </row>
    <row r="16" spans="2:28" ht="21" x14ac:dyDescent="0.35">
      <c r="B16" s="225">
        <v>2</v>
      </c>
      <c r="C16" s="113" t="s">
        <v>284</v>
      </c>
      <c r="D16" s="113">
        <v>4</v>
      </c>
      <c r="E16" s="113" t="s">
        <v>405</v>
      </c>
      <c r="F16" s="226">
        <v>43012</v>
      </c>
      <c r="G16" s="113">
        <f ca="1">SUMIF(الاإسكندرية!$D$8:$D$32,'أخر دفعة'!$C$15:$C$33,بيان.معاشات.اسكندرية[المنحة])</f>
        <v>20043.419999999998</v>
      </c>
      <c r="H16" s="113">
        <f ca="1">SUMIF(الاإسكندرية!$D$8:$D$32,'أخر دفعة'!$C$15:$C$33,بيان.معاشات.اسكندرية[مستحقات])</f>
        <v>0</v>
      </c>
      <c r="I16" s="113">
        <f ca="1">SUMIF(الاإسكندرية!$D$8:$D$32,'أخر دفعة'!$C$15:$C$33,بيان.معاشات.اسكندرية[مقابل نقدي])</f>
        <v>10867.5</v>
      </c>
      <c r="J16" s="113">
        <f ca="1">SUMIF(الاإسكندرية!$D$8:$D$32,'أخر دفعة'!$C$15:$C$33,بيان.معاشات.اسكندرية[إجمالي المستحق])</f>
        <v>30910.92</v>
      </c>
      <c r="K16" s="113">
        <f ca="1">SUMIF(الاإسكندرية!$D$8:$D$32,'أخر دفعة'!$C$15:$C$33,بيان.معاشات.اسكندرية[إجمالي المنصرف])</f>
        <v>26000</v>
      </c>
      <c r="L16" s="113">
        <f ca="1">SUMIF(الاإسكندرية!$D$8:$D$32,'أخر دفعة'!$C$15:$C$33,بيان.معاشات.اسكندرية[المتبقي])</f>
        <v>4910.9199999999983</v>
      </c>
      <c r="M16" s="113">
        <f ca="1">SUMIF(الاإسكندرية!$D$8:$D$32,'أخر دفعة'!$C$15:$C$33,بيان.معاشات.اسكندرية[المتبقي 1-])</f>
        <v>4910.9199999999983</v>
      </c>
      <c r="N16" s="113">
        <f ca="1">SUMIF(الاإسكندرية!$D$8:$D$32,'أخر دفعة'!$C$15:$C$33,بيان.معاشات.اسكندرية[المتبقي من المنحة])</f>
        <v>-5956.5800000000017</v>
      </c>
      <c r="O16" s="113">
        <f ca="1">SUMIF(الاإسكندرية!$D$8:$D$32,'أخر دفعة'!$C$15:$C$33,بيان.معاشات.اسكندرية[المتبقي من المنحة 1-])</f>
        <v>0</v>
      </c>
      <c r="P16" s="46"/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f ca="1">SUMIF(الاإسكندرية!$D$8:$D$32,'أخر دفعة'!$C$15:$C$33,بيان.معاشات.اسكندرية[يناير-23])</f>
        <v>0</v>
      </c>
      <c r="X16" s="46">
        <f ca="1">SUMIF(الاإسكندرية!$D$8:$D$32,'أخر دفعة'!$C$15:$C$33,بيان.معاشات.اسكندرية[فبراير-23])</f>
        <v>500</v>
      </c>
      <c r="Y16" s="46">
        <f ca="1">SUMIF(الاإسكندرية!$D$8:$D$32,'أخر دفعة'!$C$15:$C$33,بيان.معاشات.اسكندرية[مارس-23])</f>
        <v>500</v>
      </c>
      <c r="Z16" s="46">
        <f ca="1">SUMIF(الاإسكندرية!$D$8:$D$32,'أخر دفعة'!$C$15:$C$33,بيان.معاشات.اسكندرية[أبريل-23])</f>
        <v>500</v>
      </c>
      <c r="AA16" s="55">
        <f ca="1">SUMIF(الاإسكندرية!$D$8:$D$32,'أخر دفعة'!$C$15:$C$33,بيان.معاشات.اسكندرية[مايو-23])</f>
        <v>500</v>
      </c>
      <c r="AB16" s="467"/>
    </row>
    <row r="17" spans="2:28" ht="21" x14ac:dyDescent="0.35">
      <c r="B17" s="227">
        <v>3</v>
      </c>
      <c r="C17" s="215" t="s">
        <v>285</v>
      </c>
      <c r="D17" s="215">
        <v>5</v>
      </c>
      <c r="E17" s="113" t="s">
        <v>405</v>
      </c>
      <c r="F17" s="228">
        <v>43643</v>
      </c>
      <c r="G17" s="113">
        <f ca="1">SUMIF(الاإسكندرية!$D$8:$D$32,'أخر دفعة'!$C$15:$C$33,بيان.معاشات.اسكندرية[المنحة])</f>
        <v>17472.96</v>
      </c>
      <c r="H17" s="113">
        <f ca="1">SUMIF(الاإسكندرية!$D$8:$D$32,'أخر دفعة'!$C$15:$C$33,بيان.معاشات.اسكندرية[مستحقات])</f>
        <v>0</v>
      </c>
      <c r="I17" s="113">
        <f ca="1">SUMIF(الاإسكندرية!$D$8:$D$32,'أخر دفعة'!$C$15:$C$33,بيان.معاشات.اسكندرية[مقابل نقدي])</f>
        <v>8216.1</v>
      </c>
      <c r="J17" s="113">
        <f ca="1">SUMIF(الاإسكندرية!$D$8:$D$32,'أخر دفعة'!$C$15:$C$33,بيان.معاشات.اسكندرية[إجمالي المستحق])</f>
        <v>25689.059999999998</v>
      </c>
      <c r="K17" s="113">
        <f ca="1">SUMIF(الاإسكندرية!$D$8:$D$32,'أخر دفعة'!$C$15:$C$33,بيان.معاشات.اسكندرية[إجمالي المنصرف])</f>
        <v>18500</v>
      </c>
      <c r="L17" s="113">
        <f ca="1">SUMIF(الاإسكندرية!$D$8:$D$32,'أخر دفعة'!$C$15:$C$33,بيان.معاشات.اسكندرية[المتبقي])</f>
        <v>7189.0599999999977</v>
      </c>
      <c r="M17" s="113">
        <f ca="1">SUMIF(الاإسكندرية!$D$8:$D$32,'أخر دفعة'!$C$15:$C$33,بيان.معاشات.اسكندرية[المتبقي 1-])</f>
        <v>7189.0599999999977</v>
      </c>
      <c r="N17" s="113">
        <f ca="1">SUMIF(الاإسكندرية!$D$8:$D$32,'أخر دفعة'!$C$15:$C$33,بيان.معاشات.اسكندرية[المتبقي من المنحة])</f>
        <v>-1027.0400000000009</v>
      </c>
      <c r="O17" s="113">
        <f ca="1">SUMIF(الاإسكندرية!$D$8:$D$32,'أخر دفعة'!$C$15:$C$33,بيان.معاشات.اسكندرية[المتبقي من المنحة 1-])</f>
        <v>0</v>
      </c>
      <c r="P17" s="46"/>
      <c r="Q17" s="46">
        <v>0</v>
      </c>
      <c r="R17" s="46">
        <v>0</v>
      </c>
      <c r="S17" s="46">
        <v>1000</v>
      </c>
      <c r="T17" s="46">
        <v>0</v>
      </c>
      <c r="U17" s="46">
        <v>1000</v>
      </c>
      <c r="V17" s="46">
        <v>0</v>
      </c>
      <c r="W17" s="46">
        <f ca="1">SUMIF(الاإسكندرية!$D$8:$D$32,'أخر دفعة'!$C$15:$C$33,بيان.معاشات.اسكندرية[يناير-23])</f>
        <v>500</v>
      </c>
      <c r="X17" s="46">
        <f ca="1">SUMIF(الاإسكندرية!$D$8:$D$32,'أخر دفعة'!$C$15:$C$33,بيان.معاشات.اسكندرية[فبراير-23])</f>
        <v>500</v>
      </c>
      <c r="Y17" s="46">
        <f ca="1">SUMIF(الاإسكندرية!$D$8:$D$32,'أخر دفعة'!$C$15:$C$33,بيان.معاشات.اسكندرية[مارس-23])</f>
        <v>0</v>
      </c>
      <c r="Z17" s="46">
        <f ca="1">SUMIF(الاإسكندرية!$D$8:$D$32,'أخر دفعة'!$C$15:$C$33,بيان.معاشات.اسكندرية[أبريل-23])</f>
        <v>0</v>
      </c>
      <c r="AA17" s="55">
        <f ca="1">SUMIF(الاإسكندرية!$D$8:$D$32,'أخر دفعة'!$C$15:$C$33,بيان.معاشات.اسكندرية[مايو-23])</f>
        <v>0</v>
      </c>
      <c r="AB17" s="467"/>
    </row>
    <row r="18" spans="2:28" ht="21" x14ac:dyDescent="0.35">
      <c r="B18" s="225">
        <v>4</v>
      </c>
      <c r="C18" s="113" t="s">
        <v>286</v>
      </c>
      <c r="D18" s="113">
        <v>6</v>
      </c>
      <c r="E18" s="113" t="s">
        <v>405</v>
      </c>
      <c r="F18" s="226">
        <v>43687</v>
      </c>
      <c r="G18" s="113">
        <f ca="1">SUMIF(الاإسكندرية!$D$8:$D$32,'أخر دفعة'!$C$15:$C$33,بيان.معاشات.اسكندرية[المنحة])</f>
        <v>11311.3</v>
      </c>
      <c r="H18" s="113">
        <f ca="1">SUMIF(الاإسكندرية!$D$8:$D$32,'أخر دفعة'!$C$15:$C$33,بيان.معاشات.اسكندرية[مستحقات])</f>
        <v>0</v>
      </c>
      <c r="I18" s="113">
        <f ca="1">SUMIF(الاإسكندرية!$D$8:$D$32,'أخر دفعة'!$C$15:$C$33,بيان.معاشات.اسكندرية[مقابل نقدي])</f>
        <v>6606</v>
      </c>
      <c r="J18" s="113">
        <f ca="1">SUMIF(الاإسكندرية!$D$8:$D$32,'أخر دفعة'!$C$15:$C$33,بيان.معاشات.اسكندرية[إجمالي المستحق])</f>
        <v>17917.3</v>
      </c>
      <c r="K18" s="113">
        <f ca="1">SUMIF(الاإسكندرية!$D$8:$D$32,'أخر دفعة'!$C$15:$C$33,بيان.معاشات.اسكندرية[إجمالي المنصرف])</f>
        <v>16311.3</v>
      </c>
      <c r="L18" s="113">
        <f ca="1">SUMIF(الاإسكندرية!$D$8:$D$32,'أخر دفعة'!$C$15:$C$33,بيان.معاشات.اسكندرية[المتبقي])</f>
        <v>1606</v>
      </c>
      <c r="M18" s="113">
        <f ca="1">SUMIF(الاإسكندرية!$D$8:$D$32,'أخر دفعة'!$C$15:$C$33,بيان.معاشات.اسكندرية[المتبقي 1-])</f>
        <v>1606</v>
      </c>
      <c r="N18" s="113">
        <f ca="1">SUMIF(الاإسكندرية!$D$8:$D$32,'أخر دفعة'!$C$15:$C$33,بيان.معاشات.اسكندرية[المتبقي من المنحة])</f>
        <v>-5000</v>
      </c>
      <c r="O18" s="113">
        <f ca="1">SUMIF(الاإسكندرية!$D$8:$D$32,'أخر دفعة'!$C$15:$C$33,بيان.معاشات.اسكندرية[المتبقي من المنحة 1-])</f>
        <v>0</v>
      </c>
      <c r="P18" s="46"/>
      <c r="Q18" s="46">
        <v>0</v>
      </c>
      <c r="R18" s="46">
        <v>0</v>
      </c>
      <c r="S18" s="46">
        <v>1000</v>
      </c>
      <c r="T18" s="46">
        <v>0</v>
      </c>
      <c r="U18" s="46">
        <v>1000</v>
      </c>
      <c r="V18" s="46">
        <v>0</v>
      </c>
      <c r="W18" s="46">
        <f ca="1">SUMIF(الاإسكندرية!$D$8:$D$32,'أخر دفعة'!$C$15:$C$33,بيان.معاشات.اسكندرية[يناير-23])</f>
        <v>0</v>
      </c>
      <c r="X18" s="46">
        <f ca="1">SUMIF(الاإسكندرية!$D$8:$D$32,'أخر دفعة'!$C$15:$C$33,بيان.معاشات.اسكندرية[فبراير-23])</f>
        <v>0</v>
      </c>
      <c r="Y18" s="46">
        <f ca="1">SUMIF(الاإسكندرية!$D$8:$D$32,'أخر دفعة'!$C$15:$C$33,بيان.معاشات.اسكندرية[مارس-23])</f>
        <v>0</v>
      </c>
      <c r="Z18" s="46">
        <f ca="1">SUMIF(الاإسكندرية!$D$8:$D$32,'أخر دفعة'!$C$15:$C$33,بيان.معاشات.اسكندرية[أبريل-23])</f>
        <v>0</v>
      </c>
      <c r="AA18" s="55">
        <f ca="1">SUMIF(الاإسكندرية!$D$8:$D$32,'أخر دفعة'!$C$15:$C$33,بيان.معاشات.اسكندرية[مايو-23])</f>
        <v>0</v>
      </c>
      <c r="AB18" s="467"/>
    </row>
    <row r="19" spans="2:28" ht="21" x14ac:dyDescent="0.35">
      <c r="B19" s="227">
        <v>5</v>
      </c>
      <c r="C19" s="215" t="s">
        <v>288</v>
      </c>
      <c r="D19" s="215">
        <v>7</v>
      </c>
      <c r="E19" s="113" t="s">
        <v>405</v>
      </c>
      <c r="F19" s="228">
        <v>44104</v>
      </c>
      <c r="G19" s="113">
        <f ca="1">SUMIF(الاإسكندرية!$D$8:$D$32,'أخر دفعة'!$C$15:$C$33,بيان.معاشات.اسكندرية[المنحة])</f>
        <v>21166.5</v>
      </c>
      <c r="H19" s="113">
        <f ca="1">SUMIF(الاإسكندرية!$D$8:$D$32,'أخر دفعة'!$C$15:$C$33,بيان.معاشات.اسكندرية[مستحقات])</f>
        <v>0</v>
      </c>
      <c r="I19" s="113">
        <f ca="1">SUMIF(الاإسكندرية!$D$8:$D$32,'أخر دفعة'!$C$15:$C$33,بيان.معاشات.اسكندرية[مقابل نقدي])</f>
        <v>12429.9</v>
      </c>
      <c r="J19" s="113">
        <f ca="1">SUMIF(الاإسكندرية!$D$8:$D$32,'أخر دفعة'!$C$15:$C$33,بيان.معاشات.اسكندرية[إجمالي المستحق])</f>
        <v>33596.400000000001</v>
      </c>
      <c r="K19" s="113">
        <f ca="1">SUMIF(الاإسكندرية!$D$8:$D$32,'أخر دفعة'!$C$15:$C$33,بيان.معاشات.اسكندرية[إجمالي المنصرف])</f>
        <v>8500</v>
      </c>
      <c r="L19" s="113">
        <f ca="1">SUMIF(الاإسكندرية!$D$8:$D$32,'أخر دفعة'!$C$15:$C$33,بيان.معاشات.اسكندرية[المتبقي])</f>
        <v>25096.400000000001</v>
      </c>
      <c r="M19" s="113">
        <f ca="1">SUMIF(الاإسكندرية!$D$8:$D$32,'أخر دفعة'!$C$15:$C$33,بيان.معاشات.اسكندرية[المتبقي 1-])</f>
        <v>25096.400000000001</v>
      </c>
      <c r="N19" s="113">
        <f ca="1">SUMIF(الاإسكندرية!$D$8:$D$32,'أخر دفعة'!$C$15:$C$33,بيان.معاشات.اسكندرية[المتبقي من المنحة])</f>
        <v>12666.5</v>
      </c>
      <c r="O19" s="113">
        <f ca="1">SUMIF(الاإسكندرية!$D$8:$D$32,'أخر دفعة'!$C$15:$C$33,بيان.معاشات.اسكندرية[المتبقي من المنحة 1-])</f>
        <v>12666.5</v>
      </c>
      <c r="P19" s="46"/>
      <c r="Q19" s="46">
        <v>0</v>
      </c>
      <c r="R19" s="46">
        <v>0</v>
      </c>
      <c r="S19" s="46">
        <v>1000</v>
      </c>
      <c r="T19" s="46">
        <v>0</v>
      </c>
      <c r="U19" s="46">
        <v>0</v>
      </c>
      <c r="V19" s="46">
        <v>0</v>
      </c>
      <c r="W19" s="46">
        <f ca="1">SUMIF(الاإسكندرية!$D$8:$D$32,'أخر دفعة'!$C$15:$C$33,بيان.معاشات.اسكندرية[يناير-23])</f>
        <v>0</v>
      </c>
      <c r="X19" s="46">
        <f ca="1">SUMIF(الاإسكندرية!$D$8:$D$32,'أخر دفعة'!$C$15:$C$33,بيان.معاشات.اسكندرية[فبراير-23])</f>
        <v>0</v>
      </c>
      <c r="Y19" s="46">
        <f ca="1">SUMIF(الاإسكندرية!$D$8:$D$32,'أخر دفعة'!$C$15:$C$33,بيان.معاشات.اسكندرية[مارس-23])</f>
        <v>0</v>
      </c>
      <c r="Z19" s="46">
        <f ca="1">SUMIF(الاإسكندرية!$D$8:$D$32,'أخر دفعة'!$C$15:$C$33,بيان.معاشات.اسكندرية[أبريل-23])</f>
        <v>0</v>
      </c>
      <c r="AA19" s="55">
        <f ca="1">SUMIF(الاإسكندرية!$D$8:$D$32,'أخر دفعة'!$C$15:$C$33,بيان.معاشات.اسكندرية[مايو-23])</f>
        <v>0</v>
      </c>
      <c r="AB19" s="467"/>
    </row>
    <row r="20" spans="2:28" ht="21" x14ac:dyDescent="0.35">
      <c r="B20" s="225">
        <v>6</v>
      </c>
      <c r="C20" s="113" t="s">
        <v>289</v>
      </c>
      <c r="D20" s="113">
        <v>8</v>
      </c>
      <c r="E20" s="113" t="s">
        <v>405</v>
      </c>
      <c r="F20" s="226">
        <v>44185</v>
      </c>
      <c r="G20" s="113">
        <f ca="1">SUMIF(الاإسكندرية!$D$8:$D$32,'أخر دفعة'!$C$15:$C$33,بيان.معاشات.اسكندرية[المنحة])</f>
        <v>20046.5</v>
      </c>
      <c r="H20" s="113">
        <f ca="1">SUMIF(الاإسكندرية!$D$8:$D$32,'أخر دفعة'!$C$15:$C$33,بيان.معاشات.اسكندرية[مستحقات])</f>
        <v>0</v>
      </c>
      <c r="I20" s="113">
        <f ca="1">SUMIF(الاإسكندرية!$D$8:$D$32,'أخر دفعة'!$C$15:$C$33,بيان.معاشات.اسكندرية[مقابل نقدي])</f>
        <v>18697.5</v>
      </c>
      <c r="J20" s="113">
        <f ca="1">SUMIF(الاإسكندرية!$D$8:$D$32,'أخر دفعة'!$C$15:$C$33,بيان.معاشات.اسكندرية[إجمالي المستحق])</f>
        <v>38744</v>
      </c>
      <c r="K20" s="113">
        <f ca="1">SUMIF(الاإسكندرية!$D$8:$D$32,'أخر دفعة'!$C$15:$C$33,بيان.معاشات.اسكندرية[إجمالي المنصرف])</f>
        <v>8500</v>
      </c>
      <c r="L20" s="113">
        <f ca="1">SUMIF(الاإسكندرية!$D$8:$D$32,'أخر دفعة'!$C$15:$C$33,بيان.معاشات.اسكندرية[المتبقي])</f>
        <v>30244</v>
      </c>
      <c r="M20" s="113">
        <f ca="1">SUMIF(الاإسكندرية!$D$8:$D$32,'أخر دفعة'!$C$15:$C$33,بيان.معاشات.اسكندرية[المتبقي 1-])</f>
        <v>30244</v>
      </c>
      <c r="N20" s="113">
        <f ca="1">SUMIF(الاإسكندرية!$D$8:$D$32,'أخر دفعة'!$C$15:$C$33,بيان.معاشات.اسكندرية[المتبقي من المنحة])</f>
        <v>11546.5</v>
      </c>
      <c r="O20" s="113">
        <f ca="1">SUMIF(الاإسكندرية!$D$8:$D$32,'أخر دفعة'!$C$15:$C$33,بيان.معاشات.اسكندرية[المتبقي من المنحة 1-])</f>
        <v>11546.5</v>
      </c>
      <c r="P20" s="46"/>
      <c r="Q20" s="46">
        <v>0</v>
      </c>
      <c r="R20" s="46">
        <v>0</v>
      </c>
      <c r="S20" s="46">
        <v>0</v>
      </c>
      <c r="T20" s="46">
        <v>0</v>
      </c>
      <c r="U20" s="46">
        <v>1500</v>
      </c>
      <c r="V20" s="46">
        <v>0</v>
      </c>
      <c r="W20" s="46">
        <f ca="1">SUMIF(الاإسكندرية!$D$8:$D$32,'أخر دفعة'!$C$15:$C$33,بيان.معاشات.اسكندرية[يناير-23])</f>
        <v>500</v>
      </c>
      <c r="X20" s="46">
        <f ca="1">SUMIF(الاإسكندرية!$D$8:$D$32,'أخر دفعة'!$C$15:$C$33,بيان.معاشات.اسكندرية[فبراير-23])</f>
        <v>0</v>
      </c>
      <c r="Y20" s="46">
        <f ca="1">SUMIF(الاإسكندرية!$D$8:$D$32,'أخر دفعة'!$C$15:$C$33,بيان.معاشات.اسكندرية[مارس-23])</f>
        <v>0</v>
      </c>
      <c r="Z20" s="46">
        <f ca="1">SUMIF(الاإسكندرية!$D$8:$D$32,'أخر دفعة'!$C$15:$C$33,بيان.معاشات.اسكندرية[أبريل-23])</f>
        <v>0</v>
      </c>
      <c r="AA20" s="55">
        <f ca="1">SUMIF(الاإسكندرية!$D$8:$D$32,'أخر دفعة'!$C$15:$C$33,بيان.معاشات.اسكندرية[مايو-23])</f>
        <v>0</v>
      </c>
      <c r="AB20" s="467"/>
    </row>
    <row r="21" spans="2:28" ht="21" x14ac:dyDescent="0.35">
      <c r="B21" s="227">
        <v>7</v>
      </c>
      <c r="C21" s="215" t="s">
        <v>290</v>
      </c>
      <c r="D21" s="215">
        <v>9</v>
      </c>
      <c r="E21" s="113" t="s">
        <v>405</v>
      </c>
      <c r="F21" s="228">
        <v>43885</v>
      </c>
      <c r="G21" s="113">
        <f ca="1">SUMIF(الاإسكندرية!$D$8:$D$32,'أخر دفعة'!$C$15:$C$33,بيان.معاشات.اسكندرية[المنحة])</f>
        <v>14646.42</v>
      </c>
      <c r="H21" s="113">
        <f ca="1">SUMIF(الاإسكندرية!$D$8:$D$32,'أخر دفعة'!$C$15:$C$33,بيان.معاشات.اسكندرية[مستحقات])</f>
        <v>0</v>
      </c>
      <c r="I21" s="113">
        <f ca="1">SUMIF(الاإسكندرية!$D$8:$D$32,'أخر دفعة'!$C$15:$C$33,بيان.معاشات.اسكندرية[مقابل نقدي])</f>
        <v>11936.13</v>
      </c>
      <c r="J21" s="113">
        <f ca="1">SUMIF(الاإسكندرية!$D$8:$D$32,'أخر دفعة'!$C$15:$C$33,بيان.معاشات.اسكندرية[إجمالي المستحق])</f>
        <v>26582.55</v>
      </c>
      <c r="K21" s="113">
        <f ca="1">SUMIF(الاإسكندرية!$D$8:$D$32,'أخر دفعة'!$C$15:$C$33,بيان.معاشات.اسكندرية[إجمالي المنصرف])</f>
        <v>14000</v>
      </c>
      <c r="L21" s="113">
        <f ca="1">SUMIF(الاإسكندرية!$D$8:$D$32,'أخر دفعة'!$C$15:$C$33,بيان.معاشات.اسكندرية[المتبقي])</f>
        <v>12582.55</v>
      </c>
      <c r="M21" s="113">
        <f ca="1">SUMIF(الاإسكندرية!$D$8:$D$32,'أخر دفعة'!$C$15:$C$33,بيان.معاشات.اسكندرية[المتبقي 1-])</f>
        <v>12582.55</v>
      </c>
      <c r="N21" s="113">
        <f ca="1">SUMIF(الاإسكندرية!$D$8:$D$32,'أخر دفعة'!$C$15:$C$33,بيان.معاشات.اسكندرية[المتبقي من المنحة])</f>
        <v>646.42000000000007</v>
      </c>
      <c r="O21" s="113">
        <f ca="1">SUMIF(الاإسكندرية!$D$8:$D$32,'أخر دفعة'!$C$15:$C$33,بيان.معاشات.اسكندرية[المتبقي من المنحة 1-])</f>
        <v>646.42000000000007</v>
      </c>
      <c r="P21" s="46"/>
      <c r="Q21" s="46">
        <v>0</v>
      </c>
      <c r="R21" s="46">
        <v>0</v>
      </c>
      <c r="S21" s="46">
        <v>1000</v>
      </c>
      <c r="T21" s="46">
        <v>0</v>
      </c>
      <c r="U21" s="46">
        <v>0</v>
      </c>
      <c r="V21" s="46">
        <v>0</v>
      </c>
      <c r="W21" s="46">
        <f ca="1">SUMIF(الاإسكندرية!$D$8:$D$32,'أخر دفعة'!$C$15:$C$33,بيان.معاشات.اسكندرية[يناير-23])</f>
        <v>2000</v>
      </c>
      <c r="X21" s="46">
        <f ca="1">SUMIF(الاإسكندرية!$D$8:$D$32,'أخر دفعة'!$C$15:$C$33,بيان.معاشات.اسكندرية[فبراير-23])</f>
        <v>0</v>
      </c>
      <c r="Y21" s="46">
        <f ca="1">SUMIF(الاإسكندرية!$D$8:$D$32,'أخر دفعة'!$C$15:$C$33,بيان.معاشات.اسكندرية[مارس-23])</f>
        <v>0</v>
      </c>
      <c r="Z21" s="46">
        <f ca="1">SUMIF(الاإسكندرية!$D$8:$D$32,'أخر دفعة'!$C$15:$C$33,بيان.معاشات.اسكندرية[أبريل-23])</f>
        <v>0</v>
      </c>
      <c r="AA21" s="55">
        <f ca="1">SUMIF(الاإسكندرية!$D$8:$D$32,'أخر دفعة'!$C$15:$C$33,بيان.معاشات.اسكندرية[مايو-23])</f>
        <v>0</v>
      </c>
      <c r="AB21" s="467"/>
    </row>
    <row r="22" spans="2:28" ht="21" x14ac:dyDescent="0.35">
      <c r="B22" s="225">
        <v>8</v>
      </c>
      <c r="C22" s="113" t="s">
        <v>291</v>
      </c>
      <c r="D22" s="113">
        <v>10</v>
      </c>
      <c r="E22" s="113" t="s">
        <v>405</v>
      </c>
      <c r="F22" s="226">
        <v>43384</v>
      </c>
      <c r="G22" s="113">
        <f ca="1">SUMIF(الاإسكندرية!$D$8:$D$32,'أخر دفعة'!$C$15:$C$33,بيان.معاشات.اسكندرية[المنحة])</f>
        <v>14776.68</v>
      </c>
      <c r="H22" s="113">
        <f ca="1">SUMIF(الاإسكندرية!$D$8:$D$32,'أخر دفعة'!$C$15:$C$33,بيان.معاشات.اسكندرية[مستحقات])</f>
        <v>0</v>
      </c>
      <c r="I22" s="113">
        <f ca="1">SUMIF(الاإسكندرية!$D$8:$D$32,'أخر دفعة'!$C$15:$C$33,بيان.معاشات.اسكندرية[مقابل نقدي])</f>
        <v>7489.68</v>
      </c>
      <c r="J22" s="113">
        <f ca="1">SUMIF(الاإسكندرية!$D$8:$D$32,'أخر دفعة'!$C$15:$C$33,بيان.معاشات.اسكندرية[إجمالي المستحق])</f>
        <v>22266.36</v>
      </c>
      <c r="K22" s="113">
        <f ca="1">SUMIF(الاإسكندرية!$D$8:$D$32,'أخر دفعة'!$C$15:$C$33,بيان.معاشات.اسكندرية[إجمالي المنصرف])</f>
        <v>20000</v>
      </c>
      <c r="L22" s="113">
        <f ca="1">SUMIF(الاإسكندرية!$D$8:$D$32,'أخر دفعة'!$C$15:$C$33,بيان.معاشات.اسكندرية[المتبقي])</f>
        <v>2266.3600000000006</v>
      </c>
      <c r="M22" s="113">
        <f ca="1">SUMIF(الاإسكندرية!$D$8:$D$32,'أخر دفعة'!$C$15:$C$33,بيان.معاشات.اسكندرية[المتبقي 1-])</f>
        <v>2266.3600000000006</v>
      </c>
      <c r="N22" s="113">
        <f ca="1">SUMIF(الاإسكندرية!$D$8:$D$32,'أخر دفعة'!$C$15:$C$33,بيان.معاشات.اسكندرية[المتبقي من المنحة])</f>
        <v>-5223.32</v>
      </c>
      <c r="O22" s="113">
        <f ca="1">SUMIF(الاإسكندرية!$D$8:$D$32,'أخر دفعة'!$C$15:$C$33,بيان.معاشات.اسكندرية[المتبقي من المنحة 1-])</f>
        <v>0</v>
      </c>
      <c r="P22" s="46"/>
      <c r="Q22" s="46">
        <v>0</v>
      </c>
      <c r="R22" s="46">
        <v>500</v>
      </c>
      <c r="S22" s="46">
        <v>0</v>
      </c>
      <c r="T22" s="46">
        <v>0</v>
      </c>
      <c r="U22" s="46">
        <v>0</v>
      </c>
      <c r="V22" s="46">
        <v>0</v>
      </c>
      <c r="W22" s="46">
        <f ca="1">SUMIF(الاإسكندرية!$D$8:$D$32,'أخر دفعة'!$C$15:$C$33,بيان.معاشات.اسكندرية[يناير-23])</f>
        <v>0</v>
      </c>
      <c r="X22" s="46">
        <f ca="1">SUMIF(الاإسكندرية!$D$8:$D$32,'أخر دفعة'!$C$15:$C$33,بيان.معاشات.اسكندرية[فبراير-23])</f>
        <v>0</v>
      </c>
      <c r="Y22" s="46">
        <f ca="1">SUMIF(الاإسكندرية!$D$8:$D$32,'أخر دفعة'!$C$15:$C$33,بيان.معاشات.اسكندرية[مارس-23])</f>
        <v>0</v>
      </c>
      <c r="Z22" s="46">
        <f ca="1">SUMIF(الاإسكندرية!$D$8:$D$32,'أخر دفعة'!$C$15:$C$33,بيان.معاشات.اسكندرية[أبريل-23])</f>
        <v>0</v>
      </c>
      <c r="AA22" s="55">
        <f ca="1">SUMIF(الاإسكندرية!$D$8:$D$32,'أخر دفعة'!$C$15:$C$33,بيان.معاشات.اسكندرية[مايو-23])</f>
        <v>0</v>
      </c>
      <c r="AB22" s="467"/>
    </row>
    <row r="23" spans="2:28" ht="21" x14ac:dyDescent="0.35">
      <c r="B23" s="227">
        <v>9</v>
      </c>
      <c r="C23" s="215" t="s">
        <v>292</v>
      </c>
      <c r="D23" s="215">
        <v>11</v>
      </c>
      <c r="E23" s="113" t="s">
        <v>405</v>
      </c>
      <c r="F23" s="228">
        <v>44171</v>
      </c>
      <c r="G23" s="113">
        <f ca="1">SUMIF(الاإسكندرية!$D$8:$D$32,'أخر دفعة'!$C$15:$C$33,بيان.معاشات.اسكندرية[المنحة])</f>
        <v>19556.57</v>
      </c>
      <c r="H23" s="113">
        <f ca="1">SUMIF(الاإسكندرية!$D$8:$D$32,'أخر دفعة'!$C$15:$C$33,بيان.معاشات.اسكندرية[مستحقات])</f>
        <v>0</v>
      </c>
      <c r="I23" s="113">
        <f ca="1">SUMIF(الاإسكندرية!$D$8:$D$32,'أخر دفعة'!$C$15:$C$33,بيان.معاشات.اسكندرية[مقابل نقدي])</f>
        <v>15576.67</v>
      </c>
      <c r="J23" s="113">
        <f ca="1">SUMIF(الاإسكندرية!$D$8:$D$32,'أخر دفعة'!$C$15:$C$33,بيان.معاشات.اسكندرية[إجمالي المستحق])</f>
        <v>35133.24</v>
      </c>
      <c r="K23" s="113">
        <f ca="1">SUMIF(الاإسكندرية!$D$8:$D$32,'أخر دفعة'!$C$15:$C$33,بيان.معاشات.اسكندرية[إجمالي المنصرف])</f>
        <v>7500</v>
      </c>
      <c r="L23" s="113">
        <f ca="1">SUMIF(الاإسكندرية!$D$8:$D$32,'أخر دفعة'!$C$15:$C$33,بيان.معاشات.اسكندرية[المتبقي])</f>
        <v>27633.239999999998</v>
      </c>
      <c r="M23" s="113">
        <f ca="1">SUMIF(الاإسكندرية!$D$8:$D$32,'أخر دفعة'!$C$15:$C$33,بيان.معاشات.اسكندرية[المتبقي 1-])</f>
        <v>27633.239999999998</v>
      </c>
      <c r="N23" s="113">
        <f ca="1">SUMIF(الاإسكندرية!$D$8:$D$32,'أخر دفعة'!$C$15:$C$33,بيان.معاشات.اسكندرية[المتبقي من المنحة])</f>
        <v>12056.57</v>
      </c>
      <c r="O23" s="113">
        <f ca="1">SUMIF(الاإسكندرية!$D$8:$D$32,'أخر دفعة'!$C$15:$C$33,بيان.معاشات.اسكندرية[المتبقي من المنحة 1-])</f>
        <v>12056.57</v>
      </c>
      <c r="P23" s="46"/>
      <c r="Q23" s="46">
        <v>0</v>
      </c>
      <c r="R23" s="46">
        <v>0</v>
      </c>
      <c r="S23" s="46">
        <v>1000</v>
      </c>
      <c r="T23" s="46">
        <v>0</v>
      </c>
      <c r="U23" s="46">
        <v>0</v>
      </c>
      <c r="V23" s="46">
        <v>0</v>
      </c>
      <c r="W23" s="46">
        <f ca="1">SUMIF(الاإسكندرية!$D$8:$D$32,'أخر دفعة'!$C$15:$C$33,بيان.معاشات.اسكندرية[يناير-23])</f>
        <v>0</v>
      </c>
      <c r="X23" s="46">
        <f ca="1">SUMIF(الاإسكندرية!$D$8:$D$32,'أخر دفعة'!$C$15:$C$33,بيان.معاشات.اسكندرية[فبراير-23])</f>
        <v>0</v>
      </c>
      <c r="Y23" s="46">
        <f ca="1">SUMIF(الاإسكندرية!$D$8:$D$32,'أخر دفعة'!$C$15:$C$33,بيان.معاشات.اسكندرية[مارس-23])</f>
        <v>0</v>
      </c>
      <c r="Z23" s="46">
        <f ca="1">SUMIF(الاإسكندرية!$D$8:$D$32,'أخر دفعة'!$C$15:$C$33,بيان.معاشات.اسكندرية[أبريل-23])</f>
        <v>0</v>
      </c>
      <c r="AA23" s="55">
        <f ca="1">SUMIF(الاإسكندرية!$D$8:$D$32,'أخر دفعة'!$C$15:$C$33,بيان.معاشات.اسكندرية[مايو-23])</f>
        <v>0</v>
      </c>
      <c r="AB23" s="467"/>
    </row>
    <row r="24" spans="2:28" ht="21" x14ac:dyDescent="0.35">
      <c r="B24" s="225">
        <v>10</v>
      </c>
      <c r="C24" s="113" t="s">
        <v>293</v>
      </c>
      <c r="D24" s="113">
        <v>15</v>
      </c>
      <c r="E24" s="113" t="s">
        <v>405</v>
      </c>
      <c r="F24" s="226">
        <v>43153</v>
      </c>
      <c r="G24" s="113">
        <f ca="1">SUMIF(الاإسكندرية!$D$8:$D$32,'أخر دفعة'!$C$15:$C$33,بيان.معاشات.اسكندرية[المنحة])</f>
        <v>0</v>
      </c>
      <c r="H24" s="113">
        <f ca="1">SUMIF(الاإسكندرية!$D$8:$D$32,'أخر دفعة'!$C$15:$C$33,بيان.معاشات.اسكندرية[مستحقات])</f>
        <v>0</v>
      </c>
      <c r="I24" s="113">
        <f ca="1">SUMIF(الاإسكندرية!$D$8:$D$32,'أخر دفعة'!$C$15:$C$33,بيان.معاشات.اسكندرية[مقابل نقدي])</f>
        <v>11330.1</v>
      </c>
      <c r="J24" s="113">
        <f ca="1">SUMIF(الاإسكندرية!$D$8:$D$32,'أخر دفعة'!$C$15:$C$33,بيان.معاشات.اسكندرية[إجمالي المستحق])</f>
        <v>11330.1</v>
      </c>
      <c r="K24" s="113">
        <f ca="1">SUMIF(الاإسكندرية!$D$8:$D$32,'أخر دفعة'!$C$15:$C$33,بيان.معاشات.اسكندرية[إجمالي المنصرف])</f>
        <v>10000</v>
      </c>
      <c r="L24" s="113">
        <f ca="1">SUMIF(الاإسكندرية!$D$8:$D$32,'أخر دفعة'!$C$15:$C$33,بيان.معاشات.اسكندرية[المتبقي])</f>
        <v>1330.1000000000004</v>
      </c>
      <c r="M24" s="113">
        <f ca="1">SUMIF(الاإسكندرية!$D$8:$D$32,'أخر دفعة'!$C$15:$C$33,بيان.معاشات.اسكندرية[المتبقي 1-])</f>
        <v>1330.1000000000004</v>
      </c>
      <c r="N24" s="113">
        <f ca="1">SUMIF(الاإسكندرية!$D$8:$D$32,'أخر دفعة'!$C$15:$C$33,بيان.معاشات.اسكندرية[المتبقي من المنحة])</f>
        <v>-10000</v>
      </c>
      <c r="O24" s="113">
        <f ca="1">SUMIF(الاإسكندرية!$D$8:$D$32,'أخر دفعة'!$C$15:$C$33,بيان.معاشات.اسكندرية[المتبقي من المنحة 1-])</f>
        <v>0</v>
      </c>
      <c r="P24" s="46"/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3000</v>
      </c>
      <c r="W24" s="46">
        <f ca="1">SUMIF(الاإسكندرية!$D$8:$D$32,'أخر دفعة'!$C$15:$C$33,بيان.معاشات.اسكندرية[يناير-23])</f>
        <v>0</v>
      </c>
      <c r="X24" s="46">
        <f ca="1">SUMIF(الاإسكندرية!$D$8:$D$32,'أخر دفعة'!$C$15:$C$33,بيان.معاشات.اسكندرية[فبراير-23])</f>
        <v>0</v>
      </c>
      <c r="Y24" s="46">
        <f ca="1">SUMIF(الاإسكندرية!$D$8:$D$32,'أخر دفعة'!$C$15:$C$33,بيان.معاشات.اسكندرية[مارس-23])</f>
        <v>3000</v>
      </c>
      <c r="Z24" s="46">
        <f ca="1">SUMIF(الاإسكندرية!$D$8:$D$32,'أخر دفعة'!$C$15:$C$33,بيان.معاشات.اسكندرية[أبريل-23])</f>
        <v>0</v>
      </c>
      <c r="AA24" s="55">
        <f ca="1">SUMIF(الاإسكندرية!$D$8:$D$32,'أخر دفعة'!$C$15:$C$33,بيان.معاشات.اسكندرية[مايو-23])</f>
        <v>0</v>
      </c>
      <c r="AB24" s="467"/>
    </row>
    <row r="25" spans="2:28" ht="21" x14ac:dyDescent="0.35">
      <c r="B25" s="227">
        <v>11</v>
      </c>
      <c r="C25" s="215" t="s">
        <v>294</v>
      </c>
      <c r="D25" s="215">
        <v>17</v>
      </c>
      <c r="E25" s="113" t="s">
        <v>405</v>
      </c>
      <c r="F25" s="228">
        <v>44504</v>
      </c>
      <c r="G25" s="113">
        <f ca="1">SUMIF(الاإسكندرية!$D$8:$D$32,'أخر دفعة'!$C$15:$C$33,بيان.معاشات.اسكندرية[المنحة])</f>
        <v>15487.26</v>
      </c>
      <c r="H25" s="113">
        <f ca="1">SUMIF(الاإسكندرية!$D$8:$D$32,'أخر دفعة'!$C$15:$C$33,بيان.معاشات.اسكندرية[مستحقات])</f>
        <v>0</v>
      </c>
      <c r="I25" s="113">
        <f ca="1">SUMIF(الاإسكندرية!$D$8:$D$32,'أخر دفعة'!$C$15:$C$33,بيان.معاشات.اسكندرية[مقابل نقدي])</f>
        <v>14505.3</v>
      </c>
      <c r="J25" s="113">
        <f ca="1">SUMIF(الاإسكندرية!$D$8:$D$32,'أخر دفعة'!$C$15:$C$33,بيان.معاشات.اسكندرية[إجمالي المستحق])</f>
        <v>29992.559999999998</v>
      </c>
      <c r="K25" s="113">
        <f ca="1">SUMIF(الاإسكندرية!$D$8:$D$32,'أخر دفعة'!$C$15:$C$33,بيان.معاشات.اسكندرية[إجمالي المنصرف])</f>
        <v>5000</v>
      </c>
      <c r="L25" s="113">
        <f ca="1">SUMIF(الاإسكندرية!$D$8:$D$32,'أخر دفعة'!$C$15:$C$33,بيان.معاشات.اسكندرية[المتبقي])</f>
        <v>24992.559999999998</v>
      </c>
      <c r="M25" s="113">
        <f ca="1">SUMIF(الاإسكندرية!$D$8:$D$32,'أخر دفعة'!$C$15:$C$33,بيان.معاشات.اسكندرية[المتبقي 1-])</f>
        <v>24992.559999999998</v>
      </c>
      <c r="N25" s="113">
        <f ca="1">SUMIF(الاإسكندرية!$D$8:$D$32,'أخر دفعة'!$C$15:$C$33,بيان.معاشات.اسكندرية[المتبقي من المنحة])</f>
        <v>10487.26</v>
      </c>
      <c r="O25" s="113">
        <f ca="1">SUMIF(الاإسكندرية!$D$8:$D$32,'أخر دفعة'!$C$15:$C$33,بيان.معاشات.اسكندرية[المتبقي من المنحة 1-])</f>
        <v>10487.26</v>
      </c>
      <c r="P25" s="46"/>
      <c r="Q25" s="46">
        <v>0</v>
      </c>
      <c r="R25" s="46">
        <v>0</v>
      </c>
      <c r="S25" s="46">
        <v>1000</v>
      </c>
      <c r="T25" s="46">
        <v>0</v>
      </c>
      <c r="U25" s="46">
        <v>1000</v>
      </c>
      <c r="V25" s="46">
        <v>0</v>
      </c>
      <c r="W25" s="46">
        <f ca="1">SUMIF(الاإسكندرية!$D$8:$D$32,'أخر دفعة'!$C$15:$C$33,بيان.معاشات.اسكندرية[يناير-23])</f>
        <v>0</v>
      </c>
      <c r="X25" s="46">
        <f ca="1">SUMIF(الاإسكندرية!$D$8:$D$32,'أخر دفعة'!$C$15:$C$33,بيان.معاشات.اسكندرية[فبراير-23])</f>
        <v>0</v>
      </c>
      <c r="Y25" s="46">
        <f ca="1">SUMIF(الاإسكندرية!$D$8:$D$32,'أخر دفعة'!$C$15:$C$33,بيان.معاشات.اسكندرية[مارس-23])</f>
        <v>0</v>
      </c>
      <c r="Z25" s="46">
        <f ca="1">SUMIF(الاإسكندرية!$D$8:$D$32,'أخر دفعة'!$C$15:$C$33,بيان.معاشات.اسكندرية[أبريل-23])</f>
        <v>0</v>
      </c>
      <c r="AA25" s="55">
        <f ca="1">SUMIF(الاإسكندرية!$D$8:$D$32,'أخر دفعة'!$C$15:$C$33,بيان.معاشات.اسكندرية[مايو-23])</f>
        <v>0</v>
      </c>
      <c r="AB25" s="467"/>
    </row>
    <row r="26" spans="2:28" ht="21" x14ac:dyDescent="0.35">
      <c r="B26" s="225">
        <v>12</v>
      </c>
      <c r="C26" s="113" t="s">
        <v>295</v>
      </c>
      <c r="D26" s="113">
        <v>18</v>
      </c>
      <c r="E26" s="113" t="s">
        <v>405</v>
      </c>
      <c r="F26" s="226">
        <v>44613</v>
      </c>
      <c r="G26" s="113">
        <f ca="1">SUMIF(الاإسكندرية!$D$8:$D$32,'أخر دفعة'!$C$15:$C$33,بيان.معاشات.اسكندرية[المنحة])</f>
        <v>29234.02</v>
      </c>
      <c r="H26" s="113">
        <f ca="1">SUMIF(الاإسكندرية!$D$8:$D$32,'أخر دفعة'!$C$15:$C$33,بيان.معاشات.اسكندرية[مستحقات])</f>
        <v>0</v>
      </c>
      <c r="I26" s="113">
        <f ca="1">SUMIF(الاإسكندرية!$D$8:$D$32,'أخر دفعة'!$C$15:$C$33,بيان.معاشات.اسكندرية[مقابل نقدي])</f>
        <v>24624.9</v>
      </c>
      <c r="J26" s="113">
        <f ca="1">SUMIF(الاإسكندرية!$D$8:$D$32,'أخر دفعة'!$C$15:$C$33,بيان.معاشات.اسكندرية[إجمالي المستحق])</f>
        <v>53858.92</v>
      </c>
      <c r="K26" s="113">
        <f ca="1">SUMIF(الاإسكندرية!$D$8:$D$32,'أخر دفعة'!$C$15:$C$33,بيان.معاشات.اسكندرية[إجمالي المنصرف])</f>
        <v>6500</v>
      </c>
      <c r="L26" s="113">
        <f ca="1">SUMIF(الاإسكندرية!$D$8:$D$32,'أخر دفعة'!$C$15:$C$33,بيان.معاشات.اسكندرية[المتبقي])</f>
        <v>47358.92</v>
      </c>
      <c r="M26" s="113">
        <f ca="1">SUMIF(الاإسكندرية!$D$8:$D$32,'أخر دفعة'!$C$15:$C$33,بيان.معاشات.اسكندرية[المتبقي 1-])</f>
        <v>47358.92</v>
      </c>
      <c r="N26" s="113">
        <f ca="1">SUMIF(الاإسكندرية!$D$8:$D$32,'أخر دفعة'!$C$15:$C$33,بيان.معاشات.اسكندرية[المتبقي من المنحة])</f>
        <v>22734.02</v>
      </c>
      <c r="O26" s="113">
        <f ca="1">SUMIF(الاإسكندرية!$D$8:$D$32,'أخر دفعة'!$C$15:$C$33,بيان.معاشات.اسكندرية[المتبقي من المنحة 1-])</f>
        <v>22734.02</v>
      </c>
      <c r="P26" s="46"/>
      <c r="Q26" s="46">
        <v>0</v>
      </c>
      <c r="R26" s="46">
        <v>0</v>
      </c>
      <c r="S26" s="46">
        <v>1000</v>
      </c>
      <c r="T26" s="46">
        <v>500</v>
      </c>
      <c r="U26" s="46">
        <v>500</v>
      </c>
      <c r="V26" s="46">
        <v>500</v>
      </c>
      <c r="W26" s="46">
        <f ca="1">SUMIF(الاإسكندرية!$D$8:$D$32,'أخر دفعة'!$C$15:$C$33,بيان.معاشات.اسكندرية[يناير-23])</f>
        <v>500</v>
      </c>
      <c r="X26" s="46">
        <f ca="1">SUMIF(الاإسكندرية!$D$8:$D$32,'أخر دفعة'!$C$15:$C$33,بيان.معاشات.اسكندرية[فبراير-23])</f>
        <v>500</v>
      </c>
      <c r="Y26" s="46">
        <f ca="1">SUMIF(الاإسكندرية!$D$8:$D$32,'أخر دفعة'!$C$15:$C$33,بيان.معاشات.اسكندرية[مارس-23])</f>
        <v>500</v>
      </c>
      <c r="Z26" s="46">
        <f ca="1">SUMIF(الاإسكندرية!$D$8:$D$32,'أخر دفعة'!$C$15:$C$33,بيان.معاشات.اسكندرية[أبريل-23])</f>
        <v>500</v>
      </c>
      <c r="AA26" s="55">
        <f ca="1">SUMIF(الاإسكندرية!$D$8:$D$32,'أخر دفعة'!$C$15:$C$33,بيان.معاشات.اسكندرية[مايو-23])</f>
        <v>500</v>
      </c>
      <c r="AB26" s="467"/>
    </row>
    <row r="27" spans="2:28" ht="21" x14ac:dyDescent="0.35">
      <c r="B27" s="227">
        <v>13</v>
      </c>
      <c r="C27" s="215" t="s">
        <v>436</v>
      </c>
      <c r="D27" s="215">
        <v>19</v>
      </c>
      <c r="E27" s="113" t="s">
        <v>405</v>
      </c>
      <c r="F27" s="228">
        <v>44925</v>
      </c>
      <c r="G27" s="113">
        <f ca="1">SUMIF(الاإسكندرية!$D$8:$D$32,'أخر دفعة'!$C$15:$C$33,بيان.معاشات.اسكندرية[المنحة])</f>
        <v>21060.18</v>
      </c>
      <c r="H27" s="113">
        <f ca="1">SUMIF(الاإسكندرية!$D$8:$D$32,'أخر دفعة'!$C$15:$C$33,بيان.معاشات.اسكندرية[مستحقات])</f>
        <v>0</v>
      </c>
      <c r="I27" s="113">
        <f ca="1">SUMIF(الاإسكندرية!$D$8:$D$32,'أخر دفعة'!$C$15:$C$33,بيان.معاشات.اسكندرية[مقابل نقدي])</f>
        <v>4341.5</v>
      </c>
      <c r="J27" s="113">
        <f ca="1">SUMIF(الاإسكندرية!$D$8:$D$32,'أخر دفعة'!$C$15:$C$33,بيان.معاشات.اسكندرية[إجمالي المستحق])</f>
        <v>25401.68</v>
      </c>
      <c r="K27" s="113">
        <f ca="1">SUMIF(الاإسكندرية!$D$8:$D$32,'أخر دفعة'!$C$15:$C$33,بيان.معاشات.اسكندرية[إجمالي المنصرف])</f>
        <v>2000</v>
      </c>
      <c r="L27" s="113">
        <f ca="1">SUMIF(الاإسكندرية!$D$8:$D$32,'أخر دفعة'!$C$15:$C$33,بيان.معاشات.اسكندرية[المتبقي])</f>
        <v>23401.68</v>
      </c>
      <c r="M27" s="113">
        <f ca="1">SUMIF(الاإسكندرية!$D$8:$D$32,'أخر دفعة'!$C$15:$C$33,بيان.معاشات.اسكندرية[المتبقي 1-])</f>
        <v>23401.68</v>
      </c>
      <c r="N27" s="113">
        <f ca="1">SUMIF(الاإسكندرية!$D$8:$D$32,'أخر دفعة'!$C$15:$C$33,بيان.معاشات.اسكندرية[المتبقي من المنحة])</f>
        <v>19060.18</v>
      </c>
      <c r="O27" s="113">
        <f ca="1">SUMIF(الاإسكندرية!$D$8:$D$32,'أخر دفعة'!$C$15:$C$33,بيان.معاشات.اسكندرية[المتبقي من المنحة 1-])</f>
        <v>19060.18</v>
      </c>
      <c r="P27" s="46"/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f ca="1">SUMIF(الاإسكندرية!$D$8:$D$32,'أخر دفعة'!$C$15:$C$33,بيان.معاشات.اسكندرية[يناير-23])</f>
        <v>0</v>
      </c>
      <c r="X27" s="46">
        <f ca="1">SUMIF(الاإسكندرية!$D$8:$D$32,'أخر دفعة'!$C$15:$C$33,بيان.معاشات.اسكندرية[فبراير-23])</f>
        <v>500</v>
      </c>
      <c r="Y27" s="46">
        <f ca="1">SUMIF(الاإسكندرية!$D$8:$D$32,'أخر دفعة'!$C$15:$C$33,بيان.معاشات.اسكندرية[مارس-23])</f>
        <v>500</v>
      </c>
      <c r="Z27" s="46">
        <f ca="1">SUMIF(الاإسكندرية!$D$8:$D$32,'أخر دفعة'!$C$15:$C$33,بيان.معاشات.اسكندرية[أبريل-23])</f>
        <v>500</v>
      </c>
      <c r="AA27" s="55">
        <f ca="1">SUMIF(الاإسكندرية!$D$8:$D$32,'أخر دفعة'!$C$15:$C$33,بيان.معاشات.اسكندرية[مايو-23])</f>
        <v>500</v>
      </c>
      <c r="AB27" s="467"/>
    </row>
    <row r="28" spans="2:28" ht="21" x14ac:dyDescent="0.35">
      <c r="B28" s="225">
        <v>14</v>
      </c>
      <c r="C28" s="113" t="s">
        <v>466</v>
      </c>
      <c r="D28" s="113">
        <v>20</v>
      </c>
      <c r="E28" s="113" t="s">
        <v>405</v>
      </c>
      <c r="F28" s="226">
        <v>44984</v>
      </c>
      <c r="G28" s="113">
        <f ca="1">SUMIF(الاإسكندرية!$D$8:$D$32,'أخر دفعة'!$C$15:$C$33,بيان.معاشات.اسكندرية[المنحة])</f>
        <v>24455.52</v>
      </c>
      <c r="H28" s="113">
        <f ca="1">SUMIF(الاإسكندرية!$D$8:$D$32,'أخر دفعة'!$C$15:$C$33,بيان.معاشات.اسكندرية[مستحقات])</f>
        <v>0</v>
      </c>
      <c r="I28" s="113">
        <f ca="1">SUMIF(الاإسكندرية!$D$8:$D$32,'أخر دفعة'!$C$15:$C$33,بيان.معاشات.اسكندرية[مقابل نقدي])</f>
        <v>9022.92</v>
      </c>
      <c r="J28" s="113">
        <f ca="1">SUMIF(الاإسكندرية!$D$8:$D$32,'أخر دفعة'!$C$15:$C$33,بيان.معاشات.اسكندرية[إجمالي المستحق])</f>
        <v>33478.44</v>
      </c>
      <c r="K28" s="113">
        <f ca="1">SUMIF(الاإسكندرية!$D$8:$D$32,'أخر دفعة'!$C$15:$C$33,بيان.معاشات.اسكندرية[إجمالي المنصرف])</f>
        <v>500</v>
      </c>
      <c r="L28" s="113">
        <f ca="1">SUMIF(الاإسكندرية!$D$8:$D$32,'أخر دفعة'!$C$15:$C$33,بيان.معاشات.اسكندرية[المتبقي])</f>
        <v>32978.44</v>
      </c>
      <c r="M28" s="113">
        <f ca="1">SUMIF(الاإسكندرية!$D$8:$D$32,'أخر دفعة'!$C$15:$C$33,بيان.معاشات.اسكندرية[المتبقي 1-])</f>
        <v>32978.44</v>
      </c>
      <c r="N28" s="113">
        <f ca="1">SUMIF(الاإسكندرية!$D$8:$D$32,'أخر دفعة'!$C$15:$C$33,بيان.معاشات.اسكندرية[المتبقي من المنحة])</f>
        <v>23955.52</v>
      </c>
      <c r="O28" s="113">
        <f ca="1">SUMIF(الاإسكندرية!$D$8:$D$32,'أخر دفعة'!$C$15:$C$33,بيان.معاشات.اسكندرية[المتبقي من المنحة 1-])</f>
        <v>23955.52</v>
      </c>
      <c r="P28" s="46"/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f ca="1">SUMIF(الاإسكندرية!$D$8:$D$32,'أخر دفعة'!$C$15:$C$33,بيان.معاشات.اسكندرية[يناير-23])</f>
        <v>0</v>
      </c>
      <c r="X28" s="46">
        <f ca="1">SUMIF(الاإسكندرية!$D$8:$D$32,'أخر دفعة'!$C$15:$C$33,بيان.معاشات.اسكندرية[فبراير-23])</f>
        <v>0</v>
      </c>
      <c r="Y28" s="46">
        <f ca="1">SUMIF(الاإسكندرية!$D$8:$D$32,'أخر دفعة'!$C$15:$C$33,بيان.معاشات.اسكندرية[مارس-23])</f>
        <v>0</v>
      </c>
      <c r="Z28" s="46">
        <f ca="1">SUMIF(الاإسكندرية!$D$8:$D$32,'أخر دفعة'!$C$15:$C$33,بيان.معاشات.اسكندرية[أبريل-23])</f>
        <v>500</v>
      </c>
      <c r="AA28" s="55">
        <f ca="1">SUMIF(الاإسكندرية!$D$8:$D$32,'أخر دفعة'!$C$15:$C$33,بيان.معاشات.اسكندرية[مايو-23])</f>
        <v>0</v>
      </c>
      <c r="AB28" s="467"/>
    </row>
    <row r="29" spans="2:28" s="237" customFormat="1" ht="21" x14ac:dyDescent="0.35">
      <c r="B29" s="233"/>
      <c r="C29" s="162" t="s">
        <v>72</v>
      </c>
      <c r="D29" s="162"/>
      <c r="E29" s="162" t="s">
        <v>405</v>
      </c>
      <c r="F29" s="235"/>
      <c r="G29" s="162">
        <f ca="1">SUMIF(الاإسكندرية!$D$8:$D$32,'أخر دفعة'!$C$15:$C$33,بيان.معاشات.اسكندرية[المنحة])</f>
        <v>0</v>
      </c>
      <c r="H29" s="162">
        <f ca="1">SUMIF(الاإسكندرية!$D$8:$D$32,'أخر دفعة'!$C$15:$C$33,بيان.معاشات.اسكندرية[مستحقات])</f>
        <v>0</v>
      </c>
      <c r="I29" s="162">
        <f ca="1">SUMIF(الاإسكندرية!$D$8:$D$32,'أخر دفعة'!$C$15:$C$33,بيان.معاشات.اسكندرية[مقابل نقدي])</f>
        <v>0</v>
      </c>
      <c r="J29" s="162">
        <f ca="1">SUMIF(الاإسكندرية!$D$8:$D$32,'أخر دفعة'!$C$15:$C$33,بيان.معاشات.اسكندرية[إجمالي المستحق])</f>
        <v>0</v>
      </c>
      <c r="K29" s="162">
        <f ca="1">SUMIF(الاإسكندرية!$D$8:$D$32,'أخر دفعة'!$C$15:$C$33,بيان.معاشات.اسكندرية[إجمالي المنصرف])</f>
        <v>0</v>
      </c>
      <c r="L29" s="162">
        <f ca="1">SUMIF(الاإسكندرية!$D$8:$D$32,'أخر دفعة'!$C$15:$C$33,بيان.معاشات.اسكندرية[المتبقي])</f>
        <v>0</v>
      </c>
      <c r="M29" s="162">
        <f ca="1">SUMIF(الاإسكندرية!$D$8:$D$32,'أخر دفعة'!$C$15:$C$33,بيان.معاشات.اسكندرية[المتبقي 1-])</f>
        <v>0</v>
      </c>
      <c r="N29" s="162">
        <f ca="1">SUMIF(الاإسكندرية!$D$8:$D$32,'أخر دفعة'!$C$15:$C$33,بيان.معاشات.اسكندرية[المتبقي من المنحة])</f>
        <v>0</v>
      </c>
      <c r="O29" s="162">
        <f ca="1">SUMIF(الاإسكندرية!$D$8:$D$32,'أخر دفعة'!$C$15:$C$33,بيان.معاشات.اسكندرية[المتبقي من المنحة 1-])</f>
        <v>0</v>
      </c>
      <c r="P29" s="162"/>
      <c r="Q29" s="162">
        <v>0</v>
      </c>
      <c r="R29" s="162">
        <v>0</v>
      </c>
      <c r="S29" s="162">
        <v>0</v>
      </c>
      <c r="T29" s="162">
        <v>0</v>
      </c>
      <c r="U29" s="162">
        <v>0</v>
      </c>
      <c r="V29" s="162">
        <v>0</v>
      </c>
      <c r="W29" s="162">
        <f ca="1">SUMIF(الاإسكندرية!$D$8:$D$32,'أخر دفعة'!$C$15:$C$33,بيان.معاشات.اسكندرية[يناير-23])</f>
        <v>0</v>
      </c>
      <c r="X29" s="162">
        <f ca="1">SUMIF(الاإسكندرية!$D$8:$D$32,'أخر دفعة'!$C$15:$C$33,بيان.معاشات.اسكندرية[فبراير-23])</f>
        <v>0</v>
      </c>
      <c r="Y29" s="162">
        <f ca="1">SUMIF(الاإسكندرية!$D$8:$D$32,'أخر دفعة'!$C$15:$C$33,بيان.معاشات.اسكندرية[مارس-23])</f>
        <v>0</v>
      </c>
      <c r="Z29" s="162">
        <f ca="1">SUMIF(الاإسكندرية!$D$8:$D$32,'أخر دفعة'!$C$15:$C$33,بيان.معاشات.اسكندرية[أبريل-23])</f>
        <v>0</v>
      </c>
      <c r="AA29" s="236">
        <f ca="1">SUMIF(الاإسكندرية!$D$8:$D$32,'أخر دفعة'!$C$15:$C$33,بيان.معاشات.اسكندرية[مايو-23])</f>
        <v>0</v>
      </c>
      <c r="AB29" s="468"/>
    </row>
    <row r="30" spans="2:28" ht="21" x14ac:dyDescent="0.35">
      <c r="B30" s="227">
        <v>1</v>
      </c>
      <c r="C30" s="215" t="s">
        <v>196</v>
      </c>
      <c r="D30" s="215">
        <v>12</v>
      </c>
      <c r="E30" s="113" t="s">
        <v>405</v>
      </c>
      <c r="F30" s="228">
        <v>43676</v>
      </c>
      <c r="G30" s="113">
        <f ca="1">SUMIF(الاإسكندرية!$D$8:$D$32,'أخر دفعة'!$C$15:$C$33,بيان.معاشات.اسكندرية[المنحة])</f>
        <v>14230.93</v>
      </c>
      <c r="H30" s="113">
        <f ca="1">SUMIF(الاإسكندرية!$D$8:$D$32,'أخر دفعة'!$C$15:$C$33,بيان.معاشات.اسكندرية[مستحقات])</f>
        <v>7489.15</v>
      </c>
      <c r="I30" s="113">
        <f ca="1">SUMIF(الاإسكندرية!$D$8:$D$32,'أخر دفعة'!$C$15:$C$33,بيان.معاشات.اسكندرية[مقابل نقدي])</f>
        <v>0</v>
      </c>
      <c r="J30" s="113">
        <f ca="1">SUMIF(الاإسكندرية!$D$8:$D$32,'أخر دفعة'!$C$15:$C$33,بيان.معاشات.اسكندرية[إجمالي المستحق])</f>
        <v>21720.080000000002</v>
      </c>
      <c r="K30" s="113">
        <f ca="1">SUMIF(الاإسكندرية!$D$8:$D$32,'أخر دفعة'!$C$15:$C$33,بيان.معاشات.اسكندرية[إجمالي المنصرف])</f>
        <v>9949.82</v>
      </c>
      <c r="L30" s="113">
        <f ca="1">SUMIF(الاإسكندرية!$D$8:$D$32,'أخر دفعة'!$C$15:$C$33,بيان.معاشات.اسكندرية[المتبقي])</f>
        <v>11770.260000000002</v>
      </c>
      <c r="M30" s="113">
        <f ca="1">SUMIF(الاإسكندرية!$D$8:$D$32,'أخر دفعة'!$C$15:$C$33,بيان.معاشات.اسكندرية[المتبقي 1-])</f>
        <v>11770.260000000002</v>
      </c>
      <c r="N30" s="113">
        <f ca="1">SUMIF(الاإسكندرية!$D$8:$D$32,'أخر دفعة'!$C$15:$C$33,بيان.معاشات.اسكندرية[المتبقي من المنحة])</f>
        <v>11770.260000000002</v>
      </c>
      <c r="O30" s="113">
        <f ca="1">SUMIF(الاإسكندرية!$D$8:$D$32,'أخر دفعة'!$C$15:$C$33,بيان.معاشات.اسكندرية[المتبقي من المنحة 1-])</f>
        <v>11770.260000000002</v>
      </c>
      <c r="P30" s="46"/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f ca="1">SUMIF(الاإسكندرية!$D$8:$D$32,'أخر دفعة'!$C$15:$C$33,بيان.معاشات.اسكندرية[يناير-23])</f>
        <v>0</v>
      </c>
      <c r="X30" s="46">
        <f ca="1">SUMIF(الاإسكندرية!$D$8:$D$32,'أخر دفعة'!$C$15:$C$33,بيان.معاشات.اسكندرية[فبراير-23])</f>
        <v>0</v>
      </c>
      <c r="Y30" s="46">
        <f ca="1">SUMIF(الاإسكندرية!$D$8:$D$32,'أخر دفعة'!$C$15:$C$33,بيان.معاشات.اسكندرية[مارس-23])</f>
        <v>0</v>
      </c>
      <c r="Z30" s="46">
        <f ca="1">SUMIF(الاإسكندرية!$D$8:$D$32,'أخر دفعة'!$C$15:$C$33,بيان.معاشات.اسكندرية[أبريل-23])</f>
        <v>0</v>
      </c>
      <c r="AA30" s="55">
        <f ca="1">SUMIF(الاإسكندرية!$D$8:$D$32,'أخر دفعة'!$C$15:$C$33,بيان.معاشات.اسكندرية[مايو-23])</f>
        <v>0</v>
      </c>
      <c r="AB30" s="467"/>
    </row>
    <row r="31" spans="2:28" ht="21" x14ac:dyDescent="0.35">
      <c r="B31" s="225">
        <v>2</v>
      </c>
      <c r="C31" s="113" t="s">
        <v>194</v>
      </c>
      <c r="D31" s="113">
        <v>13</v>
      </c>
      <c r="E31" s="113" t="s">
        <v>405</v>
      </c>
      <c r="F31" s="226">
        <v>43523</v>
      </c>
      <c r="G31" s="113">
        <f ca="1">SUMIF(الاإسكندرية!$D$8:$D$32,'أخر دفعة'!$C$15:$C$33,بيان.معاشات.اسكندرية[المنحة])</f>
        <v>13798.98</v>
      </c>
      <c r="H31" s="113">
        <f ca="1">SUMIF(الاإسكندرية!$D$8:$D$32,'أخر دفعة'!$C$15:$C$33,بيان.معاشات.اسكندرية[مستحقات])</f>
        <v>13999.43</v>
      </c>
      <c r="I31" s="113">
        <f ca="1">SUMIF(الاإسكندرية!$D$8:$D$32,'أخر دفعة'!$C$15:$C$33,بيان.معاشات.اسكندرية[مقابل نقدي])</f>
        <v>12569.4</v>
      </c>
      <c r="J31" s="113">
        <f ca="1">SUMIF(الاإسكندرية!$D$8:$D$32,'أخر دفعة'!$C$15:$C$33,بيان.معاشات.اسكندرية[إجمالي المستحق])</f>
        <v>40367.81</v>
      </c>
      <c r="K31" s="113">
        <f ca="1">SUMIF(الاإسكندرية!$D$8:$D$32,'أخر دفعة'!$C$15:$C$33,بيان.معاشات.اسكندرية[إجمالي المنصرف])</f>
        <v>23322.49</v>
      </c>
      <c r="L31" s="113">
        <f ca="1">SUMIF(الاإسكندرية!$D$8:$D$32,'أخر دفعة'!$C$15:$C$33,بيان.معاشات.اسكندرية[المتبقي])</f>
        <v>17045.319999999996</v>
      </c>
      <c r="M31" s="113">
        <f ca="1">SUMIF(الاإسكندرية!$D$8:$D$32,'أخر دفعة'!$C$15:$C$33,بيان.معاشات.اسكندرية[المتبقي 1-])</f>
        <v>17045.319999999996</v>
      </c>
      <c r="N31" s="113">
        <f ca="1">SUMIF(الاإسكندرية!$D$8:$D$32,'أخر دفعة'!$C$15:$C$33,بيان.معاشات.اسكندرية[المتبقي من المنحة])</f>
        <v>4475.9199999999983</v>
      </c>
      <c r="O31" s="113">
        <f ca="1">SUMIF(الاإسكندرية!$D$8:$D$32,'أخر دفعة'!$C$15:$C$33,بيان.معاشات.اسكندرية[المتبقي من المنحة 1-])</f>
        <v>4475.9199999999983</v>
      </c>
      <c r="P31" s="46"/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f ca="1">SUMIF(الاإسكندرية!$D$8:$D$32,'أخر دفعة'!$C$15:$C$33,بيان.معاشات.اسكندرية[يناير-23])</f>
        <v>0</v>
      </c>
      <c r="X31" s="46">
        <f ca="1">SUMIF(الاإسكندرية!$D$8:$D$32,'أخر دفعة'!$C$15:$C$33,بيان.معاشات.اسكندرية[فبراير-23])</f>
        <v>0</v>
      </c>
      <c r="Y31" s="46">
        <f ca="1">SUMIF(الاإسكندرية!$D$8:$D$32,'أخر دفعة'!$C$15:$C$33,بيان.معاشات.اسكندرية[مارس-23])</f>
        <v>0</v>
      </c>
      <c r="Z31" s="46">
        <f ca="1">SUMIF(الاإسكندرية!$D$8:$D$32,'أخر دفعة'!$C$15:$C$33,بيان.معاشات.اسكندرية[أبريل-23])</f>
        <v>0</v>
      </c>
      <c r="AA31" s="55">
        <f ca="1">SUMIF(الاإسكندرية!$D$8:$D$32,'أخر دفعة'!$C$15:$C$33,بيان.معاشات.اسكندرية[مايو-23])</f>
        <v>0</v>
      </c>
      <c r="AB31" s="467"/>
    </row>
    <row r="32" spans="2:28" ht="21" x14ac:dyDescent="0.35">
      <c r="B32" s="227">
        <v>3</v>
      </c>
      <c r="C32" s="215" t="s">
        <v>195</v>
      </c>
      <c r="D32" s="215">
        <v>14</v>
      </c>
      <c r="E32" s="113" t="s">
        <v>405</v>
      </c>
      <c r="F32" s="228">
        <v>43680</v>
      </c>
      <c r="G32" s="113">
        <f ca="1">SUMIF(الاإسكندرية!$D$8:$D$32,'أخر دفعة'!$C$15:$C$33,بيان.معاشات.اسكندرية[المنحة])</f>
        <v>14254.44</v>
      </c>
      <c r="H32" s="113">
        <f ca="1">SUMIF(الاإسكندرية!$D$8:$D$32,'أخر دفعة'!$C$15:$C$33,بيان.معاشات.اسكندرية[مستحقات])</f>
        <v>7326.26</v>
      </c>
      <c r="I32" s="113">
        <f ca="1">SUMIF(الاإسكندرية!$D$8:$D$32,'أخر دفعة'!$C$15:$C$33,بيان.معاشات.اسكندرية[مقابل نقدي])</f>
        <v>11617.2</v>
      </c>
      <c r="J32" s="113">
        <f ca="1">SUMIF(الاإسكندرية!$D$8:$D$32,'أخر دفعة'!$C$15:$C$33,بيان.معاشات.اسكندرية[إجمالي المستحق])</f>
        <v>33197.9</v>
      </c>
      <c r="K32" s="113">
        <f ca="1">SUMIF(الاإسكندرية!$D$8:$D$32,'أخر دفعة'!$C$15:$C$33,بيان.معاشات.اسكندرية[إجمالي المنصرف])</f>
        <v>11054.07</v>
      </c>
      <c r="L32" s="113">
        <f ca="1">SUMIF(الاإسكندرية!$D$8:$D$32,'أخر دفعة'!$C$15:$C$33,بيان.معاشات.اسكندرية[المتبقي])</f>
        <v>22143.83</v>
      </c>
      <c r="M32" s="113">
        <f ca="1">SUMIF(الاإسكندرية!$D$8:$D$32,'أخر دفعة'!$C$15:$C$33,بيان.معاشات.اسكندرية[المتبقي 1-])</f>
        <v>22143.83</v>
      </c>
      <c r="N32" s="113">
        <f ca="1">SUMIF(الاإسكندرية!$D$8:$D$32,'أخر دفعة'!$C$15:$C$33,بيان.معاشات.اسكندرية[المتبقي من المنحة])</f>
        <v>10526.630000000001</v>
      </c>
      <c r="O32" s="113">
        <f ca="1">SUMIF(الاإسكندرية!$D$8:$D$32,'أخر دفعة'!$C$15:$C$33,بيان.معاشات.اسكندرية[المتبقي من المنحة 1-])</f>
        <v>10526.630000000001</v>
      </c>
      <c r="P32" s="46"/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f ca="1">SUMIF(الاإسكندرية!$D$8:$D$32,'أخر دفعة'!$C$15:$C$33,بيان.معاشات.اسكندرية[يناير-23])</f>
        <v>0</v>
      </c>
      <c r="X32" s="46">
        <f ca="1">SUMIF(الاإسكندرية!$D$8:$D$32,'أخر دفعة'!$C$15:$C$33,بيان.معاشات.اسكندرية[فبراير-23])</f>
        <v>0</v>
      </c>
      <c r="Y32" s="46">
        <f ca="1">SUMIF(الاإسكندرية!$D$8:$D$32,'أخر دفعة'!$C$15:$C$33,بيان.معاشات.اسكندرية[مارس-23])</f>
        <v>0</v>
      </c>
      <c r="Z32" s="46">
        <f ca="1">SUMIF(الاإسكندرية!$D$8:$D$32,'أخر دفعة'!$C$15:$C$33,بيان.معاشات.اسكندرية[أبريل-23])</f>
        <v>0</v>
      </c>
      <c r="AA32" s="55">
        <f ca="1">SUMIF(الاإسكندرية!$D$8:$D$32,'أخر دفعة'!$C$15:$C$33,بيان.معاشات.اسكندرية[مايو-23])</f>
        <v>0</v>
      </c>
      <c r="AB32" s="467"/>
    </row>
    <row r="33" spans="2:28" ht="21" x14ac:dyDescent="0.35">
      <c r="B33" s="225">
        <v>4</v>
      </c>
      <c r="C33" s="113" t="s">
        <v>299</v>
      </c>
      <c r="D33" s="113">
        <v>16</v>
      </c>
      <c r="E33" s="113" t="s">
        <v>405</v>
      </c>
      <c r="F33" s="226">
        <v>43484</v>
      </c>
      <c r="G33" s="113">
        <f ca="1">SUMIF(الاإسكندرية!$D$8:$D$32,'أخر دفعة'!$C$15:$C$33,بيان.معاشات.اسكندرية[المنحة])</f>
        <v>919.5</v>
      </c>
      <c r="H33" s="113">
        <f ca="1">SUMIF(الاإسكندرية!$D$8:$D$32,'أخر دفعة'!$C$15:$C$33,بيان.معاشات.اسكندرية[مستحقات])</f>
        <v>10204.459999999999</v>
      </c>
      <c r="I33" s="113">
        <f ca="1">SUMIF(الاإسكندرية!$D$8:$D$32,'أخر دفعة'!$C$15:$C$33,بيان.معاشات.اسكندرية[مقابل نقدي])</f>
        <v>4185.9399999999996</v>
      </c>
      <c r="J33" s="113">
        <f ca="1">SUMIF(الاإسكندرية!$D$8:$D$32,'أخر دفعة'!$C$15:$C$33,بيان.معاشات.اسكندرية[إجمالي المستحق])</f>
        <v>15309.899999999998</v>
      </c>
      <c r="K33" s="113">
        <f ca="1">SUMIF(الاإسكندرية!$D$8:$D$32,'أخر دفعة'!$C$15:$C$33,بيان.معاشات.اسكندرية[إجمالي المنصرف])</f>
        <v>12976.51</v>
      </c>
      <c r="L33" s="113">
        <f ca="1">SUMIF(الاإسكندرية!$D$8:$D$32,'أخر دفعة'!$C$15:$C$33,بيان.معاشات.اسكندرية[المتبقي])</f>
        <v>2333.3899999999976</v>
      </c>
      <c r="M33" s="113">
        <f ca="1">SUMIF(الاإسكندرية!$D$8:$D$32,'أخر دفعة'!$C$15:$C$33,بيان.معاشات.اسكندرية[المتبقي 1-])</f>
        <v>2333.3899999999976</v>
      </c>
      <c r="N33" s="113">
        <f ca="1">SUMIF(الاإسكندرية!$D$8:$D$32,'أخر دفعة'!$C$15:$C$33,بيان.معاشات.اسكندرية[المتبقي من المنحة])</f>
        <v>-1852.5500000000011</v>
      </c>
      <c r="O33" s="113">
        <f ca="1">SUMIF(الاإسكندرية!$D$8:$D$32,'أخر دفعة'!$C$15:$C$33,بيان.معاشات.اسكندرية[المتبقي من المنحة 1-])</f>
        <v>0</v>
      </c>
      <c r="P33" s="46"/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f ca="1">SUMIF(الاإسكندرية!$D$8:$D$32,'أخر دفعة'!$C$15:$C$33,بيان.معاشات.اسكندرية[يناير-23])</f>
        <v>0</v>
      </c>
      <c r="X33" s="46">
        <f ca="1">SUMIF(الاإسكندرية!$D$8:$D$32,'أخر دفعة'!$C$15:$C$33,بيان.معاشات.اسكندرية[فبراير-23])</f>
        <v>0</v>
      </c>
      <c r="Y33" s="46">
        <f ca="1">SUMIF(الاإسكندرية!$D$8:$D$32,'أخر دفعة'!$C$15:$C$33,بيان.معاشات.اسكندرية[مارس-23])</f>
        <v>0</v>
      </c>
      <c r="Z33" s="46">
        <f ca="1">SUMIF(الاإسكندرية!$D$8:$D$32,'أخر دفعة'!$C$15:$C$33,بيان.معاشات.اسكندرية[أبريل-23])</f>
        <v>0</v>
      </c>
      <c r="AA33" s="55">
        <f ca="1">SUMIF(الاإسكندرية!$D$8:$D$32,'أخر دفعة'!$C$15:$C$33,بيان.معاشات.اسكندرية[مايو-23])</f>
        <v>0</v>
      </c>
      <c r="AB33" s="467"/>
    </row>
    <row r="34" spans="2:28" ht="21" x14ac:dyDescent="0.35">
      <c r="B34" s="221">
        <v>1</v>
      </c>
      <c r="C34" s="222" t="s">
        <v>303</v>
      </c>
      <c r="D34" s="223">
        <v>1</v>
      </c>
      <c r="E34" s="113" t="s">
        <v>403</v>
      </c>
      <c r="F34" s="224">
        <v>43693</v>
      </c>
      <c r="G34" s="113">
        <f ca="1">SUMIF(قنا!$D$8:$D$47,'أخر دفعة'!$C$34:$C$57,بيان.معاشات.قنا[المنحة])</f>
        <v>21649.56</v>
      </c>
      <c r="H34" s="113">
        <f ca="1">SUMIF(قنا!$D$8:$D$47,'أخر دفعة'!$C$34:$C$57,بيان.معاشات.قنا[مستحقات])</f>
        <v>0</v>
      </c>
      <c r="I34" s="113">
        <f ca="1">SUMIF(قنا!$D$8:$D$47,'أخر دفعة'!$C$34:$C$57,بيان.معاشات.قنا[مقابل نقدي])</f>
        <v>14501.26</v>
      </c>
      <c r="J34" s="113">
        <f ca="1">SUMIF(قنا!$D$8:$D$47,'أخر دفعة'!$C$34:$C$57,بيان.معاشات.قنا[إجمالي المستحق])</f>
        <v>36150.82</v>
      </c>
      <c r="K34" s="113">
        <f ca="1">SUMIF(قنا!$D$8:$D$47,'أخر دفعة'!$C$34:$C$57,بيان.معاشات.قنا[إجمالي المنصرف])</f>
        <v>19000</v>
      </c>
      <c r="L34" s="113">
        <f ca="1">SUMIF(قنا!$D$8:$D$47,'أخر دفعة'!$C$34:$C$57,بيان.معاشات.قنا[المتبقي])</f>
        <v>17150.82</v>
      </c>
      <c r="M34" s="113">
        <f ca="1">SUMIF(قنا!$D$8:$D$47,'أخر دفعة'!$C$34:$C$57,بيان.معاشات.قنا[المتبقي 1-])</f>
        <v>17150.82</v>
      </c>
      <c r="N34" s="113">
        <f ca="1">SUMIF(قنا!$D$8:$D$47,'أخر دفعة'!$C$34:$C$57,بيان.معاشات.قنا[المتبقي من المنحة])</f>
        <v>2649.5600000000013</v>
      </c>
      <c r="O34" s="113">
        <f ca="1">SUMIF(قنا!$D$8:$D$47,'أخر دفعة'!$C$34:$C$57,بيان.معاشات.قنا[المتبقي من المنحة 1-])</f>
        <v>2649.5600000000013</v>
      </c>
      <c r="P34" s="46"/>
      <c r="Q34" s="46">
        <v>0</v>
      </c>
      <c r="R34" s="46">
        <v>1000</v>
      </c>
      <c r="S34" s="46">
        <v>0</v>
      </c>
      <c r="T34" s="46">
        <v>0</v>
      </c>
      <c r="U34" s="46">
        <v>0</v>
      </c>
      <c r="V34" s="46">
        <v>0</v>
      </c>
      <c r="W34" s="46">
        <f ca="1">SUMIF(قنا!$D$8:$D$47,'أخر دفعة'!$C$34:$C$57,بيان.معاشات.قنا[يناير-23])</f>
        <v>0</v>
      </c>
      <c r="X34" s="46">
        <f ca="1">SUMIF(قنا!$D$8:$D$47,'أخر دفعة'!$C$34:$C$57,بيان.معاشات.قنا[فبراير-23])</f>
        <v>0</v>
      </c>
      <c r="Y34" s="46">
        <f ca="1">SUMIF(قنا!$D$8:$D$47,'أخر دفعة'!$C$34:$C$57,بيان.معاشات.قنا[مارس-23])</f>
        <v>3500</v>
      </c>
      <c r="Z34" s="46">
        <f ca="1">SUMIF(قنا!$D$8:$D$47,'أخر دفعة'!$C$34:$C$57,بيان.معاشات.قنا[أبريل-23])</f>
        <v>0</v>
      </c>
      <c r="AA34" s="55">
        <f ca="1">SUMIF(قنا!$D$8:$D$47,'أخر دفعة'!$C$34:$C$57,بيان.معاشات.قنا[مايو-23])</f>
        <v>0</v>
      </c>
      <c r="AB34" s="467"/>
    </row>
    <row r="35" spans="2:28" ht="21" x14ac:dyDescent="0.35">
      <c r="B35" s="225">
        <v>2</v>
      </c>
      <c r="C35" s="113" t="s">
        <v>304</v>
      </c>
      <c r="D35" s="217">
        <v>2</v>
      </c>
      <c r="E35" s="113" t="s">
        <v>403</v>
      </c>
      <c r="F35" s="226">
        <v>43728</v>
      </c>
      <c r="G35" s="113">
        <f ca="1">SUMIF(قنا!$D$8:$D$47,'أخر دفعة'!$C$34:$C$57,بيان.معاشات.قنا[المنحة])</f>
        <v>23805.3</v>
      </c>
      <c r="H35" s="113">
        <f ca="1">SUMIF(قنا!$D$8:$D$47,'أخر دفعة'!$C$34:$C$57,بيان.معاشات.قنا[مستحقات])</f>
        <v>0</v>
      </c>
      <c r="I35" s="113">
        <f ca="1">SUMIF(قنا!$D$8:$D$47,'أخر دفعة'!$C$34:$C$57,بيان.معاشات.قنا[مقابل نقدي])</f>
        <v>15610.82</v>
      </c>
      <c r="J35" s="113">
        <f ca="1">SUMIF(قنا!$D$8:$D$47,'أخر دفعة'!$C$34:$C$57,بيان.معاشات.قنا[إجمالي المستحق])</f>
        <v>39416.119999999995</v>
      </c>
      <c r="K35" s="113">
        <f ca="1">SUMIF(قنا!$D$8:$D$47,'أخر دفعة'!$C$34:$C$57,بيان.معاشات.قنا[إجمالي المنصرف])</f>
        <v>19500</v>
      </c>
      <c r="L35" s="113">
        <f ca="1">SUMIF(قنا!$D$8:$D$47,'أخر دفعة'!$C$34:$C$57,بيان.معاشات.قنا[المتبقي])</f>
        <v>19916.119999999995</v>
      </c>
      <c r="M35" s="113">
        <f ca="1">SUMIF(قنا!$D$8:$D$47,'أخر دفعة'!$C$34:$C$57,بيان.معاشات.قنا[المتبقي 1-])</f>
        <v>19916.119999999995</v>
      </c>
      <c r="N35" s="113">
        <f ca="1">SUMIF(قنا!$D$8:$D$47,'أخر دفعة'!$C$34:$C$57,بيان.معاشات.قنا[المتبقي من المنحة])</f>
        <v>4305.2999999999993</v>
      </c>
      <c r="O35" s="113">
        <f ca="1">SUMIF(قنا!$D$8:$D$47,'أخر دفعة'!$C$34:$C$57,بيان.معاشات.قنا[المتبقي من المنحة 1-])</f>
        <v>4305.2999999999993</v>
      </c>
      <c r="P35" s="46"/>
      <c r="Q35" s="46">
        <v>1000</v>
      </c>
      <c r="R35" s="46">
        <v>1000</v>
      </c>
      <c r="S35" s="46">
        <v>0</v>
      </c>
      <c r="T35" s="46">
        <v>0</v>
      </c>
      <c r="U35" s="46">
        <v>0</v>
      </c>
      <c r="V35" s="46">
        <v>0</v>
      </c>
      <c r="W35" s="46">
        <f ca="1">SUMIF(قنا!$D$8:$D$47,'أخر دفعة'!$C$34:$C$57,بيان.معاشات.قنا[يناير-23])</f>
        <v>0</v>
      </c>
      <c r="X35" s="46">
        <f ca="1">SUMIF(قنا!$D$8:$D$47,'أخر دفعة'!$C$34:$C$57,بيان.معاشات.قنا[فبراير-23])</f>
        <v>0</v>
      </c>
      <c r="Y35" s="46">
        <f ca="1">SUMIF(قنا!$D$8:$D$47,'أخر دفعة'!$C$34:$C$57,بيان.معاشات.قنا[مارس-23])</f>
        <v>3000</v>
      </c>
      <c r="Z35" s="46">
        <f ca="1">SUMIF(قنا!$D$8:$D$47,'أخر دفعة'!$C$34:$C$57,بيان.معاشات.قنا[أبريل-23])</f>
        <v>0</v>
      </c>
      <c r="AA35" s="55">
        <f ca="1">SUMIF(قنا!$D$8:$D$47,'أخر دفعة'!$C$34:$C$57,بيان.معاشات.قنا[مايو-23])</f>
        <v>0</v>
      </c>
      <c r="AB35" s="467"/>
    </row>
    <row r="36" spans="2:28" ht="21" x14ac:dyDescent="0.35">
      <c r="B36" s="221">
        <v>5</v>
      </c>
      <c r="C36" s="222" t="s">
        <v>308</v>
      </c>
      <c r="D36" s="223">
        <v>7</v>
      </c>
      <c r="E36" s="113" t="s">
        <v>403</v>
      </c>
      <c r="F36" s="224">
        <v>44320</v>
      </c>
      <c r="G36" s="113">
        <f ca="1">SUMIF(قنا!$D$8:$D$47,'أخر دفعة'!$C$34:$C$57,بيان.معاشات.قنا[المنحة])</f>
        <v>21208.080000000002</v>
      </c>
      <c r="H36" s="113">
        <f ca="1">SUMIF(قنا!$D$8:$D$47,'أخر دفعة'!$C$34:$C$57,بيان.معاشات.قنا[مستحقات])</f>
        <v>0</v>
      </c>
      <c r="I36" s="113">
        <f ca="1">SUMIF(قنا!$D$8:$D$47,'أخر دفعة'!$C$34:$C$57,بيان.معاشات.قنا[مقابل نقدي])</f>
        <v>20899.8</v>
      </c>
      <c r="J36" s="113">
        <f ca="1">SUMIF(قنا!$D$8:$D$47,'أخر دفعة'!$C$34:$C$57,بيان.معاشات.قنا[إجمالي المستحق])</f>
        <v>42107.880000000005</v>
      </c>
      <c r="K36" s="113">
        <f ca="1">SUMIF(قنا!$D$8:$D$47,'أخر دفعة'!$C$34:$C$57,بيان.معاشات.قنا[إجمالي المنصرف])</f>
        <v>11000</v>
      </c>
      <c r="L36" s="113">
        <f ca="1">SUMIF(قنا!$D$8:$D$47,'أخر دفعة'!$C$34:$C$57,بيان.معاشات.قنا[المتبقي])</f>
        <v>31107.880000000005</v>
      </c>
      <c r="M36" s="113">
        <f ca="1">SUMIF(قنا!$D$8:$D$47,'أخر دفعة'!$C$34:$C$57,بيان.معاشات.قنا[المتبقي 1-])</f>
        <v>31107.880000000005</v>
      </c>
      <c r="N36" s="113">
        <f ca="1">SUMIF(قنا!$D$8:$D$47,'أخر دفعة'!$C$34:$C$57,بيان.معاشات.قنا[المتبقي من المنحة])</f>
        <v>10208.080000000002</v>
      </c>
      <c r="O36" s="113">
        <f ca="1">SUMIF(قنا!$D$8:$D$47,'أخر دفعة'!$C$34:$C$57,بيان.معاشات.قنا[المتبقي من المنحة 1-])</f>
        <v>10208.080000000002</v>
      </c>
      <c r="P36" s="46"/>
      <c r="Q36" s="46">
        <v>0</v>
      </c>
      <c r="R36" s="46">
        <v>1000</v>
      </c>
      <c r="S36" s="46">
        <v>0</v>
      </c>
      <c r="T36" s="46">
        <v>0</v>
      </c>
      <c r="U36" s="46">
        <v>1500</v>
      </c>
      <c r="V36" s="46">
        <v>0</v>
      </c>
      <c r="W36" s="46">
        <f ca="1">SUMIF(قنا!$D$8:$D$47,'أخر دفعة'!$C$34:$C$57,بيان.معاشات.قنا[يناير-23])</f>
        <v>0</v>
      </c>
      <c r="X36" s="46">
        <f ca="1">SUMIF(قنا!$D$8:$D$47,'أخر دفعة'!$C$34:$C$57,بيان.معاشات.قنا[فبراير-23])</f>
        <v>0</v>
      </c>
      <c r="Y36" s="46">
        <f ca="1">SUMIF(قنا!$D$8:$D$47,'أخر دفعة'!$C$34:$C$57,بيان.معاشات.قنا[مارس-23])</f>
        <v>2000</v>
      </c>
      <c r="Z36" s="46">
        <f ca="1">SUMIF(قنا!$D$8:$D$47,'أخر دفعة'!$C$34:$C$57,بيان.معاشات.قنا[أبريل-23])</f>
        <v>0</v>
      </c>
      <c r="AA36" s="55">
        <f ca="1">SUMIF(قنا!$D$8:$D$47,'أخر دفعة'!$C$34:$C$57,بيان.معاشات.قنا[مايو-23])</f>
        <v>0</v>
      </c>
      <c r="AB36" s="467"/>
    </row>
    <row r="37" spans="2:28" ht="21" x14ac:dyDescent="0.35">
      <c r="B37" s="225">
        <v>6</v>
      </c>
      <c r="C37" s="113" t="s">
        <v>309</v>
      </c>
      <c r="D37" s="217">
        <v>9</v>
      </c>
      <c r="E37" s="113" t="s">
        <v>403</v>
      </c>
      <c r="F37" s="226">
        <v>43722</v>
      </c>
      <c r="G37" s="113">
        <f ca="1">SUMIF(قنا!$D$8:$D$47,'أخر دفعة'!$C$34:$C$57,بيان.معاشات.قنا[المنحة])</f>
        <v>17707.919999999998</v>
      </c>
      <c r="H37" s="113">
        <f ca="1">SUMIF(قنا!$D$8:$D$47,'أخر دفعة'!$C$34:$C$57,بيان.معاشات.قنا[مستحقات])</f>
        <v>0</v>
      </c>
      <c r="I37" s="113">
        <f ca="1">SUMIF(قنا!$D$8:$D$47,'أخر دفعة'!$C$34:$C$57,بيان.معاشات.قنا[مقابل نقدي])</f>
        <v>13728.6</v>
      </c>
      <c r="J37" s="113">
        <f ca="1">SUMIF(قنا!$D$8:$D$47,'أخر دفعة'!$C$34:$C$57,بيان.معاشات.قنا[إجمالي المستحق])</f>
        <v>31436.519999999997</v>
      </c>
      <c r="K37" s="113">
        <f ca="1">SUMIF(قنا!$D$8:$D$47,'أخر دفعة'!$C$34:$C$57,بيان.معاشات.قنا[إجمالي المنصرف])</f>
        <v>17707.919999999998</v>
      </c>
      <c r="L37" s="113">
        <f ca="1">SUMIF(قنا!$D$8:$D$47,'أخر دفعة'!$C$34:$C$57,بيان.معاشات.قنا[المتبقي])</f>
        <v>13728.599999999999</v>
      </c>
      <c r="M37" s="113">
        <f ca="1">SUMIF(قنا!$D$8:$D$47,'أخر دفعة'!$C$34:$C$57,بيان.معاشات.قنا[المتبقي 1-])</f>
        <v>13728.599999999999</v>
      </c>
      <c r="N37" s="113">
        <f ca="1">SUMIF(قنا!$D$8:$D$47,'أخر دفعة'!$C$34:$C$57,بيان.معاشات.قنا[المتبقي من المنحة])</f>
        <v>0</v>
      </c>
      <c r="O37" s="113">
        <f ca="1">SUMIF(قنا!$D$8:$D$47,'أخر دفعة'!$C$34:$C$57,بيان.معاشات.قنا[المتبقي من المنحة 1-])</f>
        <v>0</v>
      </c>
      <c r="P37" s="46"/>
      <c r="Q37" s="46">
        <v>0</v>
      </c>
      <c r="R37" s="46">
        <v>1000</v>
      </c>
      <c r="S37" s="46">
        <v>0</v>
      </c>
      <c r="T37" s="46">
        <v>0</v>
      </c>
      <c r="U37" s="46">
        <v>0</v>
      </c>
      <c r="V37" s="46">
        <v>0</v>
      </c>
      <c r="W37" s="46">
        <f ca="1">SUMIF(قنا!$D$8:$D$47,'أخر دفعة'!$C$34:$C$57,بيان.معاشات.قنا[يناير-23])</f>
        <v>0</v>
      </c>
      <c r="X37" s="46">
        <f ca="1">SUMIF(قنا!$D$8:$D$47,'أخر دفعة'!$C$34:$C$57,بيان.معاشات.قنا[فبراير-23])</f>
        <v>0</v>
      </c>
      <c r="Y37" s="46">
        <f ca="1">SUMIF(قنا!$D$8:$D$47,'أخر دفعة'!$C$34:$C$57,بيان.معاشات.قنا[مارس-23])</f>
        <v>2707.92</v>
      </c>
      <c r="Z37" s="46">
        <f ca="1">SUMIF(قنا!$D$8:$D$47,'أخر دفعة'!$C$34:$C$57,بيان.معاشات.قنا[أبريل-23])</f>
        <v>0</v>
      </c>
      <c r="AA37" s="55">
        <f ca="1">SUMIF(قنا!$D$8:$D$47,'أخر دفعة'!$C$34:$C$57,بيان.معاشات.قنا[مايو-23])</f>
        <v>0</v>
      </c>
      <c r="AB37" s="467"/>
    </row>
    <row r="38" spans="2:28" ht="21" x14ac:dyDescent="0.35">
      <c r="B38" s="225">
        <v>8</v>
      </c>
      <c r="C38" s="113" t="s">
        <v>312</v>
      </c>
      <c r="D38" s="217">
        <v>11</v>
      </c>
      <c r="E38" s="113" t="s">
        <v>403</v>
      </c>
      <c r="F38" s="226">
        <v>43626</v>
      </c>
      <c r="G38" s="113">
        <f ca="1">SUMIF(قنا!$D$8:$D$47,'أخر دفعة'!$C$34:$C$57,بيان.معاشات.قنا[المنحة])</f>
        <v>17072.68</v>
      </c>
      <c r="H38" s="113">
        <f ca="1">SUMIF(قنا!$D$8:$D$47,'أخر دفعة'!$C$34:$C$57,بيان.معاشات.قنا[مستحقات])</f>
        <v>0</v>
      </c>
      <c r="I38" s="113">
        <f ca="1">SUMIF(قنا!$D$8:$D$47,'أخر دفعة'!$C$34:$C$57,بيان.معاشات.قنا[مقابل نقدي])</f>
        <v>13533.98</v>
      </c>
      <c r="J38" s="113">
        <f ca="1">SUMIF(قنا!$D$8:$D$47,'أخر دفعة'!$C$34:$C$57,بيان.معاشات.قنا[إجمالي المستحق])</f>
        <v>30606.66</v>
      </c>
      <c r="K38" s="113">
        <f ca="1">SUMIF(قنا!$D$8:$D$47,'أخر دفعة'!$C$34:$C$57,بيان.معاشات.قنا[إجمالي المنصرف])</f>
        <v>17072.68</v>
      </c>
      <c r="L38" s="113">
        <f ca="1">SUMIF(قنا!$D$8:$D$47,'أخر دفعة'!$C$34:$C$57,بيان.معاشات.قنا[المتبقي])</f>
        <v>13533.98</v>
      </c>
      <c r="M38" s="113">
        <f ca="1">SUMIF(قنا!$D$8:$D$47,'أخر دفعة'!$C$34:$C$57,بيان.معاشات.قنا[المتبقي 1-])</f>
        <v>13533.98</v>
      </c>
      <c r="N38" s="113">
        <f ca="1">SUMIF(قنا!$D$8:$D$47,'أخر دفعة'!$C$34:$C$57,بيان.معاشات.قنا[المتبقي من المنحة])</f>
        <v>0</v>
      </c>
      <c r="O38" s="113">
        <f ca="1">SUMIF(قنا!$D$8:$D$47,'أخر دفعة'!$C$34:$C$57,بيان.معاشات.قنا[المتبقي من المنحة 1-])</f>
        <v>0</v>
      </c>
      <c r="P38" s="46"/>
      <c r="Q38" s="46">
        <v>0</v>
      </c>
      <c r="R38" s="46">
        <v>1000</v>
      </c>
      <c r="S38" s="46">
        <v>0</v>
      </c>
      <c r="T38" s="46">
        <v>572.67999999999995</v>
      </c>
      <c r="U38" s="46">
        <v>0</v>
      </c>
      <c r="V38" s="46">
        <v>0</v>
      </c>
      <c r="W38" s="46">
        <f ca="1">SUMIF(قنا!$D$8:$D$47,'أخر دفعة'!$C$34:$C$57,بيان.معاشات.قنا[يناير-23])</f>
        <v>0</v>
      </c>
      <c r="X38" s="46">
        <f ca="1">SUMIF(قنا!$D$8:$D$47,'أخر دفعة'!$C$34:$C$57,بيان.معاشات.قنا[فبراير-23])</f>
        <v>0</v>
      </c>
      <c r="Y38" s="46">
        <f ca="1">SUMIF(قنا!$D$8:$D$47,'أخر دفعة'!$C$34:$C$57,بيان.معاشات.قنا[مارس-23])</f>
        <v>0</v>
      </c>
      <c r="Z38" s="46">
        <f ca="1">SUMIF(قنا!$D$8:$D$47,'أخر دفعة'!$C$34:$C$57,بيان.معاشات.قنا[أبريل-23])</f>
        <v>0</v>
      </c>
      <c r="AA38" s="55">
        <f ca="1">SUMIF(قنا!$D$8:$D$47,'أخر دفعة'!$C$34:$C$57,بيان.معاشات.قنا[مايو-23])</f>
        <v>0</v>
      </c>
      <c r="AB38" s="467"/>
    </row>
    <row r="39" spans="2:28" ht="21" x14ac:dyDescent="0.35">
      <c r="B39" s="225">
        <v>10</v>
      </c>
      <c r="C39" s="113" t="s">
        <v>314</v>
      </c>
      <c r="D39" s="217">
        <v>16</v>
      </c>
      <c r="E39" s="113" t="s">
        <v>403</v>
      </c>
      <c r="F39" s="226">
        <v>43483</v>
      </c>
      <c r="G39" s="113">
        <f ca="1">SUMIF(قنا!$D$8:$D$47,'أخر دفعة'!$C$34:$C$57,بيان.معاشات.قنا[المنحة])</f>
        <v>16173.6</v>
      </c>
      <c r="H39" s="113">
        <f ca="1">SUMIF(قنا!$D$8:$D$47,'أخر دفعة'!$C$34:$C$57,بيان.معاشات.قنا[مستحقات])</f>
        <v>0</v>
      </c>
      <c r="I39" s="113">
        <f ca="1">SUMIF(قنا!$D$8:$D$47,'أخر دفعة'!$C$34:$C$57,بيان.معاشات.قنا[مقابل نقدي])</f>
        <v>12420.47</v>
      </c>
      <c r="J39" s="113">
        <f ca="1">SUMIF(قنا!$D$8:$D$47,'أخر دفعة'!$C$34:$C$57,بيان.معاشات.قنا[إجمالي المستحق])</f>
        <v>28594.07</v>
      </c>
      <c r="K39" s="113">
        <f ca="1">SUMIF(قنا!$D$8:$D$47,'أخر دفعة'!$C$34:$C$57,بيان.معاشات.قنا[إجمالي المنصرف])</f>
        <v>22594.07</v>
      </c>
      <c r="L39" s="113">
        <f ca="1">SUMIF(قنا!$D$8:$D$47,'أخر دفعة'!$C$34:$C$57,بيان.معاشات.قنا[المتبقي])</f>
        <v>6000</v>
      </c>
      <c r="M39" s="113">
        <f ca="1">SUMIF(قنا!$D$8:$D$47,'أخر دفعة'!$C$34:$C$57,بيان.معاشات.قنا[المتبقي 1-])</f>
        <v>6000</v>
      </c>
      <c r="N39" s="113">
        <f ca="1">SUMIF(قنا!$D$8:$D$47,'أخر دفعة'!$C$34:$C$57,بيان.معاشات.قنا[المتبقي من المنحة])</f>
        <v>-6420.4699999999993</v>
      </c>
      <c r="O39" s="113">
        <f ca="1">SUMIF(قنا!$D$8:$D$47,'أخر دفعة'!$C$34:$C$57,بيان.معاشات.قنا[المتبقي من المنحة 1-])</f>
        <v>0</v>
      </c>
      <c r="P39" s="46"/>
      <c r="Q39" s="46">
        <v>0</v>
      </c>
      <c r="R39" s="46">
        <v>0</v>
      </c>
      <c r="S39" s="46">
        <v>0</v>
      </c>
      <c r="T39" s="46">
        <v>0</v>
      </c>
      <c r="U39" s="46">
        <v>2000</v>
      </c>
      <c r="V39" s="46">
        <v>0</v>
      </c>
      <c r="W39" s="46">
        <f ca="1">SUMIF(قنا!$D$8:$D$47,'أخر دفعة'!$C$34:$C$57,بيان.معاشات.قنا[يناير-23])</f>
        <v>0</v>
      </c>
      <c r="X39" s="46">
        <f ca="1">SUMIF(قنا!$D$8:$D$47,'أخر دفعة'!$C$34:$C$57,بيان.معاشات.قنا[فبراير-23])</f>
        <v>0</v>
      </c>
      <c r="Y39" s="46">
        <f ca="1">SUMIF(قنا!$D$8:$D$47,'أخر دفعة'!$C$34:$C$57,بيان.معاشات.قنا[مارس-23])</f>
        <v>2594.0700000000002</v>
      </c>
      <c r="Z39" s="46">
        <f ca="1">SUMIF(قنا!$D$8:$D$47,'أخر دفعة'!$C$34:$C$57,بيان.معاشات.قنا[أبريل-23])</f>
        <v>0</v>
      </c>
      <c r="AA39" s="55">
        <f ca="1">SUMIF(قنا!$D$8:$D$47,'أخر دفعة'!$C$34:$C$57,بيان.معاشات.قنا[مايو-23])</f>
        <v>0</v>
      </c>
      <c r="AB39" s="467"/>
    </row>
    <row r="40" spans="2:28" ht="21" x14ac:dyDescent="0.35">
      <c r="B40" s="225">
        <v>12</v>
      </c>
      <c r="C40" s="113" t="s">
        <v>316</v>
      </c>
      <c r="D40" s="217">
        <v>20</v>
      </c>
      <c r="E40" s="113" t="s">
        <v>403</v>
      </c>
      <c r="F40" s="226">
        <v>43874</v>
      </c>
      <c r="G40" s="113">
        <f ca="1">SUMIF(قنا!$D$8:$D$47,'أخر دفعة'!$C$34:$C$57,بيان.معاشات.قنا[المنحة])</f>
        <v>14044.42</v>
      </c>
      <c r="H40" s="113">
        <f ca="1">SUMIF(قنا!$D$8:$D$47,'أخر دفعة'!$C$34:$C$57,بيان.معاشات.قنا[مستحقات])</f>
        <v>0</v>
      </c>
      <c r="I40" s="113">
        <f ca="1">SUMIF(قنا!$D$8:$D$47,'أخر دفعة'!$C$34:$C$57,بيان.معاشات.قنا[مقابل نقدي])</f>
        <v>16160</v>
      </c>
      <c r="J40" s="113">
        <f ca="1">SUMIF(قنا!$D$8:$D$47,'أخر دفعة'!$C$34:$C$57,بيان.معاشات.قنا[إجمالي المستحق])</f>
        <v>30204.42</v>
      </c>
      <c r="K40" s="113">
        <f ca="1">SUMIF(قنا!$D$8:$D$47,'أخر دفعة'!$C$34:$C$57,بيان.معاشات.قنا[إجمالي المنصرف])</f>
        <v>15391</v>
      </c>
      <c r="L40" s="113">
        <f ca="1">SUMIF(قنا!$D$8:$D$47,'أخر دفعة'!$C$34:$C$57,بيان.معاشات.قنا[المتبقي])</f>
        <v>14813.419999999998</v>
      </c>
      <c r="M40" s="113">
        <f ca="1">SUMIF(قنا!$D$8:$D$47,'أخر دفعة'!$C$34:$C$57,بيان.معاشات.قنا[المتبقي 1-])</f>
        <v>14813.419999999998</v>
      </c>
      <c r="N40" s="113">
        <f ca="1">SUMIF(قنا!$D$8:$D$47,'أخر دفعة'!$C$34:$C$57,بيان.معاشات.قنا[المتبقي من المنحة])</f>
        <v>-1346.58</v>
      </c>
      <c r="O40" s="113">
        <f ca="1">SUMIF(قنا!$D$8:$D$47,'أخر دفعة'!$C$34:$C$57,بيان.معاشات.قنا[المتبقي من المنحة 1-])</f>
        <v>0</v>
      </c>
      <c r="P40" s="46"/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f ca="1">SUMIF(قنا!$D$8:$D$47,'أخر دفعة'!$C$34:$C$57,بيان.معاشات.قنا[يناير-23])</f>
        <v>0</v>
      </c>
      <c r="X40" s="46">
        <f ca="1">SUMIF(قنا!$D$8:$D$47,'أخر دفعة'!$C$34:$C$57,بيان.معاشات.قنا[فبراير-23])</f>
        <v>0</v>
      </c>
      <c r="Y40" s="46">
        <f ca="1">SUMIF(قنا!$D$8:$D$47,'أخر دفعة'!$C$34:$C$57,بيان.معاشات.قنا[مارس-23])</f>
        <v>0</v>
      </c>
      <c r="Z40" s="46">
        <f ca="1">SUMIF(قنا!$D$8:$D$47,'أخر دفعة'!$C$34:$C$57,بيان.معاشات.قنا[أبريل-23])</f>
        <v>0</v>
      </c>
      <c r="AA40" s="55">
        <f ca="1">SUMIF(قنا!$D$8:$D$47,'أخر دفعة'!$C$34:$C$57,بيان.معاشات.قنا[مايو-23])</f>
        <v>0</v>
      </c>
      <c r="AB40" s="467"/>
    </row>
    <row r="41" spans="2:28" ht="21" x14ac:dyDescent="0.35">
      <c r="B41" s="221">
        <v>13</v>
      </c>
      <c r="C41" s="222" t="s">
        <v>317</v>
      </c>
      <c r="D41" s="223">
        <v>21</v>
      </c>
      <c r="E41" s="113" t="s">
        <v>403</v>
      </c>
      <c r="F41" s="224">
        <v>43828</v>
      </c>
      <c r="G41" s="113">
        <f ca="1">SUMIF(قنا!$D$8:$D$47,'أخر دفعة'!$C$34:$C$57,بيان.معاشات.قنا[المنحة])</f>
        <v>14605.56</v>
      </c>
      <c r="H41" s="113">
        <f ca="1">SUMIF(قنا!$D$8:$D$47,'أخر دفعة'!$C$34:$C$57,بيان.معاشات.قنا[مستحقات])</f>
        <v>0</v>
      </c>
      <c r="I41" s="113">
        <f ca="1">SUMIF(قنا!$D$8:$D$47,'أخر دفعة'!$C$34:$C$57,بيان.معاشات.قنا[مقابل نقدي])</f>
        <v>10961.69</v>
      </c>
      <c r="J41" s="113">
        <f ca="1">SUMIF(قنا!$D$8:$D$47,'أخر دفعة'!$C$34:$C$57,بيان.معاشات.قنا[إجمالي المستحق])</f>
        <v>25567.25</v>
      </c>
      <c r="K41" s="113">
        <f ca="1">SUMIF(قنا!$D$8:$D$47,'أخر دفعة'!$C$34:$C$57,بيان.معاشات.قنا[إجمالي المنصرف])</f>
        <v>14605.56</v>
      </c>
      <c r="L41" s="113">
        <f ca="1">SUMIF(قنا!$D$8:$D$47,'أخر دفعة'!$C$34:$C$57,بيان.معاشات.قنا[المتبقي])</f>
        <v>10961.69</v>
      </c>
      <c r="M41" s="113">
        <f ca="1">SUMIF(قنا!$D$8:$D$47,'أخر دفعة'!$C$34:$C$57,بيان.معاشات.قنا[المتبقي 1-])</f>
        <v>10961.69</v>
      </c>
      <c r="N41" s="113">
        <f ca="1">SUMIF(قنا!$D$8:$D$47,'أخر دفعة'!$C$34:$C$57,بيان.معاشات.قنا[المتبقي من المنحة])</f>
        <v>0</v>
      </c>
      <c r="O41" s="113">
        <f ca="1">SUMIF(قنا!$D$8:$D$47,'أخر دفعة'!$C$34:$C$57,بيان.معاشات.قنا[المتبقي من المنحة 1-])</f>
        <v>0</v>
      </c>
      <c r="P41" s="46"/>
      <c r="Q41" s="46">
        <v>0</v>
      </c>
      <c r="R41" s="46">
        <v>1000</v>
      </c>
      <c r="S41" s="46">
        <v>0</v>
      </c>
      <c r="T41" s="46">
        <v>0</v>
      </c>
      <c r="U41" s="46">
        <v>0</v>
      </c>
      <c r="V41" s="46">
        <v>1105.56</v>
      </c>
      <c r="W41" s="46">
        <f ca="1">SUMIF(قنا!$D$8:$D$47,'أخر دفعة'!$C$34:$C$57,بيان.معاشات.قنا[يناير-23])</f>
        <v>0</v>
      </c>
      <c r="X41" s="46">
        <f ca="1">SUMIF(قنا!$D$8:$D$47,'أخر دفعة'!$C$34:$C$57,بيان.معاشات.قنا[فبراير-23])</f>
        <v>0</v>
      </c>
      <c r="Y41" s="46">
        <f ca="1">SUMIF(قنا!$D$8:$D$47,'أخر دفعة'!$C$34:$C$57,بيان.معاشات.قنا[مارس-23])</f>
        <v>0</v>
      </c>
      <c r="Z41" s="46">
        <f ca="1">SUMIF(قنا!$D$8:$D$47,'أخر دفعة'!$C$34:$C$57,بيان.معاشات.قنا[أبريل-23])</f>
        <v>0</v>
      </c>
      <c r="AA41" s="55">
        <f ca="1">SUMIF(قنا!$D$8:$D$47,'أخر دفعة'!$C$34:$C$57,بيان.معاشات.قنا[مايو-23])</f>
        <v>0</v>
      </c>
      <c r="AB41" s="467"/>
    </row>
    <row r="42" spans="2:28" ht="21" x14ac:dyDescent="0.35">
      <c r="B42" s="225">
        <v>14</v>
      </c>
      <c r="C42" s="113" t="s">
        <v>318</v>
      </c>
      <c r="D42" s="217">
        <v>22</v>
      </c>
      <c r="E42" s="113" t="s">
        <v>403</v>
      </c>
      <c r="F42" s="226">
        <v>43848</v>
      </c>
      <c r="G42" s="113">
        <f ca="1">SUMIF(قنا!$D$8:$D$47,'أخر دفعة'!$C$34:$C$57,بيان.معاشات.قنا[المنحة])</f>
        <v>13871.2</v>
      </c>
      <c r="H42" s="113">
        <f ca="1">SUMIF(قنا!$D$8:$D$47,'أخر دفعة'!$C$34:$C$57,بيان.معاشات.قنا[مستحقات])</f>
        <v>0</v>
      </c>
      <c r="I42" s="113">
        <f ca="1">SUMIF(قنا!$D$8:$D$47,'أخر دفعة'!$C$34:$C$57,بيان.معاشات.قنا[مقابل نقدي])</f>
        <v>13380</v>
      </c>
      <c r="J42" s="113">
        <f ca="1">SUMIF(قنا!$D$8:$D$47,'أخر دفعة'!$C$34:$C$57,بيان.معاشات.قنا[إجمالي المستحق])</f>
        <v>27251.200000000001</v>
      </c>
      <c r="K42" s="113">
        <f ca="1">SUMIF(قنا!$D$8:$D$47,'أخر دفعة'!$C$34:$C$57,بيان.معاشات.قنا[إجمالي المنصرف])</f>
        <v>15751.2</v>
      </c>
      <c r="L42" s="113">
        <f ca="1">SUMIF(قنا!$D$8:$D$47,'أخر دفعة'!$C$34:$C$57,بيان.معاشات.قنا[المتبقي])</f>
        <v>11500</v>
      </c>
      <c r="M42" s="113">
        <f ca="1">SUMIF(قنا!$D$8:$D$47,'أخر دفعة'!$C$34:$C$57,بيان.معاشات.قنا[المتبقي 1-])</f>
        <v>11500</v>
      </c>
      <c r="N42" s="113">
        <f ca="1">SUMIF(قنا!$D$8:$D$47,'أخر دفعة'!$C$34:$C$57,بيان.معاشات.قنا[المتبقي من المنحة])</f>
        <v>-1880</v>
      </c>
      <c r="O42" s="113">
        <f ca="1">SUMIF(قنا!$D$8:$D$47,'أخر دفعة'!$C$34:$C$57,بيان.معاشات.قنا[المتبقي من المنحة 1-])</f>
        <v>0</v>
      </c>
      <c r="P42" s="46"/>
      <c r="Q42" s="46">
        <v>0</v>
      </c>
      <c r="R42" s="46">
        <v>1000</v>
      </c>
      <c r="S42" s="46">
        <v>0</v>
      </c>
      <c r="T42" s="46">
        <v>0</v>
      </c>
      <c r="U42" s="46">
        <v>0</v>
      </c>
      <c r="V42" s="46">
        <v>1251.2</v>
      </c>
      <c r="W42" s="46">
        <f ca="1">SUMIF(قنا!$D$8:$D$47,'أخر دفعة'!$C$34:$C$57,بيان.معاشات.قنا[يناير-23])</f>
        <v>0</v>
      </c>
      <c r="X42" s="46">
        <f ca="1">SUMIF(قنا!$D$8:$D$47,'أخر دفعة'!$C$34:$C$57,بيان.معاشات.قنا[فبراير-23])</f>
        <v>0</v>
      </c>
      <c r="Y42" s="46">
        <f ca="1">SUMIF(قنا!$D$8:$D$47,'أخر دفعة'!$C$34:$C$57,بيان.معاشات.قنا[مارس-23])</f>
        <v>1500</v>
      </c>
      <c r="Z42" s="46">
        <f ca="1">SUMIF(قنا!$D$8:$D$47,'أخر دفعة'!$C$34:$C$57,بيان.معاشات.قنا[أبريل-23])</f>
        <v>0</v>
      </c>
      <c r="AA42" s="55">
        <f ca="1">SUMIF(قنا!$D$8:$D$47,'أخر دفعة'!$C$34:$C$57,بيان.معاشات.قنا[مايو-23])</f>
        <v>0</v>
      </c>
      <c r="AB42" s="467"/>
    </row>
    <row r="43" spans="2:28" ht="21" x14ac:dyDescent="0.35">
      <c r="B43" s="221">
        <v>15</v>
      </c>
      <c r="C43" s="222" t="s">
        <v>320</v>
      </c>
      <c r="D43" s="223">
        <v>23</v>
      </c>
      <c r="E43" s="113" t="s">
        <v>403</v>
      </c>
      <c r="F43" s="224">
        <v>43811</v>
      </c>
      <c r="G43" s="113">
        <f ca="1">SUMIF(قنا!$D$8:$D$47,'أخر دفعة'!$C$34:$C$57,بيان.معاشات.قنا[المنحة])</f>
        <v>10139.33</v>
      </c>
      <c r="H43" s="113">
        <f ca="1">SUMIF(قنا!$D$8:$D$47,'أخر دفعة'!$C$34:$C$57,بيان.معاشات.قنا[مستحقات])</f>
        <v>0</v>
      </c>
      <c r="I43" s="113">
        <f ca="1">SUMIF(قنا!$D$8:$D$47,'أخر دفعة'!$C$34:$C$57,بيان.معاشات.قنا[مقابل نقدي])</f>
        <v>12679.2</v>
      </c>
      <c r="J43" s="113">
        <f ca="1">SUMIF(قنا!$D$8:$D$47,'أخر دفعة'!$C$34:$C$57,بيان.معاشات.قنا[إجمالي المستحق])</f>
        <v>22818.53</v>
      </c>
      <c r="K43" s="113">
        <f ca="1">SUMIF(قنا!$D$8:$D$47,'أخر دفعة'!$C$34:$C$57,بيان.معاشات.قنا[إجمالي المنصرف])</f>
        <v>16916.28</v>
      </c>
      <c r="L43" s="113">
        <f ca="1">SUMIF(قنا!$D$8:$D$47,'أخر دفعة'!$C$34:$C$57,بيان.معاشات.قنا[المتبقي])</f>
        <v>5902.25</v>
      </c>
      <c r="M43" s="113">
        <f ca="1">SUMIF(قنا!$D$8:$D$47,'أخر دفعة'!$C$34:$C$57,بيان.معاشات.قنا[المتبقي 1-])</f>
        <v>5902.25</v>
      </c>
      <c r="N43" s="113">
        <f ca="1">SUMIF(قنا!$D$8:$D$47,'أخر دفعة'!$C$34:$C$57,بيان.معاشات.قنا[المتبقي من المنحة])</f>
        <v>-6776.9499999999989</v>
      </c>
      <c r="O43" s="113">
        <f ca="1">SUMIF(قنا!$D$8:$D$47,'أخر دفعة'!$C$34:$C$57,بيان.معاشات.قنا[المتبقي من المنحة 1-])</f>
        <v>0</v>
      </c>
      <c r="P43" s="46"/>
      <c r="Q43" s="46">
        <v>0</v>
      </c>
      <c r="R43" s="46">
        <v>1000</v>
      </c>
      <c r="S43" s="46">
        <v>0</v>
      </c>
      <c r="T43" s="46">
        <v>1000</v>
      </c>
      <c r="U43" s="46">
        <v>0</v>
      </c>
      <c r="V43" s="46">
        <v>916.28</v>
      </c>
      <c r="W43" s="46">
        <f ca="1">SUMIF(قنا!$D$8:$D$47,'أخر دفعة'!$C$34:$C$57,بيان.معاشات.قنا[يناير-23])</f>
        <v>0</v>
      </c>
      <c r="X43" s="46">
        <f ca="1">SUMIF(قنا!$D$8:$D$47,'أخر دفعة'!$C$34:$C$57,بيان.معاشات.قنا[فبراير-23])</f>
        <v>0</v>
      </c>
      <c r="Y43" s="46">
        <f ca="1">SUMIF(قنا!$D$8:$D$47,'أخر دفعة'!$C$34:$C$57,بيان.معاشات.قنا[مارس-23])</f>
        <v>1500</v>
      </c>
      <c r="Z43" s="46">
        <f ca="1">SUMIF(قنا!$D$8:$D$47,'أخر دفعة'!$C$34:$C$57,بيان.معاشات.قنا[أبريل-23])</f>
        <v>0</v>
      </c>
      <c r="AA43" s="55">
        <f ca="1">SUMIF(قنا!$D$8:$D$47,'أخر دفعة'!$C$34:$C$57,بيان.معاشات.قنا[مايو-23])</f>
        <v>0</v>
      </c>
      <c r="AB43" s="467"/>
    </row>
    <row r="44" spans="2:28" ht="21" x14ac:dyDescent="0.35">
      <c r="B44" s="225">
        <v>16</v>
      </c>
      <c r="C44" s="113" t="s">
        <v>322</v>
      </c>
      <c r="D44" s="217">
        <v>24</v>
      </c>
      <c r="E44" s="113" t="s">
        <v>403</v>
      </c>
      <c r="F44" s="226">
        <v>43806</v>
      </c>
      <c r="G44" s="113">
        <f ca="1">SUMIF(قنا!$D$8:$D$47,'أخر دفعة'!$C$34:$C$57,بيان.معاشات.قنا[المنحة])</f>
        <v>20239.86</v>
      </c>
      <c r="H44" s="113">
        <f ca="1">SUMIF(قنا!$D$8:$D$47,'أخر دفعة'!$C$34:$C$57,بيان.معاشات.قنا[مستحقات])</f>
        <v>0</v>
      </c>
      <c r="I44" s="113">
        <f ca="1">SUMIF(قنا!$D$8:$D$47,'أخر دفعة'!$C$34:$C$57,بيان.معاشات.قنا[مقابل نقدي])</f>
        <v>14727.6</v>
      </c>
      <c r="J44" s="113">
        <f ca="1">SUMIF(قنا!$D$8:$D$47,'أخر دفعة'!$C$34:$C$57,بيان.معاشات.قنا[إجمالي المستحق])</f>
        <v>34967.46</v>
      </c>
      <c r="K44" s="113">
        <f ca="1">SUMIF(قنا!$D$8:$D$47,'أخر دفعة'!$C$34:$C$57,بيان.معاشات.قنا[إجمالي المنصرف])</f>
        <v>16739.86</v>
      </c>
      <c r="L44" s="113">
        <f ca="1">SUMIF(قنا!$D$8:$D$47,'أخر دفعة'!$C$34:$C$57,بيان.معاشات.قنا[المتبقي])</f>
        <v>18227.599999999999</v>
      </c>
      <c r="M44" s="113">
        <f ca="1">SUMIF(قنا!$D$8:$D$47,'أخر دفعة'!$C$34:$C$57,بيان.معاشات.قنا[المتبقي 1-])</f>
        <v>18227.599999999999</v>
      </c>
      <c r="N44" s="113">
        <f ca="1">SUMIF(قنا!$D$8:$D$47,'أخر دفعة'!$C$34:$C$57,بيان.معاشات.قنا[المتبقي من المنحة])</f>
        <v>3500</v>
      </c>
      <c r="O44" s="113">
        <f ca="1">SUMIF(قنا!$D$8:$D$47,'أخر دفعة'!$C$34:$C$57,بيان.معاشات.قنا[المتبقي من المنحة 1-])</f>
        <v>3500</v>
      </c>
      <c r="P44" s="46"/>
      <c r="Q44" s="46">
        <v>0</v>
      </c>
      <c r="R44" s="46">
        <v>1000</v>
      </c>
      <c r="S44" s="46">
        <v>0</v>
      </c>
      <c r="T44" s="46">
        <v>1000</v>
      </c>
      <c r="U44" s="46">
        <v>0</v>
      </c>
      <c r="V44" s="46">
        <v>739.86</v>
      </c>
      <c r="W44" s="46">
        <f ca="1">SUMIF(قنا!$D$8:$D$47,'أخر دفعة'!$C$34:$C$57,بيان.معاشات.قنا[يناير-23])</f>
        <v>0</v>
      </c>
      <c r="X44" s="46">
        <f ca="1">SUMIF(قنا!$D$8:$D$47,'أخر دفعة'!$C$34:$C$57,بيان.معاشات.قنا[فبراير-23])</f>
        <v>0</v>
      </c>
      <c r="Y44" s="46">
        <f ca="1">SUMIF(قنا!$D$8:$D$47,'أخر دفعة'!$C$34:$C$57,بيان.معاشات.قنا[مارس-23])</f>
        <v>1500</v>
      </c>
      <c r="Z44" s="46">
        <f ca="1">SUMIF(قنا!$D$8:$D$47,'أخر دفعة'!$C$34:$C$57,بيان.معاشات.قنا[أبريل-23])</f>
        <v>0</v>
      </c>
      <c r="AA44" s="55">
        <f ca="1">SUMIF(قنا!$D$8:$D$47,'أخر دفعة'!$C$34:$C$57,بيان.معاشات.قنا[مايو-23])</f>
        <v>0</v>
      </c>
      <c r="AB44" s="467"/>
    </row>
    <row r="45" spans="2:28" ht="21" x14ac:dyDescent="0.35">
      <c r="B45" s="221">
        <v>17</v>
      </c>
      <c r="C45" s="222" t="s">
        <v>323</v>
      </c>
      <c r="D45" s="223">
        <v>25</v>
      </c>
      <c r="E45" s="113" t="s">
        <v>403</v>
      </c>
      <c r="F45" s="224">
        <v>43943</v>
      </c>
      <c r="G45" s="113">
        <f ca="1">SUMIF(قنا!$D$8:$D$47,'أخر دفعة'!$C$34:$C$57,بيان.معاشات.قنا[المنحة])</f>
        <v>18521.28</v>
      </c>
      <c r="H45" s="113">
        <f ca="1">SUMIF(قنا!$D$8:$D$47,'أخر دفعة'!$C$34:$C$57,بيان.معاشات.قنا[مستحقات])</f>
        <v>0</v>
      </c>
      <c r="I45" s="113">
        <f ca="1">SUMIF(قنا!$D$8:$D$47,'أخر دفعة'!$C$34:$C$57,بيان.معاشات.قنا[مقابل نقدي])</f>
        <v>16110</v>
      </c>
      <c r="J45" s="113">
        <f ca="1">SUMIF(قنا!$D$8:$D$47,'أخر دفعة'!$C$34:$C$57,بيان.معاشات.قنا[إجمالي المستحق])</f>
        <v>34631.279999999999</v>
      </c>
      <c r="K45" s="113">
        <f ca="1">SUMIF(قنا!$D$8:$D$47,'أخر دفعة'!$C$34:$C$57,بيان.معاشات.قنا[إجمالي المنصرف])</f>
        <v>13021.279999999999</v>
      </c>
      <c r="L45" s="113">
        <f ca="1">SUMIF(قنا!$D$8:$D$47,'أخر دفعة'!$C$34:$C$57,بيان.معاشات.قنا[المتبقي])</f>
        <v>21610</v>
      </c>
      <c r="M45" s="113">
        <f ca="1">SUMIF(قنا!$D$8:$D$47,'أخر دفعة'!$C$34:$C$57,بيان.معاشات.قنا[المتبقي 1-])</f>
        <v>21610</v>
      </c>
      <c r="N45" s="113">
        <f ca="1">SUMIF(قنا!$D$8:$D$47,'أخر دفعة'!$C$34:$C$57,بيان.معاشات.قنا[المتبقي من المنحة])</f>
        <v>5500</v>
      </c>
      <c r="O45" s="113">
        <f ca="1">SUMIF(قنا!$D$8:$D$47,'أخر دفعة'!$C$34:$C$57,بيان.معاشات.قنا[المتبقي من المنحة 1-])</f>
        <v>5500</v>
      </c>
      <c r="P45" s="46"/>
      <c r="Q45" s="46">
        <v>0</v>
      </c>
      <c r="R45" s="46">
        <v>1000</v>
      </c>
      <c r="S45" s="46">
        <v>0</v>
      </c>
      <c r="T45" s="46">
        <v>0</v>
      </c>
      <c r="U45" s="46">
        <v>0</v>
      </c>
      <c r="V45" s="46">
        <v>1021.28</v>
      </c>
      <c r="W45" s="46">
        <f ca="1">SUMIF(قنا!$D$8:$D$47,'أخر دفعة'!$C$34:$C$57,بيان.معاشات.قنا[يناير-23])</f>
        <v>0</v>
      </c>
      <c r="X45" s="46">
        <f ca="1">SUMIF(قنا!$D$8:$D$47,'أخر دفعة'!$C$34:$C$57,بيان.معاشات.قنا[فبراير-23])</f>
        <v>0</v>
      </c>
      <c r="Y45" s="46">
        <f ca="1">SUMIF(قنا!$D$8:$D$47,'أخر دفعة'!$C$34:$C$57,بيان.معاشات.قنا[مارس-23])</f>
        <v>1500</v>
      </c>
      <c r="Z45" s="46">
        <f ca="1">SUMIF(قنا!$D$8:$D$47,'أخر دفعة'!$C$34:$C$57,بيان.معاشات.قنا[أبريل-23])</f>
        <v>0</v>
      </c>
      <c r="AA45" s="55">
        <f ca="1">SUMIF(قنا!$D$8:$D$47,'أخر دفعة'!$C$34:$C$57,بيان.معاشات.قنا[مايو-23])</f>
        <v>0</v>
      </c>
      <c r="AB45" s="467"/>
    </row>
    <row r="46" spans="2:28" ht="21" x14ac:dyDescent="0.35">
      <c r="B46" s="225">
        <v>18</v>
      </c>
      <c r="C46" s="113" t="s">
        <v>324</v>
      </c>
      <c r="D46" s="217">
        <v>26</v>
      </c>
      <c r="E46" s="113" t="s">
        <v>403</v>
      </c>
      <c r="F46" s="226">
        <v>44029</v>
      </c>
      <c r="G46" s="113">
        <f ca="1">SUMIF(قنا!$D$8:$D$47,'أخر دفعة'!$C$34:$C$57,بيان.معاشات.قنا[المنحة])</f>
        <v>15489.06</v>
      </c>
      <c r="H46" s="113">
        <f ca="1">SUMIF(قنا!$D$8:$D$47,'أخر دفعة'!$C$34:$C$57,بيان.معاشات.قنا[مستحقات])</f>
        <v>0</v>
      </c>
      <c r="I46" s="113">
        <f ca="1">SUMIF(قنا!$D$8:$D$47,'أخر دفعة'!$C$34:$C$57,بيان.معاشات.قنا[مقابل نقدي])</f>
        <v>15135.3</v>
      </c>
      <c r="J46" s="113">
        <f ca="1">SUMIF(قنا!$D$8:$D$47,'أخر دفعة'!$C$34:$C$57,بيان.معاشات.قنا[إجمالي المستحق])</f>
        <v>30624.36</v>
      </c>
      <c r="K46" s="113">
        <f ca="1">SUMIF(قنا!$D$8:$D$47,'أخر دفعة'!$C$34:$C$57,بيان.معاشات.قنا[إجمالي المنصرف])</f>
        <v>15489.06</v>
      </c>
      <c r="L46" s="113">
        <f ca="1">SUMIF(قنا!$D$8:$D$47,'أخر دفعة'!$C$34:$C$57,بيان.معاشات.قنا[المتبقي])</f>
        <v>15135.300000000001</v>
      </c>
      <c r="M46" s="113">
        <f ca="1">SUMIF(قنا!$D$8:$D$47,'أخر دفعة'!$C$34:$C$57,بيان.معاشات.قنا[المتبقي 1-])</f>
        <v>15135.300000000001</v>
      </c>
      <c r="N46" s="113">
        <f ca="1">SUMIF(قنا!$D$8:$D$47,'أخر دفعة'!$C$34:$C$57,بيان.معاشات.قنا[المتبقي من المنحة])</f>
        <v>0</v>
      </c>
      <c r="O46" s="113">
        <f ca="1">SUMIF(قنا!$D$8:$D$47,'أخر دفعة'!$C$34:$C$57,بيان.معاشات.قنا[المتبقي من المنحة 1-])</f>
        <v>0</v>
      </c>
      <c r="P46" s="46"/>
      <c r="Q46" s="46">
        <v>0</v>
      </c>
      <c r="R46" s="46">
        <v>1000</v>
      </c>
      <c r="S46" s="46">
        <v>0</v>
      </c>
      <c r="T46" s="46">
        <v>1000</v>
      </c>
      <c r="U46" s="46">
        <v>0</v>
      </c>
      <c r="V46" s="46">
        <v>989.06</v>
      </c>
      <c r="W46" s="46">
        <f ca="1">SUMIF(قنا!$D$8:$D$47,'أخر دفعة'!$C$34:$C$57,بيان.معاشات.قنا[يناير-23])</f>
        <v>0</v>
      </c>
      <c r="X46" s="46">
        <f ca="1">SUMIF(قنا!$D$8:$D$47,'أخر دفعة'!$C$34:$C$57,بيان.معاشات.قنا[فبراير-23])</f>
        <v>1000</v>
      </c>
      <c r="Y46" s="46">
        <f ca="1">SUMIF(قنا!$D$8:$D$47,'أخر دفعة'!$C$34:$C$57,بيان.معاشات.قنا[مارس-23])</f>
        <v>0</v>
      </c>
      <c r="Z46" s="46">
        <f ca="1">SUMIF(قنا!$D$8:$D$47,'أخر دفعة'!$C$34:$C$57,بيان.معاشات.قنا[أبريل-23])</f>
        <v>0</v>
      </c>
      <c r="AA46" s="55">
        <f ca="1">SUMIF(قنا!$D$8:$D$47,'أخر دفعة'!$C$34:$C$57,بيان.معاشات.قنا[مايو-23])</f>
        <v>2000</v>
      </c>
      <c r="AB46" s="467"/>
    </row>
    <row r="47" spans="2:28" ht="21" x14ac:dyDescent="0.35">
      <c r="B47" s="221">
        <v>19</v>
      </c>
      <c r="C47" s="222" t="s">
        <v>325</v>
      </c>
      <c r="D47" s="223">
        <v>27</v>
      </c>
      <c r="E47" s="113" t="s">
        <v>403</v>
      </c>
      <c r="F47" s="224">
        <v>44108</v>
      </c>
      <c r="G47" s="113">
        <f ca="1">SUMIF(قنا!$D$8:$D$47,'أخر دفعة'!$C$34:$C$57,بيان.معاشات.قنا[المنحة])</f>
        <v>18367.32</v>
      </c>
      <c r="H47" s="113">
        <f ca="1">SUMIF(قنا!$D$8:$D$47,'أخر دفعة'!$C$34:$C$57,بيان.معاشات.قنا[مستحقات])</f>
        <v>0</v>
      </c>
      <c r="I47" s="113">
        <f ca="1">SUMIF(قنا!$D$8:$D$47,'أخر دفعة'!$C$34:$C$57,بيان.معاشات.قنا[مقابل نقدي])</f>
        <v>19170</v>
      </c>
      <c r="J47" s="113">
        <f ca="1">SUMIF(قنا!$D$8:$D$47,'أخر دفعة'!$C$34:$C$57,بيان.معاشات.قنا[إجمالي المستحق])</f>
        <v>37537.32</v>
      </c>
      <c r="K47" s="113">
        <f ca="1">SUMIF(قنا!$D$8:$D$47,'أخر دفعة'!$C$34:$C$57,بيان.معاشات.قنا[إجمالي المنصرف])</f>
        <v>13500</v>
      </c>
      <c r="L47" s="113">
        <f ca="1">SUMIF(قنا!$D$8:$D$47,'أخر دفعة'!$C$34:$C$57,بيان.معاشات.قنا[المتبقي])</f>
        <v>24037.32</v>
      </c>
      <c r="M47" s="113">
        <f ca="1">SUMIF(قنا!$D$8:$D$47,'أخر دفعة'!$C$34:$C$57,بيان.معاشات.قنا[المتبقي 1-])</f>
        <v>24037.32</v>
      </c>
      <c r="N47" s="113">
        <f ca="1">SUMIF(قنا!$D$8:$D$47,'أخر دفعة'!$C$34:$C$57,بيان.معاشات.قنا[المتبقي من المنحة])</f>
        <v>4867.32</v>
      </c>
      <c r="O47" s="113">
        <f ca="1">SUMIF(قنا!$D$8:$D$47,'أخر دفعة'!$C$34:$C$57,بيان.معاشات.قنا[المتبقي من المنحة 1-])</f>
        <v>4867.32</v>
      </c>
      <c r="P47" s="46"/>
      <c r="Q47" s="46">
        <v>0</v>
      </c>
      <c r="R47" s="46">
        <v>1000</v>
      </c>
      <c r="S47" s="46">
        <v>0</v>
      </c>
      <c r="T47" s="46">
        <v>0</v>
      </c>
      <c r="U47" s="46">
        <v>1500</v>
      </c>
      <c r="V47" s="46">
        <v>0</v>
      </c>
      <c r="W47" s="46">
        <f ca="1">SUMIF(قنا!$D$8:$D$47,'أخر دفعة'!$C$34:$C$57,بيان.معاشات.قنا[يناير-23])</f>
        <v>0</v>
      </c>
      <c r="X47" s="46">
        <f ca="1">SUMIF(قنا!$D$8:$D$47,'أخر دفعة'!$C$34:$C$57,بيان.معاشات.قنا[فبراير-23])</f>
        <v>0</v>
      </c>
      <c r="Y47" s="46">
        <f ca="1">SUMIF(قنا!$D$8:$D$47,'أخر دفعة'!$C$34:$C$57,بيان.معاشات.قنا[مارس-23])</f>
        <v>2500</v>
      </c>
      <c r="Z47" s="46">
        <f ca="1">SUMIF(قنا!$D$8:$D$47,'أخر دفعة'!$C$34:$C$57,بيان.معاشات.قنا[أبريل-23])</f>
        <v>0</v>
      </c>
      <c r="AA47" s="55">
        <f ca="1">SUMIF(قنا!$D$8:$D$47,'أخر دفعة'!$C$34:$C$57,بيان.معاشات.قنا[مايو-23])</f>
        <v>0</v>
      </c>
      <c r="AB47" s="467"/>
    </row>
    <row r="48" spans="2:28" ht="21" x14ac:dyDescent="0.35">
      <c r="B48" s="225">
        <v>20</v>
      </c>
      <c r="C48" s="113" t="s">
        <v>326</v>
      </c>
      <c r="D48" s="217">
        <v>28</v>
      </c>
      <c r="E48" s="113" t="s">
        <v>403</v>
      </c>
      <c r="F48" s="226">
        <v>44166</v>
      </c>
      <c r="G48" s="113">
        <f ca="1">SUMIF(قنا!$D$8:$D$47,'أخر دفعة'!$C$34:$C$57,بيان.معاشات.قنا[المنحة])</f>
        <v>20495.740000000002</v>
      </c>
      <c r="H48" s="113">
        <f ca="1">SUMIF(قنا!$D$8:$D$47,'أخر دفعة'!$C$34:$C$57,بيان.معاشات.قنا[مستحقات])</f>
        <v>0</v>
      </c>
      <c r="I48" s="113">
        <f ca="1">SUMIF(قنا!$D$8:$D$47,'أخر دفعة'!$C$34:$C$57,بيان.معاشات.قنا[مقابل نقدي])</f>
        <v>20462.400000000001</v>
      </c>
      <c r="J48" s="113">
        <f ca="1">SUMIF(قنا!$D$8:$D$47,'أخر دفعة'!$C$34:$C$57,بيان.معاشات.قنا[إجمالي المستحق])</f>
        <v>40958.14</v>
      </c>
      <c r="K48" s="113">
        <f ca="1">SUMIF(قنا!$D$8:$D$47,'أخر دفعة'!$C$34:$C$57,بيان.معاشات.قنا[إجمالي المنصرف])</f>
        <v>11500</v>
      </c>
      <c r="L48" s="113">
        <f ca="1">SUMIF(قنا!$D$8:$D$47,'أخر دفعة'!$C$34:$C$57,بيان.معاشات.قنا[المتبقي])</f>
        <v>29458.14</v>
      </c>
      <c r="M48" s="113">
        <f ca="1">SUMIF(قنا!$D$8:$D$47,'أخر دفعة'!$C$34:$C$57,بيان.معاشات.قنا[المتبقي 1-])</f>
        <v>29458.14</v>
      </c>
      <c r="N48" s="113">
        <f ca="1">SUMIF(قنا!$D$8:$D$47,'أخر دفعة'!$C$34:$C$57,بيان.معاشات.قنا[المتبقي من المنحة])</f>
        <v>8995.7400000000016</v>
      </c>
      <c r="O48" s="113">
        <f ca="1">SUMIF(قنا!$D$8:$D$47,'أخر دفعة'!$C$34:$C$57,بيان.معاشات.قنا[المتبقي من المنحة 1-])</f>
        <v>8995.7400000000016</v>
      </c>
      <c r="P48" s="46"/>
      <c r="Q48" s="46">
        <v>0</v>
      </c>
      <c r="R48" s="46">
        <v>1000</v>
      </c>
      <c r="S48" s="46">
        <v>0</v>
      </c>
      <c r="T48" s="46">
        <v>0</v>
      </c>
      <c r="U48" s="46">
        <v>0</v>
      </c>
      <c r="V48" s="46">
        <v>0</v>
      </c>
      <c r="W48" s="46">
        <f ca="1">SUMIF(قنا!$D$8:$D$47,'أخر دفعة'!$C$34:$C$57,بيان.معاشات.قنا[يناير-23])</f>
        <v>0</v>
      </c>
      <c r="X48" s="46">
        <f ca="1">SUMIF(قنا!$D$8:$D$47,'أخر دفعة'!$C$34:$C$57,بيان.معاشات.قنا[فبراير-23])</f>
        <v>0</v>
      </c>
      <c r="Y48" s="46">
        <f ca="1">SUMIF(قنا!$D$8:$D$47,'أخر دفعة'!$C$34:$C$57,بيان.معاشات.قنا[مارس-23])</f>
        <v>3000</v>
      </c>
      <c r="Z48" s="46">
        <f ca="1">SUMIF(قنا!$D$8:$D$47,'أخر دفعة'!$C$34:$C$57,بيان.معاشات.قنا[أبريل-23])</f>
        <v>0</v>
      </c>
      <c r="AA48" s="55">
        <f ca="1">SUMIF(قنا!$D$8:$D$47,'أخر دفعة'!$C$34:$C$57,بيان.معاشات.قنا[مايو-23])</f>
        <v>0</v>
      </c>
      <c r="AB48" s="467"/>
    </row>
    <row r="49" spans="2:28" ht="21" x14ac:dyDescent="0.35">
      <c r="B49" s="221">
        <v>21</v>
      </c>
      <c r="C49" s="222" t="s">
        <v>327</v>
      </c>
      <c r="D49" s="223">
        <v>29</v>
      </c>
      <c r="E49" s="113" t="s">
        <v>403</v>
      </c>
      <c r="F49" s="224">
        <v>44178</v>
      </c>
      <c r="G49" s="113">
        <f ca="1">SUMIF(قنا!$D$8:$D$47,'أخر دفعة'!$C$34:$C$57,بيان.معاشات.قنا[المنحة])</f>
        <v>14136.42</v>
      </c>
      <c r="H49" s="113">
        <f ca="1">SUMIF(قنا!$D$8:$D$47,'أخر دفعة'!$C$34:$C$57,بيان.معاشات.قنا[مستحقات])</f>
        <v>0</v>
      </c>
      <c r="I49" s="113">
        <f ca="1">SUMIF(قنا!$D$8:$D$47,'أخر دفعة'!$C$34:$C$57,بيان.معاشات.قنا[مقابل نقدي])</f>
        <v>8841.7999999999993</v>
      </c>
      <c r="J49" s="113">
        <f ca="1">SUMIF(قنا!$D$8:$D$47,'أخر دفعة'!$C$34:$C$57,بيان.معاشات.قنا[إجمالي المستحق])</f>
        <v>22978.22</v>
      </c>
      <c r="K49" s="113">
        <f ca="1">SUMIF(قنا!$D$8:$D$47,'أخر دفعة'!$C$34:$C$57,بيان.معاشات.قنا[إجمالي المنصرف])</f>
        <v>7500</v>
      </c>
      <c r="L49" s="113">
        <f ca="1">SUMIF(قنا!$D$8:$D$47,'أخر دفعة'!$C$34:$C$57,بيان.معاشات.قنا[المتبقي])</f>
        <v>15478.220000000001</v>
      </c>
      <c r="M49" s="113">
        <f ca="1">SUMIF(قنا!$D$8:$D$47,'أخر دفعة'!$C$34:$C$57,بيان.معاشات.قنا[المتبقي 1-])</f>
        <v>15478.220000000001</v>
      </c>
      <c r="N49" s="113">
        <f ca="1">SUMIF(قنا!$D$8:$D$47,'أخر دفعة'!$C$34:$C$57,بيان.معاشات.قنا[المتبقي من المنحة])</f>
        <v>6636.42</v>
      </c>
      <c r="O49" s="113">
        <f ca="1">SUMIF(قنا!$D$8:$D$47,'أخر دفعة'!$C$34:$C$57,بيان.معاشات.قنا[المتبقي من المنحة 1-])</f>
        <v>6636.42</v>
      </c>
      <c r="P49" s="46"/>
      <c r="Q49" s="46">
        <v>0</v>
      </c>
      <c r="R49" s="46">
        <v>1000</v>
      </c>
      <c r="S49" s="46">
        <v>0</v>
      </c>
      <c r="T49" s="46">
        <v>0</v>
      </c>
      <c r="U49" s="46">
        <v>1000</v>
      </c>
      <c r="V49" s="46">
        <v>0</v>
      </c>
      <c r="W49" s="46">
        <f ca="1">SUMIF(قنا!$D$8:$D$47,'أخر دفعة'!$C$34:$C$57,بيان.معاشات.قنا[يناير-23])</f>
        <v>0</v>
      </c>
      <c r="X49" s="46">
        <f ca="1">SUMIF(قنا!$D$8:$D$47,'أخر دفعة'!$C$34:$C$57,بيان.معاشات.قنا[فبراير-23])</f>
        <v>0</v>
      </c>
      <c r="Y49" s="46">
        <f ca="1">SUMIF(قنا!$D$8:$D$47,'أخر دفعة'!$C$34:$C$57,بيان.معاشات.قنا[مارس-23])</f>
        <v>0</v>
      </c>
      <c r="Z49" s="46">
        <f ca="1">SUMIF(قنا!$D$8:$D$47,'أخر دفعة'!$C$34:$C$57,بيان.معاشات.قنا[أبريل-23])</f>
        <v>0</v>
      </c>
      <c r="AA49" s="55">
        <f ca="1">SUMIF(قنا!$D$8:$D$47,'أخر دفعة'!$C$34:$C$57,بيان.معاشات.قنا[مايو-23])</f>
        <v>0</v>
      </c>
      <c r="AB49" s="467"/>
    </row>
    <row r="50" spans="2:28" ht="21" x14ac:dyDescent="0.35">
      <c r="B50" s="225">
        <v>22</v>
      </c>
      <c r="C50" s="113" t="s">
        <v>328</v>
      </c>
      <c r="D50" s="217">
        <v>30</v>
      </c>
      <c r="E50" s="113" t="s">
        <v>403</v>
      </c>
      <c r="F50" s="226">
        <v>44459</v>
      </c>
      <c r="G50" s="113">
        <f ca="1">SUMIF(قنا!$D$8:$D$47,'أخر دفعة'!$C$34:$C$57,بيان.معاشات.قنا[المنحة])</f>
        <v>16708.8</v>
      </c>
      <c r="H50" s="113">
        <f ca="1">SUMIF(قنا!$D$8:$D$47,'أخر دفعة'!$C$34:$C$57,بيان.معاشات.قنا[مستحقات])</f>
        <v>0</v>
      </c>
      <c r="I50" s="113">
        <f ca="1">SUMIF(قنا!$D$8:$D$47,'أخر دفعة'!$C$34:$C$57,بيان.معاشات.قنا[مقابل نقدي])</f>
        <v>15718.48</v>
      </c>
      <c r="J50" s="113">
        <f ca="1">SUMIF(قنا!$D$8:$D$47,'أخر دفعة'!$C$34:$C$57,بيان.معاشات.قنا[إجمالي المستحق])</f>
        <v>32427.279999999999</v>
      </c>
      <c r="K50" s="113">
        <f ca="1">SUMIF(قنا!$D$8:$D$47,'أخر دفعة'!$C$34:$C$57,بيان.معاشات.قنا[إجمالي المنصرف])</f>
        <v>7208.8</v>
      </c>
      <c r="L50" s="113">
        <f ca="1">SUMIF(قنا!$D$8:$D$47,'أخر دفعة'!$C$34:$C$57,بيان.معاشات.قنا[المتبقي])</f>
        <v>25218.48</v>
      </c>
      <c r="M50" s="113">
        <f ca="1">SUMIF(قنا!$D$8:$D$47,'أخر دفعة'!$C$34:$C$57,بيان.معاشات.قنا[المتبقي 1-])</f>
        <v>25218.48</v>
      </c>
      <c r="N50" s="113">
        <f ca="1">SUMIF(قنا!$D$8:$D$47,'أخر دفعة'!$C$34:$C$57,بيان.معاشات.قنا[المتبقي من المنحة])</f>
        <v>9500</v>
      </c>
      <c r="O50" s="113">
        <f ca="1">SUMIF(قنا!$D$8:$D$47,'أخر دفعة'!$C$34:$C$57,بيان.معاشات.قنا[المتبقي من المنحة 1-])</f>
        <v>9500</v>
      </c>
      <c r="P50" s="46"/>
      <c r="Q50" s="46">
        <v>0</v>
      </c>
      <c r="R50" s="46">
        <v>1000</v>
      </c>
      <c r="S50" s="46">
        <v>0</v>
      </c>
      <c r="T50" s="46">
        <v>0</v>
      </c>
      <c r="U50" s="46">
        <v>0</v>
      </c>
      <c r="V50" s="46">
        <v>1208.8</v>
      </c>
      <c r="W50" s="46">
        <f ca="1">SUMIF(قنا!$D$8:$D$47,'أخر دفعة'!$C$34:$C$57,بيان.معاشات.قنا[يناير-23])</f>
        <v>0</v>
      </c>
      <c r="X50" s="46">
        <f ca="1">SUMIF(قنا!$D$8:$D$47,'أخر دفعة'!$C$34:$C$57,بيان.معاشات.قنا[فبراير-23])</f>
        <v>0</v>
      </c>
      <c r="Y50" s="46">
        <f ca="1">SUMIF(قنا!$D$8:$D$47,'أخر دفعة'!$C$34:$C$57,بيان.معاشات.قنا[مارس-23])</f>
        <v>1500</v>
      </c>
      <c r="Z50" s="46">
        <f ca="1">SUMIF(قنا!$D$8:$D$47,'أخر دفعة'!$C$34:$C$57,بيان.معاشات.قنا[أبريل-23])</f>
        <v>0</v>
      </c>
      <c r="AA50" s="55">
        <f ca="1">SUMIF(قنا!$D$8:$D$47,'أخر دفعة'!$C$34:$C$57,بيان.معاشات.قنا[مايو-23])</f>
        <v>0</v>
      </c>
      <c r="AB50" s="467"/>
    </row>
    <row r="51" spans="2:28" ht="21" x14ac:dyDescent="0.35">
      <c r="B51" s="225">
        <v>24</v>
      </c>
      <c r="C51" s="113" t="s">
        <v>331</v>
      </c>
      <c r="D51" s="217">
        <v>32</v>
      </c>
      <c r="E51" s="113" t="s">
        <v>403</v>
      </c>
      <c r="F51" s="226">
        <v>44579</v>
      </c>
      <c r="G51" s="113">
        <f ca="1">SUMIF(قنا!$D$8:$D$47,'أخر دفعة'!$C$34:$C$57,بيان.معاشات.قنا[المنحة])</f>
        <v>20886.12</v>
      </c>
      <c r="H51" s="113">
        <f ca="1">SUMIF(قنا!$D$8:$D$47,'أخر دفعة'!$C$34:$C$57,بيان.معاشات.قنا[مستحقات])</f>
        <v>0</v>
      </c>
      <c r="I51" s="113">
        <f ca="1">SUMIF(قنا!$D$8:$D$47,'أخر دفعة'!$C$34:$C$57,بيان.معاشات.قنا[مقابل نقدي])</f>
        <v>18900</v>
      </c>
      <c r="J51" s="113">
        <f ca="1">SUMIF(قنا!$D$8:$D$47,'أخر دفعة'!$C$34:$C$57,بيان.معاشات.قنا[إجمالي المستحق])</f>
        <v>39786.119999999995</v>
      </c>
      <c r="K51" s="113">
        <f ca="1">SUMIF(قنا!$D$8:$D$47,'أخر دفعة'!$C$34:$C$57,بيان.معاشات.قنا[إجمالي المنصرف])</f>
        <v>10000</v>
      </c>
      <c r="L51" s="113">
        <f ca="1">SUMIF(قنا!$D$8:$D$47,'أخر دفعة'!$C$34:$C$57,بيان.معاشات.قنا[المتبقي])</f>
        <v>29786.119999999995</v>
      </c>
      <c r="M51" s="113">
        <f ca="1">SUMIF(قنا!$D$8:$D$47,'أخر دفعة'!$C$34:$C$57,بيان.معاشات.قنا[المتبقي 1-])</f>
        <v>29786.119999999995</v>
      </c>
      <c r="N51" s="113">
        <f ca="1">SUMIF(قنا!$D$8:$D$47,'أخر دفعة'!$C$34:$C$57,بيان.معاشات.قنا[المتبقي من المنحة])</f>
        <v>10886.119999999999</v>
      </c>
      <c r="O51" s="113">
        <f ca="1">SUMIF(قنا!$D$8:$D$47,'أخر دفعة'!$C$34:$C$57,بيان.معاشات.قنا[المتبقي من المنحة 1-])</f>
        <v>10886.119999999999</v>
      </c>
      <c r="P51" s="46"/>
      <c r="Q51" s="46">
        <v>0</v>
      </c>
      <c r="R51" s="46">
        <v>1000</v>
      </c>
      <c r="S51" s="46">
        <v>0</v>
      </c>
      <c r="T51" s="46">
        <v>0</v>
      </c>
      <c r="U51" s="46">
        <v>0</v>
      </c>
      <c r="V51" s="46">
        <v>1000</v>
      </c>
      <c r="W51" s="46">
        <f ca="1">SUMIF(قنا!$D$8:$D$47,'أخر دفعة'!$C$34:$C$57,بيان.معاشات.قنا[يناير-23])</f>
        <v>0</v>
      </c>
      <c r="X51" s="46">
        <f ca="1">SUMIF(قنا!$D$8:$D$47,'أخر دفعة'!$C$34:$C$57,بيان.معاشات.قنا[فبراير-23])</f>
        <v>1000</v>
      </c>
      <c r="Y51" s="46">
        <f ca="1">SUMIF(قنا!$D$8:$D$47,'أخر دفعة'!$C$34:$C$57,بيان.معاشات.قنا[مارس-23])</f>
        <v>0</v>
      </c>
      <c r="Z51" s="46">
        <f ca="1">SUMIF(قنا!$D$8:$D$47,'أخر دفعة'!$C$34:$C$57,بيان.معاشات.قنا[أبريل-23])</f>
        <v>0</v>
      </c>
      <c r="AA51" s="55">
        <f ca="1">SUMIF(قنا!$D$8:$D$47,'أخر دفعة'!$C$34:$C$57,بيان.معاشات.قنا[مايو-23])</f>
        <v>1500</v>
      </c>
      <c r="AB51" s="467"/>
    </row>
    <row r="52" spans="2:28" ht="21" x14ac:dyDescent="0.35">
      <c r="B52" s="221">
        <v>25</v>
      </c>
      <c r="C52" s="222" t="s">
        <v>332</v>
      </c>
      <c r="D52" s="223">
        <v>33</v>
      </c>
      <c r="E52" s="113" t="s">
        <v>403</v>
      </c>
      <c r="F52" s="224">
        <v>44610</v>
      </c>
      <c r="G52" s="113">
        <f ca="1">SUMIF(قنا!$D$8:$D$47,'أخر دفعة'!$C$34:$C$57,بيان.معاشات.قنا[المنحة])</f>
        <v>18491.04</v>
      </c>
      <c r="H52" s="113">
        <f ca="1">SUMIF(قنا!$D$8:$D$47,'أخر دفعة'!$C$34:$C$57,بيان.معاشات.قنا[مستحقات])</f>
        <v>0</v>
      </c>
      <c r="I52" s="113">
        <f ca="1">SUMIF(قنا!$D$8:$D$47,'أخر دفعة'!$C$34:$C$57,بيان.معاشات.قنا[مقابل نقدي])</f>
        <v>4997.72</v>
      </c>
      <c r="J52" s="113">
        <f ca="1">SUMIF(قنا!$D$8:$D$47,'أخر دفعة'!$C$34:$C$57,بيان.معاشات.قنا[إجمالي المستحق])</f>
        <v>23488.760000000002</v>
      </c>
      <c r="K52" s="113">
        <f ca="1">SUMIF(قنا!$D$8:$D$47,'أخر دفعة'!$C$34:$C$57,بيان.معاشات.قنا[إجمالي المنصرف])</f>
        <v>5991.04</v>
      </c>
      <c r="L52" s="113">
        <f ca="1">SUMIF(قنا!$D$8:$D$47,'أخر دفعة'!$C$34:$C$57,بيان.معاشات.قنا[المتبقي])</f>
        <v>17497.72</v>
      </c>
      <c r="M52" s="113">
        <f ca="1">SUMIF(قنا!$D$8:$D$47,'أخر دفعة'!$C$34:$C$57,بيان.معاشات.قنا[المتبقي 1-])</f>
        <v>17497.72</v>
      </c>
      <c r="N52" s="113">
        <f ca="1">SUMIF(قنا!$D$8:$D$47,'أخر دفعة'!$C$34:$C$57,بيان.معاشات.قنا[المتبقي من المنحة])</f>
        <v>12500</v>
      </c>
      <c r="O52" s="113">
        <f ca="1">SUMIF(قنا!$D$8:$D$47,'أخر دفعة'!$C$34:$C$57,بيان.معاشات.قنا[المتبقي من المنحة 1-])</f>
        <v>12500</v>
      </c>
      <c r="P52" s="46"/>
      <c r="Q52" s="46">
        <v>0</v>
      </c>
      <c r="R52" s="46">
        <v>1000</v>
      </c>
      <c r="S52" s="46">
        <v>0</v>
      </c>
      <c r="T52" s="46">
        <v>1000</v>
      </c>
      <c r="U52" s="46">
        <v>0</v>
      </c>
      <c r="V52" s="46">
        <v>991.04</v>
      </c>
      <c r="W52" s="46">
        <f ca="1">SUMIF(قنا!$D$8:$D$47,'أخر دفعة'!$C$34:$C$57,بيان.معاشات.قنا[يناير-23])</f>
        <v>0</v>
      </c>
      <c r="X52" s="46">
        <f ca="1">SUMIF(قنا!$D$8:$D$47,'أخر دفعة'!$C$34:$C$57,بيان.معاشات.قنا[فبراير-23])</f>
        <v>0</v>
      </c>
      <c r="Y52" s="46">
        <f ca="1">SUMIF(قنا!$D$8:$D$47,'أخر دفعة'!$C$34:$C$57,بيان.معاشات.قنا[مارس-23])</f>
        <v>1500</v>
      </c>
      <c r="Z52" s="46">
        <f ca="1">SUMIF(قنا!$D$8:$D$47,'أخر دفعة'!$C$34:$C$57,بيان.معاشات.قنا[أبريل-23])</f>
        <v>0</v>
      </c>
      <c r="AA52" s="55">
        <f ca="1">SUMIF(قنا!$D$8:$D$47,'أخر دفعة'!$C$34:$C$57,بيان.معاشات.قنا[مايو-23])</f>
        <v>0</v>
      </c>
      <c r="AB52" s="467"/>
    </row>
    <row r="53" spans="2:28" ht="21" x14ac:dyDescent="0.35">
      <c r="B53" s="225">
        <v>26</v>
      </c>
      <c r="C53" s="113" t="s">
        <v>333</v>
      </c>
      <c r="D53" s="217">
        <v>34</v>
      </c>
      <c r="E53" s="113" t="s">
        <v>403</v>
      </c>
      <c r="F53" s="226">
        <v>44673</v>
      </c>
      <c r="G53" s="113">
        <f ca="1">SUMIF(قنا!$D$8:$D$47,'أخر دفعة'!$C$34:$C$57,بيان.معاشات.قنا[المنحة])</f>
        <v>18673.82</v>
      </c>
      <c r="H53" s="113">
        <f ca="1">SUMIF(قنا!$D$8:$D$47,'أخر دفعة'!$C$34:$C$57,بيان.معاشات.قنا[مستحقات])</f>
        <v>0</v>
      </c>
      <c r="I53" s="113">
        <f ca="1">SUMIF(قنا!$D$8:$D$47,'أخر دفعة'!$C$34:$C$57,بيان.معاشات.قنا[مقابل نقدي])</f>
        <v>12899.7</v>
      </c>
      <c r="J53" s="113">
        <f ca="1">SUMIF(قنا!$D$8:$D$47,'أخر دفعة'!$C$34:$C$57,بيان.معاشات.قنا[إجمالي المستحق])</f>
        <v>31573.52</v>
      </c>
      <c r="K53" s="113">
        <f ca="1">SUMIF(قنا!$D$8:$D$47,'أخر دفعة'!$C$34:$C$57,بيان.معاشات.قنا[إجمالي المنصرف])</f>
        <v>2000</v>
      </c>
      <c r="L53" s="113">
        <f ca="1">SUMIF(قنا!$D$8:$D$47,'أخر دفعة'!$C$34:$C$57,بيان.معاشات.قنا[المتبقي])</f>
        <v>29573.52</v>
      </c>
      <c r="M53" s="113">
        <f ca="1">SUMIF(قنا!$D$8:$D$47,'أخر دفعة'!$C$34:$C$57,بيان.معاشات.قنا[المتبقي 1-])</f>
        <v>29573.52</v>
      </c>
      <c r="N53" s="113">
        <f ca="1">SUMIF(قنا!$D$8:$D$47,'أخر دفعة'!$C$34:$C$57,بيان.معاشات.قنا[المتبقي من المنحة])</f>
        <v>16673.82</v>
      </c>
      <c r="O53" s="113">
        <f ca="1">SUMIF(قنا!$D$8:$D$47,'أخر دفعة'!$C$34:$C$57,بيان.معاشات.قنا[المتبقي من المنحة 1-])</f>
        <v>16673.82</v>
      </c>
      <c r="P53" s="46"/>
      <c r="Q53" s="46">
        <v>0</v>
      </c>
      <c r="R53" s="46">
        <v>1000</v>
      </c>
      <c r="S53" s="46">
        <v>0</v>
      </c>
      <c r="T53" s="46">
        <v>0</v>
      </c>
      <c r="U53" s="46">
        <v>0</v>
      </c>
      <c r="V53" s="46">
        <v>0</v>
      </c>
      <c r="W53" s="46">
        <f ca="1">SUMIF(قنا!$D$8:$D$47,'أخر دفعة'!$C$34:$C$57,بيان.معاشات.قنا[يناير-23])</f>
        <v>0</v>
      </c>
      <c r="X53" s="46">
        <f ca="1">SUMIF(قنا!$D$8:$D$47,'أخر دفعة'!$C$34:$C$57,بيان.معاشات.قنا[فبراير-23])</f>
        <v>0</v>
      </c>
      <c r="Y53" s="46">
        <f ca="1">SUMIF(قنا!$D$8:$D$47,'أخر دفعة'!$C$34:$C$57,بيان.معاشات.قنا[مارس-23])</f>
        <v>0</v>
      </c>
      <c r="Z53" s="46">
        <f ca="1">SUMIF(قنا!$D$8:$D$47,'أخر دفعة'!$C$34:$C$57,بيان.معاشات.قنا[أبريل-23])</f>
        <v>0</v>
      </c>
      <c r="AA53" s="55">
        <f ca="1">SUMIF(قنا!$D$8:$D$47,'أخر دفعة'!$C$34:$C$57,بيان.معاشات.قنا[مايو-23])</f>
        <v>0</v>
      </c>
      <c r="AB53" s="467"/>
    </row>
    <row r="54" spans="2:28" ht="21" x14ac:dyDescent="0.35">
      <c r="B54" s="221">
        <v>27</v>
      </c>
      <c r="C54" s="222" t="s">
        <v>334</v>
      </c>
      <c r="D54" s="223">
        <v>35</v>
      </c>
      <c r="E54" s="113" t="s">
        <v>403</v>
      </c>
      <c r="F54" s="224">
        <v>44780</v>
      </c>
      <c r="G54" s="113">
        <f ca="1">SUMIF(قنا!$D$8:$D$47,'أخر دفعة'!$C$34:$C$57,بيان.معاشات.قنا[المنحة])</f>
        <v>17291.650000000001</v>
      </c>
      <c r="H54" s="113">
        <f ca="1">SUMIF(قنا!$D$8:$D$47,'أخر دفعة'!$C$34:$C$57,بيان.معاشات.قنا[مستحقات])</f>
        <v>0</v>
      </c>
      <c r="I54" s="113">
        <f ca="1">SUMIF(قنا!$D$8:$D$47,'أخر دفعة'!$C$34:$C$57,بيان.معاشات.قنا[مقابل نقدي])</f>
        <v>15024.6</v>
      </c>
      <c r="J54" s="113">
        <f ca="1">SUMIF(قنا!$D$8:$D$47,'أخر دفعة'!$C$34:$C$57,بيان.معاشات.قنا[إجمالي المستحق])</f>
        <v>32316.25</v>
      </c>
      <c r="K54" s="113">
        <f ca="1">SUMIF(قنا!$D$8:$D$47,'أخر دفعة'!$C$34:$C$57,بيان.معاشات.قنا[إجمالي المنصرف])</f>
        <v>4500</v>
      </c>
      <c r="L54" s="113">
        <f ca="1">SUMIF(قنا!$D$8:$D$47,'أخر دفعة'!$C$34:$C$57,بيان.معاشات.قنا[المتبقي])</f>
        <v>27816.25</v>
      </c>
      <c r="M54" s="113">
        <f ca="1">SUMIF(قنا!$D$8:$D$47,'أخر دفعة'!$C$34:$C$57,بيان.معاشات.قنا[المتبقي 1-])</f>
        <v>27816.25</v>
      </c>
      <c r="N54" s="113">
        <f ca="1">SUMIF(قنا!$D$8:$D$47,'أخر دفعة'!$C$34:$C$57,بيان.معاشات.قنا[المتبقي من المنحة])</f>
        <v>12791.650000000001</v>
      </c>
      <c r="O54" s="113">
        <f ca="1">SUMIF(قنا!$D$8:$D$47,'أخر دفعة'!$C$34:$C$57,بيان.معاشات.قنا[المتبقي من المنحة 1-])</f>
        <v>12791.650000000001</v>
      </c>
      <c r="P54" s="46"/>
      <c r="Q54" s="46">
        <v>0</v>
      </c>
      <c r="R54" s="46">
        <v>0</v>
      </c>
      <c r="S54" s="46">
        <v>0</v>
      </c>
      <c r="T54" s="46">
        <v>2000</v>
      </c>
      <c r="U54" s="46">
        <v>0</v>
      </c>
      <c r="V54" s="46">
        <v>0</v>
      </c>
      <c r="W54" s="46">
        <f ca="1">SUMIF(قنا!$D$8:$D$47,'أخر دفعة'!$C$34:$C$57,بيان.معاشات.قنا[يناير-23])</f>
        <v>0</v>
      </c>
      <c r="X54" s="46">
        <f ca="1">SUMIF(قنا!$D$8:$D$47,'أخر دفعة'!$C$34:$C$57,بيان.معاشات.قنا[فبراير-23])</f>
        <v>0</v>
      </c>
      <c r="Y54" s="46">
        <f ca="1">SUMIF(قنا!$D$8:$D$47,'أخر دفعة'!$C$34:$C$57,بيان.معاشات.قنا[مارس-23])</f>
        <v>2500</v>
      </c>
      <c r="Z54" s="46">
        <f ca="1">SUMIF(قنا!$D$8:$D$47,'أخر دفعة'!$C$34:$C$57,بيان.معاشات.قنا[أبريل-23])</f>
        <v>0</v>
      </c>
      <c r="AA54" s="55">
        <f ca="1">SUMIF(قنا!$D$8:$D$47,'أخر دفعة'!$C$34:$C$57,بيان.معاشات.قنا[مايو-23])</f>
        <v>0</v>
      </c>
      <c r="AB54" s="467"/>
    </row>
    <row r="55" spans="2:28" ht="21" x14ac:dyDescent="0.35">
      <c r="B55" s="225">
        <v>28</v>
      </c>
      <c r="C55" s="113" t="s">
        <v>335</v>
      </c>
      <c r="D55" s="217">
        <v>36</v>
      </c>
      <c r="E55" s="113" t="s">
        <v>403</v>
      </c>
      <c r="F55" s="226">
        <v>44815</v>
      </c>
      <c r="G55" s="113">
        <f ca="1">SUMIF(قنا!$D$8:$D$47,'أخر دفعة'!$C$34:$C$57,بيان.معاشات.قنا[المنحة])</f>
        <v>22795.03</v>
      </c>
      <c r="H55" s="113">
        <f ca="1">SUMIF(قنا!$D$8:$D$47,'أخر دفعة'!$C$34:$C$57,بيان.معاشات.قنا[مستحقات])</f>
        <v>0</v>
      </c>
      <c r="I55" s="113">
        <f ca="1">SUMIF(قنا!$D$8:$D$47,'أخر دفعة'!$C$34:$C$57,بيان.معاشات.قنا[مقابل نقدي])</f>
        <v>18700.2</v>
      </c>
      <c r="J55" s="113">
        <f ca="1">SUMIF(قنا!$D$8:$D$47,'أخر دفعة'!$C$34:$C$57,بيان.معاشات.قنا[إجمالي المستحق])</f>
        <v>41495.229999999996</v>
      </c>
      <c r="K55" s="113">
        <f ca="1">SUMIF(قنا!$D$8:$D$47,'أخر دفعة'!$C$34:$C$57,بيان.معاشات.قنا[إجمالي المنصرف])</f>
        <v>4000</v>
      </c>
      <c r="L55" s="113">
        <f ca="1">SUMIF(قنا!$D$8:$D$47,'أخر دفعة'!$C$34:$C$57,بيان.معاشات.قنا[المتبقي])</f>
        <v>37495.229999999996</v>
      </c>
      <c r="M55" s="113">
        <f ca="1">SUMIF(قنا!$D$8:$D$47,'أخر دفعة'!$C$34:$C$57,بيان.معاشات.قنا[المتبقي 1-])</f>
        <v>37495.229999999996</v>
      </c>
      <c r="N55" s="113">
        <f ca="1">SUMIF(قنا!$D$8:$D$47,'أخر دفعة'!$C$34:$C$57,بيان.معاشات.قنا[المتبقي من المنحة])</f>
        <v>18795.03</v>
      </c>
      <c r="O55" s="113">
        <f ca="1">SUMIF(قنا!$D$8:$D$47,'أخر دفعة'!$C$34:$C$57,بيان.معاشات.قنا[المتبقي من المنحة 1-])</f>
        <v>18795.03</v>
      </c>
      <c r="P55" s="46"/>
      <c r="Q55" s="46">
        <v>0</v>
      </c>
      <c r="R55" s="46">
        <v>0</v>
      </c>
      <c r="S55" s="46">
        <v>0</v>
      </c>
      <c r="T55" s="46">
        <v>0</v>
      </c>
      <c r="U55" s="46">
        <v>1000</v>
      </c>
      <c r="V55" s="46">
        <v>0</v>
      </c>
      <c r="W55" s="46">
        <f ca="1">SUMIF(قنا!$D$8:$D$47,'أخر دفعة'!$C$34:$C$57,بيان.معاشات.قنا[يناير-23])</f>
        <v>0</v>
      </c>
      <c r="X55" s="46">
        <f ca="1">SUMIF(قنا!$D$8:$D$47,'أخر دفعة'!$C$34:$C$57,بيان.معاشات.قنا[فبراير-23])</f>
        <v>1500</v>
      </c>
      <c r="Y55" s="46">
        <f ca="1">SUMIF(قنا!$D$8:$D$47,'أخر دفعة'!$C$34:$C$57,بيان.معاشات.قنا[مارس-23])</f>
        <v>0</v>
      </c>
      <c r="Z55" s="46">
        <f ca="1">SUMIF(قنا!$D$8:$D$47,'أخر دفعة'!$C$34:$C$57,بيان.معاشات.قنا[أبريل-23])</f>
        <v>0</v>
      </c>
      <c r="AA55" s="55">
        <f ca="1">SUMIF(قنا!$D$8:$D$47,'أخر دفعة'!$C$34:$C$57,بيان.معاشات.قنا[مايو-23])</f>
        <v>1500</v>
      </c>
      <c r="AB55" s="467"/>
    </row>
    <row r="56" spans="2:28" ht="21" x14ac:dyDescent="0.35">
      <c r="B56" s="221">
        <v>29</v>
      </c>
      <c r="C56" s="222" t="s">
        <v>336</v>
      </c>
      <c r="D56" s="223">
        <v>37</v>
      </c>
      <c r="E56" s="113" t="s">
        <v>403</v>
      </c>
      <c r="F56" s="224">
        <v>44885</v>
      </c>
      <c r="G56" s="113">
        <f ca="1">SUMIF(قنا!$D$8:$D$47,'أخر دفعة'!$C$34:$C$57,بيان.معاشات.قنا[المنحة])</f>
        <v>22665.72</v>
      </c>
      <c r="H56" s="113">
        <f ca="1">SUMIF(قنا!$D$8:$D$47,'أخر دفعة'!$C$34:$C$57,بيان.معاشات.قنا[مستحقات])</f>
        <v>0</v>
      </c>
      <c r="I56" s="113">
        <f ca="1">SUMIF(قنا!$D$8:$D$47,'أخر دفعة'!$C$34:$C$57,بيان.معاشات.قنا[مقابل نقدي])</f>
        <v>17250.3</v>
      </c>
      <c r="J56" s="113">
        <f ca="1">SUMIF(قنا!$D$8:$D$47,'أخر دفعة'!$C$34:$C$57,بيان.معاشات.قنا[إجمالي المستحق])</f>
        <v>39916.020000000004</v>
      </c>
      <c r="K56" s="113">
        <f ca="1">SUMIF(قنا!$D$8:$D$47,'أخر دفعة'!$C$34:$C$57,بيان.معاشات.قنا[إجمالي المنصرف])</f>
        <v>3000</v>
      </c>
      <c r="L56" s="113">
        <f ca="1">SUMIF(قنا!$D$8:$D$47,'أخر دفعة'!$C$34:$C$57,بيان.معاشات.قنا[المتبقي])</f>
        <v>36916.020000000004</v>
      </c>
      <c r="M56" s="113">
        <f ca="1">SUMIF(قنا!$D$8:$D$47,'أخر دفعة'!$C$34:$C$57,بيان.معاشات.قنا[المتبقي 1-])</f>
        <v>36916.020000000004</v>
      </c>
      <c r="N56" s="113">
        <f ca="1">SUMIF(قنا!$D$8:$D$47,'أخر دفعة'!$C$34:$C$57,بيان.معاشات.قنا[المتبقي من المنحة])</f>
        <v>19665.72</v>
      </c>
      <c r="O56" s="113">
        <f ca="1">SUMIF(قنا!$D$8:$D$47,'أخر دفعة'!$C$34:$C$57,بيان.معاشات.قنا[المتبقي من المنحة 1-])</f>
        <v>19665.72</v>
      </c>
      <c r="P56" s="46"/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f ca="1">SUMIF(قنا!$D$8:$D$47,'أخر دفعة'!$C$34:$C$57,بيان.معاشات.قنا[يناير-23])</f>
        <v>0</v>
      </c>
      <c r="X56" s="46">
        <f ca="1">SUMIF(قنا!$D$8:$D$47,'أخر دفعة'!$C$34:$C$57,بيان.معاشات.قنا[فبراير-23])</f>
        <v>0</v>
      </c>
      <c r="Y56" s="46">
        <f ca="1">SUMIF(قنا!$D$8:$D$47,'أخر دفعة'!$C$34:$C$57,بيان.معاشات.قنا[مارس-23])</f>
        <v>0</v>
      </c>
      <c r="Z56" s="46">
        <f ca="1">SUMIF(قنا!$D$8:$D$47,'أخر دفعة'!$C$34:$C$57,بيان.معاشات.قنا[أبريل-23])</f>
        <v>0</v>
      </c>
      <c r="AA56" s="55">
        <f ca="1">SUMIF(قنا!$D$8:$D$47,'أخر دفعة'!$C$34:$C$57,بيان.معاشات.قنا[مايو-23])</f>
        <v>3000</v>
      </c>
      <c r="AB56" s="467"/>
    </row>
    <row r="57" spans="2:28" ht="21" x14ac:dyDescent="0.35">
      <c r="B57" s="225">
        <v>30</v>
      </c>
      <c r="C57" s="113" t="s">
        <v>460</v>
      </c>
      <c r="D57" s="217">
        <v>38</v>
      </c>
      <c r="E57" s="113" t="s">
        <v>403</v>
      </c>
      <c r="F57" s="226">
        <v>44957</v>
      </c>
      <c r="G57" s="113">
        <f ca="1">SUMIF(قنا!$D$8:$D$47,'أخر دفعة'!$C$34:$C$57,بيان.معاشات.قنا[المنحة])</f>
        <v>22864.560000000001</v>
      </c>
      <c r="H57" s="113">
        <f ca="1">SUMIF(قنا!$D$8:$D$47,'أخر دفعة'!$C$34:$C$57,بيان.معاشات.قنا[مستحقات])</f>
        <v>0</v>
      </c>
      <c r="I57" s="113">
        <f ca="1">SUMIF(قنا!$D$8:$D$47,'أخر دفعة'!$C$34:$C$57,بيان.معاشات.قنا[مقابل نقدي])</f>
        <v>8140.46</v>
      </c>
      <c r="J57" s="113">
        <f ca="1">SUMIF(قنا!$D$8:$D$47,'أخر دفعة'!$C$34:$C$57,بيان.معاشات.قنا[إجمالي المستحق])</f>
        <v>31005.02</v>
      </c>
      <c r="K57" s="113">
        <f ca="1">SUMIF(قنا!$D$8:$D$47,'أخر دفعة'!$C$34:$C$57,بيان.معاشات.قنا[إجمالي المنصرف])</f>
        <v>500</v>
      </c>
      <c r="L57" s="113">
        <f ca="1">SUMIF(قنا!$D$8:$D$47,'أخر دفعة'!$C$34:$C$57,بيان.معاشات.قنا[المتبقي])</f>
        <v>30505.02</v>
      </c>
      <c r="M57" s="113">
        <f ca="1">SUMIF(قنا!$D$8:$D$47,'أخر دفعة'!$C$34:$C$57,بيان.معاشات.قنا[المتبقي 1-])</f>
        <v>30505.02</v>
      </c>
      <c r="N57" s="113">
        <f ca="1">SUMIF(قنا!$D$8:$D$47,'أخر دفعة'!$C$34:$C$57,بيان.معاشات.قنا[المتبقي من المنحة])</f>
        <v>22364.560000000001</v>
      </c>
      <c r="O57" s="113">
        <f ca="1">SUMIF(قنا!$D$8:$D$47,'أخر دفعة'!$C$34:$C$57,بيان.معاشات.قنا[المتبقي من المنحة 1-])</f>
        <v>22364.560000000001</v>
      </c>
      <c r="P57" s="46"/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f ca="1">SUMIF(قنا!$D$8:$D$47,'أخر دفعة'!$C$34:$C$57,بيان.معاشات.قنا[يناير-23])</f>
        <v>0</v>
      </c>
      <c r="X57" s="46">
        <f ca="1">SUMIF(قنا!$D$8:$D$47,'أخر دفعة'!$C$34:$C$57,بيان.معاشات.قنا[فبراير-23])</f>
        <v>0</v>
      </c>
      <c r="Y57" s="46">
        <f ca="1">SUMIF(قنا!$D$8:$D$47,'أخر دفعة'!$C$34:$C$57,بيان.معاشات.قنا[مارس-23])</f>
        <v>500</v>
      </c>
      <c r="Z57" s="46">
        <f ca="1">SUMIF(قنا!$D$8:$D$47,'أخر دفعة'!$C$34:$C$57,بيان.معاشات.قنا[أبريل-23])</f>
        <v>0</v>
      </c>
      <c r="AA57" s="55">
        <f ca="1">SUMIF(قنا!$D$8:$D$47,'أخر دفعة'!$C$34:$C$57,بيان.معاشات.قنا[مايو-23])</f>
        <v>0</v>
      </c>
      <c r="AB57" s="467"/>
    </row>
    <row r="58" spans="2:28" ht="21" x14ac:dyDescent="0.35">
      <c r="B58" s="221">
        <v>1</v>
      </c>
      <c r="C58" s="222" t="s">
        <v>339</v>
      </c>
      <c r="D58" s="229">
        <v>1</v>
      </c>
      <c r="E58" s="113" t="s">
        <v>406</v>
      </c>
      <c r="F58" s="224">
        <v>43890</v>
      </c>
      <c r="G58" s="113">
        <f ca="1">SUMIF(سفاجا!$D$8:$D$51,'أخر دفعة'!$C$58:$C$92,بيان.مغاشات.سفاجا[المنحة])</f>
        <v>16484.64</v>
      </c>
      <c r="H58" s="113">
        <f ca="1">SUMIF(سفاجا!$D$8:$D$51,'أخر دفعة'!$C$58:$C$92,بيان.مغاشات.سفاجا[مستحقات])</f>
        <v>0</v>
      </c>
      <c r="I58" s="113">
        <f ca="1">SUMIF(سفاجا!$D$8:$D$51,'أخر دفعة'!$C$58:$C$92,بيان.مغاشات.سفاجا[مقابل نقدي])</f>
        <v>13122</v>
      </c>
      <c r="J58" s="113">
        <f ca="1">SUMIF(سفاجا!$D$8:$D$51,'أخر دفعة'!$C$58:$C$92,بيان.مغاشات.سفاجا[إجمالي المستحق])</f>
        <v>29606.639999999999</v>
      </c>
      <c r="K58" s="113">
        <f ca="1">SUMIF(سفاجا!$D$8:$D$51,'أخر دفعة'!$C$58:$C$92,بيان.مغاشات.سفاجا[إجمالي المنصرف])</f>
        <v>15000</v>
      </c>
      <c r="L58" s="113">
        <f ca="1">SUMIF(سفاجا!$D$8:$D$51,'أخر دفعة'!$C$58:$C$92,بيان.مغاشات.سفاجا[المتبقي])</f>
        <v>14606.64</v>
      </c>
      <c r="M58" s="113">
        <f ca="1">SUMIF(سفاجا!$D$8:$D$51,'أخر دفعة'!$C$58:$C$92,بيان.مغاشات.سفاجا[المتبقي بعد 1-])</f>
        <v>14606.64</v>
      </c>
      <c r="N58" s="113">
        <f ca="1">SUMIF(سفاجا!$D$8:$D$51,'أخر دفعة'!$C$58:$C$92,بيان.مغاشات.سفاجا[المتبقي من المنحة])</f>
        <v>1484.6399999999994</v>
      </c>
      <c r="O58" s="113">
        <f ca="1">SUMIF(سفاجا!$D$8:$D$51,'أخر دفعة'!$C$58:$C$92,بيان.مغاشات.سفاجا[التبقي من المنحة بعد 1-])</f>
        <v>1484.6399999999994</v>
      </c>
      <c r="P58" s="46"/>
      <c r="Q58" s="46">
        <v>0</v>
      </c>
      <c r="R58" s="46">
        <v>0</v>
      </c>
      <c r="S58" s="46">
        <v>0</v>
      </c>
      <c r="T58" s="46">
        <v>0</v>
      </c>
      <c r="U58" s="46">
        <v>2000</v>
      </c>
      <c r="V58" s="46">
        <v>0</v>
      </c>
      <c r="W58" s="46">
        <f ca="1">SUMIF(سفاجا!$D$8:$D$51,'أخر دفعة'!$C$58:$C$92,بيان.مغاشات.سفاجا[يناير-23])</f>
        <v>0</v>
      </c>
      <c r="X58" s="46">
        <f ca="1">SUMIF(سفاجا!$D$8:$D$51,'أخر دفعة'!$C$58:$C$92,بيان.مغاشات.سفاجا[فبراير-23])</f>
        <v>0</v>
      </c>
      <c r="Y58" s="46">
        <f ca="1">SUMIF(سفاجا!$D$8:$D$51,'أخر دفعة'!$C$58:$C$92,بيان.مغاشات.سفاجا[مارس-23])</f>
        <v>2500</v>
      </c>
      <c r="Z58" s="46">
        <f ca="1">SUMIF(سفاجا!$D$8:$D$51,'أخر دفعة'!$C$58:$C$92,بيان.مغاشات.سفاجا[أبريل-23])</f>
        <v>0</v>
      </c>
      <c r="AA58" s="55">
        <f ca="1">SUMIF(سفاجا!$D$8:$D$51,'أخر دفعة'!$C$58:$C$92,بيان.مغاشات.سفاجا[مايو-23])</f>
        <v>0</v>
      </c>
      <c r="AB58" s="467"/>
    </row>
    <row r="59" spans="2:28" ht="21" x14ac:dyDescent="0.35">
      <c r="B59" s="225">
        <v>2</v>
      </c>
      <c r="C59" s="113" t="s">
        <v>340</v>
      </c>
      <c r="D59" s="230">
        <v>2</v>
      </c>
      <c r="E59" s="113" t="s">
        <v>406</v>
      </c>
      <c r="F59" s="226">
        <v>43970</v>
      </c>
      <c r="G59" s="113">
        <f ca="1">SUMIF(سفاجا!$D$8:$D$51,'أخر دفعة'!$C$58:$C$92,بيان.مغاشات.سفاجا[المنحة])</f>
        <v>16411.14</v>
      </c>
      <c r="H59" s="113">
        <f ca="1">SUMIF(سفاجا!$D$8:$D$51,'أخر دفعة'!$C$58:$C$92,بيان.مغاشات.سفاجا[مستحقات])</f>
        <v>0</v>
      </c>
      <c r="I59" s="113">
        <f ca="1">SUMIF(سفاجا!$D$8:$D$51,'أخر دفعة'!$C$58:$C$92,بيان.مغاشات.سفاجا[مقابل نقدي])</f>
        <v>15319.8</v>
      </c>
      <c r="J59" s="113">
        <f ca="1">SUMIF(سفاجا!$D$8:$D$51,'أخر دفعة'!$C$58:$C$92,بيان.مغاشات.سفاجا[إجمالي المستحق])</f>
        <v>31730.94</v>
      </c>
      <c r="K59" s="113">
        <f ca="1">SUMIF(سفاجا!$D$8:$D$51,'أخر دفعة'!$C$58:$C$92,بيان.مغاشات.سفاجا[إجمالي المنصرف])</f>
        <v>11000</v>
      </c>
      <c r="L59" s="113">
        <f ca="1">SUMIF(سفاجا!$D$8:$D$51,'أخر دفعة'!$C$58:$C$92,بيان.مغاشات.سفاجا[المتبقي])</f>
        <v>20730.939999999999</v>
      </c>
      <c r="M59" s="113">
        <f ca="1">SUMIF(سفاجا!$D$8:$D$51,'أخر دفعة'!$C$58:$C$92,بيان.مغاشات.سفاجا[المتبقي بعد 1-])</f>
        <v>20730.939999999999</v>
      </c>
      <c r="N59" s="113">
        <f ca="1">SUMIF(سفاجا!$D$8:$D$51,'أخر دفعة'!$C$58:$C$92,بيان.مغاشات.سفاجا[المتبقي من المنحة])</f>
        <v>5411.1399999999994</v>
      </c>
      <c r="O59" s="113">
        <f ca="1">SUMIF(سفاجا!$D$8:$D$51,'أخر دفعة'!$C$58:$C$92,بيان.مغاشات.سفاجا[التبقي من المنحة بعد 1-])</f>
        <v>5411.1399999999994</v>
      </c>
      <c r="P59" s="46"/>
      <c r="Q59" s="46">
        <v>0</v>
      </c>
      <c r="R59" s="46">
        <v>1500</v>
      </c>
      <c r="S59" s="46">
        <v>0</v>
      </c>
      <c r="T59" s="46">
        <v>0</v>
      </c>
      <c r="U59" s="46">
        <v>1500</v>
      </c>
      <c r="V59" s="46">
        <v>0</v>
      </c>
      <c r="W59" s="46">
        <f ca="1">SUMIF(سفاجا!$D$8:$D$51,'أخر دفعة'!$C$58:$C$92,بيان.مغاشات.سفاجا[يناير-23])</f>
        <v>0</v>
      </c>
      <c r="X59" s="46">
        <f ca="1">SUMIF(سفاجا!$D$8:$D$51,'أخر دفعة'!$C$58:$C$92,بيان.مغاشات.سفاجا[فبراير-23])</f>
        <v>0</v>
      </c>
      <c r="Y59" s="46">
        <f ca="1">SUMIF(سفاجا!$D$8:$D$51,'أخر دفعة'!$C$58:$C$92,بيان.مغاشات.سفاجا[مارس-23])</f>
        <v>2000</v>
      </c>
      <c r="Z59" s="46">
        <f ca="1">SUMIF(سفاجا!$D$8:$D$51,'أخر دفعة'!$C$58:$C$92,بيان.مغاشات.سفاجا[أبريل-23])</f>
        <v>0</v>
      </c>
      <c r="AA59" s="55">
        <f ca="1">SUMIF(سفاجا!$D$8:$D$51,'أخر دفعة'!$C$58:$C$92,بيان.مغاشات.سفاجا[مايو-23])</f>
        <v>0</v>
      </c>
      <c r="AB59" s="467"/>
    </row>
    <row r="60" spans="2:28" ht="21" x14ac:dyDescent="0.35">
      <c r="B60" s="221">
        <v>3</v>
      </c>
      <c r="C60" s="222" t="s">
        <v>341</v>
      </c>
      <c r="D60" s="229">
        <v>3</v>
      </c>
      <c r="E60" s="113" t="s">
        <v>406</v>
      </c>
      <c r="F60" s="224">
        <v>44186</v>
      </c>
      <c r="G60" s="113">
        <f ca="1">SUMIF(سفاجا!$D$8:$D$51,'أخر دفعة'!$C$58:$C$92,بيان.مغاشات.سفاجا[المنحة])</f>
        <v>18816.02</v>
      </c>
      <c r="H60" s="113">
        <f ca="1">SUMIF(سفاجا!$D$8:$D$51,'أخر دفعة'!$C$58:$C$92,بيان.مغاشات.سفاجا[مستحقات])</f>
        <v>0</v>
      </c>
      <c r="I60" s="113">
        <f ca="1">SUMIF(سفاجا!$D$8:$D$51,'أخر دفعة'!$C$58:$C$92,بيان.مغاشات.سفاجا[مقابل نقدي])</f>
        <v>17119.8</v>
      </c>
      <c r="J60" s="113">
        <f ca="1">SUMIF(سفاجا!$D$8:$D$51,'أخر دفعة'!$C$58:$C$92,بيان.مغاشات.سفاجا[إجمالي المستحق])</f>
        <v>35935.82</v>
      </c>
      <c r="K60" s="113">
        <f ca="1">SUMIF(سفاجا!$D$8:$D$51,'أخر دفعة'!$C$58:$C$92,بيان.مغاشات.سفاجا[إجمالي المنصرف])</f>
        <v>15000</v>
      </c>
      <c r="L60" s="113">
        <f ca="1">SUMIF(سفاجا!$D$8:$D$51,'أخر دفعة'!$C$58:$C$92,بيان.مغاشات.سفاجا[المتبقي])</f>
        <v>20935.82</v>
      </c>
      <c r="M60" s="113">
        <f ca="1">SUMIF(سفاجا!$D$8:$D$51,'أخر دفعة'!$C$58:$C$92,بيان.مغاشات.سفاجا[المتبقي بعد 1-])</f>
        <v>20935.82</v>
      </c>
      <c r="N60" s="113">
        <f ca="1">SUMIF(سفاجا!$D$8:$D$51,'أخر دفعة'!$C$58:$C$92,بيان.مغاشات.سفاجا[المتبقي من المنحة])</f>
        <v>3816.0200000000004</v>
      </c>
      <c r="O60" s="113">
        <f ca="1">SUMIF(سفاجا!$D$8:$D$51,'أخر دفعة'!$C$58:$C$92,بيان.مغاشات.سفاجا[التبقي من المنحة بعد 1-])</f>
        <v>3816.0200000000004</v>
      </c>
      <c r="P60" s="46"/>
      <c r="Q60" s="46">
        <v>0</v>
      </c>
      <c r="R60" s="46">
        <v>0</v>
      </c>
      <c r="S60" s="46">
        <v>1500</v>
      </c>
      <c r="T60" s="46">
        <v>0</v>
      </c>
      <c r="U60" s="46">
        <v>3000</v>
      </c>
      <c r="V60" s="46">
        <v>0</v>
      </c>
      <c r="W60" s="46">
        <f ca="1">SUMIF(سفاجا!$D$8:$D$51,'أخر دفعة'!$C$58:$C$92,بيان.مغاشات.سفاجا[يناير-23])</f>
        <v>0</v>
      </c>
      <c r="X60" s="46">
        <f ca="1">SUMIF(سفاجا!$D$8:$D$51,'أخر دفعة'!$C$58:$C$92,بيان.مغاشات.سفاجا[فبراير-23])</f>
        <v>0</v>
      </c>
      <c r="Y60" s="46">
        <f ca="1">SUMIF(سفاجا!$D$8:$D$51,'أخر دفعة'!$C$58:$C$92,بيان.مغاشات.سفاجا[مارس-23])</f>
        <v>0</v>
      </c>
      <c r="Z60" s="46">
        <f ca="1">SUMIF(سفاجا!$D$8:$D$51,'أخر دفعة'!$C$58:$C$92,بيان.مغاشات.سفاجا[أبريل-23])</f>
        <v>0</v>
      </c>
      <c r="AA60" s="55">
        <f ca="1">SUMIF(سفاجا!$D$8:$D$51,'أخر دفعة'!$C$58:$C$92,بيان.مغاشات.سفاجا[مايو-23])</f>
        <v>3000</v>
      </c>
      <c r="AB60" s="467"/>
    </row>
    <row r="61" spans="2:28" ht="21" x14ac:dyDescent="0.35">
      <c r="B61" s="225">
        <v>4</v>
      </c>
      <c r="C61" s="113" t="s">
        <v>469</v>
      </c>
      <c r="D61" s="230">
        <v>4</v>
      </c>
      <c r="E61" s="113" t="s">
        <v>406</v>
      </c>
      <c r="F61" s="226">
        <v>44049</v>
      </c>
      <c r="G61" s="113">
        <f ca="1">SUMIF(سفاجا!$D$8:$D$51,'أخر دفعة'!$C$58:$C$92,بيان.مغاشات.سفاجا[المنحة])</f>
        <v>16481.7</v>
      </c>
      <c r="H61" s="113">
        <f ca="1">SUMIF(سفاجا!$D$8:$D$51,'أخر دفعة'!$C$58:$C$92,بيان.مغاشات.سفاجا[مستحقات])</f>
        <v>0</v>
      </c>
      <c r="I61" s="113">
        <f ca="1">SUMIF(سفاجا!$D$8:$D$51,'أخر دفعة'!$C$58:$C$92,بيان.مغاشات.سفاجا[مقابل نقدي])</f>
        <v>12664.8</v>
      </c>
      <c r="J61" s="113">
        <f ca="1">SUMIF(سفاجا!$D$8:$D$51,'أخر دفعة'!$C$58:$C$92,بيان.مغاشات.سفاجا[إجمالي المستحق])</f>
        <v>29146.5</v>
      </c>
      <c r="K61" s="113">
        <f ca="1">SUMIF(سفاجا!$D$8:$D$51,'أخر دفعة'!$C$58:$C$92,بيان.مغاشات.سفاجا[إجمالي المنصرف])</f>
        <v>12000</v>
      </c>
      <c r="L61" s="113">
        <f ca="1">SUMIF(سفاجا!$D$8:$D$51,'أخر دفعة'!$C$58:$C$92,بيان.مغاشات.سفاجا[المتبقي])</f>
        <v>17146.5</v>
      </c>
      <c r="M61" s="113">
        <f ca="1">SUMIF(سفاجا!$D$8:$D$51,'أخر دفعة'!$C$58:$C$92,بيان.مغاشات.سفاجا[المتبقي بعد 1-])</f>
        <v>17146.5</v>
      </c>
      <c r="N61" s="113">
        <f ca="1">SUMIF(سفاجا!$D$8:$D$51,'أخر دفعة'!$C$58:$C$92,بيان.مغاشات.سفاجا[المتبقي من المنحة])</f>
        <v>4481.7000000000007</v>
      </c>
      <c r="O61" s="113">
        <f ca="1">SUMIF(سفاجا!$D$8:$D$51,'أخر دفعة'!$C$58:$C$92,بيان.مغاشات.سفاجا[التبقي من المنحة بعد 1-])</f>
        <v>4481.7000000000007</v>
      </c>
      <c r="P61" s="46"/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f ca="1">SUMIF(سفاجا!$D$8:$D$51,'أخر دفعة'!$C$58:$C$92,بيان.مغاشات.سفاجا[يناير-23])</f>
        <v>0</v>
      </c>
      <c r="X61" s="46">
        <f ca="1">SUMIF(سفاجا!$D$8:$D$51,'أخر دفعة'!$C$58:$C$92,بيان.مغاشات.سفاجا[فبراير-23])</f>
        <v>0</v>
      </c>
      <c r="Y61" s="46">
        <f ca="1">SUMIF(سفاجا!$D$8:$D$51,'أخر دفعة'!$C$58:$C$92,بيان.مغاشات.سفاجا[مارس-23])</f>
        <v>0</v>
      </c>
      <c r="Z61" s="46">
        <f ca="1">SUMIF(سفاجا!$D$8:$D$51,'أخر دفعة'!$C$58:$C$92,بيان.مغاشات.سفاجا[أبريل-23])</f>
        <v>3500</v>
      </c>
      <c r="AA61" s="55">
        <f ca="1">SUMIF(سفاجا!$D$8:$D$51,'أخر دفعة'!$C$58:$C$92,بيان.مغاشات.سفاجا[مايو-23])</f>
        <v>0</v>
      </c>
      <c r="AB61" s="467"/>
    </row>
    <row r="62" spans="2:28" ht="21" x14ac:dyDescent="0.35">
      <c r="B62" s="221">
        <v>5</v>
      </c>
      <c r="C62" s="222" t="s">
        <v>343</v>
      </c>
      <c r="D62" s="229">
        <v>5</v>
      </c>
      <c r="E62" s="113" t="s">
        <v>406</v>
      </c>
      <c r="F62" s="224">
        <v>43837</v>
      </c>
      <c r="G62" s="113">
        <f ca="1">SUMIF(سفاجا!$D$8:$D$51,'أخر دفعة'!$C$58:$C$92,بيان.مغاشات.سفاجا[المنحة])</f>
        <v>15433.02</v>
      </c>
      <c r="H62" s="113">
        <f ca="1">SUMIF(سفاجا!$D$8:$D$51,'أخر دفعة'!$C$58:$C$92,بيان.مغاشات.سفاجا[مستحقات])</f>
        <v>0</v>
      </c>
      <c r="I62" s="113">
        <f ca="1">SUMIF(سفاجا!$D$8:$D$51,'أخر دفعة'!$C$58:$C$92,بيان.مغاشات.سفاجا[مقابل نقدي])</f>
        <v>8939.7000000000007</v>
      </c>
      <c r="J62" s="113">
        <f ca="1">SUMIF(سفاجا!$D$8:$D$51,'أخر دفعة'!$C$58:$C$92,بيان.مغاشات.سفاجا[إجمالي المستحق])</f>
        <v>24372.720000000001</v>
      </c>
      <c r="K62" s="113">
        <f ca="1">SUMIF(سفاجا!$D$8:$D$51,'أخر دفعة'!$C$58:$C$92,بيان.مغاشات.سفاجا[إجمالي المنصرف])</f>
        <v>17433.02</v>
      </c>
      <c r="L62" s="113">
        <f ca="1">SUMIF(سفاجا!$D$8:$D$51,'أخر دفعة'!$C$58:$C$92,بيان.مغاشات.سفاجا[المتبقي])</f>
        <v>6939.7000000000007</v>
      </c>
      <c r="M62" s="113">
        <f ca="1">SUMIF(سفاجا!$D$8:$D$51,'أخر دفعة'!$C$58:$C$92,بيان.مغاشات.سفاجا[المتبقي بعد 1-])</f>
        <v>6939.7000000000007</v>
      </c>
      <c r="N62" s="113">
        <f ca="1">SUMIF(سفاجا!$D$8:$D$51,'أخر دفعة'!$C$58:$C$92,بيان.مغاشات.سفاجا[المتبقي من المنحة])</f>
        <v>-2000</v>
      </c>
      <c r="O62" s="113">
        <f ca="1">SUMIF(سفاجا!$D$8:$D$51,'أخر دفعة'!$C$58:$C$92,بيان.مغاشات.سفاجا[التبقي من المنحة بعد 1-])</f>
        <v>0</v>
      </c>
      <c r="P62" s="46"/>
      <c r="Q62" s="46">
        <v>0</v>
      </c>
      <c r="R62" s="46">
        <v>0</v>
      </c>
      <c r="S62" s="46">
        <v>1500</v>
      </c>
      <c r="T62" s="46">
        <v>0</v>
      </c>
      <c r="U62" s="46">
        <v>1433.02</v>
      </c>
      <c r="V62" s="46">
        <v>0</v>
      </c>
      <c r="W62" s="46">
        <f ca="1">SUMIF(سفاجا!$D$8:$D$51,'أخر دفعة'!$C$58:$C$92,بيان.مغاشات.سفاجا[يناير-23])</f>
        <v>0</v>
      </c>
      <c r="X62" s="46">
        <f ca="1">SUMIF(سفاجا!$D$8:$D$51,'أخر دفعة'!$C$58:$C$92,بيان.مغاشات.سفاجا[فبراير-23])</f>
        <v>0</v>
      </c>
      <c r="Y62" s="46">
        <f ca="1">SUMIF(سفاجا!$D$8:$D$51,'أخر دفعة'!$C$58:$C$92,بيان.مغاشات.سفاجا[مارس-23])</f>
        <v>2000</v>
      </c>
      <c r="Z62" s="46">
        <f ca="1">SUMIF(سفاجا!$D$8:$D$51,'أخر دفعة'!$C$58:$C$92,بيان.مغاشات.سفاجا[أبريل-23])</f>
        <v>0</v>
      </c>
      <c r="AA62" s="55">
        <f ca="1">SUMIF(سفاجا!$D$8:$D$51,'أخر دفعة'!$C$58:$C$92,بيان.مغاشات.سفاجا[مايو-23])</f>
        <v>0</v>
      </c>
      <c r="AB62" s="467"/>
    </row>
    <row r="63" spans="2:28" ht="21" x14ac:dyDescent="0.35">
      <c r="B63" s="225">
        <v>6</v>
      </c>
      <c r="C63" s="113" t="s">
        <v>345</v>
      </c>
      <c r="D63" s="230">
        <v>6</v>
      </c>
      <c r="E63" s="113" t="s">
        <v>406</v>
      </c>
      <c r="F63" s="226">
        <v>44068</v>
      </c>
      <c r="G63" s="113">
        <f ca="1">SUMIF(سفاجا!$D$8:$D$51,'أخر دفعة'!$C$58:$C$92,بيان.مغاشات.سفاجا[المنحة])</f>
        <v>26433.96</v>
      </c>
      <c r="H63" s="113">
        <f ca="1">SUMIF(سفاجا!$D$8:$D$51,'أخر دفعة'!$C$58:$C$92,بيان.مغاشات.سفاجا[مستحقات])</f>
        <v>0</v>
      </c>
      <c r="I63" s="113">
        <f ca="1">SUMIF(سفاجا!$D$8:$D$51,'أخر دفعة'!$C$58:$C$92,بيان.مغاشات.سفاجا[مقابل نقدي])</f>
        <v>19362.599999999999</v>
      </c>
      <c r="J63" s="113">
        <f ca="1">SUMIF(سفاجا!$D$8:$D$51,'أخر دفعة'!$C$58:$C$92,بيان.مغاشات.سفاجا[إجمالي المستحق])</f>
        <v>45796.56</v>
      </c>
      <c r="K63" s="113">
        <f ca="1">SUMIF(سفاجا!$D$8:$D$51,'أخر دفعة'!$C$58:$C$92,بيان.مغاشات.سفاجا[إجمالي المنصرف])</f>
        <v>14000</v>
      </c>
      <c r="L63" s="113">
        <f ca="1">SUMIF(سفاجا!$D$8:$D$51,'أخر دفعة'!$C$58:$C$92,بيان.مغاشات.سفاجا[المتبقي])</f>
        <v>31796.559999999998</v>
      </c>
      <c r="M63" s="113">
        <f ca="1">SUMIF(سفاجا!$D$8:$D$51,'أخر دفعة'!$C$58:$C$92,بيان.مغاشات.سفاجا[المتبقي بعد 1-])</f>
        <v>31796.559999999998</v>
      </c>
      <c r="N63" s="113">
        <f ca="1">SUMIF(سفاجا!$D$8:$D$51,'أخر دفعة'!$C$58:$C$92,بيان.مغاشات.سفاجا[المتبقي من المنحة])</f>
        <v>12433.96</v>
      </c>
      <c r="O63" s="113">
        <f ca="1">SUMIF(سفاجا!$D$8:$D$51,'أخر دفعة'!$C$58:$C$92,بيان.مغاشات.سفاجا[التبقي من المنحة بعد 1-])</f>
        <v>12433.96</v>
      </c>
      <c r="P63" s="46"/>
      <c r="Q63" s="46">
        <v>0</v>
      </c>
      <c r="R63" s="46">
        <v>0</v>
      </c>
      <c r="S63" s="46">
        <v>0</v>
      </c>
      <c r="T63" s="46">
        <v>0</v>
      </c>
      <c r="U63" s="46">
        <v>2500</v>
      </c>
      <c r="V63" s="46">
        <v>0</v>
      </c>
      <c r="W63" s="46">
        <f ca="1">SUMIF(سفاجا!$D$8:$D$51,'أخر دفعة'!$C$58:$C$92,بيان.مغاشات.سفاجا[يناير-23])</f>
        <v>0</v>
      </c>
      <c r="X63" s="46">
        <f ca="1">SUMIF(سفاجا!$D$8:$D$51,'أخر دفعة'!$C$58:$C$92,بيان.مغاشات.سفاجا[فبراير-23])</f>
        <v>1500</v>
      </c>
      <c r="Y63" s="46">
        <f ca="1">SUMIF(سفاجا!$D$8:$D$51,'أخر دفعة'!$C$58:$C$92,بيان.مغاشات.سفاجا[مارس-23])</f>
        <v>0</v>
      </c>
      <c r="Z63" s="46">
        <f ca="1">SUMIF(سفاجا!$D$8:$D$51,'أخر دفعة'!$C$58:$C$92,بيان.مغاشات.سفاجا[أبريل-23])</f>
        <v>0</v>
      </c>
      <c r="AA63" s="55">
        <f ca="1">SUMIF(سفاجا!$D$8:$D$51,'أخر دفعة'!$C$58:$C$92,بيان.مغاشات.سفاجا[مايو-23])</f>
        <v>1500</v>
      </c>
      <c r="AB63" s="467"/>
    </row>
    <row r="64" spans="2:28" ht="21" x14ac:dyDescent="0.35">
      <c r="B64" s="221">
        <v>7</v>
      </c>
      <c r="C64" s="222" t="s">
        <v>346</v>
      </c>
      <c r="D64" s="229">
        <v>7</v>
      </c>
      <c r="E64" s="113" t="s">
        <v>406</v>
      </c>
      <c r="F64" s="224">
        <v>43370</v>
      </c>
      <c r="G64" s="113">
        <f ca="1">SUMIF(سفاجا!$D$8:$D$51,'أخر دفعة'!$C$58:$C$92,بيان.مغاشات.سفاجا[المنحة])</f>
        <v>15565.74</v>
      </c>
      <c r="H64" s="113">
        <f ca="1">SUMIF(سفاجا!$D$8:$D$51,'أخر دفعة'!$C$58:$C$92,بيان.مغاشات.سفاجا[مستحقات])</f>
        <v>0</v>
      </c>
      <c r="I64" s="113">
        <f ca="1">SUMIF(سفاجا!$D$8:$D$51,'أخر دفعة'!$C$58:$C$92,بيان.مغاشات.سفاجا[مقابل نقدي])</f>
        <v>12451.5</v>
      </c>
      <c r="J64" s="113">
        <f ca="1">SUMIF(سفاجا!$D$8:$D$51,'أخر دفعة'!$C$58:$C$92,بيان.مغاشات.سفاجا[إجمالي المستحق])</f>
        <v>28017.239999999998</v>
      </c>
      <c r="K64" s="113">
        <f ca="1">SUMIF(سفاجا!$D$8:$D$51,'أخر دفعة'!$C$58:$C$92,بيان.مغاشات.سفاجا[إجمالي المنصرف])</f>
        <v>24100</v>
      </c>
      <c r="L64" s="113">
        <f ca="1">SUMIF(سفاجا!$D$8:$D$51,'أخر دفعة'!$C$58:$C$92,بيان.مغاشات.سفاجا[المتبقي])</f>
        <v>3917.239999999998</v>
      </c>
      <c r="M64" s="113">
        <f ca="1">SUMIF(سفاجا!$D$8:$D$51,'أخر دفعة'!$C$58:$C$92,بيان.مغاشات.سفاجا[المتبقي بعد 1-])</f>
        <v>3917.239999999998</v>
      </c>
      <c r="N64" s="113">
        <f ca="1">SUMIF(سفاجا!$D$8:$D$51,'أخر دفعة'!$C$58:$C$92,بيان.مغاشات.سفاجا[المتبقي من المنحة])</f>
        <v>-8534.26</v>
      </c>
      <c r="O64" s="113">
        <f ca="1">SUMIF(سفاجا!$D$8:$D$51,'أخر دفعة'!$C$58:$C$92,بيان.مغاشات.سفاجا[التبقي من المنحة بعد 1-])</f>
        <v>0</v>
      </c>
      <c r="P64" s="46"/>
      <c r="Q64" s="46">
        <v>0</v>
      </c>
      <c r="R64" s="46">
        <v>0</v>
      </c>
      <c r="S64" s="46">
        <v>0</v>
      </c>
      <c r="T64" s="46">
        <v>0</v>
      </c>
      <c r="U64" s="46">
        <v>2000</v>
      </c>
      <c r="V64" s="46">
        <v>0</v>
      </c>
      <c r="W64" s="46">
        <f ca="1">SUMIF(سفاجا!$D$8:$D$51,'أخر دفعة'!$C$58:$C$92,بيان.مغاشات.سفاجا[يناير-23])</f>
        <v>0</v>
      </c>
      <c r="X64" s="46">
        <f ca="1">SUMIF(سفاجا!$D$8:$D$51,'أخر دفعة'!$C$58:$C$92,بيان.مغاشات.سفاجا[فبراير-23])</f>
        <v>0</v>
      </c>
      <c r="Y64" s="46">
        <f ca="1">SUMIF(سفاجا!$D$8:$D$51,'أخر دفعة'!$C$58:$C$92,بيان.مغاشات.سفاجا[مارس-23])</f>
        <v>2500</v>
      </c>
      <c r="Z64" s="46">
        <f ca="1">SUMIF(سفاجا!$D$8:$D$51,'أخر دفعة'!$C$58:$C$92,بيان.مغاشات.سفاجا[أبريل-23])</f>
        <v>0</v>
      </c>
      <c r="AA64" s="55">
        <f ca="1">SUMIF(سفاجا!$D$8:$D$51,'أخر دفعة'!$C$58:$C$92,بيان.مغاشات.سفاجا[مايو-23])</f>
        <v>0</v>
      </c>
      <c r="AB64" s="467"/>
    </row>
    <row r="65" spans="2:28" ht="21" x14ac:dyDescent="0.35">
      <c r="B65" s="225">
        <v>8</v>
      </c>
      <c r="C65" s="113" t="s">
        <v>348</v>
      </c>
      <c r="D65" s="230">
        <v>8</v>
      </c>
      <c r="E65" s="113" t="s">
        <v>406</v>
      </c>
      <c r="F65" s="226">
        <v>43987</v>
      </c>
      <c r="G65" s="113">
        <f ca="1">SUMIF(سفاجا!$D$8:$D$51,'أخر دفعة'!$C$58:$C$92,بيان.مغاشات.سفاجا[المنحة])</f>
        <v>19209</v>
      </c>
      <c r="H65" s="113">
        <f ca="1">SUMIF(سفاجا!$D$8:$D$51,'أخر دفعة'!$C$58:$C$92,بيان.مغاشات.سفاجا[مستحقات])</f>
        <v>0</v>
      </c>
      <c r="I65" s="113">
        <f ca="1">SUMIF(سفاجا!$D$8:$D$51,'أخر دفعة'!$C$58:$C$92,بيان.مغاشات.سفاجا[مقابل نقدي])</f>
        <v>16312.5</v>
      </c>
      <c r="J65" s="113">
        <f ca="1">SUMIF(سفاجا!$D$8:$D$51,'أخر دفعة'!$C$58:$C$92,بيان.مغاشات.سفاجا[إجمالي المستحق])</f>
        <v>35521.5</v>
      </c>
      <c r="K65" s="113">
        <f ca="1">SUMIF(سفاجا!$D$8:$D$51,'أخر دفعة'!$C$58:$C$92,بيان.مغاشات.سفاجا[إجمالي المنصرف])</f>
        <v>14000</v>
      </c>
      <c r="L65" s="113">
        <f ca="1">SUMIF(سفاجا!$D$8:$D$51,'أخر دفعة'!$C$58:$C$92,بيان.مغاشات.سفاجا[المتبقي])</f>
        <v>21521.5</v>
      </c>
      <c r="M65" s="113">
        <f ca="1">SUMIF(سفاجا!$D$8:$D$51,'أخر دفعة'!$C$58:$C$92,بيان.مغاشات.سفاجا[المتبقي بعد 1-])</f>
        <v>21521.5</v>
      </c>
      <c r="N65" s="113">
        <f ca="1">SUMIF(سفاجا!$D$8:$D$51,'أخر دفعة'!$C$58:$C$92,بيان.مغاشات.سفاجا[المتبقي من المنحة])</f>
        <v>5209</v>
      </c>
      <c r="O65" s="113">
        <f ca="1">SUMIF(سفاجا!$D$8:$D$51,'أخر دفعة'!$C$58:$C$92,بيان.مغاشات.سفاجا[التبقي من المنحة بعد 1-])</f>
        <v>5209</v>
      </c>
      <c r="P65" s="46"/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f ca="1">SUMIF(سفاجا!$D$8:$D$51,'أخر دفعة'!$C$58:$C$92,بيان.مغاشات.سفاجا[يناير-23])</f>
        <v>0</v>
      </c>
      <c r="X65" s="46">
        <f ca="1">SUMIF(سفاجا!$D$8:$D$51,'أخر دفعة'!$C$58:$C$92,بيان.مغاشات.سفاجا[فبراير-23])</f>
        <v>0</v>
      </c>
      <c r="Y65" s="46">
        <f ca="1">SUMIF(سفاجا!$D$8:$D$51,'أخر دفعة'!$C$58:$C$92,بيان.مغاشات.سفاجا[مارس-23])</f>
        <v>0</v>
      </c>
      <c r="Z65" s="46">
        <f ca="1">SUMIF(سفاجا!$D$8:$D$51,'أخر دفعة'!$C$58:$C$92,بيان.مغاشات.سفاجا[أبريل-23])</f>
        <v>0</v>
      </c>
      <c r="AA65" s="55">
        <f ca="1">SUMIF(سفاجا!$D$8:$D$51,'أخر دفعة'!$C$58:$C$92,بيان.مغاشات.سفاجا[مايو-23])</f>
        <v>4000</v>
      </c>
      <c r="AB65" s="467"/>
    </row>
    <row r="66" spans="2:28" ht="21" x14ac:dyDescent="0.35">
      <c r="B66" s="225">
        <v>10</v>
      </c>
      <c r="C66" s="113" t="s">
        <v>351</v>
      </c>
      <c r="D66" s="230">
        <v>10</v>
      </c>
      <c r="E66" s="113" t="s">
        <v>406</v>
      </c>
      <c r="F66" s="226">
        <v>43523</v>
      </c>
      <c r="G66" s="113">
        <f ca="1">SUMIF(سفاجا!$D$8:$D$51,'أخر دفعة'!$C$58:$C$92,بيان.مغاشات.سفاجا[المنحة])</f>
        <v>18335.099999999999</v>
      </c>
      <c r="H66" s="113">
        <f ca="1">SUMIF(سفاجا!$D$8:$D$51,'أخر دفعة'!$C$58:$C$92,بيان.مغاشات.سفاجا[مستحقات])</f>
        <v>0</v>
      </c>
      <c r="I66" s="113">
        <f ca="1">SUMIF(سفاجا!$D$8:$D$51,'أخر دفعة'!$C$58:$C$92,بيان.مغاشات.سفاجا[مقابل نقدي])</f>
        <v>12949.45</v>
      </c>
      <c r="J66" s="113">
        <f ca="1">SUMIF(سفاجا!$D$8:$D$51,'أخر دفعة'!$C$58:$C$92,بيان.مغاشات.سفاجا[إجمالي المستحق])</f>
        <v>31284.55</v>
      </c>
      <c r="K66" s="113">
        <f ca="1">SUMIF(سفاجا!$D$8:$D$51,'أخر دفعة'!$C$58:$C$92,بيان.مغاشات.سفاجا[إجمالي المنصرف])</f>
        <v>21035.1</v>
      </c>
      <c r="L66" s="113">
        <f ca="1">SUMIF(سفاجا!$D$8:$D$51,'أخر دفعة'!$C$58:$C$92,بيان.مغاشات.سفاجا[المتبقي])</f>
        <v>10249.450000000001</v>
      </c>
      <c r="M66" s="113">
        <f ca="1">SUMIF(سفاجا!$D$8:$D$51,'أخر دفعة'!$C$58:$C$92,بيان.مغاشات.سفاجا[المتبقي بعد 1-])</f>
        <v>10249.450000000001</v>
      </c>
      <c r="N66" s="113">
        <f ca="1">SUMIF(سفاجا!$D$8:$D$51,'أخر دفعة'!$C$58:$C$92,بيان.مغاشات.سفاجا[المتبقي من المنحة])</f>
        <v>-2700</v>
      </c>
      <c r="O66" s="113">
        <f ca="1">SUMIF(سفاجا!$D$8:$D$51,'أخر دفعة'!$C$58:$C$92,بيان.مغاشات.سفاجا[التبقي من المنحة بعد 1-])</f>
        <v>0</v>
      </c>
      <c r="P66" s="46"/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f ca="1">SUMIF(سفاجا!$D$8:$D$51,'أخر دفعة'!$C$58:$C$92,بيان.مغاشات.سفاجا[يناير-23])</f>
        <v>0</v>
      </c>
      <c r="X66" s="46">
        <f ca="1">SUMIF(سفاجا!$D$8:$D$51,'أخر دفعة'!$C$58:$C$92,بيان.مغاشات.سفاجا[فبراير-23])</f>
        <v>0</v>
      </c>
      <c r="Y66" s="46">
        <f ca="1">SUMIF(سفاجا!$D$8:$D$51,'أخر دفعة'!$C$58:$C$92,بيان.مغاشات.سفاجا[مارس-23])</f>
        <v>0</v>
      </c>
      <c r="Z66" s="46">
        <f ca="1">SUMIF(سفاجا!$D$8:$D$51,'أخر دفعة'!$C$58:$C$92,بيان.مغاشات.سفاجا[أبريل-23])</f>
        <v>0</v>
      </c>
      <c r="AA66" s="55">
        <f ca="1">SUMIF(سفاجا!$D$8:$D$51,'أخر دفعة'!$C$58:$C$92,بيان.مغاشات.سفاجا[مايو-23])</f>
        <v>4035.1</v>
      </c>
      <c r="AB66" s="467"/>
    </row>
    <row r="67" spans="2:28" ht="21" x14ac:dyDescent="0.35">
      <c r="B67" s="225">
        <v>12</v>
      </c>
      <c r="C67" s="113" t="s">
        <v>353</v>
      </c>
      <c r="D67" s="230">
        <v>12</v>
      </c>
      <c r="E67" s="113" t="s">
        <v>406</v>
      </c>
      <c r="F67" s="226">
        <v>43741</v>
      </c>
      <c r="G67" s="113">
        <f ca="1">SUMIF(سفاجا!$D$8:$D$51,'أخر دفعة'!$C$58:$C$92,بيان.مغاشات.سفاجا[المنحة])</f>
        <v>17857.14</v>
      </c>
      <c r="H67" s="113">
        <f ca="1">SUMIF(سفاجا!$D$8:$D$51,'أخر دفعة'!$C$58:$C$92,بيان.مغاشات.سفاجا[مستحقات])</f>
        <v>0</v>
      </c>
      <c r="I67" s="113">
        <f ca="1">SUMIF(سفاجا!$D$8:$D$51,'أخر دفعة'!$C$58:$C$92,بيان.مغاشات.سفاجا[مقابل نقدي])</f>
        <v>12785.6</v>
      </c>
      <c r="J67" s="113">
        <f ca="1">SUMIF(سفاجا!$D$8:$D$51,'أخر دفعة'!$C$58:$C$92,بيان.مغاشات.سفاجا[إجمالي المستحق])</f>
        <v>30642.739999999998</v>
      </c>
      <c r="K67" s="113">
        <f ca="1">SUMIF(سفاجا!$D$8:$D$51,'أخر دفعة'!$C$58:$C$92,بيان.مغاشات.سفاجا[إجمالي المنصرف])</f>
        <v>17857.14</v>
      </c>
      <c r="L67" s="113">
        <f ca="1">SUMIF(سفاجا!$D$8:$D$51,'أخر دفعة'!$C$58:$C$92,بيان.مغاشات.سفاجا[المتبقي])</f>
        <v>12785.599999999999</v>
      </c>
      <c r="M67" s="113">
        <f ca="1">SUMIF(سفاجا!$D$8:$D$51,'أخر دفعة'!$C$58:$C$92,بيان.مغاشات.سفاجا[المتبقي بعد 1-])</f>
        <v>12785.599999999999</v>
      </c>
      <c r="N67" s="113">
        <f ca="1">SUMIF(سفاجا!$D$8:$D$51,'أخر دفعة'!$C$58:$C$92,بيان.مغاشات.سفاجا[المتبقي من المنحة])</f>
        <v>0</v>
      </c>
      <c r="O67" s="113">
        <f ca="1">SUMIF(سفاجا!$D$8:$D$51,'أخر دفعة'!$C$58:$C$92,بيان.مغاشات.سفاجا[التبقي من المنحة بعد 1-])</f>
        <v>0</v>
      </c>
      <c r="P67" s="46"/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2000</v>
      </c>
      <c r="W67" s="46">
        <f ca="1">SUMIF(سفاجا!$D$8:$D$51,'أخر دفعة'!$C$58:$C$92,بيان.مغاشات.سفاجا[يناير-23])</f>
        <v>1500</v>
      </c>
      <c r="X67" s="46">
        <f ca="1">SUMIF(سفاجا!$D$8:$D$51,'أخر دفعة'!$C$58:$C$92,بيان.مغاشات.سفاجا[فبراير-23])</f>
        <v>0</v>
      </c>
      <c r="Y67" s="46">
        <f ca="1">SUMIF(سفاجا!$D$8:$D$51,'أخر دفعة'!$C$58:$C$92,بيان.مغاشات.سفاجا[مارس-23])</f>
        <v>0</v>
      </c>
      <c r="Z67" s="46">
        <f ca="1">SUMIF(سفاجا!$D$8:$D$51,'أخر دفعة'!$C$58:$C$92,بيان.مغاشات.سفاجا[أبريل-23])</f>
        <v>857.14</v>
      </c>
      <c r="AA67" s="55">
        <f ca="1">SUMIF(سفاجا!$D$8:$D$51,'أخر دفعة'!$C$58:$C$92,بيان.مغاشات.سفاجا[مايو-23])</f>
        <v>0</v>
      </c>
      <c r="AB67" s="467"/>
    </row>
    <row r="68" spans="2:28" ht="21" x14ac:dyDescent="0.35">
      <c r="B68" s="221">
        <v>13</v>
      </c>
      <c r="C68" s="222" t="s">
        <v>354</v>
      </c>
      <c r="D68" s="229">
        <v>13</v>
      </c>
      <c r="E68" s="113" t="s">
        <v>406</v>
      </c>
      <c r="F68" s="224">
        <v>43645</v>
      </c>
      <c r="G68" s="113">
        <f ca="1">SUMIF(سفاجا!$D$8:$D$51,'أخر دفعة'!$C$58:$C$92,بيان.مغاشات.سفاجا[المنحة])</f>
        <v>19101.66</v>
      </c>
      <c r="H68" s="113">
        <f ca="1">SUMIF(سفاجا!$D$8:$D$51,'أخر دفعة'!$C$58:$C$92,بيان.مغاشات.سفاجا[مستحقات])</f>
        <v>0</v>
      </c>
      <c r="I68" s="113">
        <f ca="1">SUMIF(سفاجا!$D$8:$D$51,'أخر دفعة'!$C$58:$C$92,بيان.مغاشات.سفاجا[مقابل نقدي])</f>
        <v>14017.88</v>
      </c>
      <c r="J68" s="113">
        <f ca="1">SUMIF(سفاجا!$D$8:$D$51,'أخر دفعة'!$C$58:$C$92,بيان.مغاشات.سفاجا[إجمالي المستحق])</f>
        <v>33119.54</v>
      </c>
      <c r="K68" s="113">
        <f ca="1">SUMIF(سفاجا!$D$8:$D$51,'أخر دفعة'!$C$58:$C$92,بيان.مغاشات.سفاجا[إجمالي المنصرف])</f>
        <v>9500</v>
      </c>
      <c r="L68" s="113">
        <f ca="1">SUMIF(سفاجا!$D$8:$D$51,'أخر دفعة'!$C$58:$C$92,بيان.مغاشات.سفاجا[المتبقي])</f>
        <v>23619.54</v>
      </c>
      <c r="M68" s="113">
        <f ca="1">SUMIF(سفاجا!$D$8:$D$51,'أخر دفعة'!$C$58:$C$92,بيان.مغاشات.سفاجا[المتبقي بعد 1-])</f>
        <v>23619.54</v>
      </c>
      <c r="N68" s="113">
        <f ca="1">SUMIF(سفاجا!$D$8:$D$51,'أخر دفعة'!$C$58:$C$92,بيان.مغاشات.سفاجا[المتبقي من المنحة])</f>
        <v>9601.66</v>
      </c>
      <c r="O68" s="113">
        <f ca="1">SUMIF(سفاجا!$D$8:$D$51,'أخر دفعة'!$C$58:$C$92,بيان.مغاشات.سفاجا[التبقي من المنحة بعد 1-])</f>
        <v>9601.66</v>
      </c>
      <c r="P68" s="46"/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f ca="1">SUMIF(سفاجا!$D$8:$D$51,'أخر دفعة'!$C$58:$C$92,بيان.مغاشات.سفاجا[يناير-23])</f>
        <v>0</v>
      </c>
      <c r="X68" s="46">
        <f ca="1">SUMIF(سفاجا!$D$8:$D$51,'أخر دفعة'!$C$58:$C$92,بيان.مغاشات.سفاجا[فبراير-23])</f>
        <v>0</v>
      </c>
      <c r="Y68" s="46">
        <f ca="1">SUMIF(سفاجا!$D$8:$D$51,'أخر دفعة'!$C$58:$C$92,بيان.مغاشات.سفاجا[مارس-23])</f>
        <v>0</v>
      </c>
      <c r="Z68" s="46">
        <f ca="1">SUMIF(سفاجا!$D$8:$D$51,'أخر دفعة'!$C$58:$C$92,بيان.مغاشات.سفاجا[أبريل-23])</f>
        <v>0</v>
      </c>
      <c r="AA68" s="55">
        <f ca="1">SUMIF(سفاجا!$D$8:$D$51,'أخر دفعة'!$C$58:$C$92,بيان.مغاشات.سفاجا[مايو-23])</f>
        <v>0</v>
      </c>
      <c r="AB68" s="467"/>
    </row>
    <row r="69" spans="2:28" ht="21" x14ac:dyDescent="0.35">
      <c r="B69" s="225">
        <v>14</v>
      </c>
      <c r="C69" s="113" t="s">
        <v>356</v>
      </c>
      <c r="D69" s="230">
        <v>15</v>
      </c>
      <c r="E69" s="113" t="s">
        <v>406</v>
      </c>
      <c r="F69" s="226">
        <v>43771</v>
      </c>
      <c r="G69" s="113">
        <f ca="1">SUMIF(سفاجا!$D$8:$D$51,'أخر دفعة'!$C$58:$C$92,بيان.مغاشات.سفاجا[المنحة])</f>
        <v>18962.740000000002</v>
      </c>
      <c r="H69" s="113">
        <f ca="1">SUMIF(سفاجا!$D$8:$D$51,'أخر دفعة'!$C$58:$C$92,بيان.مغاشات.سفاجا[مستحقات])</f>
        <v>0</v>
      </c>
      <c r="I69" s="113">
        <f ca="1">SUMIF(سفاجا!$D$8:$D$51,'أخر دفعة'!$C$58:$C$92,بيان.مغاشات.سفاجا[مقابل نقدي])</f>
        <v>16470</v>
      </c>
      <c r="J69" s="113">
        <f ca="1">SUMIF(سفاجا!$D$8:$D$51,'أخر دفعة'!$C$58:$C$92,بيان.مغاشات.سفاجا[إجمالي المستحق])</f>
        <v>35432.740000000005</v>
      </c>
      <c r="K69" s="113">
        <f ca="1">SUMIF(سفاجا!$D$8:$D$51,'أخر دفعة'!$C$58:$C$92,بيان.مغاشات.سفاجا[إجمالي المنصرف])</f>
        <v>20562.739999999998</v>
      </c>
      <c r="L69" s="113">
        <f ca="1">SUMIF(سفاجا!$D$8:$D$51,'أخر دفعة'!$C$58:$C$92,بيان.مغاشات.سفاجا[المتبقي])</f>
        <v>14870.000000000007</v>
      </c>
      <c r="M69" s="113">
        <f ca="1">SUMIF(سفاجا!$D$8:$D$51,'أخر دفعة'!$C$58:$C$92,بيان.مغاشات.سفاجا[المتبقي بعد 1-])</f>
        <v>14870.000000000007</v>
      </c>
      <c r="N69" s="113">
        <f ca="1">SUMIF(سفاجا!$D$8:$D$51,'أخر دفعة'!$C$58:$C$92,بيان.مغاشات.سفاجا[المتبقي من المنحة])</f>
        <v>-1599.9999999999964</v>
      </c>
      <c r="O69" s="113">
        <f ca="1">SUMIF(سفاجا!$D$8:$D$51,'أخر دفعة'!$C$58:$C$92,بيان.مغاشات.سفاجا[التبقي من المنحة بعد 1-])</f>
        <v>0</v>
      </c>
      <c r="P69" s="46"/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2427.7399999999998</v>
      </c>
      <c r="W69" s="46">
        <f ca="1">SUMIF(سفاجا!$D$8:$D$51,'أخر دفعة'!$C$58:$C$92,بيان.مغاشات.سفاجا[يناير-23])</f>
        <v>0</v>
      </c>
      <c r="X69" s="46">
        <f ca="1">SUMIF(سفاجا!$D$8:$D$51,'أخر دفعة'!$C$58:$C$92,بيان.مغاشات.سفاجا[فبراير-23])</f>
        <v>0</v>
      </c>
      <c r="Y69" s="46">
        <f ca="1">SUMIF(سفاجا!$D$8:$D$51,'أخر دفعة'!$C$58:$C$92,بيان.مغاشات.سفاجا[مارس-23])</f>
        <v>2500</v>
      </c>
      <c r="Z69" s="46">
        <f ca="1">SUMIF(سفاجا!$D$8:$D$51,'أخر دفعة'!$C$58:$C$92,بيان.مغاشات.سفاجا[أبريل-23])</f>
        <v>0</v>
      </c>
      <c r="AA69" s="55">
        <f ca="1">SUMIF(سفاجا!$D$8:$D$51,'أخر دفعة'!$C$58:$C$92,بيان.مغاشات.سفاجا[مايو-23])</f>
        <v>0</v>
      </c>
      <c r="AB69" s="467"/>
    </row>
    <row r="70" spans="2:28" ht="21" x14ac:dyDescent="0.35">
      <c r="B70" s="221">
        <v>15</v>
      </c>
      <c r="C70" s="222" t="s">
        <v>357</v>
      </c>
      <c r="D70" s="229">
        <v>18</v>
      </c>
      <c r="E70" s="113" t="s">
        <v>406</v>
      </c>
      <c r="F70" s="224">
        <v>42834</v>
      </c>
      <c r="G70" s="113">
        <f ca="1">SUMIF(سفاجا!$D$8:$D$51,'أخر دفعة'!$C$58:$C$92,بيان.مغاشات.سفاجا[المنحة])</f>
        <v>0</v>
      </c>
      <c r="H70" s="113">
        <f ca="1">SUMIF(سفاجا!$D$8:$D$51,'أخر دفعة'!$C$58:$C$92,بيان.مغاشات.سفاجا[مستحقات])</f>
        <v>0</v>
      </c>
      <c r="I70" s="113">
        <f ca="1">SUMIF(سفاجا!$D$8:$D$51,'أخر دفعة'!$C$58:$C$92,بيان.مغاشات.سفاجا[مقابل نقدي])</f>
        <v>10199.700000000001</v>
      </c>
      <c r="J70" s="113">
        <f ca="1">SUMIF(سفاجا!$D$8:$D$51,'أخر دفعة'!$C$58:$C$92,بيان.مغاشات.سفاجا[إجمالي المستحق])</f>
        <v>10199.700000000001</v>
      </c>
      <c r="K70" s="113">
        <f ca="1">SUMIF(سفاجا!$D$8:$D$51,'أخر دفعة'!$C$58:$C$92,بيان.مغاشات.سفاجا[إجمالي المنصرف])</f>
        <v>9000</v>
      </c>
      <c r="L70" s="113">
        <f ca="1">SUMIF(سفاجا!$D$8:$D$51,'أخر دفعة'!$C$58:$C$92,بيان.مغاشات.سفاجا[المتبقي])</f>
        <v>1199.7000000000007</v>
      </c>
      <c r="M70" s="113">
        <f ca="1">SUMIF(سفاجا!$D$8:$D$51,'أخر دفعة'!$C$58:$C$92,بيان.مغاشات.سفاجا[المتبقي بعد 1-])</f>
        <v>1199.7000000000007</v>
      </c>
      <c r="N70" s="113">
        <f ca="1">SUMIF(سفاجا!$D$8:$D$51,'أخر دفعة'!$C$58:$C$92,بيان.مغاشات.سفاجا[المتبقي من المنحة])</f>
        <v>-9000</v>
      </c>
      <c r="O70" s="113">
        <f ca="1">SUMIF(سفاجا!$D$8:$D$51,'أخر دفعة'!$C$58:$C$92,بيان.مغاشات.سفاجا[التبقي من المنحة بعد 1-])</f>
        <v>0</v>
      </c>
      <c r="P70" s="46"/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1500</v>
      </c>
      <c r="W70" s="46">
        <f ca="1">SUMIF(سفاجا!$D$8:$D$51,'أخر دفعة'!$C$58:$C$92,بيان.مغاشات.سفاجا[يناير-23])</f>
        <v>0</v>
      </c>
      <c r="X70" s="46">
        <f ca="1">SUMIF(سفاجا!$D$8:$D$51,'أخر دفعة'!$C$58:$C$92,بيان.مغاشات.سفاجا[فبراير-23])</f>
        <v>0</v>
      </c>
      <c r="Y70" s="46">
        <f ca="1">SUMIF(سفاجا!$D$8:$D$51,'أخر دفعة'!$C$58:$C$92,بيان.مغاشات.سفاجا[مارس-23])</f>
        <v>0</v>
      </c>
      <c r="Z70" s="46">
        <f ca="1">SUMIF(سفاجا!$D$8:$D$51,'أخر دفعة'!$C$58:$C$92,بيان.مغاشات.سفاجا[أبريل-23])</f>
        <v>0</v>
      </c>
      <c r="AA70" s="55">
        <f ca="1">SUMIF(سفاجا!$D$8:$D$51,'أخر دفعة'!$C$58:$C$92,بيان.مغاشات.سفاجا[مايو-23])</f>
        <v>0</v>
      </c>
      <c r="AB70" s="467"/>
    </row>
    <row r="71" spans="2:28" ht="21" x14ac:dyDescent="0.35">
      <c r="B71" s="225">
        <v>16</v>
      </c>
      <c r="C71" s="113" t="s">
        <v>358</v>
      </c>
      <c r="D71" s="230">
        <v>21</v>
      </c>
      <c r="E71" s="113" t="s">
        <v>406</v>
      </c>
      <c r="F71" s="226">
        <v>43155</v>
      </c>
      <c r="G71" s="113">
        <f ca="1">SUMIF(سفاجا!$D$8:$D$51,'أخر دفعة'!$C$58:$C$92,بيان.مغاشات.سفاجا[المنحة])</f>
        <v>0</v>
      </c>
      <c r="H71" s="113">
        <f ca="1">SUMIF(سفاجا!$D$8:$D$51,'أخر دفعة'!$C$58:$C$92,بيان.مغاشات.سفاجا[مستحقات])</f>
        <v>0</v>
      </c>
      <c r="I71" s="113">
        <f ca="1">SUMIF(سفاجا!$D$8:$D$51,'أخر دفعة'!$C$58:$C$92,بيان.مغاشات.سفاجا[مقابل نقدي])</f>
        <v>11330</v>
      </c>
      <c r="J71" s="113">
        <f ca="1">SUMIF(سفاجا!$D$8:$D$51,'أخر دفعة'!$C$58:$C$92,بيان.مغاشات.سفاجا[إجمالي المستحق])</f>
        <v>11330</v>
      </c>
      <c r="K71" s="113">
        <f ca="1">SUMIF(سفاجا!$D$8:$D$51,'أخر دفعة'!$C$58:$C$92,بيان.مغاشات.سفاجا[إجمالي المنصرف])</f>
        <v>7000</v>
      </c>
      <c r="L71" s="113">
        <f ca="1">SUMIF(سفاجا!$D$8:$D$51,'أخر دفعة'!$C$58:$C$92,بيان.مغاشات.سفاجا[المتبقي])</f>
        <v>4330</v>
      </c>
      <c r="M71" s="113">
        <f ca="1">SUMIF(سفاجا!$D$8:$D$51,'أخر دفعة'!$C$58:$C$92,بيان.مغاشات.سفاجا[المتبقي بعد 1-])</f>
        <v>4330</v>
      </c>
      <c r="N71" s="113">
        <f ca="1">SUMIF(سفاجا!$D$8:$D$51,'أخر دفعة'!$C$58:$C$92,بيان.مغاشات.سفاجا[المتبقي من المنحة])</f>
        <v>-7000</v>
      </c>
      <c r="O71" s="113">
        <f ca="1">SUMIF(سفاجا!$D$8:$D$51,'أخر دفعة'!$C$58:$C$92,بيان.مغاشات.سفاجا[التبقي من المنحة بعد 1-])</f>
        <v>0</v>
      </c>
      <c r="P71" s="46"/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f ca="1">SUMIF(سفاجا!$D$8:$D$51,'أخر دفعة'!$C$58:$C$92,بيان.مغاشات.سفاجا[يناير-23])</f>
        <v>0</v>
      </c>
      <c r="X71" s="46">
        <f ca="1">SUMIF(سفاجا!$D$8:$D$51,'أخر دفعة'!$C$58:$C$92,بيان.مغاشات.سفاجا[فبراير-23])</f>
        <v>0</v>
      </c>
      <c r="Y71" s="46">
        <f ca="1">SUMIF(سفاجا!$D$8:$D$51,'أخر دفعة'!$C$58:$C$92,بيان.مغاشات.سفاجا[مارس-23])</f>
        <v>0</v>
      </c>
      <c r="Z71" s="46">
        <f ca="1">SUMIF(سفاجا!$D$8:$D$51,'أخر دفعة'!$C$58:$C$92,بيان.مغاشات.سفاجا[أبريل-23])</f>
        <v>0</v>
      </c>
      <c r="AA71" s="55">
        <f ca="1">SUMIF(سفاجا!$D$8:$D$51,'أخر دفعة'!$C$58:$C$92,بيان.مغاشات.سفاجا[مايو-23])</f>
        <v>0</v>
      </c>
      <c r="AB71" s="467"/>
    </row>
    <row r="72" spans="2:28" ht="21" x14ac:dyDescent="0.35">
      <c r="B72" s="221">
        <v>17</v>
      </c>
      <c r="C72" s="222" t="s">
        <v>359</v>
      </c>
      <c r="D72" s="229">
        <v>23</v>
      </c>
      <c r="E72" s="113" t="s">
        <v>406</v>
      </c>
      <c r="F72" s="224">
        <v>42833</v>
      </c>
      <c r="G72" s="113">
        <f ca="1">SUMIF(سفاجا!$D$8:$D$51,'أخر دفعة'!$C$58:$C$92,بيان.مغاشات.سفاجا[المنحة])</f>
        <v>0</v>
      </c>
      <c r="H72" s="113">
        <f ca="1">SUMIF(سفاجا!$D$8:$D$51,'أخر دفعة'!$C$58:$C$92,بيان.مغاشات.سفاجا[مستحقات])</f>
        <v>0</v>
      </c>
      <c r="I72" s="113">
        <f ca="1">SUMIF(سفاجا!$D$8:$D$51,'أخر دفعة'!$C$58:$C$92,بيان.مغاشات.سفاجا[مقابل نقدي])</f>
        <v>10199.700000000001</v>
      </c>
      <c r="J72" s="113">
        <f ca="1">SUMIF(سفاجا!$D$8:$D$51,'أخر دفعة'!$C$58:$C$92,بيان.مغاشات.سفاجا[إجمالي المستحق])</f>
        <v>10199.700000000001</v>
      </c>
      <c r="K72" s="113">
        <f ca="1">SUMIF(سفاجا!$D$8:$D$51,'أخر دفعة'!$C$58:$C$92,بيان.مغاشات.سفاجا[إجمالي المنصرف])</f>
        <v>5269.7</v>
      </c>
      <c r="L72" s="113">
        <f ca="1">SUMIF(سفاجا!$D$8:$D$51,'أخر دفعة'!$C$58:$C$92,بيان.مغاشات.سفاجا[المتبقي])</f>
        <v>4930.0000000000009</v>
      </c>
      <c r="M72" s="113">
        <f ca="1">SUMIF(سفاجا!$D$8:$D$51,'أخر دفعة'!$C$58:$C$92,بيان.مغاشات.سفاجا[المتبقي بعد 1-])</f>
        <v>4930.0000000000009</v>
      </c>
      <c r="N72" s="113">
        <f ca="1">SUMIF(سفاجا!$D$8:$D$51,'أخر دفعة'!$C$58:$C$92,بيان.مغاشات.سفاجا[المتبقي من المنحة])</f>
        <v>-5269.7</v>
      </c>
      <c r="O72" s="113">
        <f ca="1">SUMIF(سفاجا!$D$8:$D$51,'أخر دفعة'!$C$58:$C$92,بيان.مغاشات.سفاجا[التبقي من المنحة بعد 1-])</f>
        <v>0</v>
      </c>
      <c r="P72" s="46"/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f ca="1">SUMIF(سفاجا!$D$8:$D$51,'أخر دفعة'!$C$58:$C$92,بيان.مغاشات.سفاجا[يناير-23])</f>
        <v>0</v>
      </c>
      <c r="X72" s="46">
        <f ca="1">SUMIF(سفاجا!$D$8:$D$51,'أخر دفعة'!$C$58:$C$92,بيان.مغاشات.سفاجا[فبراير-23])</f>
        <v>0</v>
      </c>
      <c r="Y72" s="46">
        <f ca="1">SUMIF(سفاجا!$D$8:$D$51,'أخر دفعة'!$C$58:$C$92,بيان.مغاشات.سفاجا[مارس-23])</f>
        <v>0</v>
      </c>
      <c r="Z72" s="46">
        <f ca="1">SUMIF(سفاجا!$D$8:$D$51,'أخر دفعة'!$C$58:$C$92,بيان.مغاشات.سفاجا[أبريل-23])</f>
        <v>0</v>
      </c>
      <c r="AA72" s="55">
        <f ca="1">SUMIF(سفاجا!$D$8:$D$51,'أخر دفعة'!$C$58:$C$92,بيان.مغاشات.سفاجا[مايو-23])</f>
        <v>0</v>
      </c>
      <c r="AB72" s="467"/>
    </row>
    <row r="73" spans="2:28" ht="21" x14ac:dyDescent="0.35">
      <c r="B73" s="225">
        <v>18</v>
      </c>
      <c r="C73" s="113" t="s">
        <v>361</v>
      </c>
      <c r="D73" s="230">
        <v>24</v>
      </c>
      <c r="E73" s="113" t="s">
        <v>406</v>
      </c>
      <c r="F73" s="226">
        <v>44069</v>
      </c>
      <c r="G73" s="113">
        <f ca="1">SUMIF(سفاجا!$D$8:$D$51,'أخر دفعة'!$C$58:$C$92,بيان.مغاشات.سفاجا[المنحة])</f>
        <v>21309.84</v>
      </c>
      <c r="H73" s="113">
        <f ca="1">SUMIF(سفاجا!$D$8:$D$51,'أخر دفعة'!$C$58:$C$92,بيان.مغاشات.سفاجا[مستحقات])</f>
        <v>0</v>
      </c>
      <c r="I73" s="113">
        <f ca="1">SUMIF(سفاجا!$D$8:$D$51,'أخر دفعة'!$C$58:$C$92,بيان.مغاشات.سفاجا[مقابل نقدي])</f>
        <v>17447.400000000001</v>
      </c>
      <c r="J73" s="113">
        <f ca="1">SUMIF(سفاجا!$D$8:$D$51,'أخر دفعة'!$C$58:$C$92,بيان.مغاشات.سفاجا[إجمالي المستحق])</f>
        <v>38757.240000000005</v>
      </c>
      <c r="K73" s="113">
        <f ca="1">SUMIF(سفاجا!$D$8:$D$51,'أخر دفعة'!$C$58:$C$92,بيان.مغاشات.سفاجا[إجمالي المنصرف])</f>
        <v>13000</v>
      </c>
      <c r="L73" s="113">
        <f ca="1">SUMIF(سفاجا!$D$8:$D$51,'أخر دفعة'!$C$58:$C$92,بيان.مغاشات.سفاجا[المتبقي])</f>
        <v>25757.240000000005</v>
      </c>
      <c r="M73" s="113">
        <f ca="1">SUMIF(سفاجا!$D$8:$D$51,'أخر دفعة'!$C$58:$C$92,بيان.مغاشات.سفاجا[المتبقي بعد 1-])</f>
        <v>25757.240000000005</v>
      </c>
      <c r="N73" s="113">
        <f ca="1">SUMIF(سفاجا!$D$8:$D$51,'أخر دفعة'!$C$58:$C$92,بيان.مغاشات.سفاجا[المتبقي من المنحة])</f>
        <v>8309.84</v>
      </c>
      <c r="O73" s="113">
        <f ca="1">SUMIF(سفاجا!$D$8:$D$51,'أخر دفعة'!$C$58:$C$92,بيان.مغاشات.سفاجا[التبقي من المنحة بعد 1-])</f>
        <v>8309.84</v>
      </c>
      <c r="P73" s="46"/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2000</v>
      </c>
      <c r="W73" s="46">
        <f ca="1">SUMIF(سفاجا!$D$8:$D$51,'أخر دفعة'!$C$58:$C$92,بيان.مغاشات.سفاجا[يناير-23])</f>
        <v>0</v>
      </c>
      <c r="X73" s="46">
        <f ca="1">SUMIF(سفاجا!$D$8:$D$51,'أخر دفعة'!$C$58:$C$92,بيان.مغاشات.سفاجا[فبراير-23])</f>
        <v>0</v>
      </c>
      <c r="Y73" s="46">
        <f ca="1">SUMIF(سفاجا!$D$8:$D$51,'أخر دفعة'!$C$58:$C$92,بيان.مغاشات.سفاجا[مارس-23])</f>
        <v>2500</v>
      </c>
      <c r="Z73" s="46">
        <f ca="1">SUMIF(سفاجا!$D$8:$D$51,'أخر دفعة'!$C$58:$C$92,بيان.مغاشات.سفاجا[أبريل-23])</f>
        <v>0</v>
      </c>
      <c r="AA73" s="55">
        <f ca="1">SUMIF(سفاجا!$D$8:$D$51,'أخر دفعة'!$C$58:$C$92,بيان.مغاشات.سفاجا[مايو-23])</f>
        <v>0</v>
      </c>
      <c r="AB73" s="467"/>
    </row>
    <row r="74" spans="2:28" ht="21" x14ac:dyDescent="0.35">
      <c r="B74" s="221">
        <v>19</v>
      </c>
      <c r="C74" s="222" t="s">
        <v>362</v>
      </c>
      <c r="D74" s="229">
        <v>25</v>
      </c>
      <c r="E74" s="113" t="s">
        <v>406</v>
      </c>
      <c r="F74" s="224">
        <v>43363</v>
      </c>
      <c r="G74" s="113">
        <f ca="1">SUMIF(سفاجا!$D$8:$D$51,'أخر دفعة'!$C$58:$C$92,بيان.مغاشات.سفاجا[المنحة])</f>
        <v>15072.6</v>
      </c>
      <c r="H74" s="113">
        <f ca="1">SUMIF(سفاجا!$D$8:$D$51,'أخر دفعة'!$C$58:$C$92,بيان.مغاشات.سفاجا[مستحقات])</f>
        <v>0</v>
      </c>
      <c r="I74" s="113">
        <f ca="1">SUMIF(سفاجا!$D$8:$D$51,'أخر دفعة'!$C$58:$C$92,بيان.مغاشات.سفاجا[مقابل نقدي])</f>
        <v>12359.7</v>
      </c>
      <c r="J74" s="113">
        <f ca="1">SUMIF(سفاجا!$D$8:$D$51,'أخر دفعة'!$C$58:$C$92,بيان.مغاشات.سفاجا[إجمالي المستحق])</f>
        <v>27432.300000000003</v>
      </c>
      <c r="K74" s="113">
        <f ca="1">SUMIF(سفاجا!$D$8:$D$51,'أخر دفعة'!$C$58:$C$92,بيان.مغاشات.سفاجا[إجمالي المنصرف])</f>
        <v>24100</v>
      </c>
      <c r="L74" s="113">
        <f ca="1">SUMIF(سفاجا!$D$8:$D$51,'أخر دفعة'!$C$58:$C$92,بيان.مغاشات.سفاجا[المتبقي])</f>
        <v>3332.3000000000029</v>
      </c>
      <c r="M74" s="113">
        <f ca="1">SUMIF(سفاجا!$D$8:$D$51,'أخر دفعة'!$C$58:$C$92,بيان.مغاشات.سفاجا[المتبقي بعد 1-])</f>
        <v>3332.3000000000029</v>
      </c>
      <c r="N74" s="113">
        <f ca="1">SUMIF(سفاجا!$D$8:$D$51,'أخر دفعة'!$C$58:$C$92,بيان.مغاشات.سفاجا[المتبقي من المنحة])</f>
        <v>-9027.4</v>
      </c>
      <c r="O74" s="113">
        <f ca="1">SUMIF(سفاجا!$D$8:$D$51,'أخر دفعة'!$C$58:$C$92,بيان.مغاشات.سفاجا[التبقي من المنحة بعد 1-])</f>
        <v>0</v>
      </c>
      <c r="P74" s="46"/>
      <c r="Q74" s="46">
        <v>0</v>
      </c>
      <c r="R74" s="46">
        <v>0</v>
      </c>
      <c r="S74" s="46">
        <v>0</v>
      </c>
      <c r="T74" s="46">
        <v>0</v>
      </c>
      <c r="U74" s="46">
        <v>2000</v>
      </c>
      <c r="V74" s="46">
        <v>0</v>
      </c>
      <c r="W74" s="46">
        <f ca="1">SUMIF(سفاجا!$D$8:$D$51,'أخر دفعة'!$C$58:$C$92,بيان.مغاشات.سفاجا[يناير-23])</f>
        <v>0</v>
      </c>
      <c r="X74" s="46">
        <f ca="1">SUMIF(سفاجا!$D$8:$D$51,'أخر دفعة'!$C$58:$C$92,بيان.مغاشات.سفاجا[فبراير-23])</f>
        <v>0</v>
      </c>
      <c r="Y74" s="46">
        <f ca="1">SUMIF(سفاجا!$D$8:$D$51,'أخر دفعة'!$C$58:$C$92,بيان.مغاشات.سفاجا[مارس-23])</f>
        <v>2500</v>
      </c>
      <c r="Z74" s="46">
        <f ca="1">SUMIF(سفاجا!$D$8:$D$51,'أخر دفعة'!$C$58:$C$92,بيان.مغاشات.سفاجا[أبريل-23])</f>
        <v>0</v>
      </c>
      <c r="AA74" s="55">
        <f ca="1">SUMIF(سفاجا!$D$8:$D$51,'أخر دفعة'!$C$58:$C$92,بيان.مغاشات.سفاجا[مايو-23])</f>
        <v>0</v>
      </c>
      <c r="AB74" s="467"/>
    </row>
    <row r="75" spans="2:28" ht="21" x14ac:dyDescent="0.35">
      <c r="B75" s="225">
        <v>20</v>
      </c>
      <c r="C75" s="113" t="s">
        <v>363</v>
      </c>
      <c r="D75" s="230">
        <v>26</v>
      </c>
      <c r="E75" s="113" t="s">
        <v>406</v>
      </c>
      <c r="F75" s="226">
        <v>43010</v>
      </c>
      <c r="G75" s="113">
        <f ca="1">SUMIF(سفاجا!$D$8:$D$51,'أخر دفعة'!$C$58:$C$92,بيان.مغاشات.سفاجا[المنحة])</f>
        <v>0</v>
      </c>
      <c r="H75" s="113">
        <f ca="1">SUMIF(سفاجا!$D$8:$D$51,'أخر دفعة'!$C$58:$C$92,بيان.مغاشات.سفاجا[مستحقات])</f>
        <v>0</v>
      </c>
      <c r="I75" s="113">
        <f ca="1">SUMIF(سفاجا!$D$8:$D$51,'أخر دفعة'!$C$58:$C$92,بيان.مغاشات.سفاجا[مقابل نقدي])</f>
        <v>10000.799999999999</v>
      </c>
      <c r="J75" s="113">
        <f ca="1">SUMIF(سفاجا!$D$8:$D$51,'أخر دفعة'!$C$58:$C$92,بيان.مغاشات.سفاجا[إجمالي المستحق])</f>
        <v>10000.799999999999</v>
      </c>
      <c r="K75" s="113">
        <f ca="1">SUMIF(سفاجا!$D$8:$D$51,'أخر دفعة'!$C$58:$C$92,بيان.مغاشات.سفاجا[إجمالي المنصرف])</f>
        <v>7560.74</v>
      </c>
      <c r="L75" s="113">
        <f ca="1">SUMIF(سفاجا!$D$8:$D$51,'أخر دفعة'!$C$58:$C$92,بيان.مغاشات.سفاجا[المتبقي])</f>
        <v>2440.0599999999995</v>
      </c>
      <c r="M75" s="113">
        <f ca="1">SUMIF(سفاجا!$D$8:$D$51,'أخر دفعة'!$C$58:$C$92,بيان.مغاشات.سفاجا[المتبقي بعد 1-])</f>
        <v>2440.0599999999995</v>
      </c>
      <c r="N75" s="113">
        <f ca="1">SUMIF(سفاجا!$D$8:$D$51,'أخر دفعة'!$C$58:$C$92,بيان.مغاشات.سفاجا[المتبقي من المنحة])</f>
        <v>-7560.74</v>
      </c>
      <c r="O75" s="113">
        <f ca="1">SUMIF(سفاجا!$D$8:$D$51,'أخر دفعة'!$C$58:$C$92,بيان.مغاشات.سفاجا[التبقي من المنحة بعد 1-])</f>
        <v>0</v>
      </c>
      <c r="P75" s="46"/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f ca="1">SUMIF(سفاجا!$D$8:$D$51,'أخر دفعة'!$C$58:$C$92,بيان.مغاشات.سفاجا[يناير-23])</f>
        <v>0</v>
      </c>
      <c r="X75" s="46">
        <f ca="1">SUMIF(سفاجا!$D$8:$D$51,'أخر دفعة'!$C$58:$C$92,بيان.مغاشات.سفاجا[فبراير-23])</f>
        <v>0</v>
      </c>
      <c r="Y75" s="46">
        <f ca="1">SUMIF(سفاجا!$D$8:$D$51,'أخر دفعة'!$C$58:$C$92,بيان.مغاشات.سفاجا[مارس-23])</f>
        <v>0</v>
      </c>
      <c r="Z75" s="46">
        <f ca="1">SUMIF(سفاجا!$D$8:$D$51,'أخر دفعة'!$C$58:$C$92,بيان.مغاشات.سفاجا[أبريل-23])</f>
        <v>0</v>
      </c>
      <c r="AA75" s="55">
        <f ca="1">SUMIF(سفاجا!$D$8:$D$51,'أخر دفعة'!$C$58:$C$92,بيان.مغاشات.سفاجا[مايو-23])</f>
        <v>0</v>
      </c>
      <c r="AB75" s="467"/>
    </row>
    <row r="76" spans="2:28" ht="21" x14ac:dyDescent="0.35">
      <c r="B76" s="221">
        <v>21</v>
      </c>
      <c r="C76" s="222" t="s">
        <v>364</v>
      </c>
      <c r="D76" s="229">
        <v>27</v>
      </c>
      <c r="E76" s="113" t="s">
        <v>406</v>
      </c>
      <c r="F76" s="224">
        <v>42737</v>
      </c>
      <c r="G76" s="113">
        <f ca="1">SUMIF(سفاجا!$D$8:$D$51,'أخر دفعة'!$C$58:$C$92,بيان.مغاشات.سفاجا[المنحة])</f>
        <v>1840.14</v>
      </c>
      <c r="H76" s="113">
        <f ca="1">SUMIF(سفاجا!$D$8:$D$51,'أخر دفعة'!$C$58:$C$92,بيان.مغاشات.سفاجا[مستحقات])</f>
        <v>15022.4</v>
      </c>
      <c r="I76" s="113">
        <f ca="1">SUMIF(سفاجا!$D$8:$D$51,'أخر دفعة'!$C$58:$C$92,بيان.مغاشات.سفاجا[مقابل نقدي])</f>
        <v>9870.2999999999993</v>
      </c>
      <c r="J76" s="113">
        <f ca="1">SUMIF(سفاجا!$D$8:$D$51,'أخر دفعة'!$C$58:$C$92,بيان.مغاشات.سفاجا[إجمالي المستحق])</f>
        <v>26732.84</v>
      </c>
      <c r="K76" s="113">
        <f ca="1">SUMIF(سفاجا!$D$8:$D$51,'أخر دفعة'!$C$58:$C$92,بيان.مغاشات.سفاجا[إجمالي المنصرف])</f>
        <v>11568.75</v>
      </c>
      <c r="L76" s="113">
        <f ca="1">SUMIF(سفاجا!$D$8:$D$51,'أخر دفعة'!$C$58:$C$92,بيان.مغاشات.سفاجا[المتبقي])</f>
        <v>15164.09</v>
      </c>
      <c r="M76" s="113">
        <f ca="1">SUMIF(سفاجا!$D$8:$D$51,'أخر دفعة'!$C$58:$C$92,بيان.مغاشات.سفاجا[المتبقي بعد 1-])</f>
        <v>15164.09</v>
      </c>
      <c r="N76" s="113">
        <f ca="1">SUMIF(سفاجا!$D$8:$D$51,'أخر دفعة'!$C$58:$C$92,بيان.مغاشات.سفاجا[المتبقي من المنحة])</f>
        <v>5293.7900000000009</v>
      </c>
      <c r="O76" s="113">
        <f ca="1">SUMIF(سفاجا!$D$8:$D$51,'أخر دفعة'!$C$58:$C$92,بيان.مغاشات.سفاجا[التبقي من المنحة بعد 1-])</f>
        <v>5293.7900000000009</v>
      </c>
      <c r="P76" s="46"/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f ca="1">SUMIF(سفاجا!$D$8:$D$51,'أخر دفعة'!$C$58:$C$92,بيان.مغاشات.سفاجا[يناير-23])</f>
        <v>0</v>
      </c>
      <c r="X76" s="46">
        <f ca="1">SUMIF(سفاجا!$D$8:$D$51,'أخر دفعة'!$C$58:$C$92,بيان.مغاشات.سفاجا[فبراير-23])</f>
        <v>0</v>
      </c>
      <c r="Y76" s="46">
        <f ca="1">SUMIF(سفاجا!$D$8:$D$51,'أخر دفعة'!$C$58:$C$92,بيان.مغاشات.سفاجا[مارس-23])</f>
        <v>0</v>
      </c>
      <c r="Z76" s="46">
        <f ca="1">SUMIF(سفاجا!$D$8:$D$51,'أخر دفعة'!$C$58:$C$92,بيان.مغاشات.سفاجا[أبريل-23])</f>
        <v>0</v>
      </c>
      <c r="AA76" s="55">
        <f ca="1">SUMIF(سفاجا!$D$8:$D$51,'أخر دفعة'!$C$58:$C$92,بيان.مغاشات.سفاجا[مايو-23])</f>
        <v>4000</v>
      </c>
      <c r="AB76" s="467"/>
    </row>
    <row r="77" spans="2:28" ht="21" x14ac:dyDescent="0.35">
      <c r="B77" s="225">
        <v>22</v>
      </c>
      <c r="C77" s="113" t="s">
        <v>365</v>
      </c>
      <c r="D77" s="230">
        <v>29</v>
      </c>
      <c r="E77" s="113" t="s">
        <v>406</v>
      </c>
      <c r="F77" s="226">
        <v>44053</v>
      </c>
      <c r="G77" s="113">
        <f ca="1">SUMIF(سفاجا!$D$8:$D$51,'أخر دفعة'!$C$58:$C$92,بيان.مغاشات.سفاجا[المنحة])</f>
        <v>23007.9</v>
      </c>
      <c r="H77" s="113">
        <f ca="1">SUMIF(سفاجا!$D$8:$D$51,'أخر دفعة'!$C$58:$C$92,بيان.مغاشات.سفاجا[مستحقات])</f>
        <v>0</v>
      </c>
      <c r="I77" s="113">
        <f ca="1">SUMIF(سفاجا!$D$8:$D$51,'أخر دفعة'!$C$58:$C$92,بيان.مغاشات.سفاجا[مقابل نقدي])</f>
        <v>18634.5</v>
      </c>
      <c r="J77" s="113">
        <f ca="1">SUMIF(سفاجا!$D$8:$D$51,'أخر دفعة'!$C$58:$C$92,بيان.مغاشات.سفاجا[إجمالي المستحق])</f>
        <v>41642.400000000001</v>
      </c>
      <c r="K77" s="113">
        <f ca="1">SUMIF(سفاجا!$D$8:$D$51,'أخر دفعة'!$C$58:$C$92,بيان.مغاشات.سفاجا[إجمالي المنصرف])</f>
        <v>16000</v>
      </c>
      <c r="L77" s="113">
        <f ca="1">SUMIF(سفاجا!$D$8:$D$51,'أخر دفعة'!$C$58:$C$92,بيان.مغاشات.سفاجا[المتبقي])</f>
        <v>25642.400000000001</v>
      </c>
      <c r="M77" s="113">
        <f ca="1">SUMIF(سفاجا!$D$8:$D$51,'أخر دفعة'!$C$58:$C$92,بيان.مغاشات.سفاجا[المتبقي بعد 1-])</f>
        <v>25642.400000000001</v>
      </c>
      <c r="N77" s="113">
        <f ca="1">SUMIF(سفاجا!$D$8:$D$51,'أخر دفعة'!$C$58:$C$92,بيان.مغاشات.سفاجا[المتبقي من المنحة])</f>
        <v>7007.9000000000015</v>
      </c>
      <c r="O77" s="113">
        <f ca="1">SUMIF(سفاجا!$D$8:$D$51,'أخر دفعة'!$C$58:$C$92,بيان.مغاشات.سفاجا[التبقي من المنحة بعد 1-])</f>
        <v>7007.9000000000015</v>
      </c>
      <c r="P77" s="46"/>
      <c r="Q77" s="46">
        <v>1000</v>
      </c>
      <c r="R77" s="46">
        <v>0</v>
      </c>
      <c r="S77" s="46">
        <v>1500</v>
      </c>
      <c r="T77" s="46">
        <v>0</v>
      </c>
      <c r="U77" s="46">
        <v>1000</v>
      </c>
      <c r="V77" s="46">
        <v>0</v>
      </c>
      <c r="W77" s="46">
        <f ca="1">SUMIF(سفاجا!$D$8:$D$51,'أخر دفعة'!$C$58:$C$92,بيان.مغاشات.سفاجا[يناير-23])</f>
        <v>1000</v>
      </c>
      <c r="X77" s="46">
        <f ca="1">SUMIF(سفاجا!$D$8:$D$51,'أخر دفعة'!$C$58:$C$92,بيان.مغاشات.سفاجا[فبراير-23])</f>
        <v>0</v>
      </c>
      <c r="Y77" s="46">
        <f ca="1">SUMIF(سفاجا!$D$8:$D$51,'أخر دفعة'!$C$58:$C$92,بيان.مغاشات.سفاجا[مارس-23])</f>
        <v>1000</v>
      </c>
      <c r="Z77" s="46">
        <f ca="1">SUMIF(سفاجا!$D$8:$D$51,'أخر دفعة'!$C$58:$C$92,بيان.مغاشات.سفاجا[أبريل-23])</f>
        <v>0</v>
      </c>
      <c r="AA77" s="55">
        <f ca="1">SUMIF(سفاجا!$D$8:$D$51,'أخر دفعة'!$C$58:$C$92,بيان.مغاشات.سفاجا[مايو-23])</f>
        <v>1500</v>
      </c>
      <c r="AB77" s="467"/>
    </row>
    <row r="78" spans="2:28" ht="21" x14ac:dyDescent="0.35">
      <c r="B78" s="221">
        <v>23</v>
      </c>
      <c r="C78" s="222" t="s">
        <v>366</v>
      </c>
      <c r="D78" s="229">
        <v>33</v>
      </c>
      <c r="E78" s="113" t="s">
        <v>406</v>
      </c>
      <c r="F78" s="224">
        <v>44464</v>
      </c>
      <c r="G78" s="113">
        <f ca="1">SUMIF(سفاجا!$D$8:$D$51,'أخر دفعة'!$C$58:$C$92,بيان.مغاشات.سفاجا[المنحة])</f>
        <v>21228.48</v>
      </c>
      <c r="H78" s="113">
        <f ca="1">SUMIF(سفاجا!$D$8:$D$51,'أخر دفعة'!$C$58:$C$92,بيان.مغاشات.سفاجا[مستحقات])</f>
        <v>0</v>
      </c>
      <c r="I78" s="113">
        <f ca="1">SUMIF(سفاجا!$D$8:$D$51,'أخر دفعة'!$C$58:$C$92,بيان.مغاشات.سفاجا[مقابل نقدي])</f>
        <v>18819.900000000001</v>
      </c>
      <c r="J78" s="113">
        <f ca="1">SUMIF(سفاجا!$D$8:$D$51,'أخر دفعة'!$C$58:$C$92,بيان.مغاشات.سفاجا[إجمالي المستحق])</f>
        <v>40048.380000000005</v>
      </c>
      <c r="K78" s="113">
        <f ca="1">SUMIF(سفاجا!$D$8:$D$51,'أخر دفعة'!$C$58:$C$92,بيان.مغاشات.سفاجا[إجمالي المنصرف])</f>
        <v>7000</v>
      </c>
      <c r="L78" s="113">
        <f ca="1">SUMIF(سفاجا!$D$8:$D$51,'أخر دفعة'!$C$58:$C$92,بيان.مغاشات.سفاجا[المتبقي])</f>
        <v>33048.380000000005</v>
      </c>
      <c r="M78" s="113">
        <f ca="1">SUMIF(سفاجا!$D$8:$D$51,'أخر دفعة'!$C$58:$C$92,بيان.مغاشات.سفاجا[المتبقي بعد 1-])</f>
        <v>33048.380000000005</v>
      </c>
      <c r="N78" s="113">
        <f ca="1">SUMIF(سفاجا!$D$8:$D$51,'أخر دفعة'!$C$58:$C$92,بيان.مغاشات.سفاجا[المتبقي من المنحة])</f>
        <v>14228.48</v>
      </c>
      <c r="O78" s="113">
        <f ca="1">SUMIF(سفاجا!$D$8:$D$51,'أخر دفعة'!$C$58:$C$92,بيان.مغاشات.سفاجا[التبقي من المنحة بعد 1-])</f>
        <v>14228.48</v>
      </c>
      <c r="P78" s="46"/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f ca="1">SUMIF(سفاجا!$D$8:$D$51,'أخر دفعة'!$C$58:$C$92,بيان.مغاشات.سفاجا[يناير-23])</f>
        <v>0</v>
      </c>
      <c r="X78" s="46">
        <f ca="1">SUMIF(سفاجا!$D$8:$D$51,'أخر دفعة'!$C$58:$C$92,بيان.مغاشات.سفاجا[فبراير-23])</f>
        <v>0</v>
      </c>
      <c r="Y78" s="46">
        <f ca="1">SUMIF(سفاجا!$D$8:$D$51,'أخر دفعة'!$C$58:$C$92,بيان.مغاشات.سفاجا[مارس-23])</f>
        <v>0</v>
      </c>
      <c r="Z78" s="46">
        <f ca="1">SUMIF(سفاجا!$D$8:$D$51,'أخر دفعة'!$C$58:$C$92,بيان.مغاشات.سفاجا[أبريل-23])</f>
        <v>0</v>
      </c>
      <c r="AA78" s="55">
        <f ca="1">SUMIF(سفاجا!$D$8:$D$51,'أخر دفعة'!$C$58:$C$92,بيان.مغاشات.سفاجا[مايو-23])</f>
        <v>4000</v>
      </c>
      <c r="AB78" s="467"/>
    </row>
    <row r="79" spans="2:28" ht="21" x14ac:dyDescent="0.35">
      <c r="B79" s="225">
        <v>24</v>
      </c>
      <c r="C79" s="113" t="s">
        <v>367</v>
      </c>
      <c r="D79" s="230">
        <v>34</v>
      </c>
      <c r="E79" s="113" t="s">
        <v>406</v>
      </c>
      <c r="F79" s="226">
        <v>43865</v>
      </c>
      <c r="G79" s="113">
        <f ca="1">SUMIF(سفاجا!$D$8:$D$51,'أخر دفعة'!$C$58:$C$92,بيان.مغاشات.سفاجا[المنحة])</f>
        <v>16903.169999999998</v>
      </c>
      <c r="H79" s="113">
        <f ca="1">SUMIF(سفاجا!$D$8:$D$51,'أخر دفعة'!$C$58:$C$92,بيان.مغاشات.سفاجا[مستحقات])</f>
        <v>0</v>
      </c>
      <c r="I79" s="113">
        <f ca="1">SUMIF(سفاجا!$D$8:$D$51,'أخر دفعة'!$C$58:$C$92,بيان.مغاشات.سفاجا[مقابل نقدي])</f>
        <v>13474.8</v>
      </c>
      <c r="J79" s="113">
        <f ca="1">SUMIF(سفاجا!$D$8:$D$51,'أخر دفعة'!$C$58:$C$92,بيان.مغاشات.سفاجا[إجمالي المستحق])</f>
        <v>30377.969999999998</v>
      </c>
      <c r="K79" s="113">
        <f ca="1">SUMIF(سفاجا!$D$8:$D$51,'أخر دفعة'!$C$58:$C$92,بيان.مغاشات.سفاجا[إجمالي المنصرف])</f>
        <v>16903.169999999998</v>
      </c>
      <c r="L79" s="113">
        <f ca="1">SUMIF(سفاجا!$D$8:$D$51,'أخر دفعة'!$C$58:$C$92,بيان.مغاشات.سفاجا[المتبقي])</f>
        <v>13474.8</v>
      </c>
      <c r="M79" s="113">
        <f ca="1">SUMIF(سفاجا!$D$8:$D$51,'أخر دفعة'!$C$58:$C$92,بيان.مغاشات.سفاجا[المتبقي بعد 1-])</f>
        <v>13474.8</v>
      </c>
      <c r="N79" s="113">
        <f ca="1">SUMIF(سفاجا!$D$8:$D$51,'أخر دفعة'!$C$58:$C$92,بيان.مغاشات.سفاجا[المتبقي من المنحة])</f>
        <v>0</v>
      </c>
      <c r="O79" s="113">
        <f ca="1">SUMIF(سفاجا!$D$8:$D$51,'أخر دفعة'!$C$58:$C$92,بيان.مغاشات.سفاجا[التبقي من المنحة بعد 1-])</f>
        <v>0</v>
      </c>
      <c r="P79" s="46"/>
      <c r="Q79" s="46">
        <v>0</v>
      </c>
      <c r="R79" s="46">
        <v>0</v>
      </c>
      <c r="S79" s="46">
        <v>1500</v>
      </c>
      <c r="T79" s="46">
        <v>0</v>
      </c>
      <c r="U79" s="46">
        <v>2000</v>
      </c>
      <c r="V79" s="46">
        <v>1203.17</v>
      </c>
      <c r="W79" s="46">
        <f ca="1">SUMIF(سفاجا!$D$8:$D$51,'أخر دفعة'!$C$58:$C$92,بيان.مغاشات.سفاجا[يناير-23])</f>
        <v>700</v>
      </c>
      <c r="X79" s="46">
        <f ca="1">SUMIF(سفاجا!$D$8:$D$51,'أخر دفعة'!$C$58:$C$92,بيان.مغاشات.سفاجا[فبراير-23])</f>
        <v>0</v>
      </c>
      <c r="Y79" s="46">
        <f ca="1">SUMIF(سفاجا!$D$8:$D$51,'أخر دفعة'!$C$58:$C$92,بيان.مغاشات.سفاجا[مارس-23])</f>
        <v>0</v>
      </c>
      <c r="Z79" s="46">
        <f ca="1">SUMIF(سفاجا!$D$8:$D$51,'أخر دفعة'!$C$58:$C$92,بيان.مغاشات.سفاجا[أبريل-23])</f>
        <v>0</v>
      </c>
      <c r="AA79" s="55">
        <f ca="1">SUMIF(سفاجا!$D$8:$D$51,'أخر دفعة'!$C$58:$C$92,بيان.مغاشات.سفاجا[مايو-23])</f>
        <v>0</v>
      </c>
      <c r="AB79" s="467"/>
    </row>
    <row r="80" spans="2:28" ht="21" x14ac:dyDescent="0.35">
      <c r="B80" s="221">
        <v>25</v>
      </c>
      <c r="C80" s="222" t="s">
        <v>368</v>
      </c>
      <c r="D80" s="229">
        <v>35</v>
      </c>
      <c r="E80" s="113" t="s">
        <v>406</v>
      </c>
      <c r="F80" s="224">
        <v>44443</v>
      </c>
      <c r="G80" s="113">
        <f ca="1">SUMIF(سفاجا!$D$8:$D$51,'أخر دفعة'!$C$58:$C$92,بيان.مغاشات.سفاجا[المنحة])</f>
        <v>12423.95</v>
      </c>
      <c r="H80" s="113">
        <f ca="1">SUMIF(سفاجا!$D$8:$D$51,'أخر دفعة'!$C$58:$C$92,بيان.مغاشات.سفاجا[مستحقات])</f>
        <v>0</v>
      </c>
      <c r="I80" s="113">
        <f ca="1">SUMIF(سفاجا!$D$8:$D$51,'أخر دفعة'!$C$58:$C$92,بيان.مغاشات.سفاجا[مقابل نقدي])</f>
        <v>13050</v>
      </c>
      <c r="J80" s="113">
        <f ca="1">SUMIF(سفاجا!$D$8:$D$51,'أخر دفعة'!$C$58:$C$92,بيان.مغاشات.سفاجا[إجمالي المستحق])</f>
        <v>25473.95</v>
      </c>
      <c r="K80" s="113">
        <f ca="1">SUMIF(سفاجا!$D$8:$D$51,'أخر دفعة'!$C$58:$C$92,بيان.مغاشات.سفاجا[إجمالي المنصرف])</f>
        <v>6423.95</v>
      </c>
      <c r="L80" s="113">
        <f ca="1">SUMIF(سفاجا!$D$8:$D$51,'أخر دفعة'!$C$58:$C$92,بيان.مغاشات.سفاجا[المتبقي])</f>
        <v>19050</v>
      </c>
      <c r="M80" s="113">
        <f ca="1">SUMIF(سفاجا!$D$8:$D$51,'أخر دفعة'!$C$58:$C$92,بيان.مغاشات.سفاجا[المتبقي بعد 1-])</f>
        <v>19050</v>
      </c>
      <c r="N80" s="113">
        <f ca="1">SUMIF(سفاجا!$D$8:$D$51,'أخر دفعة'!$C$58:$C$92,بيان.مغاشات.سفاجا[المتبقي من المنحة])</f>
        <v>6000.0000000000009</v>
      </c>
      <c r="O80" s="113">
        <f ca="1">SUMIF(سفاجا!$D$8:$D$51,'أخر دفعة'!$C$58:$C$92,بيان.مغاشات.سفاجا[التبقي من المنحة بعد 1-])</f>
        <v>6000.0000000000009</v>
      </c>
      <c r="P80" s="46"/>
      <c r="Q80" s="46">
        <v>0</v>
      </c>
      <c r="R80" s="46">
        <v>1000</v>
      </c>
      <c r="S80" s="46">
        <v>0</v>
      </c>
      <c r="T80" s="46">
        <v>0</v>
      </c>
      <c r="U80" s="46">
        <v>500</v>
      </c>
      <c r="V80" s="46">
        <v>1923.95</v>
      </c>
      <c r="W80" s="46">
        <f ca="1">SUMIF(سفاجا!$D$8:$D$51,'أخر دفعة'!$C$58:$C$92,بيان.مغاشات.سفاجا[يناير-23])</f>
        <v>500</v>
      </c>
      <c r="X80" s="46">
        <f ca="1">SUMIF(سفاجا!$D$8:$D$51,'أخر دفعة'!$C$58:$C$92,بيان.مغاشات.سفاجا[فبراير-23])</f>
        <v>0</v>
      </c>
      <c r="Y80" s="46">
        <f ca="1">SUMIF(سفاجا!$D$8:$D$51,'أخر دفعة'!$C$58:$C$92,بيان.مغاشات.سفاجا[مارس-23])</f>
        <v>0</v>
      </c>
      <c r="Z80" s="46">
        <f ca="1">SUMIF(سفاجا!$D$8:$D$51,'أخر دفعة'!$C$58:$C$92,بيان.مغاشات.سفاجا[أبريل-23])</f>
        <v>0</v>
      </c>
      <c r="AA80" s="55">
        <f ca="1">SUMIF(سفاجا!$D$8:$D$51,'أخر دفعة'!$C$58:$C$92,بيان.مغاشات.سفاجا[مايو-23])</f>
        <v>0</v>
      </c>
      <c r="AB80" s="467"/>
    </row>
    <row r="81" spans="2:28" ht="21" x14ac:dyDescent="0.35">
      <c r="B81" s="225">
        <v>26</v>
      </c>
      <c r="C81" s="113" t="s">
        <v>369</v>
      </c>
      <c r="D81" s="230">
        <v>36</v>
      </c>
      <c r="E81" s="113" t="s">
        <v>406</v>
      </c>
      <c r="F81" s="226">
        <v>44538</v>
      </c>
      <c r="G81" s="113">
        <f ca="1">SUMIF(سفاجا!$D$8:$D$51,'أخر دفعة'!$C$58:$C$92,بيان.مغاشات.سفاجا[المنحة])</f>
        <v>14432.67</v>
      </c>
      <c r="H81" s="113">
        <f ca="1">SUMIF(سفاجا!$D$8:$D$51,'أخر دفعة'!$C$58:$C$92,بيان.مغاشات.سفاجا[مستحقات])</f>
        <v>0</v>
      </c>
      <c r="I81" s="113">
        <f ca="1">SUMIF(سفاجا!$D$8:$D$51,'أخر دفعة'!$C$58:$C$92,بيان.مغاشات.سفاجا[مقابل نقدي])</f>
        <v>12632.5</v>
      </c>
      <c r="J81" s="113">
        <f ca="1">SUMIF(سفاجا!$D$8:$D$51,'أخر دفعة'!$C$58:$C$92,بيان.مغاشات.سفاجا[إجمالي المستحق])</f>
        <v>27065.17</v>
      </c>
      <c r="K81" s="113">
        <f ca="1">SUMIF(سفاجا!$D$8:$D$51,'أخر دفعة'!$C$58:$C$92,بيان.مغاشات.سفاجا[إجمالي المنصرف])</f>
        <v>8000</v>
      </c>
      <c r="L81" s="113">
        <f ca="1">SUMIF(سفاجا!$D$8:$D$51,'أخر دفعة'!$C$58:$C$92,بيان.مغاشات.سفاجا[المتبقي])</f>
        <v>19065.169999999998</v>
      </c>
      <c r="M81" s="113">
        <f ca="1">SUMIF(سفاجا!$D$8:$D$51,'أخر دفعة'!$C$58:$C$92,بيان.مغاشات.سفاجا[المتبقي بعد 1-])</f>
        <v>19065.169999999998</v>
      </c>
      <c r="N81" s="113">
        <f ca="1">SUMIF(سفاجا!$D$8:$D$51,'أخر دفعة'!$C$58:$C$92,بيان.مغاشات.سفاجا[المتبقي من المنحة])</f>
        <v>6432.67</v>
      </c>
      <c r="O81" s="113">
        <f ca="1">SUMIF(سفاجا!$D$8:$D$51,'أخر دفعة'!$C$58:$C$92,بيان.مغاشات.سفاجا[التبقي من المنحة بعد 1-])</f>
        <v>6432.67</v>
      </c>
      <c r="P81" s="46"/>
      <c r="Q81" s="46">
        <v>0</v>
      </c>
      <c r="R81" s="46">
        <v>0</v>
      </c>
      <c r="S81" s="46">
        <v>0</v>
      </c>
      <c r="T81" s="46">
        <v>2000</v>
      </c>
      <c r="U81" s="46">
        <v>0</v>
      </c>
      <c r="V81" s="46">
        <v>0</v>
      </c>
      <c r="W81" s="46">
        <f ca="1">SUMIF(سفاجا!$D$8:$D$51,'أخر دفعة'!$C$58:$C$92,بيان.مغاشات.سفاجا[يناير-23])</f>
        <v>2000</v>
      </c>
      <c r="X81" s="46">
        <f ca="1">SUMIF(سفاجا!$D$8:$D$51,'أخر دفعة'!$C$58:$C$92,بيان.مغاشات.سفاجا[فبراير-23])</f>
        <v>0</v>
      </c>
      <c r="Y81" s="46">
        <f ca="1">SUMIF(سفاجا!$D$8:$D$51,'أخر دفعة'!$C$58:$C$92,بيان.مغاشات.سفاجا[مارس-23])</f>
        <v>1500</v>
      </c>
      <c r="Z81" s="46">
        <f ca="1">SUMIF(سفاجا!$D$8:$D$51,'أخر دفعة'!$C$58:$C$92,بيان.مغاشات.سفاجا[أبريل-23])</f>
        <v>0</v>
      </c>
      <c r="AA81" s="55">
        <f ca="1">SUMIF(سفاجا!$D$8:$D$51,'أخر دفعة'!$C$58:$C$92,بيان.مغاشات.سفاجا[مايو-23])</f>
        <v>0</v>
      </c>
      <c r="AB81" s="467"/>
    </row>
    <row r="82" spans="2:28" ht="21" x14ac:dyDescent="0.35">
      <c r="B82" s="221">
        <v>27</v>
      </c>
      <c r="C82" s="222" t="s">
        <v>370</v>
      </c>
      <c r="D82" s="229">
        <v>37</v>
      </c>
      <c r="E82" s="113" t="s">
        <v>406</v>
      </c>
      <c r="F82" s="224">
        <v>44581</v>
      </c>
      <c r="G82" s="113">
        <f ca="1">SUMIF(سفاجا!$D$8:$D$51,'أخر دفعة'!$C$58:$C$92,بيان.مغاشات.سفاجا[المنحة])</f>
        <v>17086.22</v>
      </c>
      <c r="H82" s="113">
        <f ca="1">SUMIF(سفاجا!$D$8:$D$51,'أخر دفعة'!$C$58:$C$92,بيان.مغاشات.سفاجا[مستحقات])</f>
        <v>0</v>
      </c>
      <c r="I82" s="113">
        <f ca="1">SUMIF(سفاجا!$D$8:$D$51,'أخر دفعة'!$C$58:$C$92,بيان.مغاشات.سفاجا[مقابل نقدي])</f>
        <v>16200</v>
      </c>
      <c r="J82" s="113">
        <f ca="1">SUMIF(سفاجا!$D$8:$D$51,'أخر دفعة'!$C$58:$C$92,بيان.مغاشات.سفاجا[إجمالي المستحق])</f>
        <v>33286.22</v>
      </c>
      <c r="K82" s="113">
        <f ca="1">SUMIF(سفاجا!$D$8:$D$51,'أخر دفعة'!$C$58:$C$92,بيان.مغاشات.سفاجا[إجمالي المنصرف])</f>
        <v>5086.2199999999993</v>
      </c>
      <c r="L82" s="113">
        <f ca="1">SUMIF(سفاجا!$D$8:$D$51,'أخر دفعة'!$C$58:$C$92,بيان.مغاشات.سفاجا[المتبقي])</f>
        <v>28200</v>
      </c>
      <c r="M82" s="113">
        <f ca="1">SUMIF(سفاجا!$D$8:$D$51,'أخر دفعة'!$C$58:$C$92,بيان.مغاشات.سفاجا[المتبقي بعد 1-])</f>
        <v>28200</v>
      </c>
      <c r="N82" s="113">
        <f ca="1">SUMIF(سفاجا!$D$8:$D$51,'أخر دفعة'!$C$58:$C$92,بيان.مغاشات.سفاجا[المتبقي من المنحة])</f>
        <v>12000.000000000002</v>
      </c>
      <c r="O82" s="113">
        <f ca="1">SUMIF(سفاجا!$D$8:$D$51,'أخر دفعة'!$C$58:$C$92,بيان.مغاشات.سفاجا[التبقي من المنحة بعد 1-])</f>
        <v>12000.000000000002</v>
      </c>
      <c r="P82" s="46"/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2086.2199999999998</v>
      </c>
      <c r="W82" s="46">
        <f ca="1">SUMIF(سفاجا!$D$8:$D$51,'أخر دفعة'!$C$58:$C$92,بيان.مغاشات.سفاجا[يناير-23])</f>
        <v>1000</v>
      </c>
      <c r="X82" s="46">
        <f ca="1">SUMIF(سفاجا!$D$8:$D$51,'أخر دفعة'!$C$58:$C$92,بيان.مغاشات.سفاجا[فبراير-23])</f>
        <v>0</v>
      </c>
      <c r="Y82" s="46">
        <f ca="1">SUMIF(سفاجا!$D$8:$D$51,'أخر دفعة'!$C$58:$C$92,بيان.مغاشات.سفاجا[مارس-23])</f>
        <v>0</v>
      </c>
      <c r="Z82" s="46">
        <f ca="1">SUMIF(سفاجا!$D$8:$D$51,'أخر دفعة'!$C$58:$C$92,بيان.مغاشات.سفاجا[أبريل-23])</f>
        <v>0</v>
      </c>
      <c r="AA82" s="55">
        <f ca="1">SUMIF(سفاجا!$D$8:$D$51,'أخر دفعة'!$C$58:$C$92,بيان.مغاشات.سفاجا[مايو-23])</f>
        <v>0</v>
      </c>
      <c r="AB82" s="467"/>
    </row>
    <row r="83" spans="2:28" ht="21" x14ac:dyDescent="0.35">
      <c r="B83" s="225">
        <v>28</v>
      </c>
      <c r="C83" s="113" t="s">
        <v>371</v>
      </c>
      <c r="D83" s="230">
        <v>39</v>
      </c>
      <c r="E83" s="113" t="s">
        <v>406</v>
      </c>
      <c r="F83" s="226">
        <v>44613</v>
      </c>
      <c r="G83" s="113">
        <f ca="1">SUMIF(سفاجا!$D$8:$D$51,'أخر دفعة'!$C$58:$C$92,بيان.مغاشات.سفاجا[المنحة])</f>
        <v>16455.43</v>
      </c>
      <c r="H83" s="113">
        <f ca="1">SUMIF(سفاجا!$D$8:$D$51,'أخر دفعة'!$C$58:$C$92,بيان.مغاشات.سفاجا[مستحقات])</f>
        <v>0</v>
      </c>
      <c r="I83" s="113">
        <f ca="1">SUMIF(سفاجا!$D$8:$D$51,'أخر دفعة'!$C$58:$C$92,بيان.مغاشات.سفاجا[مقابل نقدي])</f>
        <v>18199.8</v>
      </c>
      <c r="J83" s="113">
        <f ca="1">SUMIF(سفاجا!$D$8:$D$51,'أخر دفعة'!$C$58:$C$92,بيان.مغاشات.سفاجا[إجمالي المستحق])</f>
        <v>34655.229999999996</v>
      </c>
      <c r="K83" s="113">
        <f ca="1">SUMIF(سفاجا!$D$8:$D$51,'أخر دفعة'!$C$58:$C$92,بيان.مغاشات.سفاجا[إجمالي المنصرف])</f>
        <v>6955.43</v>
      </c>
      <c r="L83" s="113">
        <f ca="1">SUMIF(سفاجا!$D$8:$D$51,'أخر دفعة'!$C$58:$C$92,بيان.مغاشات.سفاجا[المتبقي])</f>
        <v>27699.799999999996</v>
      </c>
      <c r="M83" s="113">
        <f ca="1">SUMIF(سفاجا!$D$8:$D$51,'أخر دفعة'!$C$58:$C$92,بيان.مغاشات.سفاجا[المتبقي بعد 1-])</f>
        <v>27699.799999999996</v>
      </c>
      <c r="N83" s="113">
        <f ca="1">SUMIF(سفاجا!$D$8:$D$51,'أخر دفعة'!$C$58:$C$92,بيان.مغاشات.سفاجا[المتبقي من المنحة])</f>
        <v>9500</v>
      </c>
      <c r="O83" s="113">
        <f ca="1">SUMIF(سفاجا!$D$8:$D$51,'أخر دفعة'!$C$58:$C$92,بيان.مغاشات.سفاجا[التبقي من المنحة بعد 1-])</f>
        <v>9500</v>
      </c>
      <c r="P83" s="46"/>
      <c r="Q83" s="46">
        <v>0</v>
      </c>
      <c r="R83" s="46">
        <v>0</v>
      </c>
      <c r="S83" s="46">
        <v>0</v>
      </c>
      <c r="T83" s="46">
        <v>2000</v>
      </c>
      <c r="U83" s="46">
        <v>0</v>
      </c>
      <c r="V83" s="46">
        <v>955.43</v>
      </c>
      <c r="W83" s="46">
        <f ca="1">SUMIF(سفاجا!$D$8:$D$51,'أخر دفعة'!$C$58:$C$92,بيان.مغاشات.سفاجا[يناير-23])</f>
        <v>0</v>
      </c>
      <c r="X83" s="46">
        <f ca="1">SUMIF(سفاجا!$D$8:$D$51,'أخر دفعة'!$C$58:$C$92,بيان.مغاشات.سفاجا[فبراير-23])</f>
        <v>0</v>
      </c>
      <c r="Y83" s="46">
        <f ca="1">SUMIF(سفاجا!$D$8:$D$51,'أخر دفعة'!$C$58:$C$92,بيان.مغاشات.سفاجا[مارس-23])</f>
        <v>0</v>
      </c>
      <c r="Z83" s="46">
        <f ca="1">SUMIF(سفاجا!$D$8:$D$51,'أخر دفعة'!$C$58:$C$92,بيان.مغاشات.سفاجا[أبريل-23])</f>
        <v>2000</v>
      </c>
      <c r="AA83" s="55">
        <f ca="1">SUMIF(سفاجا!$D$8:$D$51,'أخر دفعة'!$C$58:$C$92,بيان.مغاشات.سفاجا[مايو-23])</f>
        <v>500</v>
      </c>
      <c r="AB83" s="467"/>
    </row>
    <row r="84" spans="2:28" ht="21" x14ac:dyDescent="0.35">
      <c r="B84" s="221">
        <v>29</v>
      </c>
      <c r="C84" s="222" t="s">
        <v>372</v>
      </c>
      <c r="D84" s="229">
        <v>40</v>
      </c>
      <c r="E84" s="113" t="s">
        <v>406</v>
      </c>
      <c r="F84" s="224">
        <v>44650</v>
      </c>
      <c r="G84" s="113">
        <f ca="1">SUMIF(سفاجا!$D$8:$D$51,'أخر دفعة'!$C$58:$C$92,بيان.مغاشات.سفاجا[المنحة])</f>
        <v>21343.56</v>
      </c>
      <c r="H84" s="113">
        <f ca="1">SUMIF(سفاجا!$D$8:$D$51,'أخر دفعة'!$C$58:$C$92,بيان.مغاشات.سفاجا[مستحقات])</f>
        <v>0</v>
      </c>
      <c r="I84" s="113">
        <f ca="1">SUMIF(سفاجا!$D$8:$D$51,'أخر دفعة'!$C$58:$C$92,بيان.مغاشات.سفاجا[مقابل نقدي])</f>
        <v>19199.7</v>
      </c>
      <c r="J84" s="113">
        <f ca="1">SUMIF(سفاجا!$D$8:$D$51,'أخر دفعة'!$C$58:$C$92,بيان.مغاشات.سفاجا[إجمالي المستحق])</f>
        <v>40543.26</v>
      </c>
      <c r="K84" s="113">
        <f ca="1">SUMIF(سفاجا!$D$8:$D$51,'أخر دفعة'!$C$58:$C$92,بيان.مغاشات.سفاجا[إجمالي المنصرف])</f>
        <v>5000</v>
      </c>
      <c r="L84" s="113">
        <f ca="1">SUMIF(سفاجا!$D$8:$D$51,'أخر دفعة'!$C$58:$C$92,بيان.مغاشات.سفاجا[المتبقي])</f>
        <v>35543.26</v>
      </c>
      <c r="M84" s="113">
        <f ca="1">SUMIF(سفاجا!$D$8:$D$51,'أخر دفعة'!$C$58:$C$92,بيان.مغاشات.سفاجا[المتبقي بعد 1-])</f>
        <v>35543.26</v>
      </c>
      <c r="N84" s="113">
        <f ca="1">SUMIF(سفاجا!$D$8:$D$51,'أخر دفعة'!$C$58:$C$92,بيان.مغاشات.سفاجا[المتبقي من المنحة])</f>
        <v>16343.560000000001</v>
      </c>
      <c r="O84" s="113">
        <f ca="1">SUMIF(سفاجا!$D$8:$D$51,'أخر دفعة'!$C$58:$C$92,بيان.مغاشات.سفاجا[التبقي من المنحة بعد 1-])</f>
        <v>16343.560000000001</v>
      </c>
      <c r="P84" s="46"/>
      <c r="Q84" s="46">
        <v>0</v>
      </c>
      <c r="R84" s="46">
        <v>0</v>
      </c>
      <c r="S84" s="46">
        <v>0</v>
      </c>
      <c r="T84" s="46">
        <v>0</v>
      </c>
      <c r="U84" s="46">
        <v>2000</v>
      </c>
      <c r="V84" s="46">
        <v>0</v>
      </c>
      <c r="W84" s="46">
        <f ca="1">SUMIF(سفاجا!$D$8:$D$51,'أخر دفعة'!$C$58:$C$92,بيان.مغاشات.سفاجا[يناير-23])</f>
        <v>1500</v>
      </c>
      <c r="X84" s="46">
        <f ca="1">SUMIF(سفاجا!$D$8:$D$51,'أخر دفعة'!$C$58:$C$92,بيان.مغاشات.سفاجا[فبراير-23])</f>
        <v>0</v>
      </c>
      <c r="Y84" s="46">
        <f ca="1">SUMIF(سفاجا!$D$8:$D$51,'أخر دفعة'!$C$58:$C$92,بيان.مغاشات.سفاجا[مارس-23])</f>
        <v>1000</v>
      </c>
      <c r="Z84" s="46">
        <f ca="1">SUMIF(سفاجا!$D$8:$D$51,'أخر دفعة'!$C$58:$C$92,بيان.مغاشات.سفاجا[أبريل-23])</f>
        <v>0</v>
      </c>
      <c r="AA84" s="55">
        <f ca="1">SUMIF(سفاجا!$D$8:$D$51,'أخر دفعة'!$C$58:$C$92,بيان.مغاشات.سفاجا[مايو-23])</f>
        <v>0</v>
      </c>
      <c r="AB84" s="467"/>
    </row>
    <row r="85" spans="2:28" ht="21" x14ac:dyDescent="0.35">
      <c r="B85" s="225">
        <v>30</v>
      </c>
      <c r="C85" s="113" t="s">
        <v>373</v>
      </c>
      <c r="D85" s="230">
        <v>41</v>
      </c>
      <c r="E85" s="113" t="s">
        <v>406</v>
      </c>
      <c r="F85" s="226">
        <v>44671</v>
      </c>
      <c r="G85" s="113">
        <f ca="1">SUMIF(سفاجا!$D$8:$D$51,'أخر دفعة'!$C$58:$C$92,بيان.مغاشات.سفاجا[المنحة])</f>
        <v>21625.439999999999</v>
      </c>
      <c r="H85" s="113">
        <f ca="1">SUMIF(سفاجا!$D$8:$D$51,'أخر دفعة'!$C$58:$C$92,بيان.مغاشات.سفاجا[مستحقات])</f>
        <v>0</v>
      </c>
      <c r="I85" s="113">
        <f ca="1">SUMIF(سفاجا!$D$8:$D$51,'أخر دفعة'!$C$58:$C$92,بيان.مغاشات.سفاجا[مقابل نقدي])</f>
        <v>18000</v>
      </c>
      <c r="J85" s="113">
        <f ca="1">SUMIF(سفاجا!$D$8:$D$51,'أخر دفعة'!$C$58:$C$92,بيان.مغاشات.سفاجا[إجمالي المستحق])</f>
        <v>39625.440000000002</v>
      </c>
      <c r="K85" s="113">
        <f ca="1">SUMIF(سفاجا!$D$8:$D$51,'أخر دفعة'!$C$58:$C$92,بيان.مغاشات.سفاجا[إجمالي المنصرف])</f>
        <v>5500</v>
      </c>
      <c r="L85" s="113">
        <f ca="1">SUMIF(سفاجا!$D$8:$D$51,'أخر دفعة'!$C$58:$C$92,بيان.مغاشات.سفاجا[المتبقي])</f>
        <v>34125.440000000002</v>
      </c>
      <c r="M85" s="113">
        <f ca="1">SUMIF(سفاجا!$D$8:$D$51,'أخر دفعة'!$C$58:$C$92,بيان.مغاشات.سفاجا[المتبقي بعد 1-])</f>
        <v>34125.440000000002</v>
      </c>
      <c r="N85" s="113">
        <f ca="1">SUMIF(سفاجا!$D$8:$D$51,'أخر دفعة'!$C$58:$C$92,بيان.مغاشات.سفاجا[المتبقي من المنحة])</f>
        <v>16125.439999999999</v>
      </c>
      <c r="O85" s="113">
        <f ca="1">SUMIF(سفاجا!$D$8:$D$51,'أخر دفعة'!$C$58:$C$92,بيان.مغاشات.سفاجا[التبقي من المنحة بعد 1-])</f>
        <v>16125.439999999999</v>
      </c>
      <c r="P85" s="46"/>
      <c r="Q85" s="46">
        <v>0</v>
      </c>
      <c r="R85" s="46">
        <v>0</v>
      </c>
      <c r="S85" s="46">
        <v>0</v>
      </c>
      <c r="T85" s="46">
        <v>0</v>
      </c>
      <c r="U85" s="46">
        <v>3000</v>
      </c>
      <c r="V85" s="46">
        <v>0</v>
      </c>
      <c r="W85" s="46">
        <f ca="1">SUMIF(سفاجا!$D$8:$D$51,'أخر دفعة'!$C$58:$C$92,بيان.مغاشات.سفاجا[يناير-23])</f>
        <v>0</v>
      </c>
      <c r="X85" s="46">
        <f ca="1">SUMIF(سفاجا!$D$8:$D$51,'أخر دفعة'!$C$58:$C$92,بيان.مغاشات.سفاجا[فبراير-23])</f>
        <v>0</v>
      </c>
      <c r="Y85" s="46">
        <f ca="1">SUMIF(سفاجا!$D$8:$D$51,'أخر دفعة'!$C$58:$C$92,بيان.مغاشات.سفاجا[مارس-23])</f>
        <v>2500</v>
      </c>
      <c r="Z85" s="46">
        <f ca="1">SUMIF(سفاجا!$D$8:$D$51,'أخر دفعة'!$C$58:$C$92,بيان.مغاشات.سفاجا[أبريل-23])</f>
        <v>0</v>
      </c>
      <c r="AA85" s="55">
        <f ca="1">SUMIF(سفاجا!$D$8:$D$51,'أخر دفعة'!$C$58:$C$92,بيان.مغاشات.سفاجا[مايو-23])</f>
        <v>0</v>
      </c>
      <c r="AB85" s="467"/>
    </row>
    <row r="86" spans="2:28" ht="21" x14ac:dyDescent="0.35">
      <c r="B86" s="221">
        <v>31</v>
      </c>
      <c r="C86" s="222" t="s">
        <v>374</v>
      </c>
      <c r="D86" s="229">
        <v>42</v>
      </c>
      <c r="E86" s="113" t="s">
        <v>406</v>
      </c>
      <c r="F86" s="224">
        <v>44781</v>
      </c>
      <c r="G86" s="113">
        <f ca="1">SUMIF(سفاجا!$D$8:$D$51,'أخر دفعة'!$C$58:$C$92,بيان.مغاشات.سفاجا[المنحة])</f>
        <v>19193.82</v>
      </c>
      <c r="H86" s="113">
        <f ca="1">SUMIF(سفاجا!$D$8:$D$51,'أخر دفعة'!$C$58:$C$92,بيان.مغاشات.سفاجا[مستحقات])</f>
        <v>0</v>
      </c>
      <c r="I86" s="113">
        <f ca="1">SUMIF(سفاجا!$D$8:$D$51,'أخر دفعة'!$C$58:$C$92,بيان.مغاشات.سفاجا[مقابل نقدي])</f>
        <v>15474.6</v>
      </c>
      <c r="J86" s="113">
        <f ca="1">SUMIF(سفاجا!$D$8:$D$51,'أخر دفعة'!$C$58:$C$92,بيان.مغاشات.سفاجا[إجمالي المستحق])</f>
        <v>34668.42</v>
      </c>
      <c r="K86" s="113">
        <f ca="1">SUMIF(سفاجا!$D$8:$D$51,'أخر دفعة'!$C$58:$C$92,بيان.مغاشات.سفاجا[إجمالي المنصرف])</f>
        <v>3500</v>
      </c>
      <c r="L86" s="113">
        <f ca="1">SUMIF(سفاجا!$D$8:$D$51,'أخر دفعة'!$C$58:$C$92,بيان.مغاشات.سفاجا[المتبقي])</f>
        <v>31168.42</v>
      </c>
      <c r="M86" s="113">
        <f ca="1">SUMIF(سفاجا!$D$8:$D$51,'أخر دفعة'!$C$58:$C$92,بيان.مغاشات.سفاجا[المتبقي بعد 1-])</f>
        <v>31168.42</v>
      </c>
      <c r="N86" s="113">
        <f ca="1">SUMIF(سفاجا!$D$8:$D$51,'أخر دفعة'!$C$58:$C$92,بيان.مغاشات.سفاجا[المتبقي من المنحة])</f>
        <v>15693.82</v>
      </c>
      <c r="O86" s="113">
        <f ca="1">SUMIF(سفاجا!$D$8:$D$51,'أخر دفعة'!$C$58:$C$92,بيان.مغاشات.سفاجا[التبقي من المنحة بعد 1-])</f>
        <v>15693.82</v>
      </c>
      <c r="P86" s="46"/>
      <c r="Q86" s="46">
        <v>0</v>
      </c>
      <c r="R86" s="46">
        <v>0</v>
      </c>
      <c r="S86" s="46">
        <v>0</v>
      </c>
      <c r="T86" s="46">
        <v>1000</v>
      </c>
      <c r="U86" s="46">
        <v>0</v>
      </c>
      <c r="V86" s="46">
        <v>0</v>
      </c>
      <c r="W86" s="46">
        <f ca="1">SUMIF(سفاجا!$D$8:$D$51,'أخر دفعة'!$C$58:$C$92,بيان.مغاشات.سفاجا[يناير-23])</f>
        <v>0</v>
      </c>
      <c r="X86" s="46">
        <f ca="1">SUMIF(سفاجا!$D$8:$D$51,'أخر دفعة'!$C$58:$C$92,بيان.مغاشات.سفاجا[فبراير-23])</f>
        <v>0</v>
      </c>
      <c r="Y86" s="46">
        <f ca="1">SUMIF(سفاجا!$D$8:$D$51,'أخر دفعة'!$C$58:$C$92,بيان.مغاشات.سفاجا[مارس-23])</f>
        <v>2500</v>
      </c>
      <c r="Z86" s="46">
        <f ca="1">SUMIF(سفاجا!$D$8:$D$51,'أخر دفعة'!$C$58:$C$92,بيان.مغاشات.سفاجا[أبريل-23])</f>
        <v>0</v>
      </c>
      <c r="AA86" s="55">
        <f ca="1">SUMIF(سفاجا!$D$8:$D$51,'أخر دفعة'!$C$58:$C$92,بيان.مغاشات.سفاجا[مايو-23])</f>
        <v>0</v>
      </c>
      <c r="AB86" s="467"/>
    </row>
    <row r="87" spans="2:28" ht="21" x14ac:dyDescent="0.35">
      <c r="B87" s="233"/>
      <c r="C87" s="162" t="s">
        <v>72</v>
      </c>
      <c r="D87" s="238"/>
      <c r="E87" s="162" t="s">
        <v>406</v>
      </c>
      <c r="F87" s="235"/>
      <c r="G87" s="162">
        <f ca="1">SUMIF(سفاجا!$D$8:$D$51,'أخر دفعة'!$C$58:$C$92,بيان.مغاشات.سفاجا[المنحة])</f>
        <v>0</v>
      </c>
      <c r="H87" s="162">
        <f ca="1">SUMIF(سفاجا!$D$8:$D$51,'أخر دفعة'!$C$58:$C$92,بيان.مغاشات.سفاجا[مستحقات])</f>
        <v>0</v>
      </c>
      <c r="I87" s="162">
        <f ca="1">SUMIF(سفاجا!$D$8:$D$51,'أخر دفعة'!$C$58:$C$92,بيان.مغاشات.سفاجا[مقابل نقدي])</f>
        <v>0</v>
      </c>
      <c r="J87" s="162">
        <f ca="1">SUMIF(سفاجا!$D$8:$D$51,'أخر دفعة'!$C$58:$C$92,بيان.مغاشات.سفاجا[إجمالي المستحق])</f>
        <v>0</v>
      </c>
      <c r="K87" s="162">
        <f ca="1">SUMIF(سفاجا!$D$8:$D$51,'أخر دفعة'!$C$58:$C$92,بيان.مغاشات.سفاجا[إجمالي المنصرف])</f>
        <v>0</v>
      </c>
      <c r="L87" s="162">
        <f ca="1">SUMIF(سفاجا!$D$8:$D$51,'أخر دفعة'!$C$58:$C$92,بيان.مغاشات.سفاجا[المتبقي])</f>
        <v>0</v>
      </c>
      <c r="M87" s="162">
        <f ca="1">SUMIF(سفاجا!$D$8:$D$51,'أخر دفعة'!$C$58:$C$92,بيان.مغاشات.سفاجا[المتبقي بعد 1-])</f>
        <v>0</v>
      </c>
      <c r="N87" s="162">
        <f ca="1">SUMIF(سفاجا!$D$8:$D$51,'أخر دفعة'!$C$58:$C$92,بيان.مغاشات.سفاجا[المتبقي من المنحة])</f>
        <v>0</v>
      </c>
      <c r="O87" s="162">
        <f ca="1">SUMIF(سفاجا!$D$8:$D$51,'أخر دفعة'!$C$58:$C$92,بيان.مغاشات.سفاجا[التبقي من المنحة بعد 1-])</f>
        <v>0</v>
      </c>
      <c r="P87" s="162"/>
      <c r="Q87" s="162">
        <v>0</v>
      </c>
      <c r="R87" s="162">
        <v>0</v>
      </c>
      <c r="S87" s="162">
        <v>0</v>
      </c>
      <c r="T87" s="162">
        <v>0</v>
      </c>
      <c r="U87" s="162">
        <v>0</v>
      </c>
      <c r="V87" s="162">
        <v>0</v>
      </c>
      <c r="W87" s="162">
        <f ca="1">SUMIF(سفاجا!$D$8:$D$51,'أخر دفعة'!$C$58:$C$92,بيان.مغاشات.سفاجا[يناير-23])</f>
        <v>0</v>
      </c>
      <c r="X87" s="162">
        <f ca="1">SUMIF(سفاجا!$D$8:$D$51,'أخر دفعة'!$C$58:$C$92,بيان.مغاشات.سفاجا[فبراير-23])</f>
        <v>0</v>
      </c>
      <c r="Y87" s="162">
        <f ca="1">SUMIF(سفاجا!$D$8:$D$51,'أخر دفعة'!$C$58:$C$92,بيان.مغاشات.سفاجا[مارس-23])</f>
        <v>0</v>
      </c>
      <c r="Z87" s="162">
        <f ca="1">SUMIF(سفاجا!$D$8:$D$51,'أخر دفعة'!$C$58:$C$92,بيان.مغاشات.سفاجا[أبريل-23])</f>
        <v>0</v>
      </c>
      <c r="AA87" s="236">
        <f ca="1">SUMIF(سفاجا!$D$8:$D$51,'أخر دفعة'!$C$58:$C$92,بيان.مغاشات.سفاجا[مايو-23])</f>
        <v>0</v>
      </c>
      <c r="AB87" s="467"/>
    </row>
    <row r="88" spans="2:28" ht="21" x14ac:dyDescent="0.35">
      <c r="B88" s="221">
        <v>1</v>
      </c>
      <c r="C88" s="222" t="s">
        <v>375</v>
      </c>
      <c r="D88" s="229">
        <v>30</v>
      </c>
      <c r="E88" s="113" t="s">
        <v>406</v>
      </c>
      <c r="F88" s="224">
        <v>43279</v>
      </c>
      <c r="G88" s="113">
        <f ca="1">SUMIF(سفاجا!$D$8:$D$51,'أخر دفعة'!$C$58:$C$92,بيان.مغاشات.سفاجا[المنحة])</f>
        <v>14019.66</v>
      </c>
      <c r="H88" s="113">
        <f ca="1">SUMIF(سفاجا!$D$8:$D$51,'أخر دفعة'!$C$58:$C$92,بيان.مغاشات.سفاجا[مستحقات])</f>
        <v>14314.18</v>
      </c>
      <c r="I88" s="113">
        <f ca="1">SUMIF(سفاجا!$D$8:$D$51,'أخر دفعة'!$C$58:$C$92,بيان.مغاشات.سفاجا[مقابل نقدي])</f>
        <v>11672.85</v>
      </c>
      <c r="J88" s="113">
        <f ca="1">SUMIF(سفاجا!$D$8:$D$51,'أخر دفعة'!$C$58:$C$92,بيان.مغاشات.سفاجا[إجمالي المستحق])</f>
        <v>40006.69</v>
      </c>
      <c r="K88" s="113">
        <f ca="1">SUMIF(سفاجا!$D$8:$D$51,'أخر دفعة'!$C$58:$C$92,بيان.مغاشات.سفاجا[إجمالي المنصرف])</f>
        <v>23874.2</v>
      </c>
      <c r="L88" s="113">
        <f ca="1">SUMIF(سفاجا!$D$8:$D$51,'أخر دفعة'!$C$58:$C$92,بيان.مغاشات.سفاجا[المتبقي])</f>
        <v>16132.490000000002</v>
      </c>
      <c r="M88" s="113">
        <f ca="1">SUMIF(سفاجا!$D$8:$D$51,'أخر دفعة'!$C$58:$C$92,بيان.مغاشات.سفاجا[المتبقي بعد 1-])</f>
        <v>16132.490000000002</v>
      </c>
      <c r="N88" s="113">
        <f ca="1">SUMIF(سفاجا!$D$8:$D$51,'أخر دفعة'!$C$58:$C$92,بيان.مغاشات.سفاجا[المتبقي من المنحة])</f>
        <v>4459.6399999999994</v>
      </c>
      <c r="O88" s="113">
        <f ca="1">SUMIF(سفاجا!$D$8:$D$51,'أخر دفعة'!$C$58:$C$92,بيان.مغاشات.سفاجا[التبقي من المنحة بعد 1-])</f>
        <v>4459.6399999999994</v>
      </c>
      <c r="P88" s="46"/>
      <c r="Q88" s="46">
        <v>0</v>
      </c>
      <c r="R88" s="46">
        <v>0</v>
      </c>
      <c r="S88" s="46">
        <v>0</v>
      </c>
      <c r="T88" s="46">
        <v>0</v>
      </c>
      <c r="U88" s="46">
        <v>0</v>
      </c>
      <c r="V88" s="46">
        <v>1500</v>
      </c>
      <c r="W88" s="46">
        <f ca="1">SUMIF(سفاجا!$D$8:$D$51,'أخر دفعة'!$C$58:$C$92,بيان.مغاشات.سفاجا[يناير-23])</f>
        <v>0</v>
      </c>
      <c r="X88" s="46">
        <f ca="1">SUMIF(سفاجا!$D$8:$D$51,'أخر دفعة'!$C$58:$C$92,بيان.مغاشات.سفاجا[فبراير-23])</f>
        <v>0</v>
      </c>
      <c r="Y88" s="46">
        <f ca="1">SUMIF(سفاجا!$D$8:$D$51,'أخر دفعة'!$C$58:$C$92,بيان.مغاشات.سفاجا[مارس-23])</f>
        <v>0</v>
      </c>
      <c r="Z88" s="46">
        <f ca="1">SUMIF(سفاجا!$D$8:$D$51,'أخر دفعة'!$C$58:$C$92,بيان.مغاشات.سفاجا[أبريل-23])</f>
        <v>0</v>
      </c>
      <c r="AA88" s="55">
        <f ca="1">SUMIF(سفاجا!$D$8:$D$51,'أخر دفعة'!$C$58:$C$92,بيان.مغاشات.سفاجا[مايو-23])</f>
        <v>5192.2</v>
      </c>
      <c r="AB88" s="467"/>
    </row>
    <row r="89" spans="2:28" ht="21" x14ac:dyDescent="0.35">
      <c r="B89" s="225">
        <v>2</v>
      </c>
      <c r="C89" s="113" t="s">
        <v>377</v>
      </c>
      <c r="D89" s="230">
        <v>31</v>
      </c>
      <c r="E89" s="113" t="s">
        <v>406</v>
      </c>
      <c r="F89" s="226">
        <v>44018</v>
      </c>
      <c r="G89" s="113">
        <f ca="1">SUMIF(سفاجا!$D$8:$D$51,'أخر دفعة'!$C$58:$C$92,بيان.مغاشات.سفاجا[المنحة])</f>
        <v>14385.28</v>
      </c>
      <c r="H89" s="113">
        <f ca="1">SUMIF(سفاجا!$D$8:$D$51,'أخر دفعة'!$C$58:$C$92,بيان.مغاشات.سفاجا[مستحقات])</f>
        <v>3698.49</v>
      </c>
      <c r="I89" s="113">
        <f ca="1">SUMIF(سفاجا!$D$8:$D$51,'أخر دفعة'!$C$58:$C$92,بيان.مغاشات.سفاجا[مقابل نقدي])</f>
        <v>7208.52</v>
      </c>
      <c r="J89" s="113">
        <f ca="1">SUMIF(سفاجا!$D$8:$D$51,'أخر دفعة'!$C$58:$C$92,بيان.مغاشات.سفاجا[إجمالي المستحق])</f>
        <v>25292.29</v>
      </c>
      <c r="K89" s="113">
        <f ca="1">SUMIF(سفاجا!$D$8:$D$51,'أخر دفعة'!$C$58:$C$92,بيان.مغاشات.سفاجا[إجمالي المنصرف])</f>
        <v>8510.4699999999993</v>
      </c>
      <c r="L89" s="113">
        <f ca="1">SUMIF(سفاجا!$D$8:$D$51,'أخر دفعة'!$C$58:$C$92,بيان.مغاشات.سفاجا[المتبقي])</f>
        <v>16781.82</v>
      </c>
      <c r="M89" s="113">
        <f ca="1">SUMIF(سفاجا!$D$8:$D$51,'أخر دفعة'!$C$58:$C$92,بيان.مغاشات.سفاجا[المتبقي بعد 1-])</f>
        <v>16781.82</v>
      </c>
      <c r="N89" s="113">
        <f ca="1">SUMIF(سفاجا!$D$8:$D$51,'أخر دفعة'!$C$58:$C$92,بيان.مغاشات.سفاجا[المتبقي من المنحة])</f>
        <v>9573.3000000000011</v>
      </c>
      <c r="O89" s="113">
        <f ca="1">SUMIF(سفاجا!$D$8:$D$51,'أخر دفعة'!$C$58:$C$92,بيان.مغاشات.سفاجا[التبقي من المنحة بعد 1-])</f>
        <v>9573.3000000000011</v>
      </c>
      <c r="P89" s="46"/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1500</v>
      </c>
      <c r="W89" s="46">
        <f ca="1">SUMIF(سفاجا!$D$8:$D$51,'أخر دفعة'!$C$58:$C$92,بيان.مغاشات.سفاجا[يناير-23])</f>
        <v>0</v>
      </c>
      <c r="X89" s="46">
        <f ca="1">SUMIF(سفاجا!$D$8:$D$51,'أخر دفعة'!$C$58:$C$92,بيان.مغاشات.سفاجا[فبراير-23])</f>
        <v>0</v>
      </c>
      <c r="Y89" s="46">
        <f ca="1">SUMIF(سفاجا!$D$8:$D$51,'أخر دفعة'!$C$58:$C$92,بيان.مغاشات.سفاجا[مارس-23])</f>
        <v>0</v>
      </c>
      <c r="Z89" s="46">
        <f ca="1">SUMIF(سفاجا!$D$8:$D$51,'أخر دفعة'!$C$58:$C$92,بيان.مغاشات.سفاجا[أبريل-23])</f>
        <v>0</v>
      </c>
      <c r="AA89" s="55">
        <f ca="1">SUMIF(سفاجا!$D$8:$D$51,'أخر دفعة'!$C$58:$C$92,بيان.مغاشات.سفاجا[مايو-23])</f>
        <v>0</v>
      </c>
      <c r="AB89" s="467"/>
    </row>
    <row r="90" spans="2:28" ht="21" x14ac:dyDescent="0.35">
      <c r="B90" s="221">
        <v>3</v>
      </c>
      <c r="C90" s="222" t="s">
        <v>379</v>
      </c>
      <c r="D90" s="229">
        <v>32</v>
      </c>
      <c r="E90" s="113" t="s">
        <v>406</v>
      </c>
      <c r="F90" s="224">
        <v>44103</v>
      </c>
      <c r="G90" s="113">
        <f ca="1">SUMIF(سفاجا!$D$8:$D$51,'أخر دفعة'!$C$58:$C$92,بيان.مغاشات.سفاجا[المنحة])</f>
        <v>13823.82</v>
      </c>
      <c r="H90" s="113">
        <f ca="1">SUMIF(سفاجا!$D$8:$D$51,'أخر دفعة'!$C$58:$C$92,بيان.مغاشات.سفاجا[مستحقات])</f>
        <v>21427.89</v>
      </c>
      <c r="I90" s="113">
        <f ca="1">SUMIF(سفاجا!$D$8:$D$51,'أخر دفعة'!$C$58:$C$92,بيان.مغاشات.سفاجا[مقابل نقدي])</f>
        <v>11669.4</v>
      </c>
      <c r="J90" s="113">
        <f ca="1">SUMIF(سفاجا!$D$8:$D$51,'أخر دفعة'!$C$58:$C$92,بيان.مغاشات.سفاجا[إجمالي المستحق])</f>
        <v>46921.11</v>
      </c>
      <c r="K90" s="113">
        <f ca="1">SUMIF(سفاجا!$D$8:$D$51,'أخر دفعة'!$C$58:$C$92,بيان.مغاشات.سفاجا[إجمالي المنصرف])</f>
        <v>17934.3</v>
      </c>
      <c r="L90" s="113">
        <f ca="1">SUMIF(سفاجا!$D$8:$D$51,'أخر دفعة'!$C$58:$C$92,بيان.مغاشات.سفاجا[المتبقي])</f>
        <v>28986.81</v>
      </c>
      <c r="M90" s="113">
        <f ca="1">SUMIF(سفاجا!$D$8:$D$51,'أخر دفعة'!$C$58:$C$92,بيان.مغاشات.سفاجا[المتبقي بعد 1-])</f>
        <v>28986.81</v>
      </c>
      <c r="N90" s="113">
        <f ca="1">SUMIF(سفاجا!$D$8:$D$51,'أخر دفعة'!$C$58:$C$92,بيان.مغاشات.سفاجا[المتبقي من المنحة])</f>
        <v>17317.41</v>
      </c>
      <c r="O90" s="113">
        <f ca="1">SUMIF(سفاجا!$D$8:$D$51,'أخر دفعة'!$C$58:$C$92,بيان.مغاشات.سفاجا[التبقي من المنحة بعد 1-])</f>
        <v>17317.41</v>
      </c>
      <c r="P90" s="46"/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1500</v>
      </c>
      <c r="W90" s="46">
        <f ca="1">SUMIF(سفاجا!$D$8:$D$51,'أخر دفعة'!$C$58:$C$92,بيان.مغاشات.سفاجا[يناير-23])</f>
        <v>0</v>
      </c>
      <c r="X90" s="46">
        <f ca="1">SUMIF(سفاجا!$D$8:$D$51,'أخر دفعة'!$C$58:$C$92,بيان.مغاشات.سفاجا[فبراير-23])</f>
        <v>0</v>
      </c>
      <c r="Y90" s="46">
        <f ca="1">SUMIF(سفاجا!$D$8:$D$51,'أخر دفعة'!$C$58:$C$92,بيان.مغاشات.سفاجا[مارس-23])</f>
        <v>0</v>
      </c>
      <c r="Z90" s="46">
        <f ca="1">SUMIF(سفاجا!$D$8:$D$51,'أخر دفعة'!$C$58:$C$92,بيان.مغاشات.سفاجا[أبريل-23])</f>
        <v>0</v>
      </c>
      <c r="AA90" s="55">
        <f ca="1">SUMIF(سفاجا!$D$8:$D$51,'أخر دفعة'!$C$58:$C$92,بيان.مغاشات.سفاجا[مايو-23])</f>
        <v>5167.87</v>
      </c>
      <c r="AB90" s="467"/>
    </row>
    <row r="91" spans="2:28" ht="21" x14ac:dyDescent="0.35">
      <c r="B91" s="225">
        <v>4</v>
      </c>
      <c r="C91" s="113" t="s">
        <v>381</v>
      </c>
      <c r="D91" s="230">
        <v>43</v>
      </c>
      <c r="E91" s="113" t="s">
        <v>406</v>
      </c>
      <c r="F91" s="226">
        <v>44749</v>
      </c>
      <c r="G91" s="113">
        <f ca="1">SUMIF(سفاجا!$D$8:$D$51,'أخر دفعة'!$C$58:$C$92,بيان.مغاشات.سفاجا[المنحة])</f>
        <v>22133.88</v>
      </c>
      <c r="H91" s="113">
        <f ca="1">SUMIF(سفاجا!$D$8:$D$51,'أخر دفعة'!$C$58:$C$92,بيان.مغاشات.سفاجا[مستحقات])</f>
        <v>28855.909999999996</v>
      </c>
      <c r="I91" s="113">
        <f ca="1">SUMIF(سفاجا!$D$8:$D$51,'أخر دفعة'!$C$58:$C$92,بيان.مغاشات.سفاجا[مقابل نقدي])</f>
        <v>19050</v>
      </c>
      <c r="J91" s="113">
        <f ca="1">SUMIF(سفاجا!$D$8:$D$51,'أخر دفعة'!$C$58:$C$92,بيان.مغاشات.سفاجا[إجمالي المستحق])</f>
        <v>70039.789999999994</v>
      </c>
      <c r="K91" s="113">
        <f ca="1">SUMIF(سفاجا!$D$8:$D$51,'أخر دفعة'!$C$58:$C$92,بيان.مغاشات.سفاجا[إجمالي المنصرف])</f>
        <v>0</v>
      </c>
      <c r="L91" s="113">
        <f ca="1">SUMIF(سفاجا!$D$8:$D$51,'أخر دفعة'!$C$58:$C$92,بيان.مغاشات.سفاجا[المتبقي])</f>
        <v>70039.789999999994</v>
      </c>
      <c r="M91" s="113">
        <f ca="1">SUMIF(سفاجا!$D$8:$D$51,'أخر دفعة'!$C$58:$C$92,بيان.مغاشات.سفاجا[المتبقي بعد 1-])</f>
        <v>70039.789999999994</v>
      </c>
      <c r="N91" s="113">
        <f ca="1">SUMIF(سفاجا!$D$8:$D$51,'أخر دفعة'!$C$58:$C$92,بيان.مغاشات.سفاجا[المتبقي من المنحة])</f>
        <v>50989.789999999994</v>
      </c>
      <c r="O91" s="113">
        <f ca="1">SUMIF(سفاجا!$D$8:$D$51,'أخر دفعة'!$C$58:$C$92,بيان.مغاشات.سفاجا[التبقي من المنحة بعد 1-])</f>
        <v>50989.789999999994</v>
      </c>
      <c r="P91" s="46"/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f ca="1">SUMIF(سفاجا!$D$8:$D$51,'أخر دفعة'!$C$58:$C$92,بيان.مغاشات.سفاجا[يناير-23])</f>
        <v>0</v>
      </c>
      <c r="X91" s="46">
        <f ca="1">SUMIF(سفاجا!$D$8:$D$51,'أخر دفعة'!$C$58:$C$92,بيان.مغاشات.سفاجا[فبراير-23])</f>
        <v>0</v>
      </c>
      <c r="Y91" s="46">
        <f ca="1">SUMIF(سفاجا!$D$8:$D$51,'أخر دفعة'!$C$58:$C$92,بيان.مغاشات.سفاجا[مارس-23])</f>
        <v>0</v>
      </c>
      <c r="Z91" s="46">
        <f ca="1">SUMIF(سفاجا!$D$8:$D$51,'أخر دفعة'!$C$58:$C$92,بيان.مغاشات.سفاجا[أبريل-23])</f>
        <v>0</v>
      </c>
      <c r="AA91" s="55">
        <f ca="1">SUMIF(سفاجا!$D$8:$D$51,'أخر دفعة'!$C$58:$C$92,بيان.مغاشات.سفاجا[مايو-23])</f>
        <v>0</v>
      </c>
      <c r="AB91" s="467"/>
    </row>
    <row r="92" spans="2:28" ht="21" x14ac:dyDescent="0.35">
      <c r="B92" s="221">
        <v>5</v>
      </c>
      <c r="C92" s="222" t="s">
        <v>473</v>
      </c>
      <c r="D92" s="229">
        <v>44</v>
      </c>
      <c r="E92" s="113" t="s">
        <v>406</v>
      </c>
      <c r="F92" s="224">
        <v>44928</v>
      </c>
      <c r="G92" s="113">
        <f ca="1">SUMIF(سفاجا!$D$8:$D$51,'أخر دفعة'!$C$58:$C$92,بيان.مغاشات.سفاجا[المنحة])</f>
        <v>18921.900000000001</v>
      </c>
      <c r="H92" s="113">
        <f ca="1">SUMIF(سفاجا!$D$8:$D$51,'أخر دفعة'!$C$58:$C$92,بيان.مغاشات.سفاجا[مستحقات])</f>
        <v>19878.32</v>
      </c>
      <c r="I92" s="113">
        <f ca="1">SUMIF(سفاجا!$D$8:$D$51,'أخر دفعة'!$C$58:$C$92,بيان.مغاشات.سفاجا[مقابل نقدي])</f>
        <v>6874.86</v>
      </c>
      <c r="J92" s="113">
        <f ca="1">SUMIF(سفاجا!$D$8:$D$51,'أخر دفعة'!$C$58:$C$92,بيان.مغاشات.سفاجا[إجمالي المستحق])</f>
        <v>45675.08</v>
      </c>
      <c r="K92" s="113">
        <f ca="1">SUMIF(سفاجا!$D$8:$D$51,'أخر دفعة'!$C$58:$C$92,بيان.مغاشات.سفاجا[إجمالي المنصرف])</f>
        <v>0</v>
      </c>
      <c r="L92" s="113">
        <f ca="1">SUMIF(سفاجا!$D$8:$D$51,'أخر دفعة'!$C$58:$C$92,بيان.مغاشات.سفاجا[المتبقي])</f>
        <v>45675.08</v>
      </c>
      <c r="M92" s="113">
        <f ca="1">SUMIF(سفاجا!$D$8:$D$51,'أخر دفعة'!$C$58:$C$92,بيان.مغاشات.سفاجا[المتبقي بعد 1-])</f>
        <v>45675.08</v>
      </c>
      <c r="N92" s="113">
        <f ca="1">SUMIF(سفاجا!$D$8:$D$51,'أخر دفعة'!$C$58:$C$92,بيان.مغاشات.سفاجا[المتبقي من المنحة])</f>
        <v>38800.22</v>
      </c>
      <c r="O92" s="113">
        <f ca="1">SUMIF(سفاجا!$D$8:$D$51,'أخر دفعة'!$C$58:$C$92,بيان.مغاشات.سفاجا[التبقي من المنحة بعد 1-])</f>
        <v>38800.22</v>
      </c>
      <c r="P92" s="46"/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f ca="1">SUMIF(سفاجا!$D$8:$D$51,'أخر دفعة'!$C$58:$C$92,بيان.مغاشات.سفاجا[يناير-23])</f>
        <v>0</v>
      </c>
      <c r="X92" s="46">
        <f ca="1">SUMIF(سفاجا!$D$8:$D$51,'أخر دفعة'!$C$58:$C$92,بيان.مغاشات.سفاجا[فبراير-23])</f>
        <v>0</v>
      </c>
      <c r="Y92" s="46">
        <f ca="1">SUMIF(سفاجا!$D$8:$D$51,'أخر دفعة'!$C$58:$C$92,بيان.مغاشات.سفاجا[مارس-23])</f>
        <v>0</v>
      </c>
      <c r="Z92" s="46">
        <f ca="1">SUMIF(سفاجا!$D$8:$D$51,'أخر دفعة'!$C$58:$C$92,بيان.مغاشات.سفاجا[أبريل-23])</f>
        <v>0</v>
      </c>
      <c r="AA92" s="55">
        <f ca="1">SUMIF(سفاجا!$D$8:$D$51,'أخر دفعة'!$C$58:$C$92,بيان.مغاشات.سفاجا[مايو-23])</f>
        <v>0</v>
      </c>
      <c r="AB92" s="467"/>
    </row>
    <row r="93" spans="2:28" ht="21" x14ac:dyDescent="0.35">
      <c r="B93" s="231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4"/>
      <c r="AB93" s="470"/>
    </row>
  </sheetData>
  <conditionalFormatting sqref="Q3:AA93">
    <cfRule type="cellIs" dxfId="124" priority="1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X259"/>
  <sheetViews>
    <sheetView rightToLeft="1" topLeftCell="C4" workbookViewId="0">
      <pane xSplit="2" ySplit="1" topLeftCell="E244" activePane="bottomRight" state="frozen"/>
      <selection activeCell="C4" sqref="C4"/>
      <selection pane="topRight" activeCell="E4" sqref="E4"/>
      <selection pane="bottomLeft" activeCell="C5" sqref="C5"/>
      <selection pane="bottomRight" activeCell="D256" sqref="D256"/>
    </sheetView>
  </sheetViews>
  <sheetFormatPr defaultRowHeight="15" x14ac:dyDescent="0.25"/>
  <cols>
    <col min="3" max="3" width="6.7109375" customWidth="1"/>
    <col min="4" max="4" width="30.85546875" customWidth="1"/>
    <col min="5" max="5" width="6.42578125" customWidth="1"/>
    <col min="6" max="7" width="13.7109375" customWidth="1"/>
    <col min="8" max="8" width="16.28515625" customWidth="1"/>
    <col min="9" max="9" width="14.7109375" customWidth="1"/>
    <col min="10" max="10" width="16.28515625" customWidth="1"/>
    <col min="11" max="11" width="11.42578125" bestFit="1" customWidth="1"/>
    <col min="12" max="15" width="21.7109375" bestFit="1" customWidth="1"/>
    <col min="16" max="16" width="23.5703125" customWidth="1"/>
    <col min="17" max="17" width="14.7109375" style="4" bestFit="1" customWidth="1"/>
    <col min="18" max="18" width="16.7109375" bestFit="1" customWidth="1"/>
    <col min="19" max="19" width="15" bestFit="1" customWidth="1"/>
    <col min="20" max="20" width="14.140625" customWidth="1"/>
    <col min="21" max="21" width="13.42578125" customWidth="1"/>
    <col min="22" max="22" width="14.7109375" customWidth="1"/>
    <col min="23" max="23" width="13.140625" bestFit="1" customWidth="1"/>
    <col min="24" max="24" width="27.5703125" bestFit="1" customWidth="1"/>
  </cols>
  <sheetData>
    <row r="4" spans="3:19" s="67" customFormat="1" ht="63" x14ac:dyDescent="0.25">
      <c r="C4" s="68" t="s">
        <v>0</v>
      </c>
      <c r="D4" s="69" t="s">
        <v>99</v>
      </c>
      <c r="E4" s="91" t="s">
        <v>2</v>
      </c>
      <c r="F4" s="69" t="s">
        <v>218</v>
      </c>
      <c r="G4" s="69" t="s">
        <v>223</v>
      </c>
      <c r="H4" s="69" t="s">
        <v>3</v>
      </c>
      <c r="I4" s="69" t="s">
        <v>185</v>
      </c>
      <c r="J4" s="69" t="s">
        <v>4</v>
      </c>
      <c r="K4" s="69" t="s">
        <v>404</v>
      </c>
      <c r="L4" s="69" t="s">
        <v>5</v>
      </c>
      <c r="M4" s="69" t="s">
        <v>129</v>
      </c>
      <c r="N4" s="69" t="s">
        <v>7</v>
      </c>
      <c r="O4" s="69" t="s">
        <v>8</v>
      </c>
      <c r="P4" s="69" t="s">
        <v>402</v>
      </c>
      <c r="Q4" s="195" t="s">
        <v>407</v>
      </c>
      <c r="R4" s="195" t="s">
        <v>463</v>
      </c>
      <c r="S4" s="195" t="s">
        <v>226</v>
      </c>
    </row>
    <row r="5" spans="3:19" ht="21" x14ac:dyDescent="0.35">
      <c r="C5" s="103">
        <f>القاهرة!C8</f>
        <v>1</v>
      </c>
      <c r="D5" s="46" t="str">
        <f>القاهرة!D8</f>
        <v>إيناس محمد فتحي</v>
      </c>
      <c r="E5" s="47">
        <f>القاهرة!E8</f>
        <v>1</v>
      </c>
      <c r="F5" s="50">
        <f>القاهرة!F8</f>
        <v>43638</v>
      </c>
      <c r="G5" s="50"/>
      <c r="H5" s="46">
        <f>القاهرة!H8</f>
        <v>17907.900000000001</v>
      </c>
      <c r="I5" s="46">
        <f>القاهرة!I8</f>
        <v>0</v>
      </c>
      <c r="J5" s="46">
        <f>القاهرة!J8</f>
        <v>14597.1</v>
      </c>
      <c r="K5" s="46">
        <f>القاهرة!K8</f>
        <v>90</v>
      </c>
      <c r="L5" s="46">
        <f>SUM(إجمالي.المعاشات[[#This Row],[منحة 6شهور]:[مقابل نقدي]])</f>
        <v>32505</v>
      </c>
      <c r="M5" s="46">
        <f>SUMIF(بيان.معاشات.القاهرة[الإسم],بيانات!D5:D21,بيان.معاشات.القاهرة[المنصرف])</f>
        <v>23500</v>
      </c>
      <c r="N5" s="46">
        <f>إجمالي.المعاشات[[#This Row],[إجمالي المستحق]]-إجمالي.المعاشات[[#This Row],[المنصرف]]</f>
        <v>9005</v>
      </c>
      <c r="O5" s="46">
        <f>(إجمالي.المعاشات[[#This Row],[منحة 6شهور]]+إجمالي.المعاشات[[#This Row],[مستحقات]])-إجمالي.المعاشات[[#This Row],[المنصرف]]</f>
        <v>-5592.0999999999985</v>
      </c>
      <c r="P5" s="46">
        <f>IF(إجمالي.المعاشات[[#This Row],[المتبقي من المنحة]]&lt;0,0,إجمالي.المعاشات[[#This Row],[المتبقي من المنحة]])</f>
        <v>0</v>
      </c>
      <c r="Q5" s="193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9005</v>
      </c>
      <c r="R5" s="193">
        <f>إجمالي.المعاشات[[#This Row],[المتبقي]]</f>
        <v>9005</v>
      </c>
      <c r="S5" s="193" t="s">
        <v>227</v>
      </c>
    </row>
    <row r="6" spans="3:19" ht="21" x14ac:dyDescent="0.35">
      <c r="C6" s="103">
        <f>القاهرة!C9</f>
        <v>2</v>
      </c>
      <c r="D6" s="46" t="str">
        <f>القاهرة!D9</f>
        <v>إيناس أحمد علي الطويل</v>
      </c>
      <c r="E6" s="47">
        <f>القاهرة!E9</f>
        <v>2</v>
      </c>
      <c r="F6" s="50">
        <f>القاهرة!F9</f>
        <v>43525</v>
      </c>
      <c r="G6" s="50"/>
      <c r="H6" s="46">
        <f>القاهرة!H9</f>
        <v>19103.64</v>
      </c>
      <c r="I6" s="46">
        <f>القاهرة!I9</f>
        <v>0</v>
      </c>
      <c r="J6" s="46">
        <f>القاهرة!J9</f>
        <v>11406.3</v>
      </c>
      <c r="K6" s="46">
        <f>القاهرة!K9</f>
        <v>90</v>
      </c>
      <c r="L6" s="46">
        <f>SUM(إجمالي.المعاشات[[#This Row],[منحة 6شهور]:[مقابل نقدي]])</f>
        <v>30509.94</v>
      </c>
      <c r="M6" s="46">
        <f>SUMIF(بيان.معاشات.القاهرة[الإسم],بيانات!D6:D22,بيان.معاشات.القاهرة[المنصرف])</f>
        <v>24103.64</v>
      </c>
      <c r="N6" s="46">
        <f>إجمالي.المعاشات[[#This Row],[إجمالي المستحق]]-إجمالي.المعاشات[[#This Row],[المنصرف]]</f>
        <v>6406.2999999999993</v>
      </c>
      <c r="O6" s="46">
        <f>(إجمالي.المعاشات[[#This Row],[منحة 6شهور]]+إجمالي.المعاشات[[#This Row],[مستحقات]])-إجمالي.المعاشات[[#This Row],[المنصرف]]</f>
        <v>-5000</v>
      </c>
      <c r="P6" s="46">
        <f>IF(إجمالي.المعاشات[[#This Row],[المتبقي من المنحة]]&lt;0,0,إجمالي.المعاشات[[#This Row],[المتبقي من المنحة]])</f>
        <v>0</v>
      </c>
      <c r="Q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6406.2999999999993</v>
      </c>
      <c r="R6" s="192">
        <f>إجمالي.المعاشات[[#This Row],[المتبقي]]</f>
        <v>6406.2999999999993</v>
      </c>
      <c r="S6" s="192" t="s">
        <v>227</v>
      </c>
    </row>
    <row r="7" spans="3:19" ht="21" x14ac:dyDescent="0.35">
      <c r="C7" s="103">
        <f>القاهرة!C10</f>
        <v>3</v>
      </c>
      <c r="D7" s="46" t="str">
        <f>القاهرة!D10</f>
        <v>جمال محمد علي درة</v>
      </c>
      <c r="E7" s="47">
        <f>القاهرة!E10</f>
        <v>3</v>
      </c>
      <c r="F7" s="50">
        <f>القاهرة!F10</f>
        <v>43191</v>
      </c>
      <c r="G7" s="50"/>
      <c r="H7" s="46">
        <f>القاهرة!H10</f>
        <v>19738.919999999998</v>
      </c>
      <c r="I7" s="46">
        <f>القاهرة!I10</f>
        <v>0</v>
      </c>
      <c r="J7" s="46">
        <f>القاهرة!J10</f>
        <v>11580.3</v>
      </c>
      <c r="K7" s="46">
        <f>القاهرة!K10</f>
        <v>90</v>
      </c>
      <c r="L7" s="46">
        <f>SUM(إجمالي.المعاشات[[#This Row],[منحة 6شهور]:[مقابل نقدي]])</f>
        <v>31319.219999999998</v>
      </c>
      <c r="M7" s="46">
        <f>SUMIF(بيان.معاشات.القاهرة[الإسم],بيانات!D7:D23,بيان.معاشات.القاهرة[المنصرف])</f>
        <v>31319.22</v>
      </c>
      <c r="N7" s="46">
        <f>إجمالي.المعاشات[[#This Row],[إجمالي المستحق]]-إجمالي.المعاشات[[#This Row],[المنصرف]]</f>
        <v>0</v>
      </c>
      <c r="O7" s="46">
        <f>(إجمالي.المعاشات[[#This Row],[منحة 6شهور]]+إجمالي.المعاشات[[#This Row],[مستحقات]])-إجمالي.المعاشات[[#This Row],[المنصرف]]</f>
        <v>-11580.300000000003</v>
      </c>
      <c r="P7" s="46">
        <f>IF(إجمالي.المعاشات[[#This Row],[المتبقي من المنحة]]&lt;0,0,إجمالي.المعاشات[[#This Row],[المتبقي من المنحة]])</f>
        <v>0</v>
      </c>
      <c r="Q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7" s="192">
        <f>إجمالي.المعاشات[[#This Row],[المتبقي]]</f>
        <v>0</v>
      </c>
      <c r="S7" s="192" t="s">
        <v>227</v>
      </c>
    </row>
    <row r="8" spans="3:19" ht="21" x14ac:dyDescent="0.35">
      <c r="C8" s="103">
        <f>القاهرة!C11</f>
        <v>4</v>
      </c>
      <c r="D8" s="46" t="str">
        <f>القاهرة!D11</f>
        <v>توفيق سيد طه عويس</v>
      </c>
      <c r="E8" s="47">
        <f>القاهرة!E11</f>
        <v>4</v>
      </c>
      <c r="F8" s="50">
        <f>القاهرة!F11</f>
        <v>44404</v>
      </c>
      <c r="G8" s="50"/>
      <c r="H8" s="46">
        <f>القاهرة!H11</f>
        <v>20875.45</v>
      </c>
      <c r="I8" s="46">
        <f>القاهرة!I11</f>
        <v>0</v>
      </c>
      <c r="J8" s="46">
        <f>القاهرة!J11</f>
        <v>18195.3</v>
      </c>
      <c r="K8" s="46">
        <f>القاهرة!K11</f>
        <v>90</v>
      </c>
      <c r="L8" s="46">
        <f>SUM(إجمالي.المعاشات[[#This Row],[منحة 6شهور]:[مقابل نقدي]])</f>
        <v>39070.75</v>
      </c>
      <c r="M8" s="46">
        <f>SUMIF(بيان.معاشات.القاهرة[الإسم],بيانات!D8:D24,بيان.معاشات.القاهرة[المنصرف])</f>
        <v>10500</v>
      </c>
      <c r="N8" s="46">
        <f>إجمالي.المعاشات[[#This Row],[إجمالي المستحق]]-إجمالي.المعاشات[[#This Row],[المنصرف]]</f>
        <v>28570.75</v>
      </c>
      <c r="O8" s="46">
        <f>(إجمالي.المعاشات[[#This Row],[منحة 6شهور]]+إجمالي.المعاشات[[#This Row],[مستحقات]])-إجمالي.المعاشات[[#This Row],[المنصرف]]</f>
        <v>10375.450000000001</v>
      </c>
      <c r="P8" s="46">
        <f>IF(إجمالي.المعاشات[[#This Row],[المتبقي من المنحة]]&lt;0,0,إجمالي.المعاشات[[#This Row],[المتبقي من المنحة]])</f>
        <v>10375.450000000001</v>
      </c>
      <c r="Q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18195.3</v>
      </c>
      <c r="R8" s="192">
        <f>إجمالي.المعاشات[[#This Row],[المتبقي]]</f>
        <v>28570.75</v>
      </c>
      <c r="S8" s="192" t="s">
        <v>227</v>
      </c>
    </row>
    <row r="9" spans="3:19" ht="21" x14ac:dyDescent="0.35">
      <c r="C9" s="103">
        <f>القاهرة!C12</f>
        <v>5</v>
      </c>
      <c r="D9" s="46" t="str">
        <f>القاهرة!D12</f>
        <v>سمير حسن رشوان</v>
      </c>
      <c r="E9" s="47">
        <f>القاهرة!E12</f>
        <v>5</v>
      </c>
      <c r="F9" s="50">
        <f>القاهرة!F12</f>
        <v>44391</v>
      </c>
      <c r="G9" s="50"/>
      <c r="H9" s="46">
        <f>القاهرة!H12</f>
        <v>21172.62</v>
      </c>
      <c r="I9" s="46">
        <f>القاهرة!I12</f>
        <v>0</v>
      </c>
      <c r="J9" s="46">
        <f>القاهرة!J12</f>
        <v>12604.38</v>
      </c>
      <c r="K9" s="46">
        <f>القاهرة!K12</f>
        <v>62.5</v>
      </c>
      <c r="L9" s="46">
        <f>SUM(إجمالي.المعاشات[[#This Row],[منحة 6شهور]:[مقابل نقدي]])</f>
        <v>33777</v>
      </c>
      <c r="M9" s="46">
        <f>SUMIF(بيان.معاشات.القاهرة[الإسم],بيانات!D9:D25,بيان.معاشات.القاهرة[المنصرف])</f>
        <v>10500</v>
      </c>
      <c r="N9" s="46">
        <f>إجمالي.المعاشات[[#This Row],[إجمالي المستحق]]-إجمالي.المعاشات[[#This Row],[المنصرف]]</f>
        <v>23277</v>
      </c>
      <c r="O9" s="46">
        <f>(إجمالي.المعاشات[[#This Row],[منحة 6شهور]]+إجمالي.المعاشات[[#This Row],[مستحقات]])-إجمالي.المعاشات[[#This Row],[المنصرف]]</f>
        <v>10672.619999999999</v>
      </c>
      <c r="P9" s="46">
        <f>IF(إجمالي.المعاشات[[#This Row],[المتبقي من المنحة]]&lt;0,0,إجمالي.المعاشات[[#This Row],[المتبقي من المنحة]])</f>
        <v>10672.619999999999</v>
      </c>
      <c r="Q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12604.38</v>
      </c>
      <c r="R9" s="192">
        <f>إجمالي.المعاشات[[#This Row],[المتبقي]]</f>
        <v>23277</v>
      </c>
      <c r="S9" s="192" t="s">
        <v>227</v>
      </c>
    </row>
    <row r="10" spans="3:19" ht="21" x14ac:dyDescent="0.35">
      <c r="C10" s="103">
        <f>القاهرة!C13</f>
        <v>6</v>
      </c>
      <c r="D10" s="46" t="str">
        <f>القاهرة!D13</f>
        <v>طارق إبراهيم فتحي</v>
      </c>
      <c r="E10" s="47">
        <f>القاهرة!E13</f>
        <v>6</v>
      </c>
      <c r="F10" s="50">
        <f>القاهرة!F13</f>
        <v>44355</v>
      </c>
      <c r="G10" s="50"/>
      <c r="H10" s="46">
        <f>القاهرة!H13</f>
        <v>13655.52</v>
      </c>
      <c r="I10" s="46">
        <f>القاهرة!I13</f>
        <v>0</v>
      </c>
      <c r="J10" s="46">
        <f>القاهرة!J13</f>
        <v>10604.7</v>
      </c>
      <c r="K10" s="46">
        <f>القاهرة!K13</f>
        <v>90</v>
      </c>
      <c r="L10" s="46">
        <f>SUM(إجمالي.المعاشات[[#This Row],[منحة 6شهور]:[مقابل نقدي]])</f>
        <v>24260.22</v>
      </c>
      <c r="M10" s="46">
        <f>SUMIF(بيان.معاشات.القاهرة[الإسم],بيانات!D10:D26,بيان.معاشات.القاهرة[المنصرف])</f>
        <v>11500</v>
      </c>
      <c r="N10" s="46">
        <f>إجمالي.المعاشات[[#This Row],[إجمالي المستحق]]-إجمالي.المعاشات[[#This Row],[المنصرف]]</f>
        <v>12760.220000000001</v>
      </c>
      <c r="O10" s="46">
        <f>(إجمالي.المعاشات[[#This Row],[منحة 6شهور]]+إجمالي.المعاشات[[#This Row],[مستحقات]])-إجمالي.المعاشات[[#This Row],[المنصرف]]</f>
        <v>2155.5200000000004</v>
      </c>
      <c r="P10" s="46">
        <f>IF(إجمالي.المعاشات[[#This Row],[المتبقي من المنحة]]&lt;0,0,إجمالي.المعاشات[[#This Row],[المتبقي من المنحة]])</f>
        <v>2155.5200000000004</v>
      </c>
      <c r="Q1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10604.7</v>
      </c>
      <c r="R10" s="192">
        <f>إجمالي.المعاشات[[#This Row],[المتبقي]]</f>
        <v>12760.220000000001</v>
      </c>
      <c r="S10" s="192" t="s">
        <v>227</v>
      </c>
    </row>
    <row r="11" spans="3:19" ht="21" x14ac:dyDescent="0.35">
      <c r="C11" s="103">
        <f>القاهرة!C14</f>
        <v>7</v>
      </c>
      <c r="D11" s="46" t="str">
        <f>القاهرة!D14</f>
        <v>رضا حلمي علام</v>
      </c>
      <c r="E11" s="47">
        <f>القاهرة!E14</f>
        <v>7</v>
      </c>
      <c r="F11" s="50">
        <f>القاهرة!F14</f>
        <v>43023</v>
      </c>
      <c r="G11" s="50"/>
      <c r="H11" s="46">
        <f>القاهرة!H14</f>
        <v>26082.04</v>
      </c>
      <c r="I11" s="46">
        <f>القاهرة!I14</f>
        <v>0</v>
      </c>
      <c r="J11" s="46">
        <f>القاهرة!J14</f>
        <v>10867.5</v>
      </c>
      <c r="K11" s="46">
        <f>القاهرة!K14</f>
        <v>90</v>
      </c>
      <c r="L11" s="46">
        <f>SUM(إجمالي.المعاشات[[#This Row],[منحة 6شهور]:[مقابل نقدي]])</f>
        <v>36949.54</v>
      </c>
      <c r="M11" s="46">
        <f>SUMIF(بيان.معاشات.القاهرة[الإسم],بيانات!D11:D27,بيان.معاشات.القاهرة[المنصرف])</f>
        <v>33000</v>
      </c>
      <c r="N11" s="46">
        <f>إجمالي.المعاشات[[#This Row],[إجمالي المستحق]]-إجمالي.المعاشات[[#This Row],[المنصرف]]</f>
        <v>3949.5400000000009</v>
      </c>
      <c r="O11" s="46">
        <f>(إجمالي.المعاشات[[#This Row],[منحة 6شهور]]+إجمالي.المعاشات[[#This Row],[مستحقات]])-إجمالي.المعاشات[[#This Row],[المنصرف]]</f>
        <v>-6917.9599999999991</v>
      </c>
      <c r="P11" s="46">
        <f>IF(إجمالي.المعاشات[[#This Row],[المتبقي من المنحة]]&lt;0,0,إجمالي.المعاشات[[#This Row],[المتبقي من المنحة]])</f>
        <v>0</v>
      </c>
      <c r="Q1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3949.5400000000009</v>
      </c>
      <c r="R11" s="192">
        <f>إجمالي.المعاشات[[#This Row],[المتبقي]]</f>
        <v>3949.5400000000009</v>
      </c>
      <c r="S11" s="192" t="s">
        <v>227</v>
      </c>
    </row>
    <row r="12" spans="3:19" ht="21" x14ac:dyDescent="0.35">
      <c r="C12" s="103">
        <f>القاهرة!C15</f>
        <v>8</v>
      </c>
      <c r="D12" s="46" t="str">
        <f>القاهرة!D15</f>
        <v>نجاح عباس إبراهيم</v>
      </c>
      <c r="E12" s="47">
        <f>القاهرة!E15</f>
        <v>8</v>
      </c>
      <c r="F12" s="50">
        <f>القاهرة!F15</f>
        <v>43411</v>
      </c>
      <c r="G12" s="50"/>
      <c r="H12" s="46">
        <f>القاهرة!H15</f>
        <v>22242.720000000001</v>
      </c>
      <c r="I12" s="46">
        <f>القاهرة!I15</f>
        <v>0</v>
      </c>
      <c r="J12" s="46">
        <f>القاهرة!J15</f>
        <v>13024.8</v>
      </c>
      <c r="K12" s="46">
        <f>القاهرة!K15</f>
        <v>90</v>
      </c>
      <c r="L12" s="46">
        <f>SUM(إجمالي.المعاشات[[#This Row],[منحة 6شهور]:[مقابل نقدي]])</f>
        <v>35267.520000000004</v>
      </c>
      <c r="M12" s="46">
        <f>SUMIF(بيان.معاشات.القاهرة[الإسم],بيانات!D12:D28,بيان.معاشات.القاهرة[المنصرف])</f>
        <v>27000</v>
      </c>
      <c r="N12" s="46">
        <f>إجمالي.المعاشات[[#This Row],[إجمالي المستحق]]-إجمالي.المعاشات[[#This Row],[المنصرف]]</f>
        <v>8267.5200000000041</v>
      </c>
      <c r="O12" s="46">
        <f>(إجمالي.المعاشات[[#This Row],[منحة 6شهور]]+إجمالي.المعاشات[[#This Row],[مستحقات]])-إجمالي.المعاشات[[#This Row],[المنصرف]]</f>
        <v>-4757.2799999999988</v>
      </c>
      <c r="P12" s="46">
        <f>IF(إجمالي.المعاشات[[#This Row],[المتبقي من المنحة]]&lt;0,0,إجمالي.المعاشات[[#This Row],[المتبقي من المنحة]])</f>
        <v>0</v>
      </c>
      <c r="Q1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8267.5200000000041</v>
      </c>
      <c r="R12" s="192">
        <f>إجمالي.المعاشات[[#This Row],[المتبقي]]</f>
        <v>8267.5200000000041</v>
      </c>
      <c r="S12" s="192" t="s">
        <v>227</v>
      </c>
    </row>
    <row r="13" spans="3:19" ht="21" x14ac:dyDescent="0.35">
      <c r="C13" s="103">
        <f>القاهرة!C16</f>
        <v>9</v>
      </c>
      <c r="D13" s="46" t="str">
        <f>القاهرة!D16</f>
        <v>راوية محمد نور الدين</v>
      </c>
      <c r="E13" s="47">
        <f>القاهرة!E16</f>
        <v>10</v>
      </c>
      <c r="F13" s="50">
        <f>القاهرة!F16</f>
        <v>43363</v>
      </c>
      <c r="G13" s="50"/>
      <c r="H13" s="46">
        <f>القاهرة!H16</f>
        <v>18808.68</v>
      </c>
      <c r="I13" s="46">
        <f>القاهرة!I16</f>
        <v>0</v>
      </c>
      <c r="J13" s="46">
        <f>القاهرة!J16</f>
        <v>12490.2</v>
      </c>
      <c r="K13" s="46">
        <f>القاهرة!K16</f>
        <v>90</v>
      </c>
      <c r="L13" s="46">
        <f>SUM(إجمالي.المعاشات[[#This Row],[منحة 6شهور]:[مقابل نقدي]])</f>
        <v>31298.880000000001</v>
      </c>
      <c r="M13" s="46">
        <f>SUMIF(بيان.معاشات.القاهرة[الإسم],بيانات!D13:D29,بيان.معاشات.القاهرة[المنصرف])</f>
        <v>28000</v>
      </c>
      <c r="N13" s="46">
        <f>إجمالي.المعاشات[[#This Row],[إجمالي المستحق]]-إجمالي.المعاشات[[#This Row],[المنصرف]]</f>
        <v>3298.880000000001</v>
      </c>
      <c r="O13" s="46">
        <f>(إجمالي.المعاشات[[#This Row],[منحة 6شهور]]+إجمالي.المعاشات[[#This Row],[مستحقات]])-إجمالي.المعاشات[[#This Row],[المنصرف]]</f>
        <v>-9191.32</v>
      </c>
      <c r="P13" s="46">
        <f>IF(إجمالي.المعاشات[[#This Row],[المتبقي من المنحة]]&lt;0,0,إجمالي.المعاشات[[#This Row],[المتبقي من المنحة]])</f>
        <v>0</v>
      </c>
      <c r="Q1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3298.880000000001</v>
      </c>
      <c r="R13" s="192">
        <f>إجمالي.المعاشات[[#This Row],[المتبقي]]</f>
        <v>3298.880000000001</v>
      </c>
      <c r="S13" s="192" t="s">
        <v>227</v>
      </c>
    </row>
    <row r="14" spans="3:19" ht="21" x14ac:dyDescent="0.35">
      <c r="C14" s="103">
        <f>القاهرة!C17</f>
        <v>10</v>
      </c>
      <c r="D14" s="46" t="str">
        <f>القاهرة!D17</f>
        <v>محمد أبو العزم علي</v>
      </c>
      <c r="E14" s="47">
        <f>القاهرة!E17</f>
        <v>11</v>
      </c>
      <c r="F14" s="50">
        <f>القاهرة!F17</f>
        <v>43316</v>
      </c>
      <c r="G14" s="50"/>
      <c r="H14" s="46">
        <f>القاهرة!H17</f>
        <v>0</v>
      </c>
      <c r="I14" s="46">
        <f>القاهرة!I17</f>
        <v>0</v>
      </c>
      <c r="J14" s="46">
        <f>القاهرة!J17</f>
        <v>11983.5</v>
      </c>
      <c r="K14" s="46">
        <f>القاهرة!K17</f>
        <v>90</v>
      </c>
      <c r="L14" s="46">
        <f>SUM(إجمالي.المعاشات[[#This Row],[منحة 6شهور]:[مقابل نقدي]])</f>
        <v>11983.5</v>
      </c>
      <c r="M14" s="46">
        <f>SUMIF(بيان.معاشات.القاهرة[الإسم],بيانات!D14:D30,بيان.معاشات.القاهرة[المنصرف])</f>
        <v>11983.5</v>
      </c>
      <c r="N14" s="46">
        <f>إجمالي.المعاشات[[#This Row],[إجمالي المستحق]]-إجمالي.المعاشات[[#This Row],[المنصرف]]</f>
        <v>0</v>
      </c>
      <c r="O14" s="46">
        <f>(إجمالي.المعاشات[[#This Row],[منحة 6شهور]]+إجمالي.المعاشات[[#This Row],[مستحقات]])-إجمالي.المعاشات[[#This Row],[المنصرف]]</f>
        <v>-11983.5</v>
      </c>
      <c r="P14" s="46">
        <f>IF(إجمالي.المعاشات[[#This Row],[المتبقي من المنحة]]&lt;0,0,إجمالي.المعاشات[[#This Row],[المتبقي من المنحة]])</f>
        <v>0</v>
      </c>
      <c r="Q1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4" s="192">
        <f>إجمالي.المعاشات[[#This Row],[المتبقي]]</f>
        <v>0</v>
      </c>
      <c r="S14" s="192" t="s">
        <v>227</v>
      </c>
    </row>
    <row r="15" spans="3:19" ht="21" x14ac:dyDescent="0.35">
      <c r="C15" s="103">
        <f>القاهرة!C18</f>
        <v>11</v>
      </c>
      <c r="D15" s="46" t="str">
        <f>القاهرة!D18</f>
        <v>عبد الفتاح سلامة عبد السيد</v>
      </c>
      <c r="E15" s="47">
        <f>القاهرة!E18</f>
        <v>12</v>
      </c>
      <c r="F15" s="50">
        <f>القاهرة!F18</f>
        <v>43335</v>
      </c>
      <c r="G15" s="50"/>
      <c r="H15" s="46">
        <f>القاهرة!H18</f>
        <v>20077.5</v>
      </c>
      <c r="I15" s="46">
        <f>القاهرة!I18</f>
        <v>0</v>
      </c>
      <c r="J15" s="46">
        <f>القاهرة!J18</f>
        <v>12314.7</v>
      </c>
      <c r="K15" s="46">
        <f>القاهرة!K18</f>
        <v>90</v>
      </c>
      <c r="L15" s="46">
        <f>SUM(إجمالي.المعاشات[[#This Row],[منحة 6شهور]:[مقابل نقدي]])</f>
        <v>32392.2</v>
      </c>
      <c r="M15" s="46">
        <f>SUMIF(بيان.معاشات.القاهرة[الإسم],بيانات!D15:D31,بيان.معاشات.القاهرة[المنصرف])</f>
        <v>28000</v>
      </c>
      <c r="N15" s="46">
        <f>إجمالي.المعاشات[[#This Row],[إجمالي المستحق]]-إجمالي.المعاشات[[#This Row],[المنصرف]]</f>
        <v>4392.2000000000007</v>
      </c>
      <c r="O15" s="46">
        <f>(إجمالي.المعاشات[[#This Row],[منحة 6شهور]]+إجمالي.المعاشات[[#This Row],[مستحقات]])-إجمالي.المعاشات[[#This Row],[المنصرف]]</f>
        <v>-7922.5</v>
      </c>
      <c r="P15" s="46">
        <f>IF(إجمالي.المعاشات[[#This Row],[المتبقي من المنحة]]&lt;0,0,إجمالي.المعاشات[[#This Row],[المتبقي من المنحة]])</f>
        <v>0</v>
      </c>
      <c r="Q1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4392.2000000000007</v>
      </c>
      <c r="R15" s="192">
        <f>إجمالي.المعاشات[[#This Row],[المتبقي]]</f>
        <v>4392.2000000000007</v>
      </c>
      <c r="S15" s="192" t="s">
        <v>227</v>
      </c>
    </row>
    <row r="16" spans="3:19" ht="21" x14ac:dyDescent="0.35">
      <c r="C16" s="103">
        <f>القاهرة!C19</f>
        <v>12</v>
      </c>
      <c r="D16" s="46" t="str">
        <f>القاهرة!D19</f>
        <v>محمد أحمد يوسف</v>
      </c>
      <c r="E16" s="47">
        <f>القاهرة!E19</f>
        <v>13</v>
      </c>
      <c r="F16" s="50">
        <f>القاهرة!F19</f>
        <v>43159</v>
      </c>
      <c r="G16" s="50"/>
      <c r="H16" s="46">
        <f>القاهرة!H19</f>
        <v>0</v>
      </c>
      <c r="I16" s="46">
        <f>القاهرة!I19</f>
        <v>0</v>
      </c>
      <c r="J16" s="46">
        <f>القاهرة!J19</f>
        <v>11330.1</v>
      </c>
      <c r="K16" s="46">
        <f>القاهرة!K19</f>
        <v>90</v>
      </c>
      <c r="L16" s="46">
        <f>SUM(إجمالي.المعاشات[[#This Row],[منحة 6شهور]:[مقابل نقدي]])</f>
        <v>11330.1</v>
      </c>
      <c r="M16" s="46">
        <f>SUMIF(بيان.معاشات.القاهرة[الإسم],بيانات!D16:D32,بيان.معاشات.القاهرة[المنصرف])</f>
        <v>3000</v>
      </c>
      <c r="N16" s="46">
        <f>إجمالي.المعاشات[[#This Row],[إجمالي المستحق]]-إجمالي.المعاشات[[#This Row],[المنصرف]]</f>
        <v>8330.1</v>
      </c>
      <c r="O16" s="46">
        <f>(إجمالي.المعاشات[[#This Row],[منحة 6شهور]]+إجمالي.المعاشات[[#This Row],[مستحقات]])-إجمالي.المعاشات[[#This Row],[المنصرف]]</f>
        <v>-3000</v>
      </c>
      <c r="P16" s="46">
        <f>IF(إجمالي.المعاشات[[#This Row],[المتبقي من المنحة]]&lt;0,0,إجمالي.المعاشات[[#This Row],[المتبقي من المنحة]])</f>
        <v>0</v>
      </c>
      <c r="Q1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8330.1</v>
      </c>
      <c r="R16" s="192">
        <f>إجمالي.المعاشات[[#This Row],[المتبقي]]</f>
        <v>8330.1</v>
      </c>
      <c r="S16" s="192" t="s">
        <v>227</v>
      </c>
    </row>
    <row r="17" spans="3:19" ht="21" x14ac:dyDescent="0.35">
      <c r="C17" s="103">
        <f>القاهرة!C20</f>
        <v>13</v>
      </c>
      <c r="D17" s="46" t="str">
        <f>القاهرة!D20</f>
        <v>إبراهيم محمد إبراهيم</v>
      </c>
      <c r="E17" s="47">
        <f>القاهرة!E20</f>
        <v>21</v>
      </c>
      <c r="F17" s="50">
        <f>القاهرة!F20</f>
        <v>44361</v>
      </c>
      <c r="G17" s="50"/>
      <c r="H17" s="46">
        <f>القاهرة!H20</f>
        <v>16726.740000000002</v>
      </c>
      <c r="I17" s="46">
        <f>القاهرة!I20</f>
        <v>0</v>
      </c>
      <c r="J17" s="46">
        <f>القاهرة!J20</f>
        <v>15802.2</v>
      </c>
      <c r="K17" s="46">
        <f>القاهرة!K20</f>
        <v>90</v>
      </c>
      <c r="L17" s="46">
        <f>SUM(إجمالي.المعاشات[[#This Row],[منحة 6شهور]:[مقابل نقدي]])</f>
        <v>32528.940000000002</v>
      </c>
      <c r="M17" s="46">
        <f>SUMIF(بيان.معاشات.القاهرة[الإسم],بيانات!D17:D33,بيان.معاشات.القاهرة[المنصرف])</f>
        <v>11500</v>
      </c>
      <c r="N17" s="46">
        <f>إجمالي.المعاشات[[#This Row],[إجمالي المستحق]]-إجمالي.المعاشات[[#This Row],[المنصرف]]</f>
        <v>21028.940000000002</v>
      </c>
      <c r="O17" s="46">
        <f>(إجمالي.المعاشات[[#This Row],[منحة 6شهور]]+إجمالي.المعاشات[[#This Row],[مستحقات]])-إجمالي.المعاشات[[#This Row],[المنصرف]]</f>
        <v>5226.7400000000016</v>
      </c>
      <c r="P17" s="46">
        <f>IF(إجمالي.المعاشات[[#This Row],[المتبقي من المنحة]]&lt;0,0,إجمالي.المعاشات[[#This Row],[المتبقي من المنحة]])</f>
        <v>5226.7400000000016</v>
      </c>
      <c r="Q1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15802.2</v>
      </c>
      <c r="R17" s="192">
        <f>إجمالي.المعاشات[[#This Row],[المتبقي]]</f>
        <v>21028.940000000002</v>
      </c>
      <c r="S17" s="192" t="s">
        <v>227</v>
      </c>
    </row>
    <row r="18" spans="3:19" ht="21" x14ac:dyDescent="0.35">
      <c r="C18" s="103">
        <f>القاهرة!C21</f>
        <v>14</v>
      </c>
      <c r="D18" s="46" t="str">
        <f>القاهرة!D21</f>
        <v>سهام السيد البيومي أبو النجا</v>
      </c>
      <c r="E18" s="47">
        <f>القاهرة!E21</f>
        <v>22</v>
      </c>
      <c r="F18" s="50">
        <f>القاهرة!F21</f>
        <v>44348</v>
      </c>
      <c r="G18" s="50"/>
      <c r="H18" s="46">
        <f>القاهرة!H21</f>
        <v>15948.1</v>
      </c>
      <c r="I18" s="46">
        <f>القاهرة!I21</f>
        <v>0</v>
      </c>
      <c r="J18" s="46">
        <f>القاهرة!J21</f>
        <v>18240.3</v>
      </c>
      <c r="K18" s="46">
        <f>القاهرة!K21</f>
        <v>90</v>
      </c>
      <c r="L18" s="46">
        <f>SUM(إجمالي.المعاشات[[#This Row],[منحة 6شهور]:[مقابل نقدي]])</f>
        <v>34188.400000000001</v>
      </c>
      <c r="M18" s="46">
        <f>SUMIF(بيان.معاشات.القاهرة[الإسم],بيانات!D18:D34,بيان.معاشات.القاهرة[المنصرف])</f>
        <v>12500</v>
      </c>
      <c r="N18" s="46">
        <f>إجمالي.المعاشات[[#This Row],[إجمالي المستحق]]-إجمالي.المعاشات[[#This Row],[المنصرف]]</f>
        <v>21688.400000000001</v>
      </c>
      <c r="O18" s="46">
        <f>(إجمالي.المعاشات[[#This Row],[منحة 6شهور]]+إجمالي.المعاشات[[#This Row],[مستحقات]])-إجمالي.المعاشات[[#This Row],[المنصرف]]</f>
        <v>3448.1000000000004</v>
      </c>
      <c r="P18" s="46">
        <f>IF(إجمالي.المعاشات[[#This Row],[المتبقي من المنحة]]&lt;0,0,إجمالي.المعاشات[[#This Row],[المتبقي من المنحة]])</f>
        <v>3448.1000000000004</v>
      </c>
      <c r="Q1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18240.3</v>
      </c>
      <c r="R18" s="192">
        <f>إجمالي.المعاشات[[#This Row],[المتبقي]]</f>
        <v>21688.400000000001</v>
      </c>
      <c r="S18" s="192" t="s">
        <v>227</v>
      </c>
    </row>
    <row r="19" spans="3:19" ht="21" x14ac:dyDescent="0.35">
      <c r="C19" s="103">
        <f>القاهرة!C22</f>
        <v>15</v>
      </c>
      <c r="D19" s="46" t="str">
        <f>القاهرة!D22</f>
        <v>سيد فتح الله محمد</v>
      </c>
      <c r="E19" s="47">
        <f>القاهرة!E22</f>
        <v>23</v>
      </c>
      <c r="F19" s="50">
        <f>القاهرة!F22</f>
        <v>44132</v>
      </c>
      <c r="G19" s="50"/>
      <c r="H19" s="46">
        <f>القاهرة!H22</f>
        <v>16343.42</v>
      </c>
      <c r="I19" s="46">
        <f>القاهرة!I22</f>
        <v>0</v>
      </c>
      <c r="J19" s="46">
        <f>القاهرة!J22</f>
        <v>9725.3799999999992</v>
      </c>
      <c r="K19" s="46">
        <f>القاهرة!K22</f>
        <v>60.5</v>
      </c>
      <c r="L19" s="46">
        <f>SUM(إجمالي.المعاشات[[#This Row],[منحة 6شهور]:[مقابل نقدي]])</f>
        <v>26068.799999999999</v>
      </c>
      <c r="M19" s="46">
        <f>SUMIF(بيان.معاشات.القاهرة[الإسم],بيانات!D19:D35,بيان.معاشات.القاهرة[المنصرف])</f>
        <v>15320</v>
      </c>
      <c r="N19" s="46">
        <f>إجمالي.المعاشات[[#This Row],[إجمالي المستحق]]-إجمالي.المعاشات[[#This Row],[المنصرف]]</f>
        <v>10748.8</v>
      </c>
      <c r="O19" s="46">
        <f>(إجمالي.المعاشات[[#This Row],[منحة 6شهور]]+إجمالي.المعاشات[[#This Row],[مستحقات]])-إجمالي.المعاشات[[#This Row],[المنصرف]]</f>
        <v>1023.4200000000001</v>
      </c>
      <c r="P19" s="46">
        <f>IF(إجمالي.المعاشات[[#This Row],[المتبقي من المنحة]]&lt;0,0,إجمالي.المعاشات[[#This Row],[المتبقي من المنحة]])</f>
        <v>1023.4200000000001</v>
      </c>
      <c r="Q1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9725.3799999999992</v>
      </c>
      <c r="R19" s="192">
        <f>إجمالي.المعاشات[[#This Row],[المتبقي]]</f>
        <v>10748.8</v>
      </c>
      <c r="S19" s="192" t="s">
        <v>227</v>
      </c>
    </row>
    <row r="20" spans="3:19" ht="21" x14ac:dyDescent="0.35">
      <c r="C20" s="103">
        <f>القاهرة!C23</f>
        <v>16</v>
      </c>
      <c r="D20" s="46" t="str">
        <f>القاهرة!D23</f>
        <v>أمال علي عبد المجيد</v>
      </c>
      <c r="E20" s="47">
        <f>القاهرة!E23</f>
        <v>24</v>
      </c>
      <c r="F20" s="50">
        <f>القاهرة!F23</f>
        <v>44197</v>
      </c>
      <c r="G20" s="50"/>
      <c r="H20" s="46">
        <f>القاهرة!H23</f>
        <v>20366.18</v>
      </c>
      <c r="I20" s="46">
        <f>القاهرة!I23</f>
        <v>0</v>
      </c>
      <c r="J20" s="46">
        <f>القاهرة!J23</f>
        <v>19410.3</v>
      </c>
      <c r="K20" s="46">
        <f>القاهرة!K23</f>
        <v>90</v>
      </c>
      <c r="L20" s="46">
        <f>SUM(إجمالي.المعاشات[[#This Row],[منحة 6شهور]:[مقابل نقدي]])</f>
        <v>39776.479999999996</v>
      </c>
      <c r="M20" s="46">
        <f>SUMIF(بيان.معاشات.القاهرة[الإسم],بيانات!D20:D36,بيان.معاشات.القاهرة[المنصرف])</f>
        <v>13500</v>
      </c>
      <c r="N20" s="46">
        <f>إجمالي.المعاشات[[#This Row],[إجمالي المستحق]]-إجمالي.المعاشات[[#This Row],[المنصرف]]</f>
        <v>26276.479999999996</v>
      </c>
      <c r="O20" s="46">
        <f>(إجمالي.المعاشات[[#This Row],[منحة 6شهور]]+إجمالي.المعاشات[[#This Row],[مستحقات]])-إجمالي.المعاشات[[#This Row],[المنصرف]]</f>
        <v>6866.18</v>
      </c>
      <c r="P20" s="46">
        <f>IF(إجمالي.المعاشات[[#This Row],[المتبقي من المنحة]]&lt;0,0,إجمالي.المعاشات[[#This Row],[المتبقي من المنحة]])</f>
        <v>6866.18</v>
      </c>
      <c r="Q2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19410.3</v>
      </c>
      <c r="R20" s="192">
        <f>إجمالي.المعاشات[[#This Row],[المتبقي]]</f>
        <v>26276.479999999996</v>
      </c>
      <c r="S20" s="192" t="s">
        <v>227</v>
      </c>
    </row>
    <row r="21" spans="3:19" ht="21" x14ac:dyDescent="0.35">
      <c r="C21" s="103">
        <f>القاهرة!C24</f>
        <v>17</v>
      </c>
      <c r="D21" s="46" t="str">
        <f>القاهرة!D24</f>
        <v>أحمد طه عواد قرطام</v>
      </c>
      <c r="E21" s="47">
        <f>القاهرة!E24</f>
        <v>25</v>
      </c>
      <c r="F21" s="50">
        <f>القاهرة!F24</f>
        <v>44109</v>
      </c>
      <c r="G21" s="50"/>
      <c r="H21" s="46">
        <f>القاهرة!H24</f>
        <v>19538.419999999998</v>
      </c>
      <c r="I21" s="46">
        <f>القاهرة!I24</f>
        <v>0</v>
      </c>
      <c r="J21" s="46">
        <f>القاهرة!J24</f>
        <v>19372.5</v>
      </c>
      <c r="K21" s="46">
        <f>القاهرة!K24</f>
        <v>90</v>
      </c>
      <c r="L21" s="46">
        <f>SUM(إجمالي.المعاشات[[#This Row],[منحة 6شهور]:[مقابل نقدي]])</f>
        <v>38910.92</v>
      </c>
      <c r="M21" s="46">
        <f>SUMIF(بيان.معاشات.القاهرة[الإسم],بيانات!D21:D37,بيان.معاشات.القاهرة[المنصرف])</f>
        <v>15000</v>
      </c>
      <c r="N21" s="46">
        <f>إجمالي.المعاشات[[#This Row],[إجمالي المستحق]]-إجمالي.المعاشات[[#This Row],[المنصرف]]</f>
        <v>23910.92</v>
      </c>
      <c r="O21" s="46">
        <f>(إجمالي.المعاشات[[#This Row],[منحة 6شهور]]+إجمالي.المعاشات[[#This Row],[مستحقات]])-إجمالي.المعاشات[[#This Row],[المنصرف]]</f>
        <v>4538.4199999999983</v>
      </c>
      <c r="P21" s="46">
        <f>IF(إجمالي.المعاشات[[#This Row],[المتبقي من المنحة]]&lt;0,0,إجمالي.المعاشات[[#This Row],[المتبقي من المنحة]])</f>
        <v>4538.4199999999983</v>
      </c>
      <c r="Q2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19372.5</v>
      </c>
      <c r="R21" s="192">
        <f>إجمالي.المعاشات[[#This Row],[المتبقي]]</f>
        <v>23910.92</v>
      </c>
      <c r="S21" s="192" t="s">
        <v>227</v>
      </c>
    </row>
    <row r="22" spans="3:19" ht="21" x14ac:dyDescent="0.35">
      <c r="C22" s="103">
        <f>القاهرة!C25</f>
        <v>18</v>
      </c>
      <c r="D22" s="46" t="str">
        <f>القاهرة!D25</f>
        <v>ناهد محمد طايع</v>
      </c>
      <c r="E22" s="47">
        <f>القاهرة!E25</f>
        <v>26</v>
      </c>
      <c r="F22" s="50">
        <f>القاهرة!F25</f>
        <v>44176</v>
      </c>
      <c r="G22" s="50"/>
      <c r="H22" s="46">
        <f>القاهرة!H25</f>
        <v>25403.59</v>
      </c>
      <c r="I22" s="46">
        <f>القاهرة!I25</f>
        <v>0</v>
      </c>
      <c r="J22" s="46">
        <f>القاهرة!J25</f>
        <v>19806.53</v>
      </c>
      <c r="K22" s="46">
        <f>القاهرة!K25</f>
        <v>90</v>
      </c>
      <c r="L22" s="46">
        <f>SUM(إجمالي.المعاشات[[#This Row],[منحة 6شهور]:[مقابل نقدي]])</f>
        <v>45210.119999999995</v>
      </c>
      <c r="M22" s="46">
        <f>SUMIF(بيان.معاشات.القاهرة[الإسم],بيانات!D22:D38,بيان.معاشات.القاهرة[المنصرف])</f>
        <v>44000</v>
      </c>
      <c r="N22" s="46">
        <f>إجمالي.المعاشات[[#This Row],[إجمالي المستحق]]-إجمالي.المعاشات[[#This Row],[المنصرف]]</f>
        <v>1210.1199999999953</v>
      </c>
      <c r="O22" s="46">
        <f>(إجمالي.المعاشات[[#This Row],[منحة 6شهور]]+إجمالي.المعاشات[[#This Row],[مستحقات]])-إجمالي.المعاشات[[#This Row],[المنصرف]]</f>
        <v>-18596.41</v>
      </c>
      <c r="P22" s="46">
        <f>IF(إجمالي.المعاشات[[#This Row],[المتبقي من المنحة]]&lt;0,0,إجمالي.المعاشات[[#This Row],[المتبقي من المنحة]])</f>
        <v>0</v>
      </c>
      <c r="Q2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1210.1199999999953</v>
      </c>
      <c r="R22" s="192">
        <f>إجمالي.المعاشات[[#This Row],[المتبقي]]</f>
        <v>1210.1199999999953</v>
      </c>
      <c r="S22" s="192" t="s">
        <v>227</v>
      </c>
    </row>
    <row r="23" spans="3:19" ht="21" x14ac:dyDescent="0.35">
      <c r="C23" s="103">
        <f>القاهرة!C26</f>
        <v>19</v>
      </c>
      <c r="D23" s="46" t="str">
        <f>القاهرة!D26</f>
        <v>ماجدة أحمد عبد الرحمن</v>
      </c>
      <c r="E23" s="47">
        <f>القاهرة!E26</f>
        <v>27</v>
      </c>
      <c r="F23" s="50">
        <f>القاهرة!F26</f>
        <v>43857</v>
      </c>
      <c r="G23" s="50"/>
      <c r="H23" s="46">
        <f>القاهرة!H26</f>
        <v>20038.560000000001</v>
      </c>
      <c r="I23" s="46">
        <f>القاهرة!I26</f>
        <v>0</v>
      </c>
      <c r="J23" s="46">
        <f>القاهرة!J26</f>
        <v>11910</v>
      </c>
      <c r="K23" s="46">
        <f>القاهرة!K26</f>
        <v>90</v>
      </c>
      <c r="L23" s="46">
        <f>SUM(إجمالي.المعاشات[[#This Row],[منحة 6شهور]:[مقابل نقدي]])</f>
        <v>31948.560000000001</v>
      </c>
      <c r="M23" s="46">
        <f>SUMIF(بيان.معاشات.القاهرة[الإسم],بيانات!D23:D39,بيان.معاشات.القاهرة[المنصرف])</f>
        <v>19500</v>
      </c>
      <c r="N23" s="46">
        <f>إجمالي.المعاشات[[#This Row],[إجمالي المستحق]]-إجمالي.المعاشات[[#This Row],[المنصرف]]</f>
        <v>12448.560000000001</v>
      </c>
      <c r="O23" s="46">
        <f>(إجمالي.المعاشات[[#This Row],[منحة 6شهور]]+إجمالي.المعاشات[[#This Row],[مستحقات]])-إجمالي.المعاشات[[#This Row],[المنصرف]]</f>
        <v>538.56000000000131</v>
      </c>
      <c r="P23" s="46">
        <f>IF(إجمالي.المعاشات[[#This Row],[المتبقي من المنحة]]&lt;0,0,إجمالي.المعاشات[[#This Row],[المتبقي من المنحة]])</f>
        <v>538.56000000000131</v>
      </c>
      <c r="Q2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11910</v>
      </c>
      <c r="R23" s="192">
        <f>إجمالي.المعاشات[[#This Row],[المتبقي]]</f>
        <v>12448.560000000001</v>
      </c>
      <c r="S23" s="192" t="s">
        <v>227</v>
      </c>
    </row>
    <row r="24" spans="3:19" ht="21" x14ac:dyDescent="0.35">
      <c r="C24" s="103">
        <f>القاهرة!C27</f>
        <v>20</v>
      </c>
      <c r="D24" s="46" t="str">
        <f>القاهرة!D27</f>
        <v>عبد الهادي محمود فرج</v>
      </c>
      <c r="E24" s="47">
        <f>القاهرة!E27</f>
        <v>28</v>
      </c>
      <c r="F24" s="50">
        <f>القاهرة!F27</f>
        <v>43918</v>
      </c>
      <c r="G24" s="50"/>
      <c r="H24" s="46">
        <f>القاهرة!H27</f>
        <v>18338.099999999999</v>
      </c>
      <c r="I24" s="46">
        <f>القاهرة!I27</f>
        <v>0</v>
      </c>
      <c r="J24" s="46">
        <f>القاهرة!J27</f>
        <v>15774.3</v>
      </c>
      <c r="K24" s="46">
        <f>القاهرة!K27</f>
        <v>90</v>
      </c>
      <c r="L24" s="46">
        <f>SUM(إجمالي.المعاشات[[#This Row],[منحة 6شهور]:[مقابل نقدي]])</f>
        <v>34112.399999999994</v>
      </c>
      <c r="M24" s="46">
        <f>SUMIF(بيان.معاشات.القاهرة[الإسم],بيانات!D24:D40,بيان.معاشات.القاهرة[المنصرف])</f>
        <v>18838.099999999999</v>
      </c>
      <c r="N24" s="46">
        <f>إجمالي.المعاشات[[#This Row],[إجمالي المستحق]]-إجمالي.المعاشات[[#This Row],[المنصرف]]</f>
        <v>15274.299999999996</v>
      </c>
      <c r="O24" s="46">
        <f>(إجمالي.المعاشات[[#This Row],[منحة 6شهور]]+إجمالي.المعاشات[[#This Row],[مستحقات]])-إجمالي.المعاشات[[#This Row],[المنصرف]]</f>
        <v>-500</v>
      </c>
      <c r="P24" s="46">
        <f>IF(إجمالي.المعاشات[[#This Row],[المتبقي من المنحة]]&lt;0,0,إجمالي.المعاشات[[#This Row],[المتبقي من المنحة]])</f>
        <v>0</v>
      </c>
      <c r="Q2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15274.299999999996</v>
      </c>
      <c r="R24" s="192">
        <f>إجمالي.المعاشات[[#This Row],[المتبقي]]</f>
        <v>15274.299999999996</v>
      </c>
      <c r="S24" s="192" t="s">
        <v>227</v>
      </c>
    </row>
    <row r="25" spans="3:19" ht="21" x14ac:dyDescent="0.35">
      <c r="C25" s="103">
        <f>القاهرة!C28</f>
        <v>21</v>
      </c>
      <c r="D25" s="46" t="str">
        <f>القاهرة!D28</f>
        <v>رضا رمضان مصطفى</v>
      </c>
      <c r="E25" s="47">
        <f>القاهرة!E28</f>
        <v>29</v>
      </c>
      <c r="F25" s="50">
        <f>القاهرة!F28</f>
        <v>43960</v>
      </c>
      <c r="G25" s="50"/>
      <c r="H25" s="46">
        <f>القاهرة!H28</f>
        <v>16382.05</v>
      </c>
      <c r="I25" s="46">
        <f>القاهرة!I28</f>
        <v>0</v>
      </c>
      <c r="J25" s="46">
        <f>القاهرة!J28</f>
        <v>15490.4</v>
      </c>
      <c r="K25" s="46">
        <f>القاهرة!K28</f>
        <v>90</v>
      </c>
      <c r="L25" s="46">
        <f>SUM(إجمالي.المعاشات[[#This Row],[منحة 6شهور]:[مقابل نقدي]])</f>
        <v>31872.449999999997</v>
      </c>
      <c r="M25" s="46">
        <f>SUMIF(بيان.معاشات.القاهرة[الإسم],بيانات!D25:D41,بيان.معاشات.القاهرة[المنصرف])</f>
        <v>17500</v>
      </c>
      <c r="N25" s="46">
        <f>إجمالي.المعاشات[[#This Row],[إجمالي المستحق]]-إجمالي.المعاشات[[#This Row],[المنصرف]]</f>
        <v>14372.449999999997</v>
      </c>
      <c r="O25" s="46">
        <f>(إجمالي.المعاشات[[#This Row],[منحة 6شهور]]+إجمالي.المعاشات[[#This Row],[مستحقات]])-إجمالي.المعاشات[[#This Row],[المنصرف]]</f>
        <v>-1117.9500000000007</v>
      </c>
      <c r="P25" s="46">
        <f>IF(إجمالي.المعاشات[[#This Row],[المتبقي من المنحة]]&lt;0,0,إجمالي.المعاشات[[#This Row],[المتبقي من المنحة]])</f>
        <v>0</v>
      </c>
      <c r="Q2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14372.449999999997</v>
      </c>
      <c r="R25" s="192">
        <f>إجمالي.المعاشات[[#This Row],[المتبقي]]</f>
        <v>14372.449999999997</v>
      </c>
      <c r="S25" s="192" t="s">
        <v>227</v>
      </c>
    </row>
    <row r="26" spans="3:19" ht="21" x14ac:dyDescent="0.35">
      <c r="C26" s="103">
        <f>القاهرة!C29</f>
        <v>22</v>
      </c>
      <c r="D26" s="46" t="str">
        <f>القاهرة!D29</f>
        <v>عبد الناصر السيد أحمد</v>
      </c>
      <c r="E26" s="47">
        <f>القاهرة!E29</f>
        <v>30</v>
      </c>
      <c r="F26" s="50">
        <f>القاهرة!F29</f>
        <v>44291</v>
      </c>
      <c r="G26" s="50"/>
      <c r="H26" s="46">
        <f>القاهرة!H29</f>
        <v>19057.5</v>
      </c>
      <c r="I26" s="46">
        <f>القاهرة!I29</f>
        <v>0</v>
      </c>
      <c r="J26" s="46">
        <f>القاهرة!J29</f>
        <v>20455.8</v>
      </c>
      <c r="K26" s="46">
        <f>القاهرة!K29</f>
        <v>90</v>
      </c>
      <c r="L26" s="46">
        <f>SUM(إجمالي.المعاشات[[#This Row],[منحة 6شهور]:[مقابل نقدي]])</f>
        <v>39513.300000000003</v>
      </c>
      <c r="M26" s="46">
        <f>SUMIF(بيان.معاشات.القاهرة[الإسم],بيانات!D26:D42,بيان.معاشات.القاهرة[المنصرف])</f>
        <v>12500</v>
      </c>
      <c r="N26" s="46">
        <f>إجمالي.المعاشات[[#This Row],[إجمالي المستحق]]-إجمالي.المعاشات[[#This Row],[المنصرف]]</f>
        <v>27013.300000000003</v>
      </c>
      <c r="O26" s="46">
        <f>(إجمالي.المعاشات[[#This Row],[منحة 6شهور]]+إجمالي.المعاشات[[#This Row],[مستحقات]])-إجمالي.المعاشات[[#This Row],[المنصرف]]</f>
        <v>6557.5</v>
      </c>
      <c r="P26" s="46">
        <f>IF(إجمالي.المعاشات[[#This Row],[المتبقي من المنحة]]&lt;0,0,إجمالي.المعاشات[[#This Row],[المتبقي من المنحة]])</f>
        <v>6557.5</v>
      </c>
      <c r="Q2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20455.8</v>
      </c>
      <c r="R26" s="192">
        <f>إجمالي.المعاشات[[#This Row],[المتبقي]]</f>
        <v>27013.300000000003</v>
      </c>
      <c r="S26" s="192" t="s">
        <v>227</v>
      </c>
    </row>
    <row r="27" spans="3:19" ht="21" x14ac:dyDescent="0.35">
      <c r="C27" s="103">
        <f>القاهرة!C30</f>
        <v>23</v>
      </c>
      <c r="D27" s="46" t="str">
        <f>القاهرة!D30</f>
        <v>مصطفى زغلول جاد المولى</v>
      </c>
      <c r="E27" s="47">
        <f>القاهرة!E30</f>
        <v>31</v>
      </c>
      <c r="F27" s="50">
        <f>القاهرة!F30</f>
        <v>44234</v>
      </c>
      <c r="G27" s="50"/>
      <c r="H27" s="46">
        <f>القاهرة!H30</f>
        <v>15088.45</v>
      </c>
      <c r="I27" s="46">
        <f>القاهرة!I30</f>
        <v>0</v>
      </c>
      <c r="J27" s="46">
        <f>القاهرة!J30</f>
        <v>7833</v>
      </c>
      <c r="K27" s="46">
        <f>القاهرة!K30</f>
        <v>42</v>
      </c>
      <c r="L27" s="46">
        <f>SUM(إجمالي.المعاشات[[#This Row],[منحة 6شهور]:[مقابل نقدي]])</f>
        <v>22921.45</v>
      </c>
      <c r="M27" s="46">
        <f>SUMIF(بيان.معاشات.القاهرة[الإسم],بيانات!D27:D43,بيان.معاشات.القاهرة[المنصرف])</f>
        <v>13000</v>
      </c>
      <c r="N27" s="46">
        <f>إجمالي.المعاشات[[#This Row],[إجمالي المستحق]]-إجمالي.المعاشات[[#This Row],[المنصرف]]</f>
        <v>9921.4500000000007</v>
      </c>
      <c r="O27" s="46">
        <f>(إجمالي.المعاشات[[#This Row],[منحة 6شهور]]+إجمالي.المعاشات[[#This Row],[مستحقات]])-إجمالي.المعاشات[[#This Row],[المنصرف]]</f>
        <v>2088.4500000000007</v>
      </c>
      <c r="P27" s="46">
        <f>IF(إجمالي.المعاشات[[#This Row],[المتبقي من المنحة]]&lt;0,0,إجمالي.المعاشات[[#This Row],[المتبقي من المنحة]])</f>
        <v>2088.4500000000007</v>
      </c>
      <c r="Q2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7833</v>
      </c>
      <c r="R27" s="192">
        <f>إجمالي.المعاشات[[#This Row],[المتبقي]]</f>
        <v>9921.4500000000007</v>
      </c>
      <c r="S27" s="192" t="s">
        <v>227</v>
      </c>
    </row>
    <row r="28" spans="3:19" ht="21" x14ac:dyDescent="0.35">
      <c r="C28" s="103">
        <f>القاهرة!C31</f>
        <v>24</v>
      </c>
      <c r="D28" s="46" t="str">
        <f>القاهرة!D31</f>
        <v>بهاء الدين عبد الفتاح إدفاوي</v>
      </c>
      <c r="E28" s="47">
        <f>القاهرة!E31</f>
        <v>32</v>
      </c>
      <c r="F28" s="50">
        <f>القاهرة!F31</f>
        <v>44322</v>
      </c>
      <c r="G28" s="50"/>
      <c r="H28" s="46">
        <f>القاهرة!H31</f>
        <v>22391.52</v>
      </c>
      <c r="I28" s="46">
        <f>القاهرة!I31</f>
        <v>0</v>
      </c>
      <c r="J28" s="46">
        <f>القاهرة!J31</f>
        <v>18880.2</v>
      </c>
      <c r="K28" s="46">
        <f>القاهرة!K31</f>
        <v>90</v>
      </c>
      <c r="L28" s="46">
        <f>SUM(إجمالي.المعاشات[[#This Row],[منحة 6شهور]:[مقابل نقدي]])</f>
        <v>41271.72</v>
      </c>
      <c r="M28" s="46">
        <f>SUMIF(بيان.معاشات.القاهرة[الإسم],بيانات!D28:D44,بيان.معاشات.القاهرة[المنصرف])</f>
        <v>11500</v>
      </c>
      <c r="N28" s="46">
        <f>إجمالي.المعاشات[[#This Row],[إجمالي المستحق]]-إجمالي.المعاشات[[#This Row],[المنصرف]]</f>
        <v>29771.72</v>
      </c>
      <c r="O28" s="46">
        <f>(إجمالي.المعاشات[[#This Row],[منحة 6شهور]]+إجمالي.المعاشات[[#This Row],[مستحقات]])-إجمالي.المعاشات[[#This Row],[المنصرف]]</f>
        <v>10891.52</v>
      </c>
      <c r="P28" s="46">
        <f>IF(إجمالي.المعاشات[[#This Row],[المتبقي من المنحة]]&lt;0,0,إجمالي.المعاشات[[#This Row],[المتبقي من المنحة]])</f>
        <v>10891.52</v>
      </c>
      <c r="Q2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18880.2</v>
      </c>
      <c r="R28" s="192">
        <f>إجمالي.المعاشات[[#This Row],[المتبقي]]</f>
        <v>29771.72</v>
      </c>
      <c r="S28" s="192" t="s">
        <v>227</v>
      </c>
    </row>
    <row r="29" spans="3:19" ht="21" x14ac:dyDescent="0.35">
      <c r="C29" s="103">
        <f>القاهرة!C32</f>
        <v>25</v>
      </c>
      <c r="D29" s="46" t="str">
        <f>القاهرة!D32</f>
        <v>صلاح عبد الحليم</v>
      </c>
      <c r="E29" s="47">
        <f>القاهرة!E32</f>
        <v>33</v>
      </c>
      <c r="F29" s="50">
        <f>القاهرة!F32</f>
        <v>44335</v>
      </c>
      <c r="G29" s="50"/>
      <c r="H29" s="46">
        <f>القاهرة!H32</f>
        <v>13780.68</v>
      </c>
      <c r="I29" s="46">
        <f>القاهرة!I32</f>
        <v>0</v>
      </c>
      <c r="J29" s="46">
        <f>القاهرة!J32</f>
        <v>12496</v>
      </c>
      <c r="K29" s="46">
        <f>القاهرة!K32</f>
        <v>88</v>
      </c>
      <c r="L29" s="46">
        <f>SUM(إجمالي.المعاشات[[#This Row],[منحة 6شهور]:[مقابل نقدي]])</f>
        <v>26276.68</v>
      </c>
      <c r="M29" s="46">
        <f>SUMIF(بيان.معاشات.القاهرة[الإسم],بيانات!D29:D45,بيان.معاشات.القاهرة[المنصرف])</f>
        <v>11500</v>
      </c>
      <c r="N29" s="46">
        <f>إجمالي.المعاشات[[#This Row],[إجمالي المستحق]]-إجمالي.المعاشات[[#This Row],[المنصرف]]</f>
        <v>14776.68</v>
      </c>
      <c r="O29" s="46">
        <f>(إجمالي.المعاشات[[#This Row],[منحة 6شهور]]+إجمالي.المعاشات[[#This Row],[مستحقات]])-إجمالي.المعاشات[[#This Row],[المنصرف]]</f>
        <v>2280.6800000000003</v>
      </c>
      <c r="P29" s="46">
        <f>IF(إجمالي.المعاشات[[#This Row],[المتبقي من المنحة]]&lt;0,0,إجمالي.المعاشات[[#This Row],[المتبقي من المنحة]])</f>
        <v>2280.6800000000003</v>
      </c>
      <c r="Q2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12496</v>
      </c>
      <c r="R29" s="192">
        <f>إجمالي.المعاشات[[#This Row],[المتبقي]]</f>
        <v>14776.68</v>
      </c>
      <c r="S29" s="192" t="s">
        <v>227</v>
      </c>
    </row>
    <row r="30" spans="3:19" ht="21" x14ac:dyDescent="0.35">
      <c r="C30" s="103">
        <f>القاهرة!C33</f>
        <v>26</v>
      </c>
      <c r="D30" s="46" t="str">
        <f>القاهرة!D33</f>
        <v>نجوى محمد متولي خليل</v>
      </c>
      <c r="E30" s="47">
        <f>القاهرة!E33</f>
        <v>34</v>
      </c>
      <c r="F30" s="50">
        <f>القاهرة!F33</f>
        <v>44080</v>
      </c>
      <c r="G30" s="50"/>
      <c r="H30" s="46">
        <f>القاهرة!H33</f>
        <v>17674.04</v>
      </c>
      <c r="I30" s="46">
        <f>القاهرة!I33</f>
        <v>0</v>
      </c>
      <c r="J30" s="46">
        <f>القاهرة!J33</f>
        <v>12464.05</v>
      </c>
      <c r="K30" s="46">
        <f>القاهرة!K33</f>
        <v>71</v>
      </c>
      <c r="L30" s="46">
        <f>SUM(إجمالي.المعاشات[[#This Row],[منحة 6شهور]:[مقابل نقدي]])</f>
        <v>30138.09</v>
      </c>
      <c r="M30" s="46">
        <f>SUMIF(بيان.معاشات.القاهرة[الإسم],بيانات!D30:D46,بيان.معاشات.القاهرة[المنصرف])</f>
        <v>15500</v>
      </c>
      <c r="N30" s="46">
        <f>إجمالي.المعاشات[[#This Row],[إجمالي المستحق]]-إجمالي.المعاشات[[#This Row],[المنصرف]]</f>
        <v>14638.09</v>
      </c>
      <c r="O30" s="46">
        <f>(إجمالي.المعاشات[[#This Row],[منحة 6شهور]]+إجمالي.المعاشات[[#This Row],[مستحقات]])-إجمالي.المعاشات[[#This Row],[المنصرف]]</f>
        <v>2174.0400000000009</v>
      </c>
      <c r="P30" s="46">
        <f>IF(إجمالي.المعاشات[[#This Row],[المتبقي من المنحة]]&lt;0,0,إجمالي.المعاشات[[#This Row],[المتبقي من المنحة]])</f>
        <v>2174.0400000000009</v>
      </c>
      <c r="Q3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12464.05</v>
      </c>
      <c r="R30" s="192">
        <f>إجمالي.المعاشات[[#This Row],[المتبقي]]</f>
        <v>14638.09</v>
      </c>
      <c r="S30" s="192" t="s">
        <v>227</v>
      </c>
    </row>
    <row r="31" spans="3:19" ht="21" x14ac:dyDescent="0.35">
      <c r="C31" s="103">
        <f>القاهرة!C34</f>
        <v>27</v>
      </c>
      <c r="D31" s="46" t="str">
        <f>القاهرة!D34</f>
        <v>رضا صالح عبد الله</v>
      </c>
      <c r="E31" s="47">
        <f>القاهرة!E34</f>
        <v>35</v>
      </c>
      <c r="F31" s="50">
        <f>القاهرة!F34</f>
        <v>43678</v>
      </c>
      <c r="G31" s="50"/>
      <c r="H31" s="46">
        <f>القاهرة!H34</f>
        <v>21477.72</v>
      </c>
      <c r="I31" s="46">
        <f>القاهرة!I34</f>
        <v>0</v>
      </c>
      <c r="J31" s="46">
        <f>القاهرة!J34</f>
        <v>14474.7</v>
      </c>
      <c r="K31" s="46">
        <f>القاهرة!K34</f>
        <v>90</v>
      </c>
      <c r="L31" s="46">
        <f>SUM(إجمالي.المعاشات[[#This Row],[منحة 6شهور]:[مقابل نقدي]])</f>
        <v>35952.42</v>
      </c>
      <c r="M31" s="46">
        <f>SUMIF(بيان.معاشات.القاهرة[الإسم],بيانات!D31:D47,بيان.معاشات.القاهرة[المنصرف])</f>
        <v>23477.72</v>
      </c>
      <c r="N31" s="46">
        <f>إجمالي.المعاشات[[#This Row],[إجمالي المستحق]]-إجمالي.المعاشات[[#This Row],[المنصرف]]</f>
        <v>12474.699999999997</v>
      </c>
      <c r="O31" s="46">
        <f>(إجمالي.المعاشات[[#This Row],[منحة 6شهور]]+إجمالي.المعاشات[[#This Row],[مستحقات]])-إجمالي.المعاشات[[#This Row],[المنصرف]]</f>
        <v>-2000</v>
      </c>
      <c r="P31" s="46">
        <f>IF(إجمالي.المعاشات[[#This Row],[المتبقي من المنحة]]&lt;0,0,إجمالي.المعاشات[[#This Row],[المتبقي من المنحة]])</f>
        <v>0</v>
      </c>
      <c r="Q3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12474.699999999997</v>
      </c>
      <c r="R31" s="192">
        <f>إجمالي.المعاشات[[#This Row],[المتبقي]]</f>
        <v>12474.699999999997</v>
      </c>
      <c r="S31" s="192" t="s">
        <v>227</v>
      </c>
    </row>
    <row r="32" spans="3:19" ht="21" x14ac:dyDescent="0.35">
      <c r="C32" s="103">
        <f>القاهرة!C35</f>
        <v>28</v>
      </c>
      <c r="D32" s="46" t="str">
        <f>القاهرة!D35</f>
        <v>صباح محمد كمال</v>
      </c>
      <c r="E32" s="47">
        <f>القاهرة!E35</f>
        <v>36</v>
      </c>
      <c r="F32" s="50">
        <f>القاهرة!F35</f>
        <v>44113</v>
      </c>
      <c r="G32" s="50"/>
      <c r="H32" s="46">
        <f>القاهرة!H35</f>
        <v>16126.09</v>
      </c>
      <c r="I32" s="46">
        <f>القاهرة!I35</f>
        <v>0</v>
      </c>
      <c r="J32" s="46">
        <f>القاهرة!J35</f>
        <v>10352.290000000001</v>
      </c>
      <c r="K32" s="46">
        <f>القاهرة!K35</f>
        <v>61.5</v>
      </c>
      <c r="L32" s="46">
        <f>SUM(إجمالي.المعاشات[[#This Row],[منحة 6شهور]:[مقابل نقدي]])</f>
        <v>26478.38</v>
      </c>
      <c r="M32" s="46">
        <f>SUMIF(بيان.معاشات.القاهرة[الإسم],بيانات!D32:D48,بيان.معاشات.القاهرة[المنصرف])</f>
        <v>17126.09</v>
      </c>
      <c r="N32" s="46">
        <f>إجمالي.المعاشات[[#This Row],[إجمالي المستحق]]-إجمالي.المعاشات[[#This Row],[المنصرف]]</f>
        <v>9352.2900000000009</v>
      </c>
      <c r="O32" s="46">
        <f>(إجمالي.المعاشات[[#This Row],[منحة 6شهور]]+إجمالي.المعاشات[[#This Row],[مستحقات]])-إجمالي.المعاشات[[#This Row],[المنصرف]]</f>
        <v>-1000</v>
      </c>
      <c r="P32" s="46">
        <f>IF(إجمالي.المعاشات[[#This Row],[المتبقي من المنحة]]&lt;0,0,إجمالي.المعاشات[[#This Row],[المتبقي من المنحة]])</f>
        <v>0</v>
      </c>
      <c r="Q3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9352.2900000000009</v>
      </c>
      <c r="R32" s="192">
        <f>إجمالي.المعاشات[[#This Row],[المتبقي]]</f>
        <v>9352.2900000000009</v>
      </c>
      <c r="S32" s="192" t="s">
        <v>227</v>
      </c>
    </row>
    <row r="33" spans="3:19" ht="21" x14ac:dyDescent="0.35">
      <c r="C33" s="103">
        <f>القاهرة!C36</f>
        <v>29</v>
      </c>
      <c r="D33" s="46" t="str">
        <f>القاهرة!D36</f>
        <v>محمد عبد الكريم إمام</v>
      </c>
      <c r="E33" s="47">
        <f>القاهرة!E36</f>
        <v>37</v>
      </c>
      <c r="F33" s="50">
        <f>القاهرة!F36</f>
        <v>43676</v>
      </c>
      <c r="G33" s="50"/>
      <c r="H33" s="46">
        <f>القاهرة!H36</f>
        <v>22233.360000000001</v>
      </c>
      <c r="I33" s="46">
        <f>القاهرة!I36</f>
        <v>0</v>
      </c>
      <c r="J33" s="46">
        <f>القاهرة!J36</f>
        <v>14640.3</v>
      </c>
      <c r="K33" s="46">
        <f>القاهرة!K36</f>
        <v>90</v>
      </c>
      <c r="L33" s="46">
        <f>SUM(إجمالي.المعاشات[[#This Row],[منحة 6شهور]:[مقابل نقدي]])</f>
        <v>36873.660000000003</v>
      </c>
      <c r="M33" s="46">
        <f>SUMIF(بيان.معاشات.القاهرة[الإسم],بيانات!D33:D49,بيان.معاشات.القاهرة[المنصرف])</f>
        <v>22233.360000000001</v>
      </c>
      <c r="N33" s="46">
        <f>إجمالي.المعاشات[[#This Row],[إجمالي المستحق]]-إجمالي.المعاشات[[#This Row],[المنصرف]]</f>
        <v>14640.300000000003</v>
      </c>
      <c r="O33" s="46">
        <f>(إجمالي.المعاشات[[#This Row],[منحة 6شهور]]+إجمالي.المعاشات[[#This Row],[مستحقات]])-إجمالي.المعاشات[[#This Row],[المنصرف]]</f>
        <v>0</v>
      </c>
      <c r="P33" s="46">
        <f>IF(إجمالي.المعاشات[[#This Row],[المتبقي من المنحة]]&lt;0,0,إجمالي.المعاشات[[#This Row],[المتبقي من المنحة]])</f>
        <v>0</v>
      </c>
      <c r="Q3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14640.300000000003</v>
      </c>
      <c r="R33" s="192">
        <f>إجمالي.المعاشات[[#This Row],[المتبقي]]</f>
        <v>14640.300000000003</v>
      </c>
      <c r="S33" s="192" t="s">
        <v>227</v>
      </c>
    </row>
    <row r="34" spans="3:19" ht="21" x14ac:dyDescent="0.35">
      <c r="C34" s="103">
        <f>القاهرة!C37</f>
        <v>30</v>
      </c>
      <c r="D34" s="46" t="str">
        <f>القاهرة!D37</f>
        <v>عزة محمد مختار</v>
      </c>
      <c r="E34" s="47">
        <f>القاهرة!E37</f>
        <v>39</v>
      </c>
      <c r="F34" s="50">
        <f>القاهرة!F37</f>
        <v>43601</v>
      </c>
      <c r="G34" s="50"/>
      <c r="H34" s="46">
        <f>القاهرة!H37</f>
        <v>22242.9</v>
      </c>
      <c r="I34" s="46">
        <f>القاهرة!I37</f>
        <v>0</v>
      </c>
      <c r="J34" s="46">
        <f>القاهرة!J37</f>
        <v>13085.66</v>
      </c>
      <c r="K34" s="46">
        <f>القاهرة!K37</f>
        <v>90</v>
      </c>
      <c r="L34" s="46">
        <f>SUM(إجمالي.المعاشات[[#This Row],[منحة 6شهور]:[مقابل نقدي]])</f>
        <v>35328.559999999998</v>
      </c>
      <c r="M34" s="46">
        <f>SUMIF(بيان.معاشات.القاهرة[الإسم],بيانات!D34:D50,بيان.معاشات.القاهرة[المنصرف])</f>
        <v>23000</v>
      </c>
      <c r="N34" s="46">
        <f>إجمالي.المعاشات[[#This Row],[إجمالي المستحق]]-إجمالي.المعاشات[[#This Row],[المنصرف]]</f>
        <v>12328.559999999998</v>
      </c>
      <c r="O34" s="46">
        <f>(إجمالي.المعاشات[[#This Row],[منحة 6شهور]]+إجمالي.المعاشات[[#This Row],[مستحقات]])-إجمالي.المعاشات[[#This Row],[المنصرف]]</f>
        <v>-757.09999999999854</v>
      </c>
      <c r="P34" s="46">
        <f>IF(إجمالي.المعاشات[[#This Row],[المتبقي من المنحة]]&lt;0,0,إجمالي.المعاشات[[#This Row],[المتبقي من المنحة]])</f>
        <v>0</v>
      </c>
      <c r="Q3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12328.559999999998</v>
      </c>
      <c r="R34" s="192">
        <f>إجمالي.المعاشات[[#This Row],[المتبقي]]</f>
        <v>12328.559999999998</v>
      </c>
      <c r="S34" s="192" t="s">
        <v>227</v>
      </c>
    </row>
    <row r="35" spans="3:19" ht="21" x14ac:dyDescent="0.35">
      <c r="C35" s="103">
        <f>القاهرة!C38</f>
        <v>31</v>
      </c>
      <c r="D35" s="46" t="str">
        <f>القاهرة!D38</f>
        <v>محمد إبراهيم علي البربري</v>
      </c>
      <c r="E35" s="47">
        <f>القاهرة!E38</f>
        <v>40</v>
      </c>
      <c r="F35" s="50">
        <f>القاهرة!F38</f>
        <v>43612</v>
      </c>
      <c r="G35" s="50"/>
      <c r="H35" s="46">
        <f>القاهرة!H38</f>
        <v>15553.44</v>
      </c>
      <c r="I35" s="46">
        <f>القاهرة!I38</f>
        <v>0</v>
      </c>
      <c r="J35" s="46">
        <f>القاهرة!J38</f>
        <v>10676.74</v>
      </c>
      <c r="K35" s="46">
        <f>القاهرة!K38</f>
        <v>75</v>
      </c>
      <c r="L35" s="46">
        <f>SUM(إجمالي.المعاشات[[#This Row],[منحة 6شهور]:[مقابل نقدي]])</f>
        <v>26230.18</v>
      </c>
      <c r="M35" s="46">
        <f>SUMIF(بيان.معاشات.القاهرة[الإسم],بيانات!D35:D51,بيان.معاشات.القاهرة[المنصرف])</f>
        <v>24850</v>
      </c>
      <c r="N35" s="46">
        <f>إجمالي.المعاشات[[#This Row],[إجمالي المستحق]]-إجمالي.المعاشات[[#This Row],[المنصرف]]</f>
        <v>1380.1800000000003</v>
      </c>
      <c r="O35" s="46">
        <f>(إجمالي.المعاشات[[#This Row],[منحة 6شهور]]+إجمالي.المعاشات[[#This Row],[مستحقات]])-إجمالي.المعاشات[[#This Row],[المنصرف]]</f>
        <v>-9296.56</v>
      </c>
      <c r="P35" s="46">
        <f>IF(إجمالي.المعاشات[[#This Row],[المتبقي من المنحة]]&lt;0,0,إجمالي.المعاشات[[#This Row],[المتبقي من المنحة]])</f>
        <v>0</v>
      </c>
      <c r="Q3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1380.1800000000003</v>
      </c>
      <c r="R35" s="192">
        <f>إجمالي.المعاشات[[#This Row],[المتبقي]]</f>
        <v>1380.1800000000003</v>
      </c>
      <c r="S35" s="192" t="s">
        <v>227</v>
      </c>
    </row>
    <row r="36" spans="3:19" ht="21" x14ac:dyDescent="0.35">
      <c r="C36" s="103">
        <f>القاهرة!C39</f>
        <v>32</v>
      </c>
      <c r="D36" s="46" t="str">
        <f>القاهرة!D39</f>
        <v>أمان أحمد توفيق</v>
      </c>
      <c r="E36" s="47">
        <f>القاهرة!E39</f>
        <v>41</v>
      </c>
      <c r="F36" s="50">
        <f>القاهرة!F39</f>
        <v>44248</v>
      </c>
      <c r="G36" s="50"/>
      <c r="H36" s="46">
        <f>القاهرة!H39</f>
        <v>21789.03</v>
      </c>
      <c r="I36" s="46">
        <f>القاهرة!I39</f>
        <v>0</v>
      </c>
      <c r="J36" s="46">
        <f>القاهرة!J39</f>
        <v>2438.31</v>
      </c>
      <c r="K36" s="46">
        <f>القاهرة!K39</f>
        <v>10.5</v>
      </c>
      <c r="L36" s="46">
        <f>SUM(إجمالي.المعاشات[[#This Row],[منحة 6شهور]:[مقابل نقدي]])</f>
        <v>24227.34</v>
      </c>
      <c r="M36" s="46">
        <f>SUMIF(بيان.معاشات.القاهرة[الإسم],بيانات!D36:D52,بيان.معاشات.القاهرة[المنصرف])</f>
        <v>13000</v>
      </c>
      <c r="N36" s="46">
        <f>إجمالي.المعاشات[[#This Row],[إجمالي المستحق]]-إجمالي.المعاشات[[#This Row],[المنصرف]]</f>
        <v>11227.34</v>
      </c>
      <c r="O36" s="46">
        <f>(إجمالي.المعاشات[[#This Row],[منحة 6شهور]]+إجمالي.المعاشات[[#This Row],[مستحقات]])-إجمالي.المعاشات[[#This Row],[المنصرف]]</f>
        <v>8789.0299999999988</v>
      </c>
      <c r="P36" s="46">
        <f>IF(إجمالي.المعاشات[[#This Row],[المتبقي من المنحة]]&lt;0,0,إجمالي.المعاشات[[#This Row],[المتبقي من المنحة]])</f>
        <v>8789.0299999999988</v>
      </c>
      <c r="Q3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2438.31</v>
      </c>
      <c r="R36" s="192">
        <f>إجمالي.المعاشات[[#This Row],[المتبقي]]</f>
        <v>11227.34</v>
      </c>
      <c r="S36" s="192" t="s">
        <v>227</v>
      </c>
    </row>
    <row r="37" spans="3:19" ht="21" x14ac:dyDescent="0.35">
      <c r="C37" s="103">
        <f>القاهرة!C40</f>
        <v>33</v>
      </c>
      <c r="D37" s="46" t="str">
        <f>القاهرة!D40</f>
        <v>يحيى محمد حسن بدير</v>
      </c>
      <c r="E37" s="47">
        <f>القاهرة!E40</f>
        <v>42</v>
      </c>
      <c r="F37" s="50">
        <f>القاهرة!F40</f>
        <v>44021</v>
      </c>
      <c r="G37" s="50"/>
      <c r="H37" s="46">
        <f>القاهرة!H40</f>
        <v>20149.38</v>
      </c>
      <c r="I37" s="46">
        <f>القاهرة!I40</f>
        <v>0</v>
      </c>
      <c r="J37" s="46">
        <f>القاهرة!J40</f>
        <v>2959</v>
      </c>
      <c r="K37" s="46">
        <f>القاهرة!K40</f>
        <v>16.5</v>
      </c>
      <c r="L37" s="46">
        <f>SUM(إجمالي.المعاشات[[#This Row],[منحة 6شهور]:[مقابل نقدي]])</f>
        <v>23108.38</v>
      </c>
      <c r="M37" s="46">
        <f>SUMIF(بيان.معاشات.القاهرة[الإسم],بيانات!D37:D53,بيان.معاشات.القاهرة[المنصرف])</f>
        <v>17000</v>
      </c>
      <c r="N37" s="46">
        <f>إجمالي.المعاشات[[#This Row],[إجمالي المستحق]]-إجمالي.المعاشات[[#This Row],[المنصرف]]</f>
        <v>6108.380000000001</v>
      </c>
      <c r="O37" s="46">
        <f>(إجمالي.المعاشات[[#This Row],[منحة 6شهور]]+إجمالي.المعاشات[[#This Row],[مستحقات]])-إجمالي.المعاشات[[#This Row],[المنصرف]]</f>
        <v>3149.380000000001</v>
      </c>
      <c r="P37" s="46">
        <f>IF(إجمالي.المعاشات[[#This Row],[المتبقي من المنحة]]&lt;0,0,إجمالي.المعاشات[[#This Row],[المتبقي من المنحة]])</f>
        <v>3149.380000000001</v>
      </c>
      <c r="Q3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2959</v>
      </c>
      <c r="R37" s="192">
        <f>إجمالي.المعاشات[[#This Row],[المتبقي]]</f>
        <v>6108.380000000001</v>
      </c>
      <c r="S37" s="192" t="s">
        <v>227</v>
      </c>
    </row>
    <row r="38" spans="3:19" ht="21" x14ac:dyDescent="0.35">
      <c r="C38" s="103">
        <f>القاهرة!C41</f>
        <v>34</v>
      </c>
      <c r="D38" s="46" t="str">
        <f>القاهرة!D41</f>
        <v>صفاء محمود محمد خاطر</v>
      </c>
      <c r="E38" s="47">
        <f>القاهرة!E41</f>
        <v>43</v>
      </c>
      <c r="F38" s="50">
        <f>القاهرة!F41</f>
        <v>44233</v>
      </c>
      <c r="G38" s="50"/>
      <c r="H38" s="46">
        <f>القاهرة!H41</f>
        <v>18043.97</v>
      </c>
      <c r="I38" s="46">
        <f>القاهرة!I41</f>
        <v>0</v>
      </c>
      <c r="J38" s="46">
        <f>القاهرة!J41</f>
        <v>17547.3</v>
      </c>
      <c r="K38" s="46">
        <f>القاهرة!K41</f>
        <v>90</v>
      </c>
      <c r="L38" s="46">
        <f>SUM(إجمالي.المعاشات[[#This Row],[منحة 6شهور]:[مقابل نقدي]])</f>
        <v>35591.270000000004</v>
      </c>
      <c r="M38" s="46">
        <f>SUMIF(بيان.معاشات.القاهرة[الإسم],بيانات!D38:D54,بيان.معاشات.القاهرة[المنصرف])</f>
        <v>13500</v>
      </c>
      <c r="N38" s="46">
        <f>إجمالي.المعاشات[[#This Row],[إجمالي المستحق]]-إجمالي.المعاشات[[#This Row],[المنصرف]]</f>
        <v>22091.270000000004</v>
      </c>
      <c r="O38" s="46">
        <f>(إجمالي.المعاشات[[#This Row],[منحة 6شهور]]+إجمالي.المعاشات[[#This Row],[مستحقات]])-إجمالي.المعاشات[[#This Row],[المنصرف]]</f>
        <v>4543.9700000000012</v>
      </c>
      <c r="P38" s="46">
        <f>IF(إجمالي.المعاشات[[#This Row],[المتبقي من المنحة]]&lt;0,0,إجمالي.المعاشات[[#This Row],[المتبقي من المنحة]])</f>
        <v>4543.9700000000012</v>
      </c>
      <c r="Q3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17547.3</v>
      </c>
      <c r="R38" s="192">
        <f>إجمالي.المعاشات[[#This Row],[المتبقي]]</f>
        <v>22091.270000000004</v>
      </c>
      <c r="S38" s="192" t="s">
        <v>227</v>
      </c>
    </row>
    <row r="39" spans="3:19" ht="21" x14ac:dyDescent="0.35">
      <c r="C39" s="103">
        <f>القاهرة!C42</f>
        <v>35</v>
      </c>
      <c r="D39" s="46" t="str">
        <f>القاهرة!D42</f>
        <v>محمود محمود محمد مصطفى</v>
      </c>
      <c r="E39" s="47">
        <f>القاهرة!E42</f>
        <v>45</v>
      </c>
      <c r="F39" s="50">
        <f>القاهرة!F42</f>
        <v>43485</v>
      </c>
      <c r="G39" s="50"/>
      <c r="H39" s="46">
        <f>القاهرة!H42</f>
        <v>21465.96</v>
      </c>
      <c r="I39" s="46">
        <f>القاهرة!I42</f>
        <v>0</v>
      </c>
      <c r="J39" s="46">
        <f>القاهرة!J42</f>
        <v>5308.94</v>
      </c>
      <c r="K39" s="46">
        <f>القاهرة!K42</f>
        <v>90</v>
      </c>
      <c r="L39" s="46">
        <f>SUM(إجمالي.المعاشات[[#This Row],[منحة 6شهور]:[مقابل نقدي]])</f>
        <v>26774.899999999998</v>
      </c>
      <c r="M39" s="46">
        <f>SUMIF(بيان.معاشات.القاهرة[الإسم],بيانات!D39:D55,بيان.معاشات.القاهرة[المنصرف])</f>
        <v>22465.96</v>
      </c>
      <c r="N39" s="46">
        <f>إجمالي.المعاشات[[#This Row],[إجمالي المستحق]]-إجمالي.المعاشات[[#This Row],[المنصرف]]</f>
        <v>4308.9399999999987</v>
      </c>
      <c r="O39" s="46">
        <f>(إجمالي.المعاشات[[#This Row],[منحة 6شهور]]+إجمالي.المعاشات[[#This Row],[مستحقات]])-إجمالي.المعاشات[[#This Row],[المنصرف]]</f>
        <v>-1000</v>
      </c>
      <c r="P39" s="46">
        <f>IF(إجمالي.المعاشات[[#This Row],[المتبقي من المنحة]]&lt;0,0,إجمالي.المعاشات[[#This Row],[المتبقي من المنحة]])</f>
        <v>0</v>
      </c>
      <c r="Q3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4308.9399999999987</v>
      </c>
      <c r="R39" s="192">
        <f>إجمالي.المعاشات[[#This Row],[المتبقي]]</f>
        <v>4308.9399999999987</v>
      </c>
      <c r="S39" s="192" t="s">
        <v>227</v>
      </c>
    </row>
    <row r="40" spans="3:19" ht="21" x14ac:dyDescent="0.35">
      <c r="C40" s="103">
        <f>القاهرة!C43</f>
        <v>36</v>
      </c>
      <c r="D40" s="46" t="str">
        <f>القاهرة!D43</f>
        <v>سعيد عبد الحميد محمد بركات</v>
      </c>
      <c r="E40" s="47">
        <f>القاهرة!E43</f>
        <v>46</v>
      </c>
      <c r="F40" s="50">
        <f>القاهرة!F43</f>
        <v>43546</v>
      </c>
      <c r="G40" s="50"/>
      <c r="H40" s="46">
        <f>القاهرة!H43</f>
        <v>15465.12</v>
      </c>
      <c r="I40" s="46">
        <f>القاهرة!I43</f>
        <v>0</v>
      </c>
      <c r="J40" s="46">
        <f>القاهرة!J43</f>
        <v>11117.9</v>
      </c>
      <c r="K40" s="46">
        <f>القاهرة!K43</f>
        <v>90</v>
      </c>
      <c r="L40" s="46">
        <f>SUM(إجمالي.المعاشات[[#This Row],[منحة 6شهور]:[مقابل نقدي]])</f>
        <v>26583.02</v>
      </c>
      <c r="M40" s="46">
        <f>SUMIF(بيان.معاشات.القاهرة[الإسم],بيانات!D40:D56,بيان.معاشات.القاهرة[المنصرف])</f>
        <v>20500</v>
      </c>
      <c r="N40" s="46">
        <f>إجمالي.المعاشات[[#This Row],[إجمالي المستحق]]-إجمالي.المعاشات[[#This Row],[المنصرف]]</f>
        <v>6083.02</v>
      </c>
      <c r="O40" s="46">
        <f>(إجمالي.المعاشات[[#This Row],[منحة 6شهور]]+إجمالي.المعاشات[[#This Row],[مستحقات]])-إجمالي.المعاشات[[#This Row],[المنصرف]]</f>
        <v>-5034.8799999999992</v>
      </c>
      <c r="P40" s="46">
        <f>IF(إجمالي.المعاشات[[#This Row],[المتبقي من المنحة]]&lt;0,0,إجمالي.المعاشات[[#This Row],[المتبقي من المنحة]])</f>
        <v>0</v>
      </c>
      <c r="Q4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6083.02</v>
      </c>
      <c r="R40" s="192">
        <f>إجمالي.المعاشات[[#This Row],[المتبقي]]</f>
        <v>6083.02</v>
      </c>
      <c r="S40" s="192" t="s">
        <v>227</v>
      </c>
    </row>
    <row r="41" spans="3:19" ht="21" x14ac:dyDescent="0.35">
      <c r="C41" s="103">
        <f>القاهرة!C44</f>
        <v>37</v>
      </c>
      <c r="D41" s="46" t="str">
        <f>القاهرة!D44</f>
        <v>إبراهيم بلال سالم</v>
      </c>
      <c r="E41" s="47">
        <f>القاهرة!E44</f>
        <v>47</v>
      </c>
      <c r="F41" s="50">
        <f>القاهرة!F44</f>
        <v>44161</v>
      </c>
      <c r="G41" s="50"/>
      <c r="H41" s="46">
        <f>القاهرة!H44</f>
        <v>15318.96</v>
      </c>
      <c r="I41" s="46">
        <f>القاهرة!I44</f>
        <v>0</v>
      </c>
      <c r="J41" s="46">
        <f>القاهرة!J44</f>
        <v>11700</v>
      </c>
      <c r="K41" s="46">
        <f>القاهرة!K44</f>
        <v>90</v>
      </c>
      <c r="L41" s="46">
        <f>SUM(إجمالي.المعاشات[[#This Row],[منحة 6شهور]:[مقابل نقدي]])</f>
        <v>27018.959999999999</v>
      </c>
      <c r="M41" s="46">
        <f>SUMIF(بيان.معاشات.القاهرة[الإسم],بيانات!D41:D57,بيان.معاشات.القاهرة[المنصرف])</f>
        <v>14500</v>
      </c>
      <c r="N41" s="46">
        <f>إجمالي.المعاشات[[#This Row],[إجمالي المستحق]]-إجمالي.المعاشات[[#This Row],[المنصرف]]</f>
        <v>12518.96</v>
      </c>
      <c r="O41" s="46">
        <f>(إجمالي.المعاشات[[#This Row],[منحة 6شهور]]+إجمالي.المعاشات[[#This Row],[مستحقات]])-إجمالي.المعاشات[[#This Row],[المنصرف]]</f>
        <v>818.95999999999913</v>
      </c>
      <c r="P41" s="46">
        <f>IF(إجمالي.المعاشات[[#This Row],[المتبقي من المنحة]]&lt;0,0,إجمالي.المعاشات[[#This Row],[المتبقي من المنحة]])</f>
        <v>818.95999999999913</v>
      </c>
      <c r="Q4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11700</v>
      </c>
      <c r="R41" s="192">
        <f>إجمالي.المعاشات[[#This Row],[المتبقي]]</f>
        <v>12518.96</v>
      </c>
      <c r="S41" s="192" t="s">
        <v>227</v>
      </c>
    </row>
    <row r="42" spans="3:19" ht="21" x14ac:dyDescent="0.35">
      <c r="C42" s="103">
        <f>القاهرة!C45</f>
        <v>38</v>
      </c>
      <c r="D42" s="46" t="str">
        <f>القاهرة!D45</f>
        <v>عبد العال إبراهيم سيد</v>
      </c>
      <c r="E42" s="47">
        <f>القاهرة!E45</f>
        <v>48</v>
      </c>
      <c r="F42" s="50">
        <f>القاهرة!F45</f>
        <v>44175</v>
      </c>
      <c r="G42" s="50"/>
      <c r="H42" s="46">
        <f>القاهرة!H45</f>
        <v>13878.42</v>
      </c>
      <c r="I42" s="46">
        <f>القاهرة!I45</f>
        <v>0</v>
      </c>
      <c r="J42" s="46">
        <f>القاهرة!J45</f>
        <v>12222</v>
      </c>
      <c r="K42" s="46">
        <f>القاهرة!K45</f>
        <v>90</v>
      </c>
      <c r="L42" s="46">
        <f>SUM(إجمالي.المعاشات[[#This Row],[منحة 6شهور]:[مقابل نقدي]])</f>
        <v>26100.42</v>
      </c>
      <c r="M42" s="46">
        <f>SUMIF(بيان.معاشات.القاهرة[الإسم],بيانات!D42:D58,بيان.معاشات.القاهرة[المنصرف])</f>
        <v>14378.42</v>
      </c>
      <c r="N42" s="46">
        <f>إجمالي.المعاشات[[#This Row],[إجمالي المستحق]]-إجمالي.المعاشات[[#This Row],[المنصرف]]</f>
        <v>11721.999999999998</v>
      </c>
      <c r="O42" s="46">
        <f>(إجمالي.المعاشات[[#This Row],[منحة 6شهور]]+إجمالي.المعاشات[[#This Row],[مستحقات]])-إجمالي.المعاشات[[#This Row],[المنصرف]]</f>
        <v>-500</v>
      </c>
      <c r="P42" s="46">
        <f>IF(إجمالي.المعاشات[[#This Row],[المتبقي من المنحة]]&lt;0,0,إجمالي.المعاشات[[#This Row],[المتبقي من المنحة]])</f>
        <v>0</v>
      </c>
      <c r="Q4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11721.999999999998</v>
      </c>
      <c r="R42" s="192">
        <f>إجمالي.المعاشات[[#This Row],[المتبقي]]</f>
        <v>11721.999999999998</v>
      </c>
      <c r="S42" s="192" t="s">
        <v>227</v>
      </c>
    </row>
    <row r="43" spans="3:19" ht="21" x14ac:dyDescent="0.35">
      <c r="C43" s="103">
        <f>القاهرة!C46</f>
        <v>39</v>
      </c>
      <c r="D43" s="46" t="str">
        <f>القاهرة!D46</f>
        <v>محمد عبد العزيز عبد ربه</v>
      </c>
      <c r="E43" s="47">
        <f>القاهرة!E46</f>
        <v>49</v>
      </c>
      <c r="F43" s="50">
        <f>القاهرة!F46</f>
        <v>44128</v>
      </c>
      <c r="G43" s="50"/>
      <c r="H43" s="46">
        <f>القاهرة!H46</f>
        <v>21333.06</v>
      </c>
      <c r="I43" s="46">
        <f>القاهرة!I46</f>
        <v>0</v>
      </c>
      <c r="J43" s="46">
        <f>القاهرة!J46</f>
        <v>0</v>
      </c>
      <c r="K43" s="46">
        <f>القاهرة!K46</f>
        <v>0</v>
      </c>
      <c r="L43" s="46">
        <f>SUM(إجمالي.المعاشات[[#This Row],[منحة 6شهور]:[مقابل نقدي]])</f>
        <v>21333.06</v>
      </c>
      <c r="M43" s="46">
        <f>SUMIF(بيان.معاشات.القاهرة[الإسم],بيانات!D43:D59,بيان.معاشات.القاهرة[المنصرف])</f>
        <v>15545.44</v>
      </c>
      <c r="N43" s="46">
        <f>إجمالي.المعاشات[[#This Row],[إجمالي المستحق]]-إجمالي.المعاشات[[#This Row],[المنصرف]]</f>
        <v>5787.6200000000008</v>
      </c>
      <c r="O43" s="46">
        <f>(إجمالي.المعاشات[[#This Row],[منحة 6شهور]]+إجمالي.المعاشات[[#This Row],[مستحقات]])-إجمالي.المعاشات[[#This Row],[المنصرف]]</f>
        <v>5787.6200000000008</v>
      </c>
      <c r="P43" s="46">
        <f>IF(إجمالي.المعاشات[[#This Row],[المتبقي من المنحة]]&lt;0,0,إجمالي.المعاشات[[#This Row],[المتبقي من المنحة]])</f>
        <v>5787.6200000000008</v>
      </c>
      <c r="Q4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43" s="192">
        <f>إجمالي.المعاشات[[#This Row],[المتبقي]]</f>
        <v>5787.6200000000008</v>
      </c>
      <c r="S43" s="192" t="s">
        <v>227</v>
      </c>
    </row>
    <row r="44" spans="3:19" ht="21" x14ac:dyDescent="0.35">
      <c r="C44" s="103">
        <f>القاهرة!C47</f>
        <v>40</v>
      </c>
      <c r="D44" s="46" t="str">
        <f>القاهرة!D47</f>
        <v>فايز عبد السلام عبد العال</v>
      </c>
      <c r="E44" s="47">
        <f>القاهرة!E47</f>
        <v>50</v>
      </c>
      <c r="F44" s="50">
        <f>القاهرة!F47</f>
        <v>44335</v>
      </c>
      <c r="G44" s="50"/>
      <c r="H44" s="46">
        <f>القاهرة!H47</f>
        <v>5866.68</v>
      </c>
      <c r="I44" s="46">
        <f>القاهرة!I47</f>
        <v>0</v>
      </c>
      <c r="J44" s="46">
        <f>القاهرة!J47</f>
        <v>2975.84</v>
      </c>
      <c r="K44" s="46">
        <f>القاهرة!K47</f>
        <v>28</v>
      </c>
      <c r="L44" s="46">
        <f>SUM(إجمالي.المعاشات[[#This Row],[منحة 6شهور]:[مقابل نقدي]])</f>
        <v>8842.52</v>
      </c>
      <c r="M44" s="46">
        <f>SUMIF(بيان.معاشات.القاهرة[الإسم],بيانات!D44:D60,بيان.معاشات.القاهرة[المنصرف])</f>
        <v>8842.52</v>
      </c>
      <c r="N44" s="46">
        <f>إجمالي.المعاشات[[#This Row],[إجمالي المستحق]]-إجمالي.المعاشات[[#This Row],[المنصرف]]</f>
        <v>0</v>
      </c>
      <c r="O44" s="46">
        <f>(إجمالي.المعاشات[[#This Row],[منحة 6شهور]]+إجمالي.المعاشات[[#This Row],[مستحقات]])-إجمالي.المعاشات[[#This Row],[المنصرف]]</f>
        <v>-2975.84</v>
      </c>
      <c r="P44" s="46">
        <f>IF(إجمالي.المعاشات[[#This Row],[المتبقي من المنحة]]&lt;0,0,إجمالي.المعاشات[[#This Row],[المتبقي من المنحة]])</f>
        <v>0</v>
      </c>
      <c r="Q4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44" s="192">
        <f>إجمالي.المعاشات[[#This Row],[المتبقي]]</f>
        <v>0</v>
      </c>
      <c r="S44" s="192" t="s">
        <v>227</v>
      </c>
    </row>
    <row r="45" spans="3:19" ht="21" x14ac:dyDescent="0.35">
      <c r="C45" s="103">
        <f>القاهرة!C48</f>
        <v>41</v>
      </c>
      <c r="D45" s="46" t="str">
        <f>القاهرة!D48</f>
        <v>عيد عبد الحكيم السيد</v>
      </c>
      <c r="E45" s="47">
        <f>القاهرة!E48</f>
        <v>51</v>
      </c>
      <c r="F45" s="50">
        <f>القاهرة!F48</f>
        <v>44035</v>
      </c>
      <c r="G45" s="50"/>
      <c r="H45" s="46">
        <f>القاهرة!H48</f>
        <v>16050.8</v>
      </c>
      <c r="I45" s="46">
        <f>القاهرة!I48</f>
        <v>0</v>
      </c>
      <c r="J45" s="46">
        <f>القاهرة!J48</f>
        <v>11549.7</v>
      </c>
      <c r="K45" s="46">
        <f>القاهرة!K48</f>
        <v>90</v>
      </c>
      <c r="L45" s="46">
        <f>SUM(إجمالي.المعاشات[[#This Row],[منحة 6شهور]:[مقابل نقدي]])</f>
        <v>27600.5</v>
      </c>
      <c r="M45" s="46">
        <f>SUMIF(بيان.معاشات.القاهرة[الإسم],بيانات!D45:D61,بيان.معاشات.القاهرة[المنصرف])</f>
        <v>16000</v>
      </c>
      <c r="N45" s="46">
        <f>إجمالي.المعاشات[[#This Row],[إجمالي المستحق]]-إجمالي.المعاشات[[#This Row],[المنصرف]]</f>
        <v>11600.5</v>
      </c>
      <c r="O45" s="46">
        <f>(إجمالي.المعاشات[[#This Row],[منحة 6شهور]]+إجمالي.المعاشات[[#This Row],[مستحقات]])-إجمالي.المعاشات[[#This Row],[المنصرف]]</f>
        <v>50.799999999999272</v>
      </c>
      <c r="P45" s="46">
        <f>IF(إجمالي.المعاشات[[#This Row],[المتبقي من المنحة]]&lt;0,0,إجمالي.المعاشات[[#This Row],[المتبقي من المنحة]])</f>
        <v>50.799999999999272</v>
      </c>
      <c r="Q4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11549.7</v>
      </c>
      <c r="R45" s="192">
        <f>إجمالي.المعاشات[[#This Row],[المتبقي]]</f>
        <v>11600.5</v>
      </c>
      <c r="S45" s="192" t="s">
        <v>227</v>
      </c>
    </row>
    <row r="46" spans="3:19" ht="21" x14ac:dyDescent="0.35">
      <c r="C46" s="103">
        <f>القاهرة!C49</f>
        <v>42</v>
      </c>
      <c r="D46" s="46" t="str">
        <f>القاهرة!D49</f>
        <v>محمد عبد العزيز حسين طبل</v>
      </c>
      <c r="E46" s="47">
        <f>القاهرة!E49</f>
        <v>52</v>
      </c>
      <c r="F46" s="50">
        <f>القاهرة!F49</f>
        <v>43760</v>
      </c>
      <c r="G46" s="50"/>
      <c r="H46" s="46">
        <f>القاهرة!H49</f>
        <v>15334.74</v>
      </c>
      <c r="I46" s="46">
        <f>القاهرة!I49</f>
        <v>0</v>
      </c>
      <c r="J46" s="46">
        <f>القاهرة!J49</f>
        <v>11721.5</v>
      </c>
      <c r="K46" s="46">
        <f>القاهرة!K49</f>
        <v>90</v>
      </c>
      <c r="L46" s="46">
        <f>SUM(إجمالي.المعاشات[[#This Row],[منحة 6شهور]:[مقابل نقدي]])</f>
        <v>27056.239999999998</v>
      </c>
      <c r="M46" s="46">
        <f>SUMIF(بيان.معاشات.القاهرة[الإسم],بيانات!D46:D62,بيان.معاشات.القاهرة[المنصرف])</f>
        <v>20834.739999999998</v>
      </c>
      <c r="N46" s="46">
        <f>إجمالي.المعاشات[[#This Row],[إجمالي المستحق]]-إجمالي.المعاشات[[#This Row],[المنصرف]]</f>
        <v>6221.5</v>
      </c>
      <c r="O46" s="46">
        <f>(إجمالي.المعاشات[[#This Row],[منحة 6شهور]]+إجمالي.المعاشات[[#This Row],[مستحقات]])-إجمالي.المعاشات[[#This Row],[المنصرف]]</f>
        <v>-5499.9999999999982</v>
      </c>
      <c r="P46" s="46">
        <f>IF(إجمالي.المعاشات[[#This Row],[المتبقي من المنحة]]&lt;0,0,إجمالي.المعاشات[[#This Row],[المتبقي من المنحة]])</f>
        <v>0</v>
      </c>
      <c r="Q4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6221.5</v>
      </c>
      <c r="R46" s="192">
        <f>إجمالي.المعاشات[[#This Row],[المتبقي]]</f>
        <v>6221.5</v>
      </c>
      <c r="S46" s="192" t="s">
        <v>227</v>
      </c>
    </row>
    <row r="47" spans="3:19" ht="21" x14ac:dyDescent="0.35">
      <c r="C47" s="103">
        <f>القاهرة!C50</f>
        <v>43</v>
      </c>
      <c r="D47" s="46" t="str">
        <f>القاهرة!D50</f>
        <v>حازم حسن سيد</v>
      </c>
      <c r="E47" s="47">
        <f>القاهرة!E50</f>
        <v>54</v>
      </c>
      <c r="F47" s="50">
        <f>القاهرة!F50</f>
        <v>44441</v>
      </c>
      <c r="G47" s="50"/>
      <c r="H47" s="46">
        <f>القاهرة!H50</f>
        <v>17949.18</v>
      </c>
      <c r="I47" s="46">
        <f>القاهرة!I50</f>
        <v>0</v>
      </c>
      <c r="J47" s="46">
        <f>القاهرة!J50</f>
        <v>17330.400000000001</v>
      </c>
      <c r="K47" s="46">
        <f>القاهرة!K50</f>
        <v>90</v>
      </c>
      <c r="L47" s="46">
        <f>SUM(إجمالي.المعاشات[[#This Row],[منحة 6شهور]:[مقابل نقدي]])</f>
        <v>35279.58</v>
      </c>
      <c r="M47" s="46">
        <f>SUMIF(بيان.معاشات.القاهرة[الإسم],بيانات!D47:D63,بيان.معاشات.القاهرة[المنصرف])</f>
        <v>10000</v>
      </c>
      <c r="N47" s="46">
        <f>إجمالي.المعاشات[[#This Row],[إجمالي المستحق]]-إجمالي.المعاشات[[#This Row],[المنصرف]]</f>
        <v>25279.58</v>
      </c>
      <c r="O47" s="46">
        <f>(إجمالي.المعاشات[[#This Row],[منحة 6شهور]]+إجمالي.المعاشات[[#This Row],[مستحقات]])-إجمالي.المعاشات[[#This Row],[المنصرف]]</f>
        <v>7949.18</v>
      </c>
      <c r="P47" s="46">
        <f>IF(إجمالي.المعاشات[[#This Row],[المتبقي من المنحة]]&lt;0,0,إجمالي.المعاشات[[#This Row],[المتبقي من المنحة]])</f>
        <v>7949.18</v>
      </c>
      <c r="Q4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17330.400000000001</v>
      </c>
      <c r="R47" s="192">
        <f>إجمالي.المعاشات[[#This Row],[المتبقي]]</f>
        <v>25279.58</v>
      </c>
      <c r="S47" s="192" t="s">
        <v>227</v>
      </c>
    </row>
    <row r="48" spans="3:19" ht="21" x14ac:dyDescent="0.35">
      <c r="C48" s="103">
        <f>القاهرة!C51</f>
        <v>44</v>
      </c>
      <c r="D48" s="46" t="str">
        <f>القاهرة!D51</f>
        <v>سعيد عبد المنعم عبد الحميد</v>
      </c>
      <c r="E48" s="47">
        <f>القاهرة!E51</f>
        <v>59</v>
      </c>
      <c r="F48" s="50">
        <f>القاهرة!F51</f>
        <v>43616</v>
      </c>
      <c r="G48" s="50"/>
      <c r="H48" s="46">
        <f>القاهرة!H51</f>
        <v>13568.28</v>
      </c>
      <c r="I48" s="46">
        <f>القاهرة!I51</f>
        <v>0</v>
      </c>
      <c r="J48" s="46">
        <f>القاهرة!J51</f>
        <v>12191.22</v>
      </c>
      <c r="K48" s="46">
        <f>القاهرة!K51</f>
        <v>90</v>
      </c>
      <c r="L48" s="46">
        <f>SUM(إجمالي.المعاشات[[#This Row],[منحة 6شهور]:[مقابل نقدي]])</f>
        <v>25759.5</v>
      </c>
      <c r="M48" s="46">
        <f>SUMIF(بيان.معاشات.القاهرة[الإسم],بيانات!D48:D64,بيان.معاشات.القاهرة[المنصرف])</f>
        <v>25759.5</v>
      </c>
      <c r="N48" s="46">
        <f>إجمالي.المعاشات[[#This Row],[إجمالي المستحق]]-إجمالي.المعاشات[[#This Row],[المنصرف]]</f>
        <v>0</v>
      </c>
      <c r="O48" s="46">
        <f>(إجمالي.المعاشات[[#This Row],[منحة 6شهور]]+إجمالي.المعاشات[[#This Row],[مستحقات]])-إجمالي.المعاشات[[#This Row],[المنصرف]]</f>
        <v>-12191.22</v>
      </c>
      <c r="P48" s="46">
        <f>IF(إجمالي.المعاشات[[#This Row],[المتبقي من المنحة]]&lt;0,0,إجمالي.المعاشات[[#This Row],[المتبقي من المنحة]])</f>
        <v>0</v>
      </c>
      <c r="Q4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48" s="192">
        <f>إجمالي.المعاشات[[#This Row],[المتبقي]]</f>
        <v>0</v>
      </c>
      <c r="S48" s="192" t="s">
        <v>227</v>
      </c>
    </row>
    <row r="49" spans="3:19" ht="21" x14ac:dyDescent="0.35">
      <c r="C49" s="103">
        <f>القاهرة!C52</f>
        <v>45</v>
      </c>
      <c r="D49" s="46" t="str">
        <f>القاهرة!D52</f>
        <v>محمود فاروق محمود رمضان</v>
      </c>
      <c r="E49" s="47">
        <f>القاهرة!E52</f>
        <v>63</v>
      </c>
      <c r="F49" s="50">
        <f>القاهرة!F52</f>
        <v>43750</v>
      </c>
      <c r="G49" s="50"/>
      <c r="H49" s="46">
        <f>القاهرة!H52</f>
        <v>13527.35</v>
      </c>
      <c r="I49" s="46">
        <f>القاهرة!I52</f>
        <v>0</v>
      </c>
      <c r="J49" s="46">
        <f>القاهرة!J52</f>
        <v>12667.5</v>
      </c>
      <c r="K49" s="46">
        <f>القاهرة!K52</f>
        <v>90</v>
      </c>
      <c r="L49" s="46">
        <f>SUM(إجمالي.المعاشات[[#This Row],[منحة 6شهور]:[مقابل نقدي]])</f>
        <v>26194.85</v>
      </c>
      <c r="M49" s="46">
        <f>SUMIF(بيان.معاشات.القاهرة[الإسم],بيانات!D49:D65,بيان.معاشات.القاهرة[المنصرف])</f>
        <v>21000</v>
      </c>
      <c r="N49" s="46">
        <f>إجمالي.المعاشات[[#This Row],[إجمالي المستحق]]-إجمالي.المعاشات[[#This Row],[المنصرف]]</f>
        <v>5194.8499999999985</v>
      </c>
      <c r="O49" s="46">
        <f>(إجمالي.المعاشات[[#This Row],[منحة 6شهور]]+إجمالي.المعاشات[[#This Row],[مستحقات]])-إجمالي.المعاشات[[#This Row],[المنصرف]]</f>
        <v>-7472.65</v>
      </c>
      <c r="P49" s="46">
        <f>IF(إجمالي.المعاشات[[#This Row],[المتبقي من المنحة]]&lt;0,0,إجمالي.المعاشات[[#This Row],[المتبقي من المنحة]])</f>
        <v>0</v>
      </c>
      <c r="Q4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5194.8499999999985</v>
      </c>
      <c r="R49" s="192">
        <f>إجمالي.المعاشات[[#This Row],[المتبقي]]</f>
        <v>5194.8499999999985</v>
      </c>
      <c r="S49" s="192" t="s">
        <v>227</v>
      </c>
    </row>
    <row r="50" spans="3:19" ht="21" x14ac:dyDescent="0.35">
      <c r="C50" s="103">
        <f>القاهرة!C53</f>
        <v>46</v>
      </c>
      <c r="D50" s="46" t="str">
        <f>القاهرة!D53</f>
        <v>رضا أحمد عزب</v>
      </c>
      <c r="E50" s="47">
        <f>القاهرة!E53</f>
        <v>65</v>
      </c>
      <c r="F50" s="50">
        <f>القاهرة!F53</f>
        <v>43934</v>
      </c>
      <c r="G50" s="50"/>
      <c r="H50" s="46">
        <f>القاهرة!H53</f>
        <v>10258.450000000001</v>
      </c>
      <c r="I50" s="46">
        <f>القاهرة!I53</f>
        <v>0</v>
      </c>
      <c r="J50" s="46">
        <f>القاهرة!J53</f>
        <v>10514.7</v>
      </c>
      <c r="K50" s="46">
        <f>القاهرة!K53</f>
        <v>90</v>
      </c>
      <c r="L50" s="46">
        <f>SUM(إجمالي.المعاشات[[#This Row],[منحة 6شهور]:[مقابل نقدي]])</f>
        <v>20773.150000000001</v>
      </c>
      <c r="M50" s="46">
        <f>SUMIF(بيان.معاشات.القاهرة[الإسم],بيانات!D50:D66,بيان.معاشات.القاهرة[المنصرف])</f>
        <v>18000</v>
      </c>
      <c r="N50" s="46">
        <f>إجمالي.المعاشات[[#This Row],[إجمالي المستحق]]-إجمالي.المعاشات[[#This Row],[المنصرف]]</f>
        <v>2773.1500000000015</v>
      </c>
      <c r="O50" s="46">
        <f>(إجمالي.المعاشات[[#This Row],[منحة 6شهور]]+إجمالي.المعاشات[[#This Row],[مستحقات]])-إجمالي.المعاشات[[#This Row],[المنصرف]]</f>
        <v>-7741.5499999999993</v>
      </c>
      <c r="P50" s="46">
        <f>IF(إجمالي.المعاشات[[#This Row],[المتبقي من المنحة]]&lt;0,0,إجمالي.المعاشات[[#This Row],[المتبقي من المنحة]])</f>
        <v>0</v>
      </c>
      <c r="Q5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2773.1500000000015</v>
      </c>
      <c r="R50" s="192">
        <f>إجمالي.المعاشات[[#This Row],[المتبقي]]</f>
        <v>2773.1500000000015</v>
      </c>
      <c r="S50" s="192" t="s">
        <v>227</v>
      </c>
    </row>
    <row r="51" spans="3:19" ht="21" x14ac:dyDescent="0.35">
      <c r="C51" s="103">
        <f>القاهرة!C54</f>
        <v>47</v>
      </c>
      <c r="D51" s="46" t="str">
        <f>القاهرة!D54</f>
        <v>محمود مصطفى السيد</v>
      </c>
      <c r="E51" s="47">
        <f>القاهرة!E54</f>
        <v>68</v>
      </c>
      <c r="F51" s="50">
        <f>القاهرة!F54</f>
        <v>43936</v>
      </c>
      <c r="G51" s="50"/>
      <c r="H51" s="46">
        <f>القاهرة!H54</f>
        <v>13109.28</v>
      </c>
      <c r="I51" s="46">
        <f>القاهرة!I54</f>
        <v>0</v>
      </c>
      <c r="J51" s="46">
        <f>القاهرة!J54</f>
        <v>11073.36</v>
      </c>
      <c r="K51" s="46">
        <f>القاهرة!K54</f>
        <v>86</v>
      </c>
      <c r="L51" s="46">
        <f>SUM(إجمالي.المعاشات[[#This Row],[منحة 6شهور]:[مقابل نقدي]])</f>
        <v>24182.639999999999</v>
      </c>
      <c r="M51" s="46">
        <f>SUMIF(بيان.معاشات.القاهرة[الإسم],بيانات!D51:D67,بيان.معاشات.القاهرة[المنصرف])</f>
        <v>18000</v>
      </c>
      <c r="N51" s="46">
        <f>إجمالي.المعاشات[[#This Row],[إجمالي المستحق]]-إجمالي.المعاشات[[#This Row],[المنصرف]]</f>
        <v>6182.6399999999994</v>
      </c>
      <c r="O51" s="46">
        <f>(إجمالي.المعاشات[[#This Row],[منحة 6شهور]]+إجمالي.المعاشات[[#This Row],[مستحقات]])-إجمالي.المعاشات[[#This Row],[المنصرف]]</f>
        <v>-4890.7199999999993</v>
      </c>
      <c r="P51" s="46">
        <f>IF(إجمالي.المعاشات[[#This Row],[المتبقي من المنحة]]&lt;0,0,إجمالي.المعاشات[[#This Row],[المتبقي من المنحة]])</f>
        <v>0</v>
      </c>
      <c r="Q5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6182.6399999999994</v>
      </c>
      <c r="R51" s="192">
        <f>إجمالي.المعاشات[[#This Row],[المتبقي]]</f>
        <v>6182.6399999999994</v>
      </c>
      <c r="S51" s="192" t="s">
        <v>227</v>
      </c>
    </row>
    <row r="52" spans="3:19" ht="21" x14ac:dyDescent="0.35">
      <c r="C52" s="103">
        <f>القاهرة!C55</f>
        <v>48</v>
      </c>
      <c r="D52" s="46" t="str">
        <f>القاهرة!D55</f>
        <v>هدى عبد الله حافظ</v>
      </c>
      <c r="E52" s="47">
        <f>القاهرة!E55</f>
        <v>69</v>
      </c>
      <c r="F52" s="50">
        <f>القاهرة!F55</f>
        <v>44494</v>
      </c>
      <c r="G52" s="50"/>
      <c r="H52" s="46">
        <f>القاهرة!H55</f>
        <v>24171.06</v>
      </c>
      <c r="I52" s="46">
        <f>القاهرة!I55</f>
        <v>0</v>
      </c>
      <c r="J52" s="46">
        <f>القاهرة!J55</f>
        <v>22162.5</v>
      </c>
      <c r="K52" s="46">
        <f>القاهرة!K55</f>
        <v>90</v>
      </c>
      <c r="L52" s="46">
        <f>SUM(إجمالي.المعاشات[[#This Row],[منحة 6شهور]:[مقابل نقدي]])</f>
        <v>46333.56</v>
      </c>
      <c r="M52" s="46">
        <f>SUMIF(بيان.معاشات.القاهرة[الإسم],بيانات!D52:D68,بيان.معاشات.القاهرة[المنصرف])</f>
        <v>11000</v>
      </c>
      <c r="N52" s="46">
        <f>إجمالي.المعاشات[[#This Row],[إجمالي المستحق]]-إجمالي.المعاشات[[#This Row],[المنصرف]]</f>
        <v>35333.56</v>
      </c>
      <c r="O52" s="46">
        <f>(إجمالي.المعاشات[[#This Row],[منحة 6شهور]]+إجمالي.المعاشات[[#This Row],[مستحقات]])-إجمالي.المعاشات[[#This Row],[المنصرف]]</f>
        <v>13171.060000000001</v>
      </c>
      <c r="P52" s="46">
        <f>IF(إجمالي.المعاشات[[#This Row],[المتبقي من المنحة]]&lt;0,0,إجمالي.المعاشات[[#This Row],[المتبقي من المنحة]])</f>
        <v>13171.060000000001</v>
      </c>
      <c r="Q5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22162.5</v>
      </c>
      <c r="R52" s="192">
        <f>إجمالي.المعاشات[[#This Row],[المتبقي]]</f>
        <v>35333.56</v>
      </c>
      <c r="S52" s="192" t="s">
        <v>227</v>
      </c>
    </row>
    <row r="53" spans="3:19" ht="21" x14ac:dyDescent="0.35">
      <c r="C53" s="103">
        <f>القاهرة!C56</f>
        <v>49</v>
      </c>
      <c r="D53" s="46" t="str">
        <f>القاهرة!D56</f>
        <v>سحر محمد صلاح الدين محمد</v>
      </c>
      <c r="E53" s="47">
        <f>القاهرة!E56</f>
        <v>70</v>
      </c>
      <c r="F53" s="50">
        <f>القاهرة!F56</f>
        <v>44508</v>
      </c>
      <c r="G53" s="50"/>
      <c r="H53" s="46">
        <f>القاهرة!H56</f>
        <v>20916.96</v>
      </c>
      <c r="I53" s="46">
        <f>القاهرة!I56</f>
        <v>0</v>
      </c>
      <c r="J53" s="46">
        <f>القاهرة!J56</f>
        <v>20634.3</v>
      </c>
      <c r="K53" s="46">
        <f>القاهرة!K56</f>
        <v>90</v>
      </c>
      <c r="L53" s="46">
        <f>SUM(إجمالي.المعاشات[[#This Row],[منحة 6شهور]:[مقابل نقدي]])</f>
        <v>41551.259999999995</v>
      </c>
      <c r="M53" s="46">
        <f>SUMIF(بيان.معاشات.القاهرة[الإسم],بيانات!D53:D69,بيان.معاشات.القاهرة[المنصرف])</f>
        <v>16500</v>
      </c>
      <c r="N53" s="46">
        <f>إجمالي.المعاشات[[#This Row],[إجمالي المستحق]]-إجمالي.المعاشات[[#This Row],[المنصرف]]</f>
        <v>25051.259999999995</v>
      </c>
      <c r="O53" s="46">
        <f>(إجمالي.المعاشات[[#This Row],[منحة 6شهور]]+إجمالي.المعاشات[[#This Row],[مستحقات]])-إجمالي.المعاشات[[#This Row],[المنصرف]]</f>
        <v>4416.9599999999991</v>
      </c>
      <c r="P53" s="46">
        <f>IF(إجمالي.المعاشات[[#This Row],[المتبقي من المنحة]]&lt;0,0,إجمالي.المعاشات[[#This Row],[المتبقي من المنحة]])</f>
        <v>4416.9599999999991</v>
      </c>
      <c r="Q5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20634.3</v>
      </c>
      <c r="R53" s="192">
        <f>إجمالي.المعاشات[[#This Row],[المتبقي]]</f>
        <v>25051.259999999995</v>
      </c>
      <c r="S53" s="192" t="s">
        <v>227</v>
      </c>
    </row>
    <row r="54" spans="3:19" ht="21" x14ac:dyDescent="0.35">
      <c r="C54" s="103">
        <f>القاهرة!C57</f>
        <v>50</v>
      </c>
      <c r="D54" s="46" t="str">
        <f>القاهرة!D57</f>
        <v xml:space="preserve">عز حلمي محمد </v>
      </c>
      <c r="E54" s="47">
        <f>القاهرة!E57</f>
        <v>71</v>
      </c>
      <c r="F54" s="50">
        <f>القاهرة!F57</f>
        <v>44489</v>
      </c>
      <c r="G54" s="50"/>
      <c r="H54" s="46">
        <f>القاهرة!H57</f>
        <v>19395.04</v>
      </c>
      <c r="I54" s="46">
        <f>القاهرة!I57</f>
        <v>0</v>
      </c>
      <c r="J54" s="46">
        <f>القاهرة!J57</f>
        <v>18967.5</v>
      </c>
      <c r="K54" s="46">
        <f>القاهرة!K57</f>
        <v>90</v>
      </c>
      <c r="L54" s="46">
        <f>SUM(إجمالي.المعاشات[[#This Row],[منحة 6شهور]:[مقابل نقدي]])</f>
        <v>38362.54</v>
      </c>
      <c r="M54" s="46">
        <f>SUMIF(بيان.معاشات.القاهرة[الإسم],بيانات!D54:D70,بيان.معاشات.القاهرة[المنصرف])</f>
        <v>9500</v>
      </c>
      <c r="N54" s="46">
        <f>إجمالي.المعاشات[[#This Row],[إجمالي المستحق]]-إجمالي.المعاشات[[#This Row],[المنصرف]]</f>
        <v>28862.54</v>
      </c>
      <c r="O54" s="46">
        <f>(إجمالي.المعاشات[[#This Row],[منحة 6شهور]]+إجمالي.المعاشات[[#This Row],[مستحقات]])-إجمالي.المعاشات[[#This Row],[المنصرف]]</f>
        <v>9895.0400000000009</v>
      </c>
      <c r="P54" s="46">
        <f>IF(إجمالي.المعاشات[[#This Row],[المتبقي من المنحة]]&lt;0,0,إجمالي.المعاشات[[#This Row],[المتبقي من المنحة]])</f>
        <v>9895.0400000000009</v>
      </c>
      <c r="Q5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18967.5</v>
      </c>
      <c r="R54" s="192">
        <f>إجمالي.المعاشات[[#This Row],[المتبقي]]</f>
        <v>28862.54</v>
      </c>
      <c r="S54" s="192" t="s">
        <v>227</v>
      </c>
    </row>
    <row r="55" spans="3:19" ht="21" x14ac:dyDescent="0.35">
      <c r="C55" s="103">
        <f>القاهرة!C58</f>
        <v>51</v>
      </c>
      <c r="D55" s="46" t="str">
        <f>القاهرة!D58</f>
        <v>سعد عبد الرازق عبد الحليم</v>
      </c>
      <c r="E55" s="47">
        <f>القاهرة!E58</f>
        <v>72</v>
      </c>
      <c r="F55" s="50">
        <f>القاهرة!F58</f>
        <v>44504</v>
      </c>
      <c r="G55" s="50"/>
      <c r="H55" s="46">
        <f>القاهرة!H58</f>
        <v>11960.64</v>
      </c>
      <c r="I55" s="46">
        <f>القاهرة!I58</f>
        <v>0</v>
      </c>
      <c r="J55" s="46">
        <f>القاهرة!J58</f>
        <v>13850.1</v>
      </c>
      <c r="K55" s="46">
        <f>القاهرة!K58</f>
        <v>90</v>
      </c>
      <c r="L55" s="46">
        <f>SUM(إجمالي.المعاشات[[#This Row],[منحة 6شهور]:[مقابل نقدي]])</f>
        <v>25810.739999999998</v>
      </c>
      <c r="M55" s="46">
        <f>SUMIF(بيان.معاشات.القاهرة[الإسم],بيانات!D55:D71,بيان.معاشات.القاهرة[المنصرف])</f>
        <v>8500</v>
      </c>
      <c r="N55" s="46">
        <f>إجمالي.المعاشات[[#This Row],[إجمالي المستحق]]-إجمالي.المعاشات[[#This Row],[المنصرف]]</f>
        <v>17310.739999999998</v>
      </c>
      <c r="O55" s="46">
        <f>(إجمالي.المعاشات[[#This Row],[منحة 6شهور]]+إجمالي.المعاشات[[#This Row],[مستحقات]])-إجمالي.المعاشات[[#This Row],[المنصرف]]</f>
        <v>3460.6399999999994</v>
      </c>
      <c r="P55" s="46">
        <f>IF(إجمالي.المعاشات[[#This Row],[المتبقي من المنحة]]&lt;0,0,إجمالي.المعاشات[[#This Row],[المتبقي من المنحة]])</f>
        <v>3460.6399999999994</v>
      </c>
      <c r="Q5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13850.1</v>
      </c>
      <c r="R55" s="192">
        <f>إجمالي.المعاشات[[#This Row],[المتبقي]]</f>
        <v>17310.739999999998</v>
      </c>
      <c r="S55" s="192" t="s">
        <v>227</v>
      </c>
    </row>
    <row r="56" spans="3:19" ht="21" x14ac:dyDescent="0.35">
      <c r="C56" s="103">
        <f>القاهرة!C59</f>
        <v>52</v>
      </c>
      <c r="D56" s="46" t="str">
        <f>القاهرة!D59</f>
        <v>محمود إبراهيم صالح</v>
      </c>
      <c r="E56" s="47">
        <f>القاهرة!E59</f>
        <v>73</v>
      </c>
      <c r="F56" s="50">
        <f>القاهرة!F59</f>
        <v>44515</v>
      </c>
      <c r="G56" s="50"/>
      <c r="H56" s="46">
        <f>القاهرة!H59</f>
        <v>19258.27</v>
      </c>
      <c r="I56" s="46">
        <f>القاهرة!I59</f>
        <v>0</v>
      </c>
      <c r="J56" s="46">
        <f>القاهرة!J59</f>
        <v>5423.09</v>
      </c>
      <c r="K56" s="46">
        <f>القاهرة!K59</f>
        <v>25.5</v>
      </c>
      <c r="L56" s="46">
        <f>SUM(إجمالي.المعاشات[[#This Row],[منحة 6شهور]:[مقابل نقدي]])</f>
        <v>24681.360000000001</v>
      </c>
      <c r="M56" s="46">
        <f>SUMIF(بيان.معاشات.القاهرة[الإسم],بيانات!D56:D72,بيان.معاشات.القاهرة[المنصرف])</f>
        <v>8500</v>
      </c>
      <c r="N56" s="46">
        <f>إجمالي.المعاشات[[#This Row],[إجمالي المستحق]]-إجمالي.المعاشات[[#This Row],[المنصرف]]</f>
        <v>16181.36</v>
      </c>
      <c r="O56" s="46">
        <f>(إجمالي.المعاشات[[#This Row],[منحة 6شهور]]+إجمالي.المعاشات[[#This Row],[مستحقات]])-إجمالي.المعاشات[[#This Row],[المنصرف]]</f>
        <v>10758.27</v>
      </c>
      <c r="P56" s="46">
        <f>IF(إجمالي.المعاشات[[#This Row],[المتبقي من المنحة]]&lt;0,0,إجمالي.المعاشات[[#This Row],[المتبقي من المنحة]])</f>
        <v>10758.27</v>
      </c>
      <c r="Q5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5423.09</v>
      </c>
      <c r="R56" s="192">
        <f>إجمالي.المعاشات[[#This Row],[المتبقي]]</f>
        <v>16181.36</v>
      </c>
      <c r="S56" s="192" t="s">
        <v>227</v>
      </c>
    </row>
    <row r="57" spans="3:19" ht="21" x14ac:dyDescent="0.35">
      <c r="C57" s="103">
        <f>القاهرة!C60</f>
        <v>53</v>
      </c>
      <c r="D57" s="46" t="str">
        <f>القاهرة!D60</f>
        <v>سعيد صادق سيد</v>
      </c>
      <c r="E57" s="47">
        <f>القاهرة!E60</f>
        <v>74</v>
      </c>
      <c r="F57" s="50">
        <f>القاهرة!F60</f>
        <v>44530</v>
      </c>
      <c r="G57" s="50"/>
      <c r="H57" s="46">
        <f>القاهرة!H60</f>
        <v>14761.2</v>
      </c>
      <c r="I57" s="46">
        <f>القاهرة!I60</f>
        <v>0</v>
      </c>
      <c r="J57" s="46">
        <f>القاهرة!J60</f>
        <v>11712.89</v>
      </c>
      <c r="K57" s="46">
        <f>القاهرة!K60</f>
        <v>74.5</v>
      </c>
      <c r="L57" s="46">
        <f>SUM(إجمالي.المعاشات[[#This Row],[منحة 6شهور]:[مقابل نقدي]])</f>
        <v>26474.09</v>
      </c>
      <c r="M57" s="46">
        <f>SUMIF(بيان.معاشات.القاهرة[الإسم],بيانات!D57:D73,بيان.معاشات.القاهرة[المنصرف])</f>
        <v>10000</v>
      </c>
      <c r="N57" s="46">
        <f>إجمالي.المعاشات[[#This Row],[إجمالي المستحق]]-إجمالي.المعاشات[[#This Row],[المنصرف]]</f>
        <v>16474.09</v>
      </c>
      <c r="O57" s="46">
        <f>(إجمالي.المعاشات[[#This Row],[منحة 6شهور]]+إجمالي.المعاشات[[#This Row],[مستحقات]])-إجمالي.المعاشات[[#This Row],[المنصرف]]</f>
        <v>4761.2000000000007</v>
      </c>
      <c r="P57" s="46">
        <f>IF(إجمالي.المعاشات[[#This Row],[المتبقي من المنحة]]&lt;0,0,إجمالي.المعاشات[[#This Row],[المتبقي من المنحة]])</f>
        <v>4761.2000000000007</v>
      </c>
      <c r="Q5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11712.89</v>
      </c>
      <c r="R57" s="192">
        <f>إجمالي.المعاشات[[#This Row],[المتبقي]]</f>
        <v>16474.09</v>
      </c>
      <c r="S57" s="192" t="s">
        <v>227</v>
      </c>
    </row>
    <row r="58" spans="3:19" ht="21" x14ac:dyDescent="0.35">
      <c r="C58" s="103">
        <f>القاهرة!C61</f>
        <v>54</v>
      </c>
      <c r="D58" s="46" t="str">
        <f>القاهرة!D61</f>
        <v>سيف الدين محمد مختار</v>
      </c>
      <c r="E58" s="47">
        <f>القاهرة!E61</f>
        <v>75</v>
      </c>
      <c r="F58" s="50">
        <f>القاهرة!F61</f>
        <v>44553</v>
      </c>
      <c r="G58" s="50"/>
      <c r="H58" s="46">
        <f>القاهرة!H61</f>
        <v>16721.45</v>
      </c>
      <c r="I58" s="46">
        <f>القاهرة!I61</f>
        <v>0</v>
      </c>
      <c r="J58" s="46">
        <f>القاهرة!J61</f>
        <v>19007.099999999999</v>
      </c>
      <c r="K58" s="46">
        <f>القاهرة!K61</f>
        <v>90</v>
      </c>
      <c r="L58" s="46">
        <f>SUM(إجمالي.المعاشات[[#This Row],[منحة 6شهور]:[مقابل نقدي]])</f>
        <v>35728.550000000003</v>
      </c>
      <c r="M58" s="46">
        <f>SUMIF(بيان.معاشات.القاهرة[الإسم],بيانات!D58:D74,بيان.معاشات.القاهرة[المنصرف])</f>
        <v>17721.45</v>
      </c>
      <c r="N58" s="46">
        <f>إجمالي.المعاشات[[#This Row],[إجمالي المستحق]]-إجمالي.المعاشات[[#This Row],[المنصرف]]</f>
        <v>18007.100000000002</v>
      </c>
      <c r="O58" s="46">
        <f>(إجمالي.المعاشات[[#This Row],[منحة 6شهور]]+إجمالي.المعاشات[[#This Row],[مستحقات]])-إجمالي.المعاشات[[#This Row],[المنصرف]]</f>
        <v>-1000</v>
      </c>
      <c r="P58" s="46">
        <f>IF(إجمالي.المعاشات[[#This Row],[المتبقي من المنحة]]&lt;0,0,إجمالي.المعاشات[[#This Row],[المتبقي من المنحة]])</f>
        <v>0</v>
      </c>
      <c r="Q5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18007.100000000002</v>
      </c>
      <c r="R58" s="192">
        <f>إجمالي.المعاشات[[#This Row],[المتبقي]]</f>
        <v>18007.100000000002</v>
      </c>
      <c r="S58" s="192" t="s">
        <v>227</v>
      </c>
    </row>
    <row r="59" spans="3:19" ht="21" x14ac:dyDescent="0.35">
      <c r="C59" s="103">
        <f>القاهرة!C62</f>
        <v>55</v>
      </c>
      <c r="D59" s="46" t="str">
        <f>القاهرة!D62</f>
        <v>أحمد خليل إبراهيم</v>
      </c>
      <c r="E59" s="47">
        <f>القاهرة!E62</f>
        <v>76</v>
      </c>
      <c r="F59" s="50">
        <f>القاهرة!F62</f>
        <v>44429</v>
      </c>
      <c r="G59" s="50"/>
      <c r="H59" s="46">
        <f>القاهرة!H62</f>
        <v>22082.02</v>
      </c>
      <c r="I59" s="46">
        <f>القاهرة!I62</f>
        <v>0</v>
      </c>
      <c r="J59" s="46">
        <f>القاهرة!J62</f>
        <v>15704.96</v>
      </c>
      <c r="K59" s="46">
        <f>القاهرة!K62</f>
        <v>64</v>
      </c>
      <c r="L59" s="46">
        <f>SUM(إجمالي.المعاشات[[#This Row],[منحة 6شهور]:[مقابل نقدي]])</f>
        <v>37786.979999999996</v>
      </c>
      <c r="M59" s="46">
        <f>SUMIF(بيان.معاشات.القاهرة[الإسم],بيانات!D59:D75,بيان.معاشات.القاهرة[المنصرف])</f>
        <v>8500</v>
      </c>
      <c r="N59" s="46">
        <f>إجمالي.المعاشات[[#This Row],[إجمالي المستحق]]-إجمالي.المعاشات[[#This Row],[المنصرف]]</f>
        <v>29286.979999999996</v>
      </c>
      <c r="O59" s="46">
        <f>(إجمالي.المعاشات[[#This Row],[منحة 6شهور]]+إجمالي.المعاشات[[#This Row],[مستحقات]])-إجمالي.المعاشات[[#This Row],[المنصرف]]</f>
        <v>13582.02</v>
      </c>
      <c r="P59" s="46">
        <f>IF(إجمالي.المعاشات[[#This Row],[المتبقي من المنحة]]&lt;0,0,إجمالي.المعاشات[[#This Row],[المتبقي من المنحة]])</f>
        <v>13582.02</v>
      </c>
      <c r="Q5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15704.96</v>
      </c>
      <c r="R59" s="192">
        <f>إجمالي.المعاشات[[#This Row],[المتبقي]]</f>
        <v>29286.979999999996</v>
      </c>
      <c r="S59" s="192" t="s">
        <v>227</v>
      </c>
    </row>
    <row r="60" spans="3:19" ht="21" x14ac:dyDescent="0.35">
      <c r="C60" s="103">
        <f>القاهرة!C63</f>
        <v>56</v>
      </c>
      <c r="D60" s="46" t="str">
        <f>القاهرة!D63</f>
        <v>أشرف بلال سالم</v>
      </c>
      <c r="E60" s="47">
        <f>القاهرة!E63</f>
        <v>77</v>
      </c>
      <c r="F60" s="50">
        <f>القاهرة!F63</f>
        <v>44367</v>
      </c>
      <c r="G60" s="50"/>
      <c r="H60" s="46">
        <f>القاهرة!H63</f>
        <v>11342.22</v>
      </c>
      <c r="I60" s="46">
        <f>القاهرة!I63</f>
        <v>0</v>
      </c>
      <c r="J60" s="46">
        <f>القاهرة!J63</f>
        <v>8822</v>
      </c>
      <c r="K60" s="46">
        <f>القاهرة!K63</f>
        <v>81</v>
      </c>
      <c r="L60" s="46">
        <f>SUM(إجمالي.المعاشات[[#This Row],[منحة 6شهور]:[مقابل نقدي]])</f>
        <v>20164.22</v>
      </c>
      <c r="M60" s="46">
        <f>SUMIF(بيان.معاشات.القاهرة[الإسم],بيانات!D60:D76,بيان.معاشات.القاهرة[المنصرف])</f>
        <v>9500</v>
      </c>
      <c r="N60" s="46">
        <f>إجمالي.المعاشات[[#This Row],[إجمالي المستحق]]-إجمالي.المعاشات[[#This Row],[المنصرف]]</f>
        <v>10664.220000000001</v>
      </c>
      <c r="O60" s="46">
        <f>(إجمالي.المعاشات[[#This Row],[منحة 6شهور]]+إجمالي.المعاشات[[#This Row],[مستحقات]])-إجمالي.المعاشات[[#This Row],[المنصرف]]</f>
        <v>1842.2199999999993</v>
      </c>
      <c r="P60" s="46">
        <f>IF(إجمالي.المعاشات[[#This Row],[المتبقي من المنحة]]&lt;0,0,إجمالي.المعاشات[[#This Row],[المتبقي من المنحة]])</f>
        <v>1842.2199999999993</v>
      </c>
      <c r="Q6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8822</v>
      </c>
      <c r="R60" s="192">
        <f>إجمالي.المعاشات[[#This Row],[المتبقي]]</f>
        <v>10664.220000000001</v>
      </c>
      <c r="S60" s="192" t="s">
        <v>227</v>
      </c>
    </row>
    <row r="61" spans="3:19" ht="21" x14ac:dyDescent="0.35">
      <c r="C61" s="103">
        <f>القاهرة!C64</f>
        <v>57</v>
      </c>
      <c r="D61" s="46" t="str">
        <f>القاهرة!D64</f>
        <v>فايز محمود أحمد</v>
      </c>
      <c r="E61" s="47">
        <f>القاهرة!E64</f>
        <v>78</v>
      </c>
      <c r="F61" s="50">
        <f>القاهرة!F64</f>
        <v>44512</v>
      </c>
      <c r="G61" s="50"/>
      <c r="H61" s="46">
        <f>القاهرة!H64</f>
        <v>14284.3</v>
      </c>
      <c r="I61" s="46">
        <f>القاهرة!I64</f>
        <v>0</v>
      </c>
      <c r="J61" s="46">
        <f>القاهرة!J64</f>
        <v>13030.2</v>
      </c>
      <c r="K61" s="46">
        <f>القاهرة!K64</f>
        <v>90</v>
      </c>
      <c r="L61" s="46">
        <f>SUM(إجمالي.المعاشات[[#This Row],[منحة 6شهور]:[مقابل نقدي]])</f>
        <v>27314.5</v>
      </c>
      <c r="M61" s="46">
        <f>SUMIF(بيان.معاشات.القاهرة[الإسم],بيانات!D61:D77,بيان.معاشات.القاهرة[المنصرف])</f>
        <v>9000</v>
      </c>
      <c r="N61" s="46">
        <f>إجمالي.المعاشات[[#This Row],[إجمالي المستحق]]-إجمالي.المعاشات[[#This Row],[المنصرف]]</f>
        <v>18314.5</v>
      </c>
      <c r="O61" s="46">
        <f>(إجمالي.المعاشات[[#This Row],[منحة 6شهور]]+إجمالي.المعاشات[[#This Row],[مستحقات]])-إجمالي.المعاشات[[#This Row],[المنصرف]]</f>
        <v>5284.2999999999993</v>
      </c>
      <c r="P61" s="46">
        <f>IF(إجمالي.المعاشات[[#This Row],[المتبقي من المنحة]]&lt;0,0,إجمالي.المعاشات[[#This Row],[المتبقي من المنحة]])</f>
        <v>5284.2999999999993</v>
      </c>
      <c r="Q6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13030.2</v>
      </c>
      <c r="R61" s="192">
        <f>إجمالي.المعاشات[[#This Row],[المتبقي]]</f>
        <v>18314.5</v>
      </c>
      <c r="S61" s="192" t="s">
        <v>227</v>
      </c>
    </row>
    <row r="62" spans="3:19" ht="21" x14ac:dyDescent="0.35">
      <c r="C62" s="103">
        <f>القاهرة!C65</f>
        <v>58</v>
      </c>
      <c r="D62" s="46" t="str">
        <f>القاهرة!D65</f>
        <v>رأفت أنيس عبد النور</v>
      </c>
      <c r="E62" s="47">
        <f>القاهرة!E65</f>
        <v>79</v>
      </c>
      <c r="F62" s="50">
        <f>القاهرة!F65</f>
        <v>42736</v>
      </c>
      <c r="G62" s="50"/>
      <c r="H62" s="46">
        <f>القاهرة!H65</f>
        <v>20289.54</v>
      </c>
      <c r="I62" s="46">
        <f>القاهرة!I65</f>
        <v>0</v>
      </c>
      <c r="J62" s="46">
        <f>القاهرة!J65</f>
        <v>9869.4</v>
      </c>
      <c r="K62" s="46">
        <f>القاهرة!K65</f>
        <v>90</v>
      </c>
      <c r="L62" s="46">
        <f>SUM(إجمالي.المعاشات[[#This Row],[منحة 6شهور]:[مقابل نقدي]])</f>
        <v>30158.940000000002</v>
      </c>
      <c r="M62" s="46">
        <f>SUMIF(بيان.معاشات.القاهرة[الإسم],بيانات!D62:D78,بيان.معاشات.القاهرة[المنصرف])</f>
        <v>27289.54</v>
      </c>
      <c r="N62" s="46">
        <f>إجمالي.المعاشات[[#This Row],[إجمالي المستحق]]-إجمالي.المعاشات[[#This Row],[المنصرف]]</f>
        <v>2869.4000000000015</v>
      </c>
      <c r="O62" s="46">
        <f>(إجمالي.المعاشات[[#This Row],[منحة 6شهور]]+إجمالي.المعاشات[[#This Row],[مستحقات]])-إجمالي.المعاشات[[#This Row],[المنصرف]]</f>
        <v>-7000</v>
      </c>
      <c r="P62" s="46">
        <f>IF(إجمالي.المعاشات[[#This Row],[المتبقي من المنحة]]&lt;0,0,إجمالي.المعاشات[[#This Row],[المتبقي من المنحة]])</f>
        <v>0</v>
      </c>
      <c r="Q6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2869.4000000000015</v>
      </c>
      <c r="R62" s="192">
        <f>إجمالي.المعاشات[[#This Row],[المتبقي]]</f>
        <v>2869.4000000000015</v>
      </c>
      <c r="S62" s="192" t="s">
        <v>227</v>
      </c>
    </row>
    <row r="63" spans="3:19" ht="21" x14ac:dyDescent="0.35">
      <c r="C63" s="103">
        <f>القاهرة!C66</f>
        <v>59</v>
      </c>
      <c r="D63" s="46" t="str">
        <f>القاهرة!D66</f>
        <v>محمد عبد النبي عبد المعطي</v>
      </c>
      <c r="E63" s="47">
        <f>القاهرة!E66</f>
        <v>80</v>
      </c>
      <c r="F63" s="50">
        <f>القاهرة!F66</f>
        <v>44575</v>
      </c>
      <c r="G63" s="50"/>
      <c r="H63" s="46">
        <f>القاهرة!H66</f>
        <v>21023.78</v>
      </c>
      <c r="I63" s="46">
        <f>القاهرة!I66</f>
        <v>0</v>
      </c>
      <c r="J63" s="46">
        <f>القاهرة!J66</f>
        <v>17940</v>
      </c>
      <c r="K63" s="46">
        <f>القاهرة!K66</f>
        <v>78</v>
      </c>
      <c r="L63" s="46">
        <f>SUM(إجمالي.المعاشات[[#This Row],[منحة 6شهور]:[مقابل نقدي]])</f>
        <v>38963.78</v>
      </c>
      <c r="M63" s="46">
        <f>SUMIF(بيان.معاشات.القاهرة[الإسم],بيانات!D63:D79,بيان.معاشات.القاهرة[المنصرف])</f>
        <v>8000</v>
      </c>
      <c r="N63" s="46">
        <f>إجمالي.المعاشات[[#This Row],[إجمالي المستحق]]-إجمالي.المعاشات[[#This Row],[المنصرف]]</f>
        <v>30963.78</v>
      </c>
      <c r="O63" s="46">
        <f>(إجمالي.المعاشات[[#This Row],[منحة 6شهور]]+إجمالي.المعاشات[[#This Row],[مستحقات]])-إجمالي.المعاشات[[#This Row],[المنصرف]]</f>
        <v>13023.779999999999</v>
      </c>
      <c r="P63" s="46">
        <f>IF(إجمالي.المعاشات[[#This Row],[المتبقي من المنحة]]&lt;0,0,إجمالي.المعاشات[[#This Row],[المتبقي من المنحة]])</f>
        <v>13023.779999999999</v>
      </c>
      <c r="Q6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17940</v>
      </c>
      <c r="R63" s="192">
        <f>إجمالي.المعاشات[[#This Row],[المتبقي]]</f>
        <v>30963.78</v>
      </c>
      <c r="S63" s="192" t="s">
        <v>227</v>
      </c>
    </row>
    <row r="64" spans="3:19" ht="21" x14ac:dyDescent="0.35">
      <c r="C64" s="103">
        <f>القاهرة!C67</f>
        <v>60</v>
      </c>
      <c r="D64" s="46" t="str">
        <f>القاهرة!D67</f>
        <v>زينب عبد النبي عرفات</v>
      </c>
      <c r="E64" s="47">
        <f>القاهرة!E67</f>
        <v>81</v>
      </c>
      <c r="F64" s="50">
        <f>القاهرة!F67</f>
        <v>44610</v>
      </c>
      <c r="G64" s="50"/>
      <c r="H64" s="46">
        <f>القاهرة!H67</f>
        <v>20200.240000000002</v>
      </c>
      <c r="I64" s="46">
        <f>القاهرة!I67</f>
        <v>0</v>
      </c>
      <c r="J64" s="46">
        <f>القاهرة!J67</f>
        <v>11382.28</v>
      </c>
      <c r="K64" s="46">
        <f>القاهرة!K67</f>
        <v>52</v>
      </c>
      <c r="L64" s="46">
        <f>SUM(إجمالي.المعاشات[[#This Row],[منحة 6شهور]:[مقابل نقدي]])</f>
        <v>31582.520000000004</v>
      </c>
      <c r="M64" s="46">
        <f>SUMIF(بيان.معاشات.القاهرة[الإسم],بيانات!D64:D80,بيان.معاشات.القاهرة[المنصرف])</f>
        <v>7500</v>
      </c>
      <c r="N64" s="46">
        <f>إجمالي.المعاشات[[#This Row],[إجمالي المستحق]]-إجمالي.المعاشات[[#This Row],[المنصرف]]</f>
        <v>24082.520000000004</v>
      </c>
      <c r="O64" s="46">
        <f>(إجمالي.المعاشات[[#This Row],[منحة 6شهور]]+إجمالي.المعاشات[[#This Row],[مستحقات]])-إجمالي.المعاشات[[#This Row],[المنصرف]]</f>
        <v>12700.240000000002</v>
      </c>
      <c r="P64" s="46">
        <f>IF(إجمالي.المعاشات[[#This Row],[المتبقي من المنحة]]&lt;0,0,إجمالي.المعاشات[[#This Row],[المتبقي من المنحة]])</f>
        <v>12700.240000000002</v>
      </c>
      <c r="Q6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11382.28</v>
      </c>
      <c r="R64" s="192">
        <f>إجمالي.المعاشات[[#This Row],[المتبقي]]</f>
        <v>24082.520000000004</v>
      </c>
      <c r="S64" s="192" t="s">
        <v>227</v>
      </c>
    </row>
    <row r="65" spans="3:19" ht="21" x14ac:dyDescent="0.35">
      <c r="C65" s="103">
        <f>القاهرة!C68</f>
        <v>61</v>
      </c>
      <c r="D65" s="46" t="str">
        <f>القاهرة!D68</f>
        <v>مجدي محمد سعيد زهران</v>
      </c>
      <c r="E65" s="47">
        <f>القاهرة!E68</f>
        <v>82</v>
      </c>
      <c r="F65" s="50">
        <f>القاهرة!F68</f>
        <v>44596</v>
      </c>
      <c r="G65" s="50"/>
      <c r="H65" s="46">
        <f>القاهرة!H68</f>
        <v>20283.25</v>
      </c>
      <c r="I65" s="46">
        <f>القاهرة!I68</f>
        <v>0</v>
      </c>
      <c r="J65" s="46">
        <f>القاهرة!J68</f>
        <v>19575</v>
      </c>
      <c r="K65" s="46">
        <f>القاهرة!K68</f>
        <v>90</v>
      </c>
      <c r="L65" s="46">
        <f>SUM(إجمالي.المعاشات[[#This Row],[منحة 6شهور]:[مقابل نقدي]])</f>
        <v>39858.25</v>
      </c>
      <c r="M65" s="46">
        <f>SUMIF(بيان.معاشات.القاهرة[الإسم],بيانات!D65:D81,بيان.معاشات.القاهرة[المنصرف])</f>
        <v>7500</v>
      </c>
      <c r="N65" s="46">
        <f>إجمالي.المعاشات[[#This Row],[إجمالي المستحق]]-إجمالي.المعاشات[[#This Row],[المنصرف]]</f>
        <v>32358.25</v>
      </c>
      <c r="O65" s="46">
        <f>(إجمالي.المعاشات[[#This Row],[منحة 6شهور]]+إجمالي.المعاشات[[#This Row],[مستحقات]])-إجمالي.المعاشات[[#This Row],[المنصرف]]</f>
        <v>12783.25</v>
      </c>
      <c r="P65" s="46">
        <f>IF(إجمالي.المعاشات[[#This Row],[المتبقي من المنحة]]&lt;0,0,إجمالي.المعاشات[[#This Row],[المتبقي من المنحة]])</f>
        <v>12783.25</v>
      </c>
      <c r="Q6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19575</v>
      </c>
      <c r="R65" s="192">
        <f>إجمالي.المعاشات[[#This Row],[المتبقي]]</f>
        <v>32358.25</v>
      </c>
      <c r="S65" s="192" t="s">
        <v>227</v>
      </c>
    </row>
    <row r="66" spans="3:19" ht="21" x14ac:dyDescent="0.35">
      <c r="C66" s="103">
        <f>القاهرة!C69</f>
        <v>62</v>
      </c>
      <c r="D66" s="46" t="str">
        <f>القاهرة!D69</f>
        <v>عبد الله محمد محمد مسلم</v>
      </c>
      <c r="E66" s="47">
        <f>القاهرة!E69</f>
        <v>83</v>
      </c>
      <c r="F66" s="50">
        <f>القاهرة!F69</f>
        <v>44629</v>
      </c>
      <c r="G66" s="50"/>
      <c r="H66" s="46">
        <f>القاهرة!H69</f>
        <v>15009.4</v>
      </c>
      <c r="I66" s="46">
        <f>القاهرة!I69</f>
        <v>0</v>
      </c>
      <c r="J66" s="46">
        <f>القاهرة!J69</f>
        <v>15499.8</v>
      </c>
      <c r="K66" s="46">
        <f>القاهرة!K69</f>
        <v>90</v>
      </c>
      <c r="L66" s="46">
        <f>SUM(إجمالي.المعاشات[[#This Row],[منحة 6شهور]:[مقابل نقدي]])</f>
        <v>30509.199999999997</v>
      </c>
      <c r="M66" s="46">
        <f>SUMIF(بيان.معاشات.القاهرة[الإسم],بيانات!D66:D82,بيان.معاشات.القاهرة[المنصرف])</f>
        <v>6500</v>
      </c>
      <c r="N66" s="46">
        <f>إجمالي.المعاشات[[#This Row],[إجمالي المستحق]]-إجمالي.المعاشات[[#This Row],[المنصرف]]</f>
        <v>24009.199999999997</v>
      </c>
      <c r="O66" s="46">
        <f>(إجمالي.المعاشات[[#This Row],[منحة 6شهور]]+إجمالي.المعاشات[[#This Row],[مستحقات]])-إجمالي.المعاشات[[#This Row],[المنصرف]]</f>
        <v>8509.4</v>
      </c>
      <c r="P66" s="46">
        <f>IF(إجمالي.المعاشات[[#This Row],[المتبقي من المنحة]]&lt;0,0,إجمالي.المعاشات[[#This Row],[المتبقي من المنحة]])</f>
        <v>8509.4</v>
      </c>
      <c r="Q6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15499.8</v>
      </c>
      <c r="R66" s="192">
        <f>إجمالي.المعاشات[[#This Row],[المتبقي]]</f>
        <v>24009.199999999997</v>
      </c>
      <c r="S66" s="192" t="s">
        <v>227</v>
      </c>
    </row>
    <row r="67" spans="3:19" ht="21" x14ac:dyDescent="0.35">
      <c r="C67" s="103">
        <f>القاهرة!C70</f>
        <v>63</v>
      </c>
      <c r="D67" s="46" t="str">
        <f>القاهرة!D70</f>
        <v>سمير جاد الكريم سعيد</v>
      </c>
      <c r="E67" s="47">
        <f>القاهرة!E70</f>
        <v>84</v>
      </c>
      <c r="F67" s="50">
        <f>القاهرة!F70</f>
        <v>44717</v>
      </c>
      <c r="G67" s="50"/>
      <c r="H67" s="46">
        <f>القاهرة!H70</f>
        <v>13038.02</v>
      </c>
      <c r="I67" s="46">
        <f>القاهرة!I70</f>
        <v>0</v>
      </c>
      <c r="J67" s="46">
        <f>القاهرة!J70</f>
        <v>20525.400000000001</v>
      </c>
      <c r="K67" s="46">
        <f>القاهرة!K70</f>
        <v>90</v>
      </c>
      <c r="L67" s="46">
        <f>SUM(إجمالي.المعاشات[[#This Row],[منحة 6شهور]:[مقابل نقدي]])</f>
        <v>33563.42</v>
      </c>
      <c r="M67" s="46">
        <f>SUMIF(بيان.معاشات.القاهرة[الإسم],بيانات!D67:D83,بيان.معاشات.القاهرة[المنصرف])</f>
        <v>5500</v>
      </c>
      <c r="N67" s="46">
        <f>إجمالي.المعاشات[[#This Row],[إجمالي المستحق]]-إجمالي.المعاشات[[#This Row],[المنصرف]]</f>
        <v>28063.42</v>
      </c>
      <c r="O67" s="46">
        <f>(إجمالي.المعاشات[[#This Row],[منحة 6شهور]]+إجمالي.المعاشات[[#This Row],[مستحقات]])-إجمالي.المعاشات[[#This Row],[المنصرف]]</f>
        <v>7538.02</v>
      </c>
      <c r="P67" s="46">
        <f>IF(إجمالي.المعاشات[[#This Row],[المتبقي من المنحة]]&lt;0,0,إجمالي.المعاشات[[#This Row],[المتبقي من المنحة]])</f>
        <v>7538.02</v>
      </c>
      <c r="Q6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20525.400000000001</v>
      </c>
      <c r="R67" s="192">
        <f>إجمالي.المعاشات[[#This Row],[المتبقي]]</f>
        <v>28063.42</v>
      </c>
      <c r="S67" s="192" t="s">
        <v>227</v>
      </c>
    </row>
    <row r="68" spans="3:19" ht="21" x14ac:dyDescent="0.35">
      <c r="C68" s="103">
        <f>القاهرة!C71</f>
        <v>64</v>
      </c>
      <c r="D68" s="46" t="str">
        <f>القاهرة!D71</f>
        <v>فاطمة زكي موسى</v>
      </c>
      <c r="E68" s="47">
        <f>القاهرة!E71</f>
        <v>85</v>
      </c>
      <c r="F68" s="50">
        <f>القاهرة!F71</f>
        <v>44734</v>
      </c>
      <c r="G68" s="50"/>
      <c r="H68" s="46">
        <f>القاهرة!H71</f>
        <v>22151.200000000001</v>
      </c>
      <c r="I68" s="46">
        <f>القاهرة!I71</f>
        <v>0</v>
      </c>
      <c r="J68" s="46">
        <f>القاهرة!J71</f>
        <v>20500.2</v>
      </c>
      <c r="K68" s="46">
        <f>القاهرة!K71</f>
        <v>90</v>
      </c>
      <c r="L68" s="46">
        <f>SUM(إجمالي.المعاشات[[#This Row],[منحة 6شهور]:[مقابل نقدي]])</f>
        <v>42651.4</v>
      </c>
      <c r="M68" s="46">
        <f>SUMIF(بيان.معاشات.القاهرة[الإسم],بيانات!D68:D84,بيان.معاشات.القاهرة[المنصرف])</f>
        <v>6500</v>
      </c>
      <c r="N68" s="46">
        <f>إجمالي.المعاشات[[#This Row],[إجمالي المستحق]]-إجمالي.المعاشات[[#This Row],[المنصرف]]</f>
        <v>36151.4</v>
      </c>
      <c r="O68" s="46">
        <f>(إجمالي.المعاشات[[#This Row],[منحة 6شهور]]+إجمالي.المعاشات[[#This Row],[مستحقات]])-إجمالي.المعاشات[[#This Row],[المنصرف]]</f>
        <v>15651.2</v>
      </c>
      <c r="P68" s="46">
        <f>IF(إجمالي.المعاشات[[#This Row],[المتبقي من المنحة]]&lt;0,0,إجمالي.المعاشات[[#This Row],[المتبقي من المنحة]])</f>
        <v>15651.2</v>
      </c>
      <c r="Q6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20500.2</v>
      </c>
      <c r="R68" s="192">
        <f>إجمالي.المعاشات[[#This Row],[المتبقي]]</f>
        <v>36151.4</v>
      </c>
      <c r="S68" s="192" t="s">
        <v>227</v>
      </c>
    </row>
    <row r="69" spans="3:19" ht="21" x14ac:dyDescent="0.35">
      <c r="C69" s="103">
        <f>القاهرة!C72</f>
        <v>65</v>
      </c>
      <c r="D69" s="46" t="str">
        <f>القاهرة!D72</f>
        <v>محمد فؤاد محمود</v>
      </c>
      <c r="E69" s="47">
        <f>القاهرة!E72</f>
        <v>86</v>
      </c>
      <c r="F69" s="50">
        <f>القاهرة!F72</f>
        <v>44760</v>
      </c>
      <c r="G69" s="50"/>
      <c r="H69" s="46">
        <f>القاهرة!H72</f>
        <v>24529.54</v>
      </c>
      <c r="I69" s="46">
        <f>القاهرة!I72</f>
        <v>0</v>
      </c>
      <c r="J69" s="46">
        <f>القاهرة!J72</f>
        <v>23100.3</v>
      </c>
      <c r="K69" s="46">
        <f>القاهرة!K72</f>
        <v>90</v>
      </c>
      <c r="L69" s="46">
        <f>SUM(إجمالي.المعاشات[[#This Row],[منحة 6شهور]:[مقابل نقدي]])</f>
        <v>47629.84</v>
      </c>
      <c r="M69" s="46">
        <f>SUMIF(بيان.معاشات.القاهرة[الإسم],بيانات!D69:D85,بيان.معاشات.القاهرة[المنصرف])</f>
        <v>5000</v>
      </c>
      <c r="N69" s="46">
        <f>إجمالي.المعاشات[[#This Row],[إجمالي المستحق]]-إجمالي.المعاشات[[#This Row],[المنصرف]]</f>
        <v>42629.84</v>
      </c>
      <c r="O69" s="46">
        <f>(إجمالي.المعاشات[[#This Row],[منحة 6شهور]]+إجمالي.المعاشات[[#This Row],[مستحقات]])-إجمالي.المعاشات[[#This Row],[المنصرف]]</f>
        <v>19529.54</v>
      </c>
      <c r="P69" s="46">
        <f>IF(إجمالي.المعاشات[[#This Row],[المتبقي من المنحة]]&lt;0,0,إجمالي.المعاشات[[#This Row],[المتبقي من المنحة]])</f>
        <v>19529.54</v>
      </c>
      <c r="Q6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23100.3</v>
      </c>
      <c r="R69" s="192">
        <f>إجمالي.المعاشات[[#This Row],[المتبقي]]</f>
        <v>42629.84</v>
      </c>
      <c r="S69" s="192" t="s">
        <v>227</v>
      </c>
    </row>
    <row r="70" spans="3:19" ht="21" x14ac:dyDescent="0.35">
      <c r="C70" s="103">
        <f>القاهرة!C73</f>
        <v>66</v>
      </c>
      <c r="D70" s="46" t="str">
        <f>القاهرة!D73</f>
        <v>عزة سيد محمد موسى</v>
      </c>
      <c r="E70" s="47">
        <f>القاهرة!E73</f>
        <v>87</v>
      </c>
      <c r="F70" s="50">
        <f>القاهرة!F73</f>
        <v>44765</v>
      </c>
      <c r="G70" s="50"/>
      <c r="H70" s="46">
        <f>القاهرة!H73</f>
        <v>21454.87</v>
      </c>
      <c r="I70" s="46">
        <f>القاهرة!I73</f>
        <v>0</v>
      </c>
      <c r="J70" s="46">
        <f>القاهرة!J73</f>
        <v>8201.7900000000009</v>
      </c>
      <c r="K70" s="46">
        <f>القاهرة!K73</f>
        <v>37</v>
      </c>
      <c r="L70" s="46">
        <f>SUM(إجمالي.المعاشات[[#This Row],[منحة 6شهور]:[مقابل نقدي]])</f>
        <v>29656.66</v>
      </c>
      <c r="M70" s="46">
        <f>SUMIF(بيان.معاشات.القاهرة[الإسم],بيانات!D70:D86,بيان.معاشات.القاهرة[المنصرف])</f>
        <v>5000</v>
      </c>
      <c r="N70" s="46">
        <f>إجمالي.المعاشات[[#This Row],[إجمالي المستحق]]-إجمالي.المعاشات[[#This Row],[المنصرف]]</f>
        <v>24656.66</v>
      </c>
      <c r="O70" s="46">
        <f>(إجمالي.المعاشات[[#This Row],[منحة 6شهور]]+إجمالي.المعاشات[[#This Row],[مستحقات]])-إجمالي.المعاشات[[#This Row],[المنصرف]]</f>
        <v>16454.87</v>
      </c>
      <c r="P70" s="46">
        <f>IF(إجمالي.المعاشات[[#This Row],[المتبقي من المنحة]]&lt;0,0,إجمالي.المعاشات[[#This Row],[المتبقي من المنحة]])</f>
        <v>16454.87</v>
      </c>
      <c r="Q7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8201.7900000000009</v>
      </c>
      <c r="R70" s="192">
        <f>إجمالي.المعاشات[[#This Row],[المتبقي]]</f>
        <v>24656.66</v>
      </c>
      <c r="S70" s="192" t="s">
        <v>227</v>
      </c>
    </row>
    <row r="71" spans="3:19" ht="21" x14ac:dyDescent="0.35">
      <c r="C71" s="103">
        <f>القاهرة!C74</f>
        <v>67</v>
      </c>
      <c r="D71" s="46" t="str">
        <f>القاهرة!D74</f>
        <v>صدفة سعد السيد</v>
      </c>
      <c r="E71" s="47">
        <f>القاهرة!E74</f>
        <v>88</v>
      </c>
      <c r="F71" s="50">
        <f>القاهرة!F74</f>
        <v>44819</v>
      </c>
      <c r="G71" s="50"/>
      <c r="H71" s="46">
        <f>القاهرة!H74</f>
        <v>23192.36</v>
      </c>
      <c r="I71" s="46">
        <f>القاهرة!I74</f>
        <v>0</v>
      </c>
      <c r="J71" s="46">
        <f>القاهرة!J74</f>
        <v>21999.599999999999</v>
      </c>
      <c r="K71" s="46">
        <f>القاهرة!K74</f>
        <v>90</v>
      </c>
      <c r="L71" s="46">
        <f>SUM(إجمالي.المعاشات[[#This Row],[منحة 6شهور]:[مقابل نقدي]])</f>
        <v>45191.96</v>
      </c>
      <c r="M71" s="46">
        <f>SUMIF(بيان.معاشات.القاهرة[الإسم],بيانات!D71:D87,بيان.معاشات.القاهرة[المنصرف])</f>
        <v>5000</v>
      </c>
      <c r="N71" s="46">
        <f>إجمالي.المعاشات[[#This Row],[إجمالي المستحق]]-إجمالي.المعاشات[[#This Row],[المنصرف]]</f>
        <v>40191.96</v>
      </c>
      <c r="O71" s="46">
        <f>(إجمالي.المعاشات[[#This Row],[منحة 6شهور]]+إجمالي.المعاشات[[#This Row],[مستحقات]])-إجمالي.المعاشات[[#This Row],[المنصرف]]</f>
        <v>18192.36</v>
      </c>
      <c r="P71" s="46">
        <f>IF(إجمالي.المعاشات[[#This Row],[المتبقي من المنحة]]&lt;0,0,إجمالي.المعاشات[[#This Row],[المتبقي من المنحة]])</f>
        <v>18192.36</v>
      </c>
      <c r="Q7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21999.599999999999</v>
      </c>
      <c r="R71" s="192">
        <f>إجمالي.المعاشات[[#This Row],[المتبقي]]</f>
        <v>40191.96</v>
      </c>
      <c r="S71" s="192" t="s">
        <v>227</v>
      </c>
    </row>
    <row r="72" spans="3:19" ht="21" x14ac:dyDescent="0.35">
      <c r="C72" s="103">
        <f>القاهرة!C75</f>
        <v>68</v>
      </c>
      <c r="D72" s="46" t="str">
        <f>القاهرة!D75</f>
        <v>مجدي محمد توفيق</v>
      </c>
      <c r="E72" s="47">
        <f>القاهرة!E75</f>
        <v>89</v>
      </c>
      <c r="F72" s="50">
        <f>القاهرة!F75</f>
        <v>43493</v>
      </c>
      <c r="G72" s="50"/>
      <c r="H72" s="46">
        <f>القاهرة!H75</f>
        <v>0</v>
      </c>
      <c r="I72" s="46">
        <f>القاهرة!I75</f>
        <v>0</v>
      </c>
      <c r="J72" s="46">
        <f>القاهرة!J75</f>
        <v>12490.96</v>
      </c>
      <c r="K72" s="46">
        <f>القاهرة!K75</f>
        <v>90</v>
      </c>
      <c r="L72" s="46">
        <f>SUM(إجمالي.المعاشات[[#This Row],[منحة 6شهور]:[مقابل نقدي]])</f>
        <v>12490.96</v>
      </c>
      <c r="M72" s="46">
        <f>SUMIF(بيان.معاشات.القاهرة[الإسم],بيانات!D72:D88,بيان.معاشات.القاهرة[المنصرف])</f>
        <v>8000</v>
      </c>
      <c r="N72" s="46">
        <f>إجمالي.المعاشات[[#This Row],[إجمالي المستحق]]-إجمالي.المعاشات[[#This Row],[المنصرف]]</f>
        <v>4490.9599999999991</v>
      </c>
      <c r="O72" s="46">
        <f>(إجمالي.المعاشات[[#This Row],[منحة 6شهور]]+إجمالي.المعاشات[[#This Row],[مستحقات]])-إجمالي.المعاشات[[#This Row],[المنصرف]]</f>
        <v>-8000</v>
      </c>
      <c r="P72" s="46">
        <f>IF(إجمالي.المعاشات[[#This Row],[المتبقي من المنحة]]&lt;0,0,إجمالي.المعاشات[[#This Row],[المتبقي من المنحة]])</f>
        <v>0</v>
      </c>
      <c r="Q7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4490.9599999999991</v>
      </c>
      <c r="R72" s="192">
        <f>إجمالي.المعاشات[[#This Row],[المتبقي]]</f>
        <v>4490.9599999999991</v>
      </c>
      <c r="S72" s="192" t="s">
        <v>227</v>
      </c>
    </row>
    <row r="73" spans="3:19" ht="21" x14ac:dyDescent="0.35">
      <c r="C73" s="103">
        <f>القاهرة!C76</f>
        <v>69</v>
      </c>
      <c r="D73" s="46" t="str">
        <f>القاهرة!D76</f>
        <v>فتحي عبد الوهاب إبراهيم الشرقاوي</v>
      </c>
      <c r="E73" s="47">
        <f>القاهرة!E76</f>
        <v>90</v>
      </c>
      <c r="F73" s="50">
        <f>القاهرة!F76</f>
        <v>44825</v>
      </c>
      <c r="G73" s="50"/>
      <c r="H73" s="46">
        <f>القاهرة!H76</f>
        <v>18373.98</v>
      </c>
      <c r="I73" s="46">
        <f>القاهرة!I76</f>
        <v>0</v>
      </c>
      <c r="J73" s="46">
        <f>القاهرة!J76</f>
        <v>10750.98</v>
      </c>
      <c r="K73" s="46">
        <f>القاهرة!K76</f>
        <v>59</v>
      </c>
      <c r="L73" s="46">
        <f>SUM(إجمالي.المعاشات[[#This Row],[منحة 6شهور]:[مقابل نقدي]])</f>
        <v>29124.959999999999</v>
      </c>
      <c r="M73" s="46">
        <f>SUMIF(بيان.معاشات.القاهرة[الإسم],بيانات!D73:D89,بيان.معاشات.القاهرة[المنصرف])</f>
        <v>3500</v>
      </c>
      <c r="N73" s="46">
        <f>إجمالي.المعاشات[[#This Row],[إجمالي المستحق]]-إجمالي.المعاشات[[#This Row],[المنصرف]]</f>
        <v>25624.959999999999</v>
      </c>
      <c r="O73" s="46">
        <f>(إجمالي.المعاشات[[#This Row],[منحة 6شهور]]+إجمالي.المعاشات[[#This Row],[مستحقات]])-إجمالي.المعاشات[[#This Row],[المنصرف]]</f>
        <v>14873.98</v>
      </c>
      <c r="P73" s="46">
        <f>IF(إجمالي.المعاشات[[#This Row],[المتبقي من المنحة]]&lt;0,0,إجمالي.المعاشات[[#This Row],[المتبقي من المنحة]])</f>
        <v>14873.98</v>
      </c>
      <c r="Q7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10750.98</v>
      </c>
      <c r="R73" s="192">
        <f>إجمالي.المعاشات[[#This Row],[المتبقي]]</f>
        <v>25624.959999999999</v>
      </c>
      <c r="S73" s="192" t="s">
        <v>227</v>
      </c>
    </row>
    <row r="74" spans="3:19" ht="21" x14ac:dyDescent="0.35">
      <c r="C74" s="103">
        <f>القاهرة!C77</f>
        <v>70</v>
      </c>
      <c r="D74" s="46" t="str">
        <f>القاهرة!D77</f>
        <v>محمود محمد محمود حسن</v>
      </c>
      <c r="E74" s="47">
        <f>القاهرة!E77</f>
        <v>91</v>
      </c>
      <c r="F74" s="50">
        <f>القاهرة!F77</f>
        <v>44918</v>
      </c>
      <c r="G74" s="50"/>
      <c r="H74" s="46">
        <f>القاهرة!H77</f>
        <v>24103.5</v>
      </c>
      <c r="I74" s="46">
        <f>القاهرة!I77</f>
        <v>0</v>
      </c>
      <c r="J74" s="46">
        <f>القاهرة!J77</f>
        <v>10537.43</v>
      </c>
      <c r="K74" s="46">
        <f>القاهرة!K77</f>
        <v>67.5</v>
      </c>
      <c r="L74" s="46">
        <f>SUM(إجمالي.المعاشات[[#This Row],[منحة 6شهور]:[مقابل نقدي]])</f>
        <v>34640.93</v>
      </c>
      <c r="M74" s="46">
        <f>SUMIF(بيان.معاشات.القاهرة[الإسم],بيانات!D74:D90,بيان.معاشات.القاهرة[المنصرف])</f>
        <v>2500</v>
      </c>
      <c r="N74" s="46">
        <f>إجمالي.المعاشات[[#This Row],[إجمالي المستحق]]-إجمالي.المعاشات[[#This Row],[المنصرف]]</f>
        <v>32140.93</v>
      </c>
      <c r="O74" s="46">
        <f>(إجمالي.المعاشات[[#This Row],[منحة 6شهور]]+إجمالي.المعاشات[[#This Row],[مستحقات]])-إجمالي.المعاشات[[#This Row],[المنصرف]]</f>
        <v>21603.5</v>
      </c>
      <c r="P74" s="46">
        <f>IF(إجمالي.المعاشات[[#This Row],[المتبقي من المنحة]]&lt;0,0,إجمالي.المعاشات[[#This Row],[المتبقي من المنحة]])</f>
        <v>21603.5</v>
      </c>
      <c r="Q7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10537.43</v>
      </c>
      <c r="R74" s="192">
        <f>إجمالي.المعاشات[[#This Row],[المتبقي]]</f>
        <v>32140.93</v>
      </c>
      <c r="S74" s="192" t="s">
        <v>227</v>
      </c>
    </row>
    <row r="75" spans="3:19" ht="21" x14ac:dyDescent="0.35">
      <c r="C75" s="103">
        <f>القاهرة!C78</f>
        <v>71</v>
      </c>
      <c r="D75" s="46" t="str">
        <f>القاهرة!D78</f>
        <v>منى توفيق محمد عبد العال</v>
      </c>
      <c r="E75" s="47">
        <f>القاهرة!E78</f>
        <v>92</v>
      </c>
      <c r="F75" s="50">
        <f>القاهرة!F78</f>
        <v>44917</v>
      </c>
      <c r="G75" s="50"/>
      <c r="H75" s="46">
        <f>القاهرة!H78</f>
        <v>24043.24</v>
      </c>
      <c r="I75" s="46">
        <f>القاهرة!I78</f>
        <v>0</v>
      </c>
      <c r="J75" s="46">
        <f>القاهرة!J78</f>
        <v>17585.64</v>
      </c>
      <c r="K75" s="46">
        <f>القاهرة!K78</f>
        <v>76</v>
      </c>
      <c r="L75" s="46">
        <f>SUM(إجمالي.المعاشات[[#This Row],[منحة 6شهور]:[مقابل نقدي]])</f>
        <v>41628.880000000005</v>
      </c>
      <c r="M75" s="46">
        <f>SUMIF(بيان.معاشات.القاهرة[الإسم],بيانات!D75:D91,بيان.معاشات.القاهرة[المنصرف])</f>
        <v>2500</v>
      </c>
      <c r="N75" s="46">
        <f>إجمالي.المعاشات[[#This Row],[إجمالي المستحق]]-إجمالي.المعاشات[[#This Row],[المنصرف]]</f>
        <v>39128.880000000005</v>
      </c>
      <c r="O75" s="46">
        <f>(إجمالي.المعاشات[[#This Row],[منحة 6شهور]]+إجمالي.المعاشات[[#This Row],[مستحقات]])-إجمالي.المعاشات[[#This Row],[المنصرف]]</f>
        <v>21543.24</v>
      </c>
      <c r="P75" s="46">
        <f>IF(إجمالي.المعاشات[[#This Row],[المتبقي من المنحة]]&lt;0,0,إجمالي.المعاشات[[#This Row],[المتبقي من المنحة]])</f>
        <v>21543.24</v>
      </c>
      <c r="Q7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17585.64</v>
      </c>
      <c r="R75" s="192">
        <f>إجمالي.المعاشات[[#This Row],[المتبقي]]</f>
        <v>39128.880000000005</v>
      </c>
      <c r="S75" s="192" t="s">
        <v>227</v>
      </c>
    </row>
    <row r="76" spans="3:19" ht="21" x14ac:dyDescent="0.35">
      <c r="C76" s="103">
        <f>القاهرة!C79</f>
        <v>72</v>
      </c>
      <c r="D76" s="46" t="str">
        <f>القاهرة!D79</f>
        <v>سعيد محمد أحمد رواش</v>
      </c>
      <c r="E76" s="47">
        <f>القاهرة!E79</f>
        <v>93</v>
      </c>
      <c r="F76" s="50">
        <f>القاهرة!F79</f>
        <v>44940</v>
      </c>
      <c r="G76" s="50"/>
      <c r="H76" s="46">
        <f>القاهرة!H79</f>
        <v>12610.3</v>
      </c>
      <c r="I76" s="46">
        <f>القاهرة!I79</f>
        <v>0</v>
      </c>
      <c r="J76" s="46">
        <f>القاهرة!J79</f>
        <v>0</v>
      </c>
      <c r="K76" s="46">
        <f>القاهرة!K79</f>
        <v>0</v>
      </c>
      <c r="L76" s="46">
        <f>SUM(إجمالي.المعاشات[[#This Row],[منحة 6شهور]:[مقابل نقدي]])</f>
        <v>12610.3</v>
      </c>
      <c r="M76" s="46">
        <f>SUMIF(بيان.معاشات.القاهرة[الإسم],بيانات!D76:D92,بيان.معاشات.القاهرة[المنصرف])</f>
        <v>4000</v>
      </c>
      <c r="N76" s="46">
        <f>إجمالي.المعاشات[[#This Row],[إجمالي المستحق]]-إجمالي.المعاشات[[#This Row],[المنصرف]]</f>
        <v>8610.2999999999993</v>
      </c>
      <c r="O76" s="46">
        <f>(إجمالي.المعاشات[[#This Row],[منحة 6شهور]]+إجمالي.المعاشات[[#This Row],[مستحقات]])-إجمالي.المعاشات[[#This Row],[المنصرف]]</f>
        <v>8610.2999999999993</v>
      </c>
      <c r="P76" s="46">
        <f>IF(إجمالي.المعاشات[[#This Row],[المتبقي من المنحة]]&lt;0,0,إجمالي.المعاشات[[#This Row],[المتبقي من المنحة]])</f>
        <v>8610.2999999999993</v>
      </c>
      <c r="Q7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76" s="192">
        <f>إجمالي.المعاشات[[#This Row],[المتبقي]]</f>
        <v>8610.2999999999993</v>
      </c>
      <c r="S76" s="192" t="s">
        <v>227</v>
      </c>
    </row>
    <row r="77" spans="3:19" ht="21" x14ac:dyDescent="0.35">
      <c r="C77" s="103">
        <f>القاهرة!C80</f>
        <v>73</v>
      </c>
      <c r="D77" s="46" t="str">
        <f>القاهرة!D80</f>
        <v>محمد أحمد عبد المعبود عبد الله</v>
      </c>
      <c r="E77" s="47">
        <f>القاهرة!E80</f>
        <v>94</v>
      </c>
      <c r="F77" s="50">
        <f>القاهرة!F80</f>
        <v>45010</v>
      </c>
      <c r="G77" s="50"/>
      <c r="H77" s="46">
        <f>القاهرة!H80</f>
        <v>18768.3</v>
      </c>
      <c r="I77" s="46">
        <f>القاهرة!I80</f>
        <v>0</v>
      </c>
      <c r="J77" s="46">
        <f>القاهرة!J80</f>
        <v>6705.3</v>
      </c>
      <c r="K77" s="46">
        <f>القاهرة!K80</f>
        <v>90</v>
      </c>
      <c r="L77" s="46">
        <f>SUM(إجمالي.المعاشات[[#This Row],[منحة 6شهور]:[مقابل نقدي]])</f>
        <v>25473.599999999999</v>
      </c>
      <c r="M77" s="46">
        <f>SUMIF(بيان.معاشات.القاهرة[الإسم],بيانات!D77:D93,بيان.معاشات.القاهرة[المنصرف])</f>
        <v>0</v>
      </c>
      <c r="N77" s="46">
        <f>إجمالي.المعاشات[[#This Row],[إجمالي المستحق]]-إجمالي.المعاشات[[#This Row],[المنصرف]]</f>
        <v>25473.599999999999</v>
      </c>
      <c r="O77" s="46">
        <f>(إجمالي.المعاشات[[#This Row],[منحة 6شهور]]+إجمالي.المعاشات[[#This Row],[مستحقات]])-إجمالي.المعاشات[[#This Row],[المنصرف]]</f>
        <v>18768.3</v>
      </c>
      <c r="P77" s="46">
        <f>IF(إجمالي.المعاشات[[#This Row],[المتبقي من المنحة]]&lt;0,0,إجمالي.المعاشات[[#This Row],[المتبقي من المنحة]])</f>
        <v>18768.3</v>
      </c>
      <c r="Q7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6705.3</v>
      </c>
      <c r="R77" s="192">
        <f>إجمالي.المعاشات[[#This Row],[المتبقي]]</f>
        <v>25473.599999999999</v>
      </c>
      <c r="S77" s="192" t="s">
        <v>227</v>
      </c>
    </row>
    <row r="78" spans="3:19" ht="21" x14ac:dyDescent="0.35">
      <c r="C78" s="103">
        <f>القاهرة!C81</f>
        <v>74</v>
      </c>
      <c r="D78" s="46" t="str">
        <f>القاهرة!D81</f>
        <v>فايقة مصطفى محمد يوسف</v>
      </c>
      <c r="E78" s="47">
        <f>القاهرة!E81</f>
        <v>94</v>
      </c>
      <c r="F78" s="50">
        <f>القاهرة!F81</f>
        <v>45023</v>
      </c>
      <c r="G78" s="50"/>
      <c r="H78" s="46">
        <f>القاهرة!H81</f>
        <v>23836.560000000001</v>
      </c>
      <c r="I78" s="46">
        <f>القاهرة!I81</f>
        <v>0</v>
      </c>
      <c r="J78" s="46">
        <f>القاهرة!J81</f>
        <v>9518.4</v>
      </c>
      <c r="K78" s="46">
        <f>القاهرة!K81</f>
        <v>0</v>
      </c>
      <c r="L78" s="46">
        <f>SUM(إجمالي.المعاشات[[#This Row],[منحة 6شهور]:[مقابل نقدي]])</f>
        <v>33354.959999999999</v>
      </c>
      <c r="M78" s="46">
        <f>SUMIF(بيان.معاشات.القاهرة[الإسم],بيانات!D78:D94,بيان.معاشات.القاهرة[المنصرف])</f>
        <v>0</v>
      </c>
      <c r="N78" s="46">
        <f>إجمالي.المعاشات[[#This Row],[إجمالي المستحق]]-إجمالي.المعاشات[[#This Row],[المنصرف]]</f>
        <v>33354.959999999999</v>
      </c>
      <c r="O78" s="46">
        <f>(إجمالي.المعاشات[[#This Row],[منحة 6شهور]]+إجمالي.المعاشات[[#This Row],[مستحقات]])-إجمالي.المعاشات[[#This Row],[المنصرف]]</f>
        <v>23836.560000000001</v>
      </c>
      <c r="P78" s="46">
        <f>IF(إجمالي.المعاشات[[#This Row],[المتبقي من المنحة]]&lt;0,0,إجمالي.المعاشات[[#This Row],[المتبقي من المنحة]])</f>
        <v>23836.560000000001</v>
      </c>
      <c r="Q7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9518.4</v>
      </c>
      <c r="R78" s="192">
        <f>إجمالي.المعاشات[[#This Row],[المتبقي]]</f>
        <v>33354.959999999999</v>
      </c>
      <c r="S78" s="192" t="s">
        <v>227</v>
      </c>
    </row>
    <row r="79" spans="3:19" ht="21" x14ac:dyDescent="0.35">
      <c r="C79" s="103">
        <f>القاهرة!C82</f>
        <v>75</v>
      </c>
      <c r="D79" s="46" t="str">
        <f>القاهرة!D82</f>
        <v>محمد فهيم هاشم طه</v>
      </c>
      <c r="E79" s="47">
        <f>القاهرة!E82</f>
        <v>95</v>
      </c>
      <c r="F79" s="50">
        <f>القاهرة!F82</f>
        <v>45042</v>
      </c>
      <c r="G79" s="50"/>
      <c r="H79" s="46">
        <f>القاهرة!H82</f>
        <v>22909.41</v>
      </c>
      <c r="I79" s="46">
        <f>القاهرة!I82</f>
        <v>0</v>
      </c>
      <c r="J79" s="46">
        <f>القاهرة!J82</f>
        <v>8547.42</v>
      </c>
      <c r="K79" s="46">
        <f>القاهرة!K82</f>
        <v>90</v>
      </c>
      <c r="L79" s="46">
        <f>SUM(إجمالي.المعاشات[[#This Row],[منحة 6شهور]:[مقابل نقدي]])</f>
        <v>31456.83</v>
      </c>
      <c r="M79" s="46">
        <f>SUMIF(بيان.معاشات.القاهرة[الإسم],بيانات!D79:D95,بيان.معاشات.القاهرة[المنصرف])</f>
        <v>500</v>
      </c>
      <c r="N79" s="46">
        <f>إجمالي.المعاشات[[#This Row],[إجمالي المستحق]]-إجمالي.المعاشات[[#This Row],[المنصرف]]</f>
        <v>30956.83</v>
      </c>
      <c r="O79" s="46">
        <f>(إجمالي.المعاشات[[#This Row],[منحة 6شهور]]+إجمالي.المعاشات[[#This Row],[مستحقات]])-إجمالي.المعاشات[[#This Row],[المنصرف]]</f>
        <v>22409.41</v>
      </c>
      <c r="P79" s="46">
        <f>IF(إجمالي.المعاشات[[#This Row],[المتبقي من المنحة]]&lt;0,0,إجمالي.المعاشات[[#This Row],[المتبقي من المنحة]])</f>
        <v>22409.41</v>
      </c>
      <c r="Q7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8547.42</v>
      </c>
      <c r="R79" s="192">
        <f>إجمالي.المعاشات[[#This Row],[المتبقي]]</f>
        <v>30956.83</v>
      </c>
      <c r="S79" s="192" t="s">
        <v>227</v>
      </c>
    </row>
    <row r="80" spans="3:19" ht="21" x14ac:dyDescent="0.35">
      <c r="C80" s="103">
        <f>القاهرة!C83</f>
        <v>0</v>
      </c>
      <c r="D80" s="46">
        <f>القاهرة!D83</f>
        <v>0</v>
      </c>
      <c r="E80" s="47">
        <f>القاهرة!E83</f>
        <v>0</v>
      </c>
      <c r="F80" s="50">
        <f>القاهرة!F83</f>
        <v>0</v>
      </c>
      <c r="G80" s="50"/>
      <c r="H80" s="46">
        <f>القاهرة!H83</f>
        <v>0</v>
      </c>
      <c r="I80" s="46">
        <f>القاهرة!I83</f>
        <v>0</v>
      </c>
      <c r="J80" s="46">
        <f>القاهرة!J83</f>
        <v>0</v>
      </c>
      <c r="K80" s="46">
        <f>القاهرة!K83</f>
        <v>0</v>
      </c>
      <c r="L80" s="46">
        <f>SUM(إجمالي.المعاشات[[#This Row],[منحة 6شهور]:[مقابل نقدي]])</f>
        <v>0</v>
      </c>
      <c r="M80" s="46">
        <f>SUMIF(بيان.معاشات.القاهرة[الإسم],بيانات!D80:D96,بيان.معاشات.القاهرة[المنصرف])</f>
        <v>0</v>
      </c>
      <c r="N80" s="46">
        <f>إجمالي.المعاشات[[#This Row],[إجمالي المستحق]]-إجمالي.المعاشات[[#This Row],[المنصرف]]</f>
        <v>0</v>
      </c>
      <c r="O80" s="46">
        <f>(إجمالي.المعاشات[[#This Row],[منحة 6شهور]]+إجمالي.المعاشات[[#This Row],[مستحقات]])-إجمالي.المعاشات[[#This Row],[المنصرف]]</f>
        <v>0</v>
      </c>
      <c r="P80" s="46">
        <f>IF(إجمالي.المعاشات[[#This Row],[المتبقي من المنحة]]&lt;0,0,إجمالي.المعاشات[[#This Row],[المتبقي من المنحة]])</f>
        <v>0</v>
      </c>
      <c r="Q8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0" s="192">
        <f>إجمالي.المعاشات[[#This Row],[المتبقي]]</f>
        <v>0</v>
      </c>
      <c r="S80" s="192" t="s">
        <v>227</v>
      </c>
    </row>
    <row r="81" spans="3:19" ht="21" x14ac:dyDescent="0.35">
      <c r="C81" s="103">
        <f>القاهرة!C84</f>
        <v>0</v>
      </c>
      <c r="D81" s="46">
        <f>القاهرة!D84</f>
        <v>0</v>
      </c>
      <c r="E81" s="47">
        <f>القاهرة!E84</f>
        <v>0</v>
      </c>
      <c r="F81" s="50">
        <f>القاهرة!F84</f>
        <v>0</v>
      </c>
      <c r="G81" s="50"/>
      <c r="H81" s="46">
        <f>القاهرة!H84</f>
        <v>0</v>
      </c>
      <c r="I81" s="46">
        <f>القاهرة!I84</f>
        <v>0</v>
      </c>
      <c r="J81" s="46">
        <f>القاهرة!J84</f>
        <v>0</v>
      </c>
      <c r="K81" s="46">
        <f>القاهرة!K84</f>
        <v>0</v>
      </c>
      <c r="L81" s="46">
        <f>SUM(إجمالي.المعاشات[[#This Row],[منحة 6شهور]:[مقابل نقدي]])</f>
        <v>0</v>
      </c>
      <c r="M81" s="46">
        <f>SUMIF(بيان.معاشات.القاهرة[الإسم],بيانات!D81:D97,بيان.معاشات.القاهرة[المنصرف])</f>
        <v>0</v>
      </c>
      <c r="N81" s="46">
        <f>إجمالي.المعاشات[[#This Row],[إجمالي المستحق]]-إجمالي.المعاشات[[#This Row],[المنصرف]]</f>
        <v>0</v>
      </c>
      <c r="O81" s="46">
        <f>(إجمالي.المعاشات[[#This Row],[منحة 6شهور]]+إجمالي.المعاشات[[#This Row],[مستحقات]])-إجمالي.المعاشات[[#This Row],[المنصرف]]</f>
        <v>0</v>
      </c>
      <c r="P81" s="46">
        <f>IF(إجمالي.المعاشات[[#This Row],[المتبقي من المنحة]]&lt;0,0,إجمالي.المعاشات[[#This Row],[المتبقي من المنحة]])</f>
        <v>0</v>
      </c>
      <c r="Q8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1" s="192">
        <f>إجمالي.المعاشات[[#This Row],[المتبقي]]</f>
        <v>0</v>
      </c>
      <c r="S81" s="192" t="s">
        <v>227</v>
      </c>
    </row>
    <row r="82" spans="3:19" ht="21" x14ac:dyDescent="0.35">
      <c r="C82" s="103">
        <f>القاهرة!C85</f>
        <v>0</v>
      </c>
      <c r="D82" s="46">
        <f>القاهرة!D85</f>
        <v>0</v>
      </c>
      <c r="E82" s="47">
        <f>القاهرة!E85</f>
        <v>0</v>
      </c>
      <c r="F82" s="50">
        <f>القاهرة!F85</f>
        <v>0</v>
      </c>
      <c r="G82" s="50"/>
      <c r="H82" s="46">
        <f>القاهرة!H85</f>
        <v>0</v>
      </c>
      <c r="I82" s="46">
        <f>القاهرة!I85</f>
        <v>0</v>
      </c>
      <c r="J82" s="46">
        <f>القاهرة!J85</f>
        <v>0</v>
      </c>
      <c r="K82" s="46">
        <f>القاهرة!K85</f>
        <v>0</v>
      </c>
      <c r="L82" s="46">
        <f>SUM(إجمالي.المعاشات[[#This Row],[منحة 6شهور]:[مقابل نقدي]])</f>
        <v>0</v>
      </c>
      <c r="M82" s="46">
        <f>SUMIF(بيان.معاشات.القاهرة[الإسم],بيانات!D82:D98,بيان.معاشات.القاهرة[المنصرف])</f>
        <v>0</v>
      </c>
      <c r="N82" s="46">
        <f>إجمالي.المعاشات[[#This Row],[إجمالي المستحق]]-إجمالي.المعاشات[[#This Row],[المنصرف]]</f>
        <v>0</v>
      </c>
      <c r="O82" s="46">
        <f>(إجمالي.المعاشات[[#This Row],[منحة 6شهور]]+إجمالي.المعاشات[[#This Row],[مستحقات]])-إجمالي.المعاشات[[#This Row],[المنصرف]]</f>
        <v>0</v>
      </c>
      <c r="P82" s="46">
        <f>IF(إجمالي.المعاشات[[#This Row],[المتبقي من المنحة]]&lt;0,0,إجمالي.المعاشات[[#This Row],[المتبقي من المنحة]])</f>
        <v>0</v>
      </c>
      <c r="Q8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2" s="192">
        <f>إجمالي.المعاشات[[#This Row],[المتبقي]]</f>
        <v>0</v>
      </c>
      <c r="S82" s="192" t="s">
        <v>227</v>
      </c>
    </row>
    <row r="83" spans="3:19" ht="21" x14ac:dyDescent="0.35">
      <c r="C83" s="103">
        <f>القاهرة!C86</f>
        <v>0</v>
      </c>
      <c r="D83" s="46">
        <f>القاهرة!D86</f>
        <v>0</v>
      </c>
      <c r="E83" s="47">
        <f>القاهرة!E86</f>
        <v>0</v>
      </c>
      <c r="F83" s="50">
        <f>القاهرة!F86</f>
        <v>0</v>
      </c>
      <c r="G83" s="50"/>
      <c r="H83" s="46">
        <f>القاهرة!H86</f>
        <v>0</v>
      </c>
      <c r="I83" s="46">
        <f>القاهرة!I86</f>
        <v>0</v>
      </c>
      <c r="J83" s="46">
        <f>القاهرة!J86</f>
        <v>0</v>
      </c>
      <c r="K83" s="46">
        <f>القاهرة!K86</f>
        <v>0</v>
      </c>
      <c r="L83" s="46">
        <f>SUM(إجمالي.المعاشات[[#This Row],[منحة 6شهور]:[مقابل نقدي]])</f>
        <v>0</v>
      </c>
      <c r="M83" s="46">
        <f>SUMIF(بيان.معاشات.القاهرة[الإسم],بيانات!D83:D99,بيان.معاشات.القاهرة[المنصرف])</f>
        <v>0</v>
      </c>
      <c r="N83" s="46">
        <f>إجمالي.المعاشات[[#This Row],[إجمالي المستحق]]-إجمالي.المعاشات[[#This Row],[المنصرف]]</f>
        <v>0</v>
      </c>
      <c r="O83" s="46">
        <f>(إجمالي.المعاشات[[#This Row],[منحة 6شهور]]+إجمالي.المعاشات[[#This Row],[مستحقات]])-إجمالي.المعاشات[[#This Row],[المنصرف]]</f>
        <v>0</v>
      </c>
      <c r="P83" s="46">
        <f>IF(إجمالي.المعاشات[[#This Row],[المتبقي من المنحة]]&lt;0,0,إجمالي.المعاشات[[#This Row],[المتبقي من المنحة]])</f>
        <v>0</v>
      </c>
      <c r="Q8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3" s="192">
        <f>إجمالي.المعاشات[[#This Row],[المتبقي]]</f>
        <v>0</v>
      </c>
      <c r="S83" s="192" t="s">
        <v>227</v>
      </c>
    </row>
    <row r="84" spans="3:19" ht="21" x14ac:dyDescent="0.35">
      <c r="C84" s="103">
        <f>القاهرة!C87</f>
        <v>0</v>
      </c>
      <c r="D84" s="46">
        <f>القاهرة!D87</f>
        <v>0</v>
      </c>
      <c r="E84" s="47">
        <f>القاهرة!E87</f>
        <v>0</v>
      </c>
      <c r="F84" s="50">
        <f>القاهرة!F87</f>
        <v>0</v>
      </c>
      <c r="G84" s="50"/>
      <c r="H84" s="46">
        <f>القاهرة!H87</f>
        <v>0</v>
      </c>
      <c r="I84" s="46">
        <f>القاهرة!I87</f>
        <v>0</v>
      </c>
      <c r="J84" s="46">
        <f>القاهرة!J87</f>
        <v>0</v>
      </c>
      <c r="K84" s="46">
        <f>القاهرة!K87</f>
        <v>0</v>
      </c>
      <c r="L84" s="46">
        <f>SUM(إجمالي.المعاشات[[#This Row],[منحة 6شهور]:[مقابل نقدي]])</f>
        <v>0</v>
      </c>
      <c r="M84" s="46">
        <f>SUMIF(بيان.معاشات.القاهرة[الإسم],بيانات!D84:D100,بيان.معاشات.القاهرة[المنصرف])</f>
        <v>0</v>
      </c>
      <c r="N84" s="46">
        <f>إجمالي.المعاشات[[#This Row],[إجمالي المستحق]]-إجمالي.المعاشات[[#This Row],[المنصرف]]</f>
        <v>0</v>
      </c>
      <c r="O84" s="46">
        <f>(إجمالي.المعاشات[[#This Row],[منحة 6شهور]]+إجمالي.المعاشات[[#This Row],[مستحقات]])-إجمالي.المعاشات[[#This Row],[المنصرف]]</f>
        <v>0</v>
      </c>
      <c r="P84" s="46">
        <f>IF(إجمالي.المعاشات[[#This Row],[المتبقي من المنحة]]&lt;0,0,إجمالي.المعاشات[[#This Row],[المتبقي من المنحة]])</f>
        <v>0</v>
      </c>
      <c r="Q8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4" s="192">
        <f>إجمالي.المعاشات[[#This Row],[المتبقي]]</f>
        <v>0</v>
      </c>
      <c r="S84" s="192" t="s">
        <v>227</v>
      </c>
    </row>
    <row r="85" spans="3:19" ht="21" x14ac:dyDescent="0.35">
      <c r="C85" s="103">
        <f>القاهرة!C88</f>
        <v>0</v>
      </c>
      <c r="D85" s="46">
        <f>القاهرة!D88</f>
        <v>0</v>
      </c>
      <c r="E85" s="47">
        <f>القاهرة!E88</f>
        <v>0</v>
      </c>
      <c r="F85" s="50">
        <f>القاهرة!F88</f>
        <v>0</v>
      </c>
      <c r="G85" s="50"/>
      <c r="H85" s="46">
        <f>القاهرة!H88</f>
        <v>0</v>
      </c>
      <c r="I85" s="46">
        <f>القاهرة!I88</f>
        <v>0</v>
      </c>
      <c r="J85" s="46">
        <f>القاهرة!J88</f>
        <v>0</v>
      </c>
      <c r="K85" s="46">
        <f>القاهرة!K88</f>
        <v>0</v>
      </c>
      <c r="L85" s="46">
        <f>SUM(إجمالي.المعاشات[[#This Row],[منحة 6شهور]:[مقابل نقدي]])</f>
        <v>0</v>
      </c>
      <c r="M85" s="46">
        <f>SUMIF(بيان.معاشات.القاهرة[الإسم],بيانات!D85:D101,بيان.معاشات.القاهرة[المنصرف])</f>
        <v>0</v>
      </c>
      <c r="N85" s="46">
        <f>إجمالي.المعاشات[[#This Row],[إجمالي المستحق]]-إجمالي.المعاشات[[#This Row],[المنصرف]]</f>
        <v>0</v>
      </c>
      <c r="O85" s="46">
        <f>(إجمالي.المعاشات[[#This Row],[منحة 6شهور]]+إجمالي.المعاشات[[#This Row],[مستحقات]])-إجمالي.المعاشات[[#This Row],[المنصرف]]</f>
        <v>0</v>
      </c>
      <c r="P85" s="46">
        <f>IF(إجمالي.المعاشات[[#This Row],[المتبقي من المنحة]]&lt;0,0,إجمالي.المعاشات[[#This Row],[المتبقي من المنحة]])</f>
        <v>0</v>
      </c>
      <c r="Q8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5" s="192">
        <f>إجمالي.المعاشات[[#This Row],[المتبقي]]</f>
        <v>0</v>
      </c>
      <c r="S85" s="192" t="s">
        <v>227</v>
      </c>
    </row>
    <row r="86" spans="3:19" ht="21" x14ac:dyDescent="0.35">
      <c r="C86" s="103">
        <f>القاهرة!C89</f>
        <v>0</v>
      </c>
      <c r="D86" s="46" t="str">
        <f>القاهرة!D89</f>
        <v>إمام محمد إبراهيم</v>
      </c>
      <c r="E86" s="47">
        <f>القاهرة!E89</f>
        <v>0</v>
      </c>
      <c r="F86" s="50">
        <f>القاهرة!F89</f>
        <v>0</v>
      </c>
      <c r="G86" s="50"/>
      <c r="H86" s="46">
        <f>القاهرة!H89</f>
        <v>0</v>
      </c>
      <c r="I86" s="46">
        <f>القاهرة!I89</f>
        <v>0</v>
      </c>
      <c r="J86" s="46">
        <f>القاهرة!J89</f>
        <v>0</v>
      </c>
      <c r="K86" s="46">
        <f>القاهرة!K89</f>
        <v>0</v>
      </c>
      <c r="L86" s="46">
        <f>SUM(إجمالي.المعاشات[[#This Row],[منحة 6شهور]:[مقابل نقدي]])</f>
        <v>0</v>
      </c>
      <c r="M86" s="46">
        <f>SUMIF(بيان.معاشات.القاهرة[الإسم],بيانات!D86:D102,بيان.معاشات.القاهرة[المنصرف])</f>
        <v>0</v>
      </c>
      <c r="N86" s="46">
        <f>إجمالي.المعاشات[[#This Row],[إجمالي المستحق]]-إجمالي.المعاشات[[#This Row],[المنصرف]]</f>
        <v>0</v>
      </c>
      <c r="O86" s="46">
        <f>(إجمالي.المعاشات[[#This Row],[منحة 6شهور]]+إجمالي.المعاشات[[#This Row],[مستحقات]])-إجمالي.المعاشات[[#This Row],[المنصرف]]</f>
        <v>0</v>
      </c>
      <c r="P86" s="46">
        <f>IF(إجمالي.المعاشات[[#This Row],[المتبقي من المنحة]]&lt;0,0,إجمالي.المعاشات[[#This Row],[المتبقي من المنحة]])</f>
        <v>0</v>
      </c>
      <c r="Q8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6" s="192">
        <f>إجمالي.المعاشات[[#This Row],[المتبقي]]</f>
        <v>0</v>
      </c>
      <c r="S86" s="192" t="s">
        <v>227</v>
      </c>
    </row>
    <row r="87" spans="3:19" ht="21" x14ac:dyDescent="0.35">
      <c r="C87" s="103">
        <f>القاهرة!C90</f>
        <v>0</v>
      </c>
      <c r="D87" s="46">
        <f>القاهرة!D90</f>
        <v>0</v>
      </c>
      <c r="E87" s="47">
        <f>القاهرة!E90</f>
        <v>0</v>
      </c>
      <c r="F87" s="50">
        <f>القاهرة!F90</f>
        <v>0</v>
      </c>
      <c r="G87" s="50"/>
      <c r="H87" s="46">
        <f>القاهرة!H90</f>
        <v>0</v>
      </c>
      <c r="I87" s="46">
        <f>القاهرة!I90</f>
        <v>0</v>
      </c>
      <c r="J87" s="46">
        <f>القاهرة!J90</f>
        <v>0</v>
      </c>
      <c r="K87" s="46">
        <f>القاهرة!K90</f>
        <v>0</v>
      </c>
      <c r="L87" s="46">
        <f>SUM(إجمالي.المعاشات[[#This Row],[منحة 6شهور]:[مقابل نقدي]])</f>
        <v>0</v>
      </c>
      <c r="M87" s="46">
        <f>SUMIF(بيان.معاشات.القاهرة[الإسم],بيانات!D87:D103,بيان.معاشات.القاهرة[المنصرف])</f>
        <v>0</v>
      </c>
      <c r="N87" s="46">
        <f>إجمالي.المعاشات[[#This Row],[إجمالي المستحق]]-إجمالي.المعاشات[[#This Row],[المنصرف]]</f>
        <v>0</v>
      </c>
      <c r="O87" s="46">
        <f>(إجمالي.المعاشات[[#This Row],[منحة 6شهور]]+إجمالي.المعاشات[[#This Row],[مستحقات]])-إجمالي.المعاشات[[#This Row],[المنصرف]]</f>
        <v>0</v>
      </c>
      <c r="P87" s="46">
        <f>IF(إجمالي.المعاشات[[#This Row],[المتبقي من المنحة]]&lt;0,0,إجمالي.المعاشات[[#This Row],[المتبقي من المنحة]])</f>
        <v>0</v>
      </c>
      <c r="Q8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7" s="192">
        <f>إجمالي.المعاشات[[#This Row],[المتبقي]]</f>
        <v>0</v>
      </c>
      <c r="S87" s="192" t="s">
        <v>227</v>
      </c>
    </row>
    <row r="88" spans="3:19" ht="21" x14ac:dyDescent="0.35">
      <c r="C88" s="103">
        <f>القاهرة!C91</f>
        <v>0</v>
      </c>
      <c r="D88" s="46">
        <f>القاهرة!D91</f>
        <v>0</v>
      </c>
      <c r="E88" s="47">
        <f>القاهرة!E91</f>
        <v>0</v>
      </c>
      <c r="F88" s="50">
        <f>القاهرة!F91</f>
        <v>0</v>
      </c>
      <c r="G88" s="50"/>
      <c r="H88" s="46">
        <f>القاهرة!H91</f>
        <v>0</v>
      </c>
      <c r="I88" s="46">
        <f>القاهرة!I91</f>
        <v>0</v>
      </c>
      <c r="J88" s="46">
        <f>القاهرة!J91</f>
        <v>0</v>
      </c>
      <c r="K88" s="46">
        <f>القاهرة!K91</f>
        <v>0</v>
      </c>
      <c r="L88" s="46">
        <f>SUM(إجمالي.المعاشات[[#This Row],[منحة 6شهور]:[مقابل نقدي]])</f>
        <v>0</v>
      </c>
      <c r="M88" s="46">
        <f>SUMIF(بيان.معاشات.القاهرة[الإسم],بيانات!D88:D104,بيان.معاشات.القاهرة[المنصرف])</f>
        <v>0</v>
      </c>
      <c r="N88" s="46">
        <f>إجمالي.المعاشات[[#This Row],[إجمالي المستحق]]-إجمالي.المعاشات[[#This Row],[المنصرف]]</f>
        <v>0</v>
      </c>
      <c r="O88" s="46">
        <f>(إجمالي.المعاشات[[#This Row],[منحة 6شهور]]+إجمالي.المعاشات[[#This Row],[مستحقات]])-إجمالي.المعاشات[[#This Row],[المنصرف]]</f>
        <v>0</v>
      </c>
      <c r="P88" s="46">
        <f>IF(إجمالي.المعاشات[[#This Row],[المتبقي من المنحة]]&lt;0,0,إجمالي.المعاشات[[#This Row],[المتبقي من المنحة]])</f>
        <v>0</v>
      </c>
      <c r="Q8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8" s="192">
        <f>إجمالي.المعاشات[[#This Row],[المتبقي]]</f>
        <v>0</v>
      </c>
      <c r="S88" s="192" t="s">
        <v>227</v>
      </c>
    </row>
    <row r="89" spans="3:19" ht="21" x14ac:dyDescent="0.35">
      <c r="C89" s="103">
        <f>القاهرة!C92</f>
        <v>0</v>
      </c>
      <c r="D89" s="46" t="str">
        <f>القاهرة!D92</f>
        <v>الورثة وحالات الوفاة :</v>
      </c>
      <c r="E89" s="47">
        <f>القاهرة!E92</f>
        <v>0</v>
      </c>
      <c r="F89" s="50">
        <f>القاهرة!F92</f>
        <v>0</v>
      </c>
      <c r="G89" s="50"/>
      <c r="H89" s="46">
        <f>القاهرة!H92</f>
        <v>0</v>
      </c>
      <c r="I89" s="46">
        <f>القاهرة!I92</f>
        <v>0</v>
      </c>
      <c r="J89" s="46">
        <f>القاهرة!J92</f>
        <v>0</v>
      </c>
      <c r="K89" s="46">
        <f>القاهرة!K92</f>
        <v>0</v>
      </c>
      <c r="L89" s="46">
        <f>SUM(إجمالي.المعاشات[[#This Row],[منحة 6شهور]:[مقابل نقدي]])</f>
        <v>0</v>
      </c>
      <c r="M89" s="46">
        <f>SUMIF(بيان.معاشات.القاهرة[الإسم],بيانات!D89:D105,بيان.معاشات.القاهرة[المنصرف])</f>
        <v>0</v>
      </c>
      <c r="N89" s="46">
        <f>إجمالي.المعاشات[[#This Row],[إجمالي المستحق]]-إجمالي.المعاشات[[#This Row],[المنصرف]]</f>
        <v>0</v>
      </c>
      <c r="O89" s="46">
        <f>(إجمالي.المعاشات[[#This Row],[منحة 6شهور]]+إجمالي.المعاشات[[#This Row],[مستحقات]])-إجمالي.المعاشات[[#This Row],[المنصرف]]</f>
        <v>0</v>
      </c>
      <c r="P89" s="46">
        <f>IF(إجمالي.المعاشات[[#This Row],[المتبقي من المنحة]]&lt;0,0,إجمالي.المعاشات[[#This Row],[المتبقي من المنحة]])</f>
        <v>0</v>
      </c>
      <c r="Q8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89" s="192">
        <f>إجمالي.المعاشات[[#This Row],[المتبقي]]</f>
        <v>0</v>
      </c>
      <c r="S89" s="192" t="s">
        <v>227</v>
      </c>
    </row>
    <row r="90" spans="3:19" ht="21" x14ac:dyDescent="0.35">
      <c r="C90" s="103">
        <f>القاهرة!C93</f>
        <v>1</v>
      </c>
      <c r="D90" s="46" t="str">
        <f>القاهرة!D93</f>
        <v>محمد السيد شمس</v>
      </c>
      <c r="E90" s="47" t="str">
        <f>القاهرة!E93</f>
        <v>1 و</v>
      </c>
      <c r="F90" s="50">
        <f>القاهرة!F93</f>
        <v>44335</v>
      </c>
      <c r="G90" s="50"/>
      <c r="H90" s="46">
        <f>القاهرة!H93</f>
        <v>38680.239999999998</v>
      </c>
      <c r="I90" s="46">
        <f>القاهرة!I93</f>
        <v>0</v>
      </c>
      <c r="J90" s="46">
        <f>القاهرة!J93</f>
        <v>15519.6</v>
      </c>
      <c r="K90" s="46">
        <f>القاهرة!K93</f>
        <v>90</v>
      </c>
      <c r="L90" s="46">
        <f>SUM(إجمالي.المعاشات[[#This Row],[منحة 6شهور]:[مقابل نقدي]])</f>
        <v>54199.839999999997</v>
      </c>
      <c r="M90" s="46">
        <f>SUMIF(بيان.معاشات.القاهرة[الإسم],بيانات!D90:D106,بيان.معاشات.القاهرة[المنصرف])</f>
        <v>33895.35</v>
      </c>
      <c r="N90" s="46">
        <f>إجمالي.المعاشات[[#This Row],[إجمالي المستحق]]-إجمالي.المعاشات[[#This Row],[المنصرف]]</f>
        <v>20304.489999999998</v>
      </c>
      <c r="O90" s="46">
        <f>(إجمالي.المعاشات[[#This Row],[منحة 6شهور]]+إجمالي.المعاشات[[#This Row],[مستحقات]])-إجمالي.المعاشات[[#This Row],[المنصرف]]</f>
        <v>4784.8899999999994</v>
      </c>
      <c r="P90" s="46">
        <f>IF(إجمالي.المعاشات[[#This Row],[المتبقي من المنحة]]&lt;0,0,إجمالي.المعاشات[[#This Row],[المتبقي من المنحة]])</f>
        <v>4784.8899999999994</v>
      </c>
      <c r="Q9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15519.6</v>
      </c>
      <c r="R90" s="192">
        <f>إجمالي.المعاشات[[#This Row],[المتبقي]]</f>
        <v>20304.489999999998</v>
      </c>
      <c r="S90" s="192" t="s">
        <v>227</v>
      </c>
    </row>
    <row r="91" spans="3:19" ht="21" x14ac:dyDescent="0.35">
      <c r="C91" s="103">
        <f>القاهرة!C94</f>
        <v>2</v>
      </c>
      <c r="D91" s="46" t="str">
        <f>القاهرة!D94</f>
        <v>عصام أحمد عبد الله خفاجي</v>
      </c>
      <c r="E91" s="47" t="str">
        <f>القاهرة!E94</f>
        <v>2 و</v>
      </c>
      <c r="F91" s="50">
        <f>القاهرة!F94</f>
        <v>43620</v>
      </c>
      <c r="G91" s="50"/>
      <c r="H91" s="46">
        <f>القاهرة!H94</f>
        <v>44532.01</v>
      </c>
      <c r="I91" s="46">
        <f>القاهرة!I94</f>
        <v>0</v>
      </c>
      <c r="J91" s="46">
        <f>القاهرة!J94</f>
        <v>13045.5</v>
      </c>
      <c r="K91" s="46">
        <f>القاهرة!K94</f>
        <v>90</v>
      </c>
      <c r="L91" s="46">
        <f>SUM(إجمالي.المعاشات[[#This Row],[منحة 6شهور]:[مقابل نقدي]])</f>
        <v>57577.51</v>
      </c>
      <c r="M91" s="46">
        <f>SUMIF(بيان.معاشات.القاهرة[الإسم],بيانات!D91:D107,بيان.معاشات.القاهرة[المنصرف])</f>
        <v>49767.360000000001</v>
      </c>
      <c r="N91" s="46">
        <f>إجمالي.المعاشات[[#This Row],[إجمالي المستحق]]-إجمالي.المعاشات[[#This Row],[المنصرف]]</f>
        <v>7810.1500000000015</v>
      </c>
      <c r="O91" s="46">
        <f>(إجمالي.المعاشات[[#This Row],[منحة 6شهور]]+إجمالي.المعاشات[[#This Row],[مستحقات]])-إجمالي.المعاشات[[#This Row],[المنصرف]]</f>
        <v>-5235.3499999999985</v>
      </c>
      <c r="P91" s="46">
        <f>IF(إجمالي.المعاشات[[#This Row],[المتبقي من المنحة]]&lt;0,0,إجمالي.المعاشات[[#This Row],[المتبقي من المنحة]])</f>
        <v>0</v>
      </c>
      <c r="Q9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7810.1500000000015</v>
      </c>
      <c r="R91" s="192">
        <f>إجمالي.المعاشات[[#This Row],[المتبقي]]</f>
        <v>7810.1500000000015</v>
      </c>
      <c r="S91" s="192" t="s">
        <v>227</v>
      </c>
    </row>
    <row r="92" spans="3:19" ht="21" x14ac:dyDescent="0.35">
      <c r="C92" s="103">
        <f>القاهرة!C95</f>
        <v>3</v>
      </c>
      <c r="D92" s="46" t="str">
        <f>القاهرة!D95</f>
        <v xml:space="preserve">كمال محمد سعيد </v>
      </c>
      <c r="E92" s="47" t="str">
        <f>القاهرة!E95</f>
        <v>و 3</v>
      </c>
      <c r="F92" s="50">
        <f>القاهرة!F95</f>
        <v>42978</v>
      </c>
      <c r="G92" s="50"/>
      <c r="H92" s="46">
        <f>القاهرة!H95</f>
        <v>20031.96</v>
      </c>
      <c r="I92" s="46">
        <f>القاهرة!I95</f>
        <v>0</v>
      </c>
      <c r="J92" s="46">
        <f>القاهرة!J95</f>
        <v>10642.5</v>
      </c>
      <c r="K92" s="46">
        <f>القاهرة!K95</f>
        <v>90</v>
      </c>
      <c r="L92" s="46">
        <f>SUM(إجمالي.المعاشات[[#This Row],[منحة 6شهور]:[مقابل نقدي]])</f>
        <v>30674.46</v>
      </c>
      <c r="M92" s="46">
        <f>SUMIF(بيان.معاشات.القاهرة[الإسم],بيانات!D92:D108,بيان.معاشات.القاهرة[المنصرف])</f>
        <v>30674.46</v>
      </c>
      <c r="N92" s="46">
        <f>إجمالي.المعاشات[[#This Row],[إجمالي المستحق]]-إجمالي.المعاشات[[#This Row],[المنصرف]]</f>
        <v>0</v>
      </c>
      <c r="O92" s="46">
        <f>(إجمالي.المعاشات[[#This Row],[منحة 6شهور]]+إجمالي.المعاشات[[#This Row],[مستحقات]])-إجمالي.المعاشات[[#This Row],[المنصرف]]</f>
        <v>-10642.5</v>
      </c>
      <c r="P92" s="46">
        <f>IF(إجمالي.المعاشات[[#This Row],[المتبقي من المنحة]]&lt;0,0,إجمالي.المعاشات[[#This Row],[المتبقي من المنحة]])</f>
        <v>0</v>
      </c>
      <c r="Q9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92" s="192">
        <f>إجمالي.المعاشات[[#This Row],[المتبقي]]</f>
        <v>0</v>
      </c>
      <c r="S92" s="192" t="s">
        <v>227</v>
      </c>
    </row>
    <row r="93" spans="3:19" ht="21" x14ac:dyDescent="0.35">
      <c r="C93" s="103">
        <f>القاهرة!C96</f>
        <v>4</v>
      </c>
      <c r="D93" s="46" t="str">
        <f>القاهرة!D96</f>
        <v>رضا محمد زين الدين</v>
      </c>
      <c r="E93" s="47" t="str">
        <f>القاهرة!E96</f>
        <v>و 4</v>
      </c>
      <c r="F93" s="50">
        <f>القاهرة!F96</f>
        <v>43874</v>
      </c>
      <c r="G93" s="50"/>
      <c r="H93" s="46">
        <f>القاهرة!H96</f>
        <v>28660.17</v>
      </c>
      <c r="I93" s="46">
        <f>القاهرة!I96</f>
        <v>0</v>
      </c>
      <c r="J93" s="46">
        <f>القاهرة!J96</f>
        <v>15650.1</v>
      </c>
      <c r="K93" s="46">
        <f>القاهرة!K96</f>
        <v>90</v>
      </c>
      <c r="L93" s="46">
        <f>SUM(إجمالي.المعاشات[[#This Row],[منحة 6شهور]:[مقابل نقدي]])</f>
        <v>44310.27</v>
      </c>
      <c r="M93" s="46">
        <f>SUMIF(بيان.معاشات.القاهرة[الإسم],بيانات!D93:D109,بيان.معاشات.القاهرة[المنصرف])</f>
        <v>28660.17</v>
      </c>
      <c r="N93" s="46">
        <f>إجمالي.المعاشات[[#This Row],[إجمالي المستحق]]-إجمالي.المعاشات[[#This Row],[المنصرف]]</f>
        <v>15650.099999999999</v>
      </c>
      <c r="O93" s="46">
        <f>(إجمالي.المعاشات[[#This Row],[منحة 6شهور]]+إجمالي.المعاشات[[#This Row],[مستحقات]])-إجمالي.المعاشات[[#This Row],[المنصرف]]</f>
        <v>0</v>
      </c>
      <c r="P93" s="46">
        <f>IF(إجمالي.المعاشات[[#This Row],[المتبقي من المنحة]]&lt;0,0,إجمالي.المعاشات[[#This Row],[المتبقي من المنحة]])</f>
        <v>0</v>
      </c>
      <c r="Q9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15650.099999999999</v>
      </c>
      <c r="R93" s="192">
        <f>إجمالي.المعاشات[[#This Row],[المتبقي]]</f>
        <v>15650.099999999999</v>
      </c>
      <c r="S93" s="192" t="s">
        <v>227</v>
      </c>
    </row>
    <row r="94" spans="3:19" ht="21" x14ac:dyDescent="0.35">
      <c r="C94" s="103">
        <f>القاهرة!C97</f>
        <v>5</v>
      </c>
      <c r="D94" s="46" t="str">
        <f>القاهرة!D97</f>
        <v>كمال محمدي شوشة</v>
      </c>
      <c r="E94" s="47" t="str">
        <f>القاهرة!E97</f>
        <v>و 5</v>
      </c>
      <c r="F94" s="50">
        <f>القاهرة!F97</f>
        <v>43991</v>
      </c>
      <c r="G94" s="50"/>
      <c r="H94" s="46">
        <f>القاهرة!H97</f>
        <v>15128.4</v>
      </c>
      <c r="I94" s="46">
        <f>القاهرة!I97</f>
        <v>0</v>
      </c>
      <c r="J94" s="46">
        <f>القاهرة!J97</f>
        <v>10932.3</v>
      </c>
      <c r="K94" s="46">
        <f>القاهرة!K97</f>
        <v>90</v>
      </c>
      <c r="L94" s="46">
        <f>SUM(إجمالي.المعاشات[[#This Row],[منحة 6شهور]:[مقابل نقدي]])</f>
        <v>26060.699999999997</v>
      </c>
      <c r="M94" s="46">
        <f>SUMIF(بيان.معاشات.القاهرة[الإسم],بيانات!D94:D110,بيان.معاشات.القاهرة[المنصرف])</f>
        <v>22217.25</v>
      </c>
      <c r="N94" s="46">
        <f>إجمالي.المعاشات[[#This Row],[إجمالي المستحق]]-إجمالي.المعاشات[[#This Row],[المنصرف]]</f>
        <v>3843.4499999999971</v>
      </c>
      <c r="O94" s="46">
        <f>(إجمالي.المعاشات[[#This Row],[منحة 6شهور]]+إجمالي.المعاشات[[#This Row],[مستحقات]])-إجمالي.المعاشات[[#This Row],[المنصرف]]</f>
        <v>-7088.85</v>
      </c>
      <c r="P94" s="46">
        <f>IF(إجمالي.المعاشات[[#This Row],[المتبقي من المنحة]]&lt;0,0,إجمالي.المعاشات[[#This Row],[المتبقي من المنحة]])</f>
        <v>0</v>
      </c>
      <c r="Q9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3843.4499999999971</v>
      </c>
      <c r="R94" s="192">
        <f>إجمالي.المعاشات[[#This Row],[المتبقي]]</f>
        <v>3843.4499999999971</v>
      </c>
      <c r="S94" s="192" t="s">
        <v>227</v>
      </c>
    </row>
    <row r="95" spans="3:19" ht="21" x14ac:dyDescent="0.35">
      <c r="C95" s="103">
        <f>القاهرة!C98</f>
        <v>6</v>
      </c>
      <c r="D95" s="46" t="str">
        <f>القاهرة!D98</f>
        <v>مشحوت فتحي البندار</v>
      </c>
      <c r="E95" s="47" t="str">
        <f>القاهرة!E98</f>
        <v>6 و</v>
      </c>
      <c r="F95" s="50">
        <f>القاهرة!F98</f>
        <v>43843</v>
      </c>
      <c r="G95" s="50"/>
      <c r="H95" s="46">
        <f>القاهرة!H98</f>
        <v>34874.01</v>
      </c>
      <c r="I95" s="46">
        <f>القاهرة!I98</f>
        <v>0</v>
      </c>
      <c r="J95" s="46">
        <f>القاهرة!J98</f>
        <v>2713.26</v>
      </c>
      <c r="K95" s="46">
        <f>القاهرة!K98</f>
        <v>22</v>
      </c>
      <c r="L95" s="46">
        <f>SUM(إجمالي.المعاشات[[#This Row],[منحة 6شهور]:[مقابل نقدي]])</f>
        <v>37587.270000000004</v>
      </c>
      <c r="M95" s="46">
        <f>SUMIF(بيان.معاشات.القاهرة[الإسم],بيانات!D95:D111,بيان.معاشات.القاهرة[المنصرف])</f>
        <v>24362.14</v>
      </c>
      <c r="N95" s="46">
        <f>إجمالي.المعاشات[[#This Row],[إجمالي المستحق]]-إجمالي.المعاشات[[#This Row],[المنصرف]]</f>
        <v>13225.130000000005</v>
      </c>
      <c r="O95" s="46">
        <f>(إجمالي.المعاشات[[#This Row],[منحة 6شهور]]+إجمالي.المعاشات[[#This Row],[مستحقات]])-إجمالي.المعاشات[[#This Row],[المنصرف]]</f>
        <v>10511.870000000003</v>
      </c>
      <c r="P95" s="46">
        <f>IF(إجمالي.المعاشات[[#This Row],[المتبقي من المنحة]]&lt;0,0,إجمالي.المعاشات[[#This Row],[المتبقي من المنحة]])</f>
        <v>10511.870000000003</v>
      </c>
      <c r="Q9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2713.26</v>
      </c>
      <c r="R95" s="192">
        <f>إجمالي.المعاشات[[#This Row],[المتبقي]]</f>
        <v>13225.130000000005</v>
      </c>
      <c r="S95" s="192" t="s">
        <v>227</v>
      </c>
    </row>
    <row r="96" spans="3:19" ht="21" x14ac:dyDescent="0.35">
      <c r="C96" s="103">
        <f>القاهرة!C99</f>
        <v>7</v>
      </c>
      <c r="D96" s="46" t="str">
        <f>القاهرة!D99</f>
        <v>مجدة إبراهيم حافظ</v>
      </c>
      <c r="E96" s="47" t="str">
        <f>القاهرة!E99</f>
        <v>7 و</v>
      </c>
      <c r="F96" s="50">
        <f>القاهرة!F99</f>
        <v>43948</v>
      </c>
      <c r="G96" s="50"/>
      <c r="H96" s="46">
        <f>القاهرة!H99</f>
        <v>54086.5</v>
      </c>
      <c r="I96" s="46">
        <f>القاهرة!I99</f>
        <v>0</v>
      </c>
      <c r="J96" s="46">
        <f>القاهرة!J99</f>
        <v>8458.48</v>
      </c>
      <c r="K96" s="46">
        <f>القاهرة!K99</f>
        <v>46</v>
      </c>
      <c r="L96" s="46">
        <f>SUM(إجمالي.المعاشات[[#This Row],[منحة 6شهور]:[مقابل نقدي]])</f>
        <v>62544.979999999996</v>
      </c>
      <c r="M96" s="46">
        <f>SUMIF(بيان.معاشات.القاهرة[الإسم],بيانات!D96:D112,بيان.معاشات.القاهرة[المنصرف])</f>
        <v>22150.34</v>
      </c>
      <c r="N96" s="46">
        <f>إجمالي.المعاشات[[#This Row],[إجمالي المستحق]]-إجمالي.المعاشات[[#This Row],[المنصرف]]</f>
        <v>40394.639999999999</v>
      </c>
      <c r="O96" s="46">
        <f>(إجمالي.المعاشات[[#This Row],[منحة 6شهور]]+إجمالي.المعاشات[[#This Row],[مستحقات]])-إجمالي.المعاشات[[#This Row],[المنصرف]]</f>
        <v>31936.16</v>
      </c>
      <c r="P96" s="46">
        <f>IF(إجمالي.المعاشات[[#This Row],[المتبقي من المنحة]]&lt;0,0,إجمالي.المعاشات[[#This Row],[المتبقي من المنحة]])</f>
        <v>31936.16</v>
      </c>
      <c r="Q9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8458.48</v>
      </c>
      <c r="R96" s="192">
        <f>إجمالي.المعاشات[[#This Row],[المتبقي]]</f>
        <v>40394.639999999999</v>
      </c>
      <c r="S96" s="192" t="s">
        <v>227</v>
      </c>
    </row>
    <row r="97" spans="3:19" ht="21" x14ac:dyDescent="0.35">
      <c r="C97" s="103">
        <f>القاهرة!C100</f>
        <v>8</v>
      </c>
      <c r="D97" s="46" t="str">
        <f>القاهرة!D100</f>
        <v>عماد الدين أحمد عبد الرازق</v>
      </c>
      <c r="E97" s="47" t="str">
        <f>القاهرة!E100</f>
        <v>10 و</v>
      </c>
      <c r="F97" s="50">
        <f>القاهرة!F100</f>
        <v>43590</v>
      </c>
      <c r="G97" s="50"/>
      <c r="H97" s="46">
        <f>القاهرة!H100</f>
        <v>19225.740000000002</v>
      </c>
      <c r="I97" s="46">
        <f>القاهرة!I100</f>
        <v>0</v>
      </c>
      <c r="J97" s="46">
        <f>القاهرة!J100</f>
        <v>14940</v>
      </c>
      <c r="K97" s="46">
        <f>القاهرة!K100</f>
        <v>90</v>
      </c>
      <c r="L97" s="46">
        <f>SUM(إجمالي.المعاشات[[#This Row],[منحة 6شهور]:[مقابل نقدي]])</f>
        <v>34165.740000000005</v>
      </c>
      <c r="M97" s="46">
        <f>SUMIF(بيان.معاشات.القاهرة[الإسم],بيانات!D97:D113,بيان.معاشات.القاهرة[المنصرف])</f>
        <v>31165.74</v>
      </c>
      <c r="N97" s="46">
        <f>إجمالي.المعاشات[[#This Row],[إجمالي المستحق]]-إجمالي.المعاشات[[#This Row],[المنصرف]]</f>
        <v>3000.0000000000036</v>
      </c>
      <c r="O97" s="46">
        <f>(إجمالي.المعاشات[[#This Row],[منحة 6شهور]]+إجمالي.المعاشات[[#This Row],[مستحقات]])-إجمالي.المعاشات[[#This Row],[المنصرف]]</f>
        <v>-11940</v>
      </c>
      <c r="P97" s="46">
        <f>IF(إجمالي.المعاشات[[#This Row],[المتبقي من المنحة]]&lt;0,0,إجمالي.المعاشات[[#This Row],[المتبقي من المنحة]])</f>
        <v>0</v>
      </c>
      <c r="Q9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3000.0000000000036</v>
      </c>
      <c r="R97" s="192">
        <f>إجمالي.المعاشات[[#This Row],[المتبقي]]</f>
        <v>3000.0000000000036</v>
      </c>
      <c r="S97" s="192" t="s">
        <v>227</v>
      </c>
    </row>
    <row r="98" spans="3:19" ht="21" x14ac:dyDescent="0.35">
      <c r="C98" s="103">
        <f>القاهرة!C101</f>
        <v>9</v>
      </c>
      <c r="D98" s="46" t="str">
        <f>القاهرة!D101</f>
        <v>مصطفى حسين مصطفى</v>
      </c>
      <c r="E98" s="47" t="str">
        <f>القاهرة!E101</f>
        <v>11 و</v>
      </c>
      <c r="F98" s="50">
        <f>القاهرة!F101</f>
        <v>43989</v>
      </c>
      <c r="G98" s="50"/>
      <c r="H98" s="46">
        <f>القاهرة!H101</f>
        <v>19208.759999999998</v>
      </c>
      <c r="I98" s="46">
        <f>القاهرة!I101</f>
        <v>0</v>
      </c>
      <c r="J98" s="46">
        <f>القاهرة!J101</f>
        <v>15250.5</v>
      </c>
      <c r="K98" s="46">
        <f>القاهرة!K101</f>
        <v>90</v>
      </c>
      <c r="L98" s="46">
        <f>SUM(إجمالي.المعاشات[[#This Row],[منحة 6شهور]:[مقابل نقدي]])</f>
        <v>34459.259999999995</v>
      </c>
      <c r="M98" s="46">
        <f>SUMIF(بيان.معاشات.القاهرة[الإسم],بيانات!D98:D114,بيان.معاشات.القاهرة[المنصرف])</f>
        <v>23000</v>
      </c>
      <c r="N98" s="46">
        <f>إجمالي.المعاشات[[#This Row],[إجمالي المستحق]]-إجمالي.المعاشات[[#This Row],[المنصرف]]</f>
        <v>11459.259999999995</v>
      </c>
      <c r="O98" s="46">
        <f>(إجمالي.المعاشات[[#This Row],[منحة 6شهور]]+إجمالي.المعاشات[[#This Row],[مستحقات]])-إجمالي.المعاشات[[#This Row],[المنصرف]]</f>
        <v>-3791.2400000000016</v>
      </c>
      <c r="P98" s="46">
        <f>IF(إجمالي.المعاشات[[#This Row],[المتبقي من المنحة]]&lt;0,0,إجمالي.المعاشات[[#This Row],[المتبقي من المنحة]])</f>
        <v>0</v>
      </c>
      <c r="Q9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11459.259999999995</v>
      </c>
      <c r="R98" s="192">
        <f>إجمالي.المعاشات[[#This Row],[المتبقي]]</f>
        <v>11459.259999999995</v>
      </c>
      <c r="S98" s="192" t="s">
        <v>227</v>
      </c>
    </row>
    <row r="99" spans="3:19" ht="21" x14ac:dyDescent="0.35">
      <c r="C99" s="103">
        <f>القاهرة!C102</f>
        <v>10</v>
      </c>
      <c r="D99" s="46" t="str">
        <f>القاهرة!D102</f>
        <v>محمد حسين محمد أحمد</v>
      </c>
      <c r="E99" s="47" t="str">
        <f>القاهرة!E102</f>
        <v>12و</v>
      </c>
      <c r="F99" s="50">
        <f>القاهرة!F102</f>
        <v>44237</v>
      </c>
      <c r="G99" s="50"/>
      <c r="H99" s="46">
        <f>القاهرة!H102</f>
        <v>32326.959999999999</v>
      </c>
      <c r="I99" s="46">
        <f>القاهرة!I102</f>
        <v>0</v>
      </c>
      <c r="J99" s="46">
        <f>القاهرة!J102</f>
        <v>12724.2</v>
      </c>
      <c r="K99" s="46">
        <f>القاهرة!K102</f>
        <v>90</v>
      </c>
      <c r="L99" s="46">
        <f>SUM(إجمالي.المعاشات[[#This Row],[منحة 6شهور]:[مقابل نقدي]])</f>
        <v>45051.16</v>
      </c>
      <c r="M99" s="46">
        <f>SUMIF(بيان.معاشات.القاهرة[الإسم],بيانات!D99:D115,بيان.معاشات.القاهرة[المنصرف])</f>
        <v>19500</v>
      </c>
      <c r="N99" s="46">
        <f>إجمالي.المعاشات[[#This Row],[إجمالي المستحق]]-إجمالي.المعاشات[[#This Row],[المنصرف]]</f>
        <v>25551.160000000003</v>
      </c>
      <c r="O99" s="46">
        <f>(إجمالي.المعاشات[[#This Row],[منحة 6شهور]]+إجمالي.المعاشات[[#This Row],[مستحقات]])-إجمالي.المعاشات[[#This Row],[المنصرف]]</f>
        <v>12826.96</v>
      </c>
      <c r="P99" s="46">
        <f>IF(إجمالي.المعاشات[[#This Row],[المتبقي من المنحة]]&lt;0,0,إجمالي.المعاشات[[#This Row],[المتبقي من المنحة]])</f>
        <v>12826.96</v>
      </c>
      <c r="Q9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12724.2</v>
      </c>
      <c r="R99" s="192">
        <f>إجمالي.المعاشات[[#This Row],[المتبقي]]</f>
        <v>25551.160000000003</v>
      </c>
      <c r="S99" s="192" t="s">
        <v>227</v>
      </c>
    </row>
    <row r="100" spans="3:19" ht="21" x14ac:dyDescent="0.35">
      <c r="C100" s="103">
        <f>القاهرة!C103</f>
        <v>11</v>
      </c>
      <c r="D100" s="46" t="str">
        <f>القاهرة!D103</f>
        <v>بكر محمد عباس</v>
      </c>
      <c r="E100" s="47" t="str">
        <f>القاهرة!E103</f>
        <v>14 و</v>
      </c>
      <c r="F100" s="50">
        <f>القاهرة!F103</f>
        <v>42852</v>
      </c>
      <c r="G100" s="50"/>
      <c r="H100" s="46">
        <f>القاهرة!H103</f>
        <v>26604.59</v>
      </c>
      <c r="I100" s="46">
        <f>القاهرة!I103</f>
        <v>0</v>
      </c>
      <c r="J100" s="46">
        <f>القاهرة!J103</f>
        <v>10019.700000000001</v>
      </c>
      <c r="K100" s="46">
        <f>القاهرة!K103</f>
        <v>90</v>
      </c>
      <c r="L100" s="46">
        <f>SUM(إجمالي.المعاشات[[#This Row],[منحة 6شهور]:[مقابل نقدي]])</f>
        <v>36624.29</v>
      </c>
      <c r="M100" s="46">
        <f>SUMIF(بيان.معاشات.القاهرة[الإسم],بيانات!D100:D116,بيان.معاشات.القاهرة[المنصرف])</f>
        <v>31380.47</v>
      </c>
      <c r="N100" s="46">
        <f>إجمالي.المعاشات[[#This Row],[إجمالي المستحق]]-إجمالي.المعاشات[[#This Row],[المنصرف]]</f>
        <v>5243.82</v>
      </c>
      <c r="O100" s="46">
        <f>(إجمالي.المعاشات[[#This Row],[منحة 6شهور]]+إجمالي.المعاشات[[#This Row],[مستحقات]])-إجمالي.المعاشات[[#This Row],[المنصرف]]</f>
        <v>-4775.880000000001</v>
      </c>
      <c r="P100" s="46">
        <f>IF(إجمالي.المعاشات[[#This Row],[المتبقي من المنحة]]&lt;0,0,إجمالي.المعاشات[[#This Row],[المتبقي من المنحة]])</f>
        <v>0</v>
      </c>
      <c r="Q10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5243.82</v>
      </c>
      <c r="R100" s="192">
        <f>إجمالي.المعاشات[[#This Row],[المتبقي]]</f>
        <v>5243.82</v>
      </c>
      <c r="S100" s="192" t="s">
        <v>227</v>
      </c>
    </row>
    <row r="101" spans="3:19" ht="21" x14ac:dyDescent="0.35">
      <c r="C101" s="103">
        <f>القاهرة!C104</f>
        <v>12</v>
      </c>
      <c r="D101" s="46" t="str">
        <f>القاهرة!D104</f>
        <v>ياسين مكرم ياسين</v>
      </c>
      <c r="E101" s="47" t="str">
        <f>القاهرة!E104</f>
        <v>15 و</v>
      </c>
      <c r="F101" s="50">
        <f>القاهرة!F104</f>
        <v>43259</v>
      </c>
      <c r="G101" s="50"/>
      <c r="H101" s="46">
        <f>القاهرة!H104</f>
        <v>19685.439999999999</v>
      </c>
      <c r="I101" s="46">
        <f>القاهرة!I104</f>
        <v>0</v>
      </c>
      <c r="J101" s="46">
        <f>القاهرة!J104</f>
        <v>7127.68</v>
      </c>
      <c r="K101" s="46">
        <f>القاهرة!K104</f>
        <v>64</v>
      </c>
      <c r="L101" s="46">
        <f>SUM(إجمالي.المعاشات[[#This Row],[منحة 6شهور]:[مقابل نقدي]])</f>
        <v>26813.119999999999</v>
      </c>
      <c r="M101" s="46">
        <f>SUMIF(بيان.معاشات.القاهرة[الإسم],بيانات!D101:D117,بيان.معاشات.القاهرة[المنصرف])</f>
        <v>21227.05</v>
      </c>
      <c r="N101" s="46">
        <f>إجمالي.المعاشات[[#This Row],[إجمالي المستحق]]-إجمالي.المعاشات[[#This Row],[المنصرف]]</f>
        <v>5586.07</v>
      </c>
      <c r="O101" s="46">
        <f>(إجمالي.المعاشات[[#This Row],[منحة 6شهور]]+إجمالي.المعاشات[[#This Row],[مستحقات]])-إجمالي.المعاشات[[#This Row],[المنصرف]]</f>
        <v>-1541.6100000000006</v>
      </c>
      <c r="P101" s="46">
        <f>IF(إجمالي.المعاشات[[#This Row],[المتبقي من المنحة]]&lt;0,0,إجمالي.المعاشات[[#This Row],[المتبقي من المنحة]])</f>
        <v>0</v>
      </c>
      <c r="Q10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5586.07</v>
      </c>
      <c r="R101" s="192">
        <f>إجمالي.المعاشات[[#This Row],[المتبقي]]</f>
        <v>5586.07</v>
      </c>
      <c r="S101" s="192" t="s">
        <v>227</v>
      </c>
    </row>
    <row r="102" spans="3:19" ht="21" x14ac:dyDescent="0.35">
      <c r="C102" s="103">
        <f>القاهرة!C105</f>
        <v>13</v>
      </c>
      <c r="D102" s="46" t="str">
        <f>القاهرة!D105</f>
        <v>أحمد أبو الفتوح راشد</v>
      </c>
      <c r="E102" s="47" t="str">
        <f>القاهرة!E105</f>
        <v>و 17</v>
      </c>
      <c r="F102" s="50">
        <f>القاهرة!F105</f>
        <v>44731</v>
      </c>
      <c r="G102" s="50">
        <f>القاهرة!G105</f>
        <v>44731</v>
      </c>
      <c r="H102" s="46">
        <f>القاهرة!H105</f>
        <v>19784.64</v>
      </c>
      <c r="I102" s="46">
        <f>القاهرة!I105</f>
        <v>18468.990000000002</v>
      </c>
      <c r="J102" s="46">
        <f>القاهرة!J105</f>
        <v>11600.1</v>
      </c>
      <c r="K102" s="46">
        <f>القاهرة!K105</f>
        <v>90</v>
      </c>
      <c r="L102" s="46">
        <f>SUM(إجمالي.المعاشات[[#This Row],[منحة 6شهور]:[مقابل نقدي]])</f>
        <v>49853.73</v>
      </c>
      <c r="M102" s="46">
        <f>SUMIF(بيان.معاشات.القاهرة[الإسم],بيانات!D102:D118,بيان.معاشات.القاهرة[المنصرف])</f>
        <v>18181.05</v>
      </c>
      <c r="N102" s="46">
        <f>إجمالي.المعاشات[[#This Row],[إجمالي المستحق]]-إجمالي.المعاشات[[#This Row],[المنصرف]]</f>
        <v>31672.680000000004</v>
      </c>
      <c r="O102" s="46">
        <f>(إجمالي.المعاشات[[#This Row],[منحة 6شهور]]+إجمالي.المعاشات[[#This Row],[مستحقات]])-إجمالي.المعاشات[[#This Row],[المنصرف]]</f>
        <v>20072.580000000005</v>
      </c>
      <c r="P102" s="46">
        <f>IF(إجمالي.المعاشات[[#This Row],[المتبقي من المنحة]]&lt;0,0,إجمالي.المعاشات[[#This Row],[المتبقي من المنحة]])</f>
        <v>20072.580000000005</v>
      </c>
      <c r="Q10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11600.1</v>
      </c>
      <c r="R102" s="192">
        <f>إجمالي.المعاشات[[#This Row],[المتبقي]]</f>
        <v>31672.680000000004</v>
      </c>
      <c r="S102" s="192" t="s">
        <v>227</v>
      </c>
    </row>
    <row r="103" spans="3:19" ht="21" x14ac:dyDescent="0.35">
      <c r="C103" s="103">
        <f>القاهرة!C106</f>
        <v>14</v>
      </c>
      <c r="D103" s="46" t="str">
        <f>القاهرة!D106</f>
        <v>عصام كمال إبراهيم</v>
      </c>
      <c r="E103" s="47" t="str">
        <f>القاهرة!E106</f>
        <v>و 18</v>
      </c>
      <c r="F103" s="50">
        <f>القاهرة!F106</f>
        <v>44825</v>
      </c>
      <c r="G103" s="50">
        <f>القاهرة!G106</f>
        <v>44825</v>
      </c>
      <c r="H103" s="46">
        <f>القاهرة!H106</f>
        <v>17265.599999999999</v>
      </c>
      <c r="I103" s="46">
        <f>القاهرة!I106</f>
        <v>30528.329999999998</v>
      </c>
      <c r="J103" s="46">
        <f>القاهرة!J106</f>
        <v>15399.9</v>
      </c>
      <c r="K103" s="46">
        <f>القاهرة!K106</f>
        <v>90</v>
      </c>
      <c r="L103" s="46">
        <f>SUM(إجمالي.المعاشات[[#This Row],[منحة 6شهور]:[مقابل نقدي]])</f>
        <v>63193.829999999994</v>
      </c>
      <c r="M103" s="46">
        <f>SUMIF(بيان.معاشات.القاهرة[الإسم],بيانات!D103:D120,بيان.معاشات.القاهرة[المنصرف])</f>
        <v>13000</v>
      </c>
      <c r="N103" s="46">
        <f>إجمالي.المعاشات[[#This Row],[إجمالي المستحق]]-إجمالي.المعاشات[[#This Row],[المنصرف]]</f>
        <v>50193.829999999994</v>
      </c>
      <c r="O103" s="46">
        <f>(إجمالي.المعاشات[[#This Row],[منحة 6شهور]]+إجمالي.المعاشات[[#This Row],[مستحقات]])-إجمالي.المعاشات[[#This Row],[المنصرف]]</f>
        <v>34793.929999999993</v>
      </c>
      <c r="P103" s="46">
        <f>IF(إجمالي.المعاشات[[#This Row],[المتبقي من المنحة]]&lt;0,0,إجمالي.المعاشات[[#This Row],[المتبقي من المنحة]])</f>
        <v>34793.929999999993</v>
      </c>
      <c r="Q10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15399.9</v>
      </c>
      <c r="R103" s="192">
        <f>إجمالي.المعاشات[[#This Row],[المتبقي]]</f>
        <v>50193.829999999994</v>
      </c>
      <c r="S103" s="192" t="s">
        <v>227</v>
      </c>
    </row>
    <row r="104" spans="3:19" ht="21" x14ac:dyDescent="0.35">
      <c r="C104" s="103">
        <f>القاهرة!C107</f>
        <v>15</v>
      </c>
      <c r="D104" s="46" t="str">
        <f>القاهرة!D107</f>
        <v>محمد يحيى عبد العال</v>
      </c>
      <c r="E104" s="47" t="str">
        <f>القاهرة!E107</f>
        <v>19 و</v>
      </c>
      <c r="F104" s="50">
        <f>القاهرة!F107</f>
        <v>43873</v>
      </c>
      <c r="G104" s="50">
        <f>القاهرة!G107</f>
        <v>43873</v>
      </c>
      <c r="H104" s="46">
        <f>القاهرة!H107</f>
        <v>9169.66</v>
      </c>
      <c r="I104" s="46">
        <f>القاهرة!I107</f>
        <v>9829.2800000000007</v>
      </c>
      <c r="J104" s="46">
        <f>القاهرة!J107</f>
        <v>3453.52</v>
      </c>
      <c r="K104" s="46">
        <f>القاهرة!K107</f>
        <v>28</v>
      </c>
      <c r="L104" s="46">
        <f>SUM(إجمالي.المعاشات[[#This Row],[منحة 6شهور]:[مقابل نقدي]])</f>
        <v>22452.460000000003</v>
      </c>
      <c r="M104" s="46">
        <f>SUMIF(بيان.معاشات.القاهرة[الإسم],بيانات!D104:D121,بيان.معاشات.القاهرة[المنصرف])</f>
        <v>5408.14</v>
      </c>
      <c r="N104" s="46">
        <f>إجمالي.المعاشات[[#This Row],[إجمالي المستحق]]-إجمالي.المعاشات[[#This Row],[المنصرف]]</f>
        <v>17044.320000000003</v>
      </c>
      <c r="O104" s="46">
        <f>(إجمالي.المعاشات[[#This Row],[منحة 6شهور]]+إجمالي.المعاشات[[#This Row],[مستحقات]])-إجمالي.المعاشات[[#This Row],[المنصرف]]</f>
        <v>13590.800000000003</v>
      </c>
      <c r="P104" s="46">
        <f>IF(إجمالي.المعاشات[[#This Row],[المتبقي من المنحة]]&lt;0,0,إجمالي.المعاشات[[#This Row],[المتبقي من المنحة]])</f>
        <v>13590.800000000003</v>
      </c>
      <c r="Q10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3453.52</v>
      </c>
      <c r="R104" s="192">
        <f>إجمالي.المعاشات[[#This Row],[المتبقي]]</f>
        <v>17044.320000000003</v>
      </c>
      <c r="S104" s="192" t="s">
        <v>227</v>
      </c>
    </row>
    <row r="105" spans="3:19" ht="21" x14ac:dyDescent="0.35">
      <c r="C105" s="103">
        <f>القاهرة!C108</f>
        <v>0</v>
      </c>
      <c r="D105" s="46">
        <f>القاهرة!D108</f>
        <v>0</v>
      </c>
      <c r="E105" s="47">
        <f>القاهرة!E108</f>
        <v>0</v>
      </c>
      <c r="F105" s="50"/>
      <c r="G105" s="50"/>
      <c r="H105" s="46">
        <f>القاهرة!H108</f>
        <v>0</v>
      </c>
      <c r="I105" s="46">
        <f>القاهرة!I108</f>
        <v>0</v>
      </c>
      <c r="J105" s="46">
        <f>القاهرة!J108</f>
        <v>0</v>
      </c>
      <c r="K105" s="46">
        <f>القاهرة!K108</f>
        <v>0</v>
      </c>
      <c r="L105" s="46">
        <f>SUM(إجمالي.المعاشات[[#This Row],[منحة 6شهور]:[مقابل نقدي]])</f>
        <v>0</v>
      </c>
      <c r="M105" s="46">
        <f>SUMIF(بيان.معاشات.القاهرة[الإسم],بيانات!D105:D122,بيان.معاشات.القاهرة[المنصرف])</f>
        <v>0</v>
      </c>
      <c r="N105" s="46">
        <f>إجمالي.المعاشات[[#This Row],[إجمالي المستحق]]-إجمالي.المعاشات[[#This Row],[المنصرف]]</f>
        <v>0</v>
      </c>
      <c r="O105" s="46">
        <f>(إجمالي.المعاشات[[#This Row],[منحة 6شهور]]+إجمالي.المعاشات[[#This Row],[مستحقات]])-إجمالي.المعاشات[[#This Row],[المنصرف]]</f>
        <v>0</v>
      </c>
      <c r="P105" s="46">
        <f>IF(إجمالي.المعاشات[[#This Row],[المتبقي من المنحة]]&lt;0,0,إجمالي.المعاشات[[#This Row],[المتبقي من المنحة]])</f>
        <v>0</v>
      </c>
      <c r="Q10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05" s="192">
        <f>إجمالي.المعاشات[[#This Row],[المتبقي]]</f>
        <v>0</v>
      </c>
      <c r="S105" s="192" t="s">
        <v>227</v>
      </c>
    </row>
    <row r="106" spans="3:19" ht="21" x14ac:dyDescent="0.35">
      <c r="C106" s="103">
        <f>القاهرة!C109</f>
        <v>0</v>
      </c>
      <c r="D106" s="46">
        <f>القاهرة!D109</f>
        <v>0</v>
      </c>
      <c r="E106" s="47">
        <f>القاهرة!E109</f>
        <v>0</v>
      </c>
      <c r="F106" s="50"/>
      <c r="G106" s="50"/>
      <c r="H106" s="46">
        <f>القاهرة!H109</f>
        <v>0</v>
      </c>
      <c r="I106" s="46">
        <f>القاهرة!I109</f>
        <v>0</v>
      </c>
      <c r="J106" s="46">
        <f>القاهرة!J109</f>
        <v>0</v>
      </c>
      <c r="K106" s="46">
        <f>القاهرة!K109</f>
        <v>0</v>
      </c>
      <c r="L106" s="46">
        <f>SUM(إجمالي.المعاشات[[#This Row],[منحة 6شهور]:[مقابل نقدي]])</f>
        <v>0</v>
      </c>
      <c r="M106" s="46">
        <f>SUMIF(بيان.معاشات.القاهرة[الإسم],بيانات!D106:D123,بيان.معاشات.القاهرة[المنصرف])</f>
        <v>0</v>
      </c>
      <c r="N106" s="46">
        <f>إجمالي.المعاشات[[#This Row],[إجمالي المستحق]]-إجمالي.المعاشات[[#This Row],[المنصرف]]</f>
        <v>0</v>
      </c>
      <c r="O106" s="46">
        <f>(إجمالي.المعاشات[[#This Row],[منحة 6شهور]]+إجمالي.المعاشات[[#This Row],[مستحقات]])-إجمالي.المعاشات[[#This Row],[المنصرف]]</f>
        <v>0</v>
      </c>
      <c r="P106" s="46">
        <f>IF(إجمالي.المعاشات[[#This Row],[المتبقي من المنحة]]&lt;0,0,إجمالي.المعاشات[[#This Row],[المتبقي من المنحة]])</f>
        <v>0</v>
      </c>
      <c r="Q10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06" s="192">
        <f>إجمالي.المعاشات[[#This Row],[المتبقي]]</f>
        <v>0</v>
      </c>
      <c r="S106" s="192" t="s">
        <v>227</v>
      </c>
    </row>
    <row r="107" spans="3:19" ht="21" x14ac:dyDescent="0.35">
      <c r="C107" s="103">
        <f>القاهرة!C110</f>
        <v>0</v>
      </c>
      <c r="D107" s="46">
        <f>القاهرة!D110</f>
        <v>0</v>
      </c>
      <c r="E107" s="47">
        <f>القاهرة!E110</f>
        <v>0</v>
      </c>
      <c r="F107" s="50"/>
      <c r="G107" s="50"/>
      <c r="H107" s="46">
        <f>القاهرة!H110</f>
        <v>0</v>
      </c>
      <c r="I107" s="46">
        <f>القاهرة!I110</f>
        <v>0</v>
      </c>
      <c r="J107" s="46">
        <f>القاهرة!J110</f>
        <v>0</v>
      </c>
      <c r="K107" s="46">
        <f>القاهرة!K110</f>
        <v>0</v>
      </c>
      <c r="L107" s="46">
        <f>SUM(إجمالي.المعاشات[[#This Row],[منحة 6شهور]:[مقابل نقدي]])</f>
        <v>0</v>
      </c>
      <c r="M107" s="46">
        <f>SUMIF(بيان.معاشات.القاهرة[الإسم],بيانات!D107:D124,بيان.معاشات.القاهرة[المنصرف])</f>
        <v>0</v>
      </c>
      <c r="N107" s="46">
        <f>إجمالي.المعاشات[[#This Row],[إجمالي المستحق]]-إجمالي.المعاشات[[#This Row],[المنصرف]]</f>
        <v>0</v>
      </c>
      <c r="O107" s="46">
        <f>(إجمالي.المعاشات[[#This Row],[منحة 6شهور]]+إجمالي.المعاشات[[#This Row],[مستحقات]])-إجمالي.المعاشات[[#This Row],[المنصرف]]</f>
        <v>0</v>
      </c>
      <c r="P107" s="46">
        <f>IF(إجمالي.المعاشات[[#This Row],[المتبقي من المنحة]]&lt;0,0,إجمالي.المعاشات[[#This Row],[المتبقي من المنحة]])</f>
        <v>0</v>
      </c>
      <c r="Q10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07" s="192">
        <f>إجمالي.المعاشات[[#This Row],[المتبقي]]</f>
        <v>0</v>
      </c>
      <c r="S107" s="192" t="s">
        <v>227</v>
      </c>
    </row>
    <row r="108" spans="3:19" ht="21" x14ac:dyDescent="0.35">
      <c r="C108" s="103">
        <f>القاهرة!C111</f>
        <v>0</v>
      </c>
      <c r="D108" s="46">
        <f>القاهرة!D111</f>
        <v>0</v>
      </c>
      <c r="E108" s="47">
        <f>القاهرة!E111</f>
        <v>0</v>
      </c>
      <c r="F108" s="50"/>
      <c r="G108" s="50"/>
      <c r="H108" s="46">
        <f>القاهرة!H111</f>
        <v>0</v>
      </c>
      <c r="I108" s="46">
        <f>القاهرة!I111</f>
        <v>0</v>
      </c>
      <c r="J108" s="46">
        <f>القاهرة!J111</f>
        <v>0</v>
      </c>
      <c r="K108" s="46">
        <f>القاهرة!K111</f>
        <v>0</v>
      </c>
      <c r="L108" s="46">
        <f>SUM(إجمالي.المعاشات[[#This Row],[منحة 6شهور]:[مقابل نقدي]])</f>
        <v>0</v>
      </c>
      <c r="M108" s="46">
        <f>SUMIF(بيان.معاشات.القاهرة[الإسم],بيانات!D108:D125,بيان.معاشات.القاهرة[المنصرف])</f>
        <v>0</v>
      </c>
      <c r="N108" s="46">
        <f>إجمالي.المعاشات[[#This Row],[إجمالي المستحق]]-إجمالي.المعاشات[[#This Row],[المنصرف]]</f>
        <v>0</v>
      </c>
      <c r="O108" s="46">
        <f>(إجمالي.المعاشات[[#This Row],[منحة 6شهور]]+إجمالي.المعاشات[[#This Row],[مستحقات]])-إجمالي.المعاشات[[#This Row],[المنصرف]]</f>
        <v>0</v>
      </c>
      <c r="P108" s="46">
        <f>IF(إجمالي.المعاشات[[#This Row],[المتبقي من المنحة]]&lt;0,0,إجمالي.المعاشات[[#This Row],[المتبقي من المنحة]])</f>
        <v>0</v>
      </c>
      <c r="Q10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08" s="192">
        <f>إجمالي.المعاشات[[#This Row],[المتبقي]]</f>
        <v>0</v>
      </c>
      <c r="S108" s="192" t="s">
        <v>227</v>
      </c>
    </row>
    <row r="109" spans="3:19" ht="21" x14ac:dyDescent="0.35">
      <c r="C109" s="103">
        <f>القاهرة!C112</f>
        <v>0</v>
      </c>
      <c r="D109" s="46">
        <f>القاهرة!D112</f>
        <v>0</v>
      </c>
      <c r="E109" s="47">
        <f>القاهرة!E112</f>
        <v>0</v>
      </c>
      <c r="F109" s="50"/>
      <c r="G109" s="50"/>
      <c r="H109" s="46">
        <f>القاهرة!H112</f>
        <v>0</v>
      </c>
      <c r="I109" s="46">
        <f>القاهرة!I112</f>
        <v>0</v>
      </c>
      <c r="J109" s="46">
        <f>القاهرة!J112</f>
        <v>0</v>
      </c>
      <c r="K109" s="46">
        <f>القاهرة!K112</f>
        <v>0</v>
      </c>
      <c r="L109" s="46">
        <f>SUM(إجمالي.المعاشات[[#This Row],[منحة 6شهور]:[مقابل نقدي]])</f>
        <v>0</v>
      </c>
      <c r="M109" s="46">
        <f>SUMIF(بيان.معاشات.القاهرة[الإسم],بيانات!D109:D126,بيان.معاشات.القاهرة[المنصرف])</f>
        <v>0</v>
      </c>
      <c r="N109" s="46">
        <f>إجمالي.المعاشات[[#This Row],[إجمالي المستحق]]-إجمالي.المعاشات[[#This Row],[المنصرف]]</f>
        <v>0</v>
      </c>
      <c r="O109" s="46">
        <f>(إجمالي.المعاشات[[#This Row],[منحة 6شهور]]+إجمالي.المعاشات[[#This Row],[مستحقات]])-إجمالي.المعاشات[[#This Row],[المنصرف]]</f>
        <v>0</v>
      </c>
      <c r="P109" s="46">
        <f>IF(إجمالي.المعاشات[[#This Row],[المتبقي من المنحة]]&lt;0,0,إجمالي.المعاشات[[#This Row],[المتبقي من المنحة]])</f>
        <v>0</v>
      </c>
      <c r="Q10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09" s="192">
        <f>إجمالي.المعاشات[[#This Row],[المتبقي]]</f>
        <v>0</v>
      </c>
      <c r="S109" s="192" t="s">
        <v>227</v>
      </c>
    </row>
    <row r="110" spans="3:19" ht="21" x14ac:dyDescent="0.35">
      <c r="C110" s="103">
        <f>القاهرة!C113</f>
        <v>0</v>
      </c>
      <c r="D110" s="46">
        <f>القاهرة!D113</f>
        <v>0</v>
      </c>
      <c r="E110" s="47">
        <f>القاهرة!E113</f>
        <v>0</v>
      </c>
      <c r="F110" s="50"/>
      <c r="G110" s="50"/>
      <c r="H110" s="46">
        <f>القاهرة!H113</f>
        <v>0</v>
      </c>
      <c r="I110" s="46">
        <f>القاهرة!I113</f>
        <v>0</v>
      </c>
      <c r="J110" s="46">
        <f>القاهرة!J113</f>
        <v>0</v>
      </c>
      <c r="K110" s="46">
        <f>القاهرة!K113</f>
        <v>0</v>
      </c>
      <c r="L110" s="46">
        <f>SUM(إجمالي.المعاشات[[#This Row],[منحة 6شهور]:[مقابل نقدي]])</f>
        <v>0</v>
      </c>
      <c r="M110" s="46">
        <f>SUMIF(بيان.معاشات.القاهرة[الإسم],بيانات!D110:D127,بيان.معاشات.القاهرة[المنصرف])</f>
        <v>0</v>
      </c>
      <c r="N110" s="46">
        <f>إجمالي.المعاشات[[#This Row],[إجمالي المستحق]]-إجمالي.المعاشات[[#This Row],[المنصرف]]</f>
        <v>0</v>
      </c>
      <c r="O110" s="46">
        <f>(إجمالي.المعاشات[[#This Row],[منحة 6شهور]]+إجمالي.المعاشات[[#This Row],[مستحقات]])-إجمالي.المعاشات[[#This Row],[المنصرف]]</f>
        <v>0</v>
      </c>
      <c r="P110" s="46">
        <f>IF(إجمالي.المعاشات[[#This Row],[المتبقي من المنحة]]&lt;0,0,إجمالي.المعاشات[[#This Row],[المتبقي من المنحة]])</f>
        <v>0</v>
      </c>
      <c r="Q11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10" s="192">
        <f>إجمالي.المعاشات[[#This Row],[المتبقي]]</f>
        <v>0</v>
      </c>
      <c r="S110" s="192" t="s">
        <v>227</v>
      </c>
    </row>
    <row r="111" spans="3:19" ht="21" x14ac:dyDescent="0.35">
      <c r="C111" s="103">
        <f>القاهرة!C114</f>
        <v>0</v>
      </c>
      <c r="D111" s="46">
        <f>القاهرة!D114</f>
        <v>0</v>
      </c>
      <c r="E111" s="47">
        <f>القاهرة!E114</f>
        <v>0</v>
      </c>
      <c r="F111" s="50"/>
      <c r="G111" s="50"/>
      <c r="H111" s="46">
        <f>القاهرة!H114</f>
        <v>0</v>
      </c>
      <c r="I111" s="46">
        <f>القاهرة!I114</f>
        <v>0</v>
      </c>
      <c r="J111" s="46">
        <f>القاهرة!J114</f>
        <v>0</v>
      </c>
      <c r="K111" s="46">
        <f>القاهرة!K114</f>
        <v>0</v>
      </c>
      <c r="L111" s="46">
        <f>SUM(إجمالي.المعاشات[[#This Row],[منحة 6شهور]:[مقابل نقدي]])</f>
        <v>0</v>
      </c>
      <c r="M111" s="46">
        <f>SUMIF(بيان.معاشات.القاهرة[الإسم],بيانات!D111:D128,بيان.معاشات.القاهرة[المنصرف])</f>
        <v>0</v>
      </c>
      <c r="N111" s="46">
        <f>إجمالي.المعاشات[[#This Row],[إجمالي المستحق]]-إجمالي.المعاشات[[#This Row],[المنصرف]]</f>
        <v>0</v>
      </c>
      <c r="O111" s="46">
        <f>(إجمالي.المعاشات[[#This Row],[منحة 6شهور]]+إجمالي.المعاشات[[#This Row],[مستحقات]])-إجمالي.المعاشات[[#This Row],[المنصرف]]</f>
        <v>0</v>
      </c>
      <c r="P111" s="46">
        <f>IF(إجمالي.المعاشات[[#This Row],[المتبقي من المنحة]]&lt;0,0,إجمالي.المعاشات[[#This Row],[المتبقي من المنحة]])</f>
        <v>0</v>
      </c>
      <c r="Q11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11" s="192">
        <f>إجمالي.المعاشات[[#This Row],[المتبقي]]</f>
        <v>0</v>
      </c>
      <c r="S111" s="192" t="s">
        <v>227</v>
      </c>
    </row>
    <row r="112" spans="3:19" ht="21" x14ac:dyDescent="0.35">
      <c r="C112" s="103"/>
      <c r="D112" s="46"/>
      <c r="E112" s="47"/>
      <c r="F112" s="50"/>
      <c r="G112" s="50"/>
      <c r="H112" s="46"/>
      <c r="I112" s="46"/>
      <c r="J112" s="46"/>
      <c r="K112" s="46"/>
      <c r="L112" s="46"/>
      <c r="M112" s="46"/>
      <c r="N112" s="46"/>
      <c r="O112" s="46"/>
      <c r="P112" s="46"/>
      <c r="Q11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12" s="192">
        <f>إجمالي.المعاشات[[#This Row],[المتبقي]]</f>
        <v>0</v>
      </c>
      <c r="S112" s="192"/>
    </row>
    <row r="113" spans="3:19" ht="21" x14ac:dyDescent="0.35">
      <c r="C113" s="103">
        <f>السويس!C9</f>
        <v>1</v>
      </c>
      <c r="D113" s="46" t="str">
        <f>السويس!D9</f>
        <v>محمود عبد اللاه سلامة</v>
      </c>
      <c r="E113" s="47">
        <f>السويس!E9</f>
        <v>2</v>
      </c>
      <c r="F113" s="50">
        <f>السويس!F9</f>
        <v>44188</v>
      </c>
      <c r="G113" s="50"/>
      <c r="H113" s="46">
        <f>السويس!H9</f>
        <v>14698.83</v>
      </c>
      <c r="I113" s="46">
        <f>السويس!I9</f>
        <v>0</v>
      </c>
      <c r="J113" s="46">
        <f>السويس!J9</f>
        <v>13684.5</v>
      </c>
      <c r="K113" s="46">
        <f>السويس!K9</f>
        <v>90</v>
      </c>
      <c r="L113" s="46">
        <f>SUM(إجمالي.المعاشات[[#This Row],[منحة 6شهور]:[مقابل نقدي]])</f>
        <v>28383.33</v>
      </c>
      <c r="M113" s="46">
        <f>SUMIF(بيان.معاشات.السويس[الإسم],بيانات!D113:D130,بيان.معاشات.السويس[إجمالي المنصرف])</f>
        <v>12000</v>
      </c>
      <c r="N113" s="46">
        <f>إجمالي.المعاشات[[#This Row],[إجمالي المستحق]]-إجمالي.المعاشات[[#This Row],[المنصرف]]</f>
        <v>16383.330000000002</v>
      </c>
      <c r="O113" s="46">
        <f>(إجمالي.المعاشات[[#This Row],[منحة 6شهور]]+إجمالي.المعاشات[[#This Row],[مستحقات]])-إجمالي.المعاشات[[#This Row],[المنصرف]]</f>
        <v>2698.83</v>
      </c>
      <c r="P113" s="46">
        <f>IF(إجمالي.المعاشات[[#This Row],[المتبقي من المنحة]]&lt;0,0,إجمالي.المعاشات[[#This Row],[المتبقي من المنحة]])</f>
        <v>2698.83</v>
      </c>
      <c r="Q11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13684.5</v>
      </c>
      <c r="R113" s="192">
        <f>إجمالي.المعاشات[[#This Row],[المتبقي]]</f>
        <v>16383.330000000002</v>
      </c>
      <c r="S113" s="192" t="s">
        <v>182</v>
      </c>
    </row>
    <row r="114" spans="3:19" ht="21" x14ac:dyDescent="0.35">
      <c r="C114" s="103">
        <f>السويس!C10</f>
        <v>2</v>
      </c>
      <c r="D114" s="46" t="str">
        <f>السويس!D10</f>
        <v>أحمد عباس محمد</v>
      </c>
      <c r="E114" s="47">
        <f>السويس!E10</f>
        <v>3</v>
      </c>
      <c r="F114" s="50">
        <f>السويس!F10</f>
        <v>44329</v>
      </c>
      <c r="G114" s="50"/>
      <c r="H114" s="46">
        <f>السويس!H10</f>
        <v>19354.86</v>
      </c>
      <c r="I114" s="46">
        <f>السويس!I10</f>
        <v>0</v>
      </c>
      <c r="J114" s="46">
        <f>السويس!J10</f>
        <v>18161.099999999999</v>
      </c>
      <c r="K114" s="46">
        <f>السويس!K10</f>
        <v>90</v>
      </c>
      <c r="L114" s="46">
        <f>SUM(إجمالي.المعاشات[[#This Row],[منحة 6شهور]:[مقابل نقدي]])</f>
        <v>37515.96</v>
      </c>
      <c r="M114" s="46">
        <f>SUMIF(بيان.معاشات.السويس[الإسم],بيانات!D114:D131,بيان.معاشات.السويس[إجمالي المنصرف])</f>
        <v>16677.43</v>
      </c>
      <c r="N114" s="46">
        <f>إجمالي.المعاشات[[#This Row],[إجمالي المستحق]]-إجمالي.المعاشات[[#This Row],[المنصرف]]</f>
        <v>20838.53</v>
      </c>
      <c r="O114" s="46">
        <f>(إجمالي.المعاشات[[#This Row],[منحة 6شهور]]+إجمالي.المعاشات[[#This Row],[مستحقات]])-إجمالي.المعاشات[[#This Row],[المنصرف]]</f>
        <v>2677.4300000000003</v>
      </c>
      <c r="P114" s="46">
        <f>IF(إجمالي.المعاشات[[#This Row],[المتبقي من المنحة]]&lt;0,0,إجمالي.المعاشات[[#This Row],[المتبقي من المنحة]])</f>
        <v>2677.4300000000003</v>
      </c>
      <c r="Q11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18161.099999999999</v>
      </c>
      <c r="R114" s="192">
        <f>إجمالي.المعاشات[[#This Row],[المتبقي]]</f>
        <v>20838.53</v>
      </c>
      <c r="S114" s="192" t="s">
        <v>182</v>
      </c>
    </row>
    <row r="115" spans="3:19" ht="21" x14ac:dyDescent="0.35">
      <c r="C115" s="103">
        <f>السويس!C11</f>
        <v>3</v>
      </c>
      <c r="D115" s="46" t="str">
        <f>السويس!D11</f>
        <v>أحمد نور الدين أحمد</v>
      </c>
      <c r="E115" s="47">
        <f>السويس!E11</f>
        <v>4</v>
      </c>
      <c r="F115" s="50">
        <f>السويس!F11</f>
        <v>44115</v>
      </c>
      <c r="G115" s="50"/>
      <c r="H115" s="46">
        <f>السويس!H11</f>
        <v>18400.09</v>
      </c>
      <c r="I115" s="46">
        <f>السويس!I11</f>
        <v>0</v>
      </c>
      <c r="J115" s="46">
        <f>السويس!J11</f>
        <v>19963.8</v>
      </c>
      <c r="K115" s="46">
        <f>السويس!K11</f>
        <v>90</v>
      </c>
      <c r="L115" s="46">
        <f>SUM(إجمالي.المعاشات[[#This Row],[منحة 6شهور]:[مقابل نقدي]])</f>
        <v>38363.89</v>
      </c>
      <c r="M115" s="46">
        <f>SUMIF(بيان.معاشات.السويس[الإسم],بيانات!D115:D132,بيان.معاشات.السويس[إجمالي المنصرف])</f>
        <v>12000</v>
      </c>
      <c r="N115" s="46">
        <f>إجمالي.المعاشات[[#This Row],[إجمالي المستحق]]-إجمالي.المعاشات[[#This Row],[المنصرف]]</f>
        <v>26363.89</v>
      </c>
      <c r="O115" s="46">
        <f>(إجمالي.المعاشات[[#This Row],[منحة 6شهور]]+إجمالي.المعاشات[[#This Row],[مستحقات]])-إجمالي.المعاشات[[#This Row],[المنصرف]]</f>
        <v>6400.09</v>
      </c>
      <c r="P115" s="46">
        <f>IF(إجمالي.المعاشات[[#This Row],[المتبقي من المنحة]]&lt;0,0,إجمالي.المعاشات[[#This Row],[المتبقي من المنحة]])</f>
        <v>6400.09</v>
      </c>
      <c r="Q11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19963.8</v>
      </c>
      <c r="R115" s="192">
        <f>إجمالي.المعاشات[[#This Row],[المتبقي]]</f>
        <v>26363.89</v>
      </c>
      <c r="S115" s="192" t="s">
        <v>182</v>
      </c>
    </row>
    <row r="116" spans="3:19" ht="21" x14ac:dyDescent="0.35">
      <c r="C116" s="103">
        <f>السويس!C12</f>
        <v>4</v>
      </c>
      <c r="D116" s="46" t="str">
        <f>السويس!D12</f>
        <v>فرج فهمي محمد يوسف</v>
      </c>
      <c r="E116" s="47">
        <f>السويس!E12</f>
        <v>6</v>
      </c>
      <c r="F116" s="50">
        <f>السويس!F12</f>
        <v>42871</v>
      </c>
      <c r="G116" s="50"/>
      <c r="H116" s="46">
        <f>السويس!H12</f>
        <v>0</v>
      </c>
      <c r="I116" s="46">
        <f>السويس!I12</f>
        <v>0</v>
      </c>
      <c r="J116" s="46">
        <f>السويس!J12</f>
        <v>10309.5</v>
      </c>
      <c r="K116" s="46">
        <f>السويس!K12</f>
        <v>90</v>
      </c>
      <c r="L116" s="46">
        <f>SUM(إجمالي.المعاشات[[#This Row],[منحة 6شهور]:[مقابل نقدي]])</f>
        <v>10309.5</v>
      </c>
      <c r="M116" s="46">
        <f>SUMIF(بيان.معاشات.السويس[الإسم],بيانات!D116:D133,بيان.معاشات.السويس[إجمالي المنصرف])</f>
        <v>10300</v>
      </c>
      <c r="N116" s="46">
        <f>إجمالي.المعاشات[[#This Row],[إجمالي المستحق]]-إجمالي.المعاشات[[#This Row],[المنصرف]]</f>
        <v>9.5</v>
      </c>
      <c r="O116" s="46">
        <f>(إجمالي.المعاشات[[#This Row],[منحة 6شهور]]+إجمالي.المعاشات[[#This Row],[مستحقات]])-إجمالي.المعاشات[[#This Row],[المنصرف]]</f>
        <v>-10300</v>
      </c>
      <c r="P116" s="46">
        <f>IF(إجمالي.المعاشات[[#This Row],[المتبقي من المنحة]]&lt;0,0,إجمالي.المعاشات[[#This Row],[المتبقي من المنحة]])</f>
        <v>0</v>
      </c>
      <c r="Q11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9.5</v>
      </c>
      <c r="R116" s="192">
        <f>إجمالي.المعاشات[[#This Row],[المتبقي]]</f>
        <v>9.5</v>
      </c>
      <c r="S116" s="192" t="s">
        <v>182</v>
      </c>
    </row>
    <row r="117" spans="3:19" ht="21" x14ac:dyDescent="0.35">
      <c r="C117" s="103">
        <f>السويس!C13</f>
        <v>5</v>
      </c>
      <c r="D117" s="46" t="str">
        <f>السويس!D13</f>
        <v>عبد الرازق السيدعبد الرازق</v>
      </c>
      <c r="E117" s="47">
        <f>السويس!E13</f>
        <v>7</v>
      </c>
      <c r="F117" s="50">
        <f>السويس!F13</f>
        <v>43745</v>
      </c>
      <c r="G117" s="50"/>
      <c r="H117" s="46">
        <f>السويس!H13</f>
        <v>13727.58</v>
      </c>
      <c r="I117" s="46">
        <f>السويس!I13</f>
        <v>0</v>
      </c>
      <c r="J117" s="46">
        <f>السويس!J13</f>
        <v>11291.4</v>
      </c>
      <c r="K117" s="46">
        <f>السويس!K13</f>
        <v>90</v>
      </c>
      <c r="L117" s="46">
        <f>SUM(إجمالي.المعاشات[[#This Row],[منحة 6شهور]:[مقابل نقدي]])</f>
        <v>25018.98</v>
      </c>
      <c r="M117" s="46">
        <f>SUMIF(بيان.معاشات.السويس[الإسم],بيانات!D117:D134,بيان.معاشات.السويس[إجمالي المنصرف])</f>
        <v>19000</v>
      </c>
      <c r="N117" s="46">
        <f>إجمالي.المعاشات[[#This Row],[إجمالي المستحق]]-إجمالي.المعاشات[[#This Row],[المنصرف]]</f>
        <v>6018.98</v>
      </c>
      <c r="O117" s="46">
        <f>(إجمالي.المعاشات[[#This Row],[منحة 6شهور]]+إجمالي.المعاشات[[#This Row],[مستحقات]])-إجمالي.المعاشات[[#This Row],[المنصرف]]</f>
        <v>-5272.42</v>
      </c>
      <c r="P117" s="46">
        <f>IF(إجمالي.المعاشات[[#This Row],[المتبقي من المنحة]]&lt;0,0,إجمالي.المعاشات[[#This Row],[المتبقي من المنحة]])</f>
        <v>0</v>
      </c>
      <c r="Q11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6018.98</v>
      </c>
      <c r="R117" s="192">
        <f>إجمالي.المعاشات[[#This Row],[المتبقي]]</f>
        <v>6018.98</v>
      </c>
      <c r="S117" s="192" t="s">
        <v>182</v>
      </c>
    </row>
    <row r="118" spans="3:19" ht="21" x14ac:dyDescent="0.35">
      <c r="C118" s="103">
        <f>السويس!C14</f>
        <v>6</v>
      </c>
      <c r="D118" s="46" t="str">
        <f>السويس!D14</f>
        <v>ناصر فارس محمود</v>
      </c>
      <c r="E118" s="47">
        <f>السويس!E14</f>
        <v>8</v>
      </c>
      <c r="F118" s="50">
        <f>السويس!F14</f>
        <v>44196</v>
      </c>
      <c r="G118" s="50"/>
      <c r="H118" s="46">
        <f>السويس!H14</f>
        <v>14289.95</v>
      </c>
      <c r="I118" s="46">
        <f>السويس!I14</f>
        <v>0</v>
      </c>
      <c r="J118" s="46">
        <f>السويس!J14</f>
        <v>13339.8</v>
      </c>
      <c r="K118" s="46">
        <f>السويس!K14</f>
        <v>90</v>
      </c>
      <c r="L118" s="46">
        <f>SUM(إجمالي.المعاشات[[#This Row],[منحة 6شهور]:[مقابل نقدي]])</f>
        <v>27629.75</v>
      </c>
      <c r="M118" s="46">
        <f>SUMIF(بيان.معاشات.السويس[الإسم],بيانات!D118:D135,بيان.معاشات.السويس[إجمالي المنصرف])</f>
        <v>14289.95</v>
      </c>
      <c r="N118" s="46">
        <f>إجمالي.المعاشات[[#This Row],[إجمالي المستحق]]-إجمالي.المعاشات[[#This Row],[المنصرف]]</f>
        <v>13339.8</v>
      </c>
      <c r="O118" s="46">
        <f>(إجمالي.المعاشات[[#This Row],[منحة 6شهور]]+إجمالي.المعاشات[[#This Row],[مستحقات]])-إجمالي.المعاشات[[#This Row],[المنصرف]]</f>
        <v>0</v>
      </c>
      <c r="P118" s="46">
        <f>IF(إجمالي.المعاشات[[#This Row],[المتبقي من المنحة]]&lt;0,0,إجمالي.المعاشات[[#This Row],[المتبقي من المنحة]])</f>
        <v>0</v>
      </c>
      <c r="Q11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13339.8</v>
      </c>
      <c r="R118" s="192">
        <f>إجمالي.المعاشات[[#This Row],[المتبقي]]</f>
        <v>13339.8</v>
      </c>
      <c r="S118" s="192" t="s">
        <v>182</v>
      </c>
    </row>
    <row r="119" spans="3:19" ht="21" x14ac:dyDescent="0.35">
      <c r="C119" s="103">
        <v>7</v>
      </c>
      <c r="D119" s="46" t="str">
        <f>السويس!D15</f>
        <v>حنيدق محمد محمد يوسف</v>
      </c>
      <c r="E119" s="47">
        <v>13</v>
      </c>
      <c r="F119" s="50">
        <v>44817</v>
      </c>
      <c r="G119" s="50"/>
      <c r="H119" s="46">
        <v>19883.080000000002</v>
      </c>
      <c r="I119" s="46"/>
      <c r="J119" s="46">
        <v>19506.48</v>
      </c>
      <c r="K119" s="46">
        <v>84</v>
      </c>
      <c r="L119" s="46">
        <f>SUM(إجمالي.المعاشات[[#This Row],[منحة 6شهور]:[مقابل نقدي]])</f>
        <v>39389.56</v>
      </c>
      <c r="M119" s="46">
        <f>SUMIF(بيان.معاشات.السويس[الإسم],بيانات!D119:D135,بيان.معاشات.السويس[إجمالي المنصرف])</f>
        <v>2500</v>
      </c>
      <c r="N119" s="46">
        <f>إجمالي.المعاشات[[#This Row],[إجمالي المستحق]]-إجمالي.المعاشات[[#This Row],[المنصرف]]</f>
        <v>36889.56</v>
      </c>
      <c r="O119" s="46">
        <f>(إجمالي.المعاشات[[#This Row],[منحة 6شهور]]+إجمالي.المعاشات[[#This Row],[مستحقات]])-إجمالي.المعاشات[[#This Row],[المنصرف]]</f>
        <v>17383.080000000002</v>
      </c>
      <c r="P119" s="46">
        <f>IF(إجمالي.المعاشات[[#This Row],[المتبقي من المنحة]]&lt;0,0,إجمالي.المعاشات[[#This Row],[المتبقي من المنحة]])</f>
        <v>17383.080000000002</v>
      </c>
      <c r="Q11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19506.48</v>
      </c>
      <c r="R119" s="192">
        <f>إجمالي.المعاشات[[#This Row],[المتبقي]]</f>
        <v>36889.56</v>
      </c>
      <c r="S119" s="192" t="s">
        <v>182</v>
      </c>
    </row>
    <row r="120" spans="3:19" ht="21" x14ac:dyDescent="0.35">
      <c r="C120" s="103">
        <f>السويس!C17</f>
        <v>9</v>
      </c>
      <c r="D120" s="46" t="str">
        <f>السويس!D16</f>
        <v>أحمد حسين أحمد عبد الرحمن</v>
      </c>
      <c r="E120" s="47">
        <v>14</v>
      </c>
      <c r="F120" s="50">
        <v>44907</v>
      </c>
      <c r="G120" s="50"/>
      <c r="H120" s="46">
        <v>7620.04</v>
      </c>
      <c r="I120" s="46"/>
      <c r="J120" s="46">
        <v>1703.16</v>
      </c>
      <c r="K120" s="46">
        <f>السويس!K17</f>
        <v>0</v>
      </c>
      <c r="L120" s="46">
        <f>SUM(إجمالي.المعاشات[[#This Row],[منحة 6شهور]:[مقابل نقدي]])</f>
        <v>9323.2000000000007</v>
      </c>
      <c r="M120" s="46">
        <f>SUMIF(بيان.معاشات.السويس[الإسم],بيانات!D120:D136,بيان.معاشات.السويس[إجمالي المنصرف])</f>
        <v>2500</v>
      </c>
      <c r="N120" s="46">
        <f>إجمالي.المعاشات[[#This Row],[إجمالي المستحق]]-إجمالي.المعاشات[[#This Row],[المنصرف]]</f>
        <v>6823.2000000000007</v>
      </c>
      <c r="O120" s="46">
        <f>(إجمالي.المعاشات[[#This Row],[منحة 6شهور]]+إجمالي.المعاشات[[#This Row],[مستحقات]])-إجمالي.المعاشات[[#This Row],[المنصرف]]</f>
        <v>5120.04</v>
      </c>
      <c r="P120" s="46">
        <f>IF(إجمالي.المعاشات[[#This Row],[المتبقي من المنحة]]&lt;0,0,إجمالي.المعاشات[[#This Row],[المتبقي من المنحة]])</f>
        <v>5120.04</v>
      </c>
      <c r="Q12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1703.16</v>
      </c>
      <c r="R120" s="192">
        <f>إجمالي.المعاشات[[#This Row],[المتبقي]]</f>
        <v>6823.2000000000007</v>
      </c>
      <c r="S120" s="192" t="s">
        <v>182</v>
      </c>
    </row>
    <row r="121" spans="3:19" ht="21" x14ac:dyDescent="0.35">
      <c r="C121" s="103">
        <f>السويس!C18</f>
        <v>10</v>
      </c>
      <c r="D121" s="46" t="str">
        <f>السويس!D17</f>
        <v xml:space="preserve">محمد إسماعيل </v>
      </c>
      <c r="E121" s="47">
        <f>السويس!E18</f>
        <v>0</v>
      </c>
      <c r="F121" s="50">
        <f>السويس!F18</f>
        <v>0</v>
      </c>
      <c r="G121" s="50"/>
      <c r="H121" s="46">
        <f>السويس!H18</f>
        <v>0</v>
      </c>
      <c r="I121" s="46">
        <f>السويس!I18</f>
        <v>0</v>
      </c>
      <c r="J121" s="46">
        <f>السويس!J18</f>
        <v>0</v>
      </c>
      <c r="K121" s="46">
        <f>السويس!K18</f>
        <v>0</v>
      </c>
      <c r="L121" s="46">
        <f>SUM(إجمالي.المعاشات[[#This Row],[منحة 6شهور]:[مقابل نقدي]])</f>
        <v>0</v>
      </c>
      <c r="M121" s="46">
        <f>SUMIF(بيان.معاشات.السويس[الإسم],بيانات!D121:D137,بيان.معاشات.السويس[إجمالي المنصرف])</f>
        <v>500</v>
      </c>
      <c r="N121" s="46">
        <f>إجمالي.المعاشات[[#This Row],[إجمالي المستحق]]-إجمالي.المعاشات[[#This Row],[المنصرف]]</f>
        <v>-500</v>
      </c>
      <c r="O121" s="46">
        <f>(إجمالي.المعاشات[[#This Row],[منحة 6شهور]]+إجمالي.المعاشات[[#This Row],[مستحقات]])-إجمالي.المعاشات[[#This Row],[المنصرف]]</f>
        <v>-500</v>
      </c>
      <c r="P121" s="46">
        <f>IF(إجمالي.المعاشات[[#This Row],[المتبقي من المنحة]]&lt;0,0,إجمالي.المعاشات[[#This Row],[المتبقي من المنحة]])</f>
        <v>0</v>
      </c>
      <c r="Q12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-500</v>
      </c>
      <c r="R121" s="192">
        <f>إجمالي.المعاشات[[#This Row],[المتبقي]]</f>
        <v>-500</v>
      </c>
      <c r="S121" s="192" t="s">
        <v>182</v>
      </c>
    </row>
    <row r="122" spans="3:19" ht="21" x14ac:dyDescent="0.35">
      <c r="C122" s="103">
        <f>السويس!C19</f>
        <v>11</v>
      </c>
      <c r="D122" s="46" t="str">
        <f>السويس!D18</f>
        <v>بدوي إبراهيم بدوي</v>
      </c>
      <c r="E122" s="47">
        <f>السويس!E19</f>
        <v>0</v>
      </c>
      <c r="F122" s="50">
        <f>السويس!F19</f>
        <v>0</v>
      </c>
      <c r="G122" s="50"/>
      <c r="H122" s="46">
        <f>السويس!H19</f>
        <v>0</v>
      </c>
      <c r="I122" s="46">
        <f>السويس!I19</f>
        <v>0</v>
      </c>
      <c r="J122" s="46">
        <f>السويس!J19</f>
        <v>0</v>
      </c>
      <c r="K122" s="46">
        <f>السويس!K19</f>
        <v>0</v>
      </c>
      <c r="L122" s="46">
        <f>SUM(إجمالي.المعاشات[[#This Row],[منحة 6شهور]:[مقابل نقدي]])</f>
        <v>0</v>
      </c>
      <c r="M122" s="46">
        <f>SUMIF(بيان.معاشات.السويس[الإسم],بيانات!D122:D138,بيان.معاشات.السويس[إجمالي المنصرف])</f>
        <v>500</v>
      </c>
      <c r="N122" s="46">
        <f>إجمالي.المعاشات[[#This Row],[إجمالي المستحق]]-إجمالي.المعاشات[[#This Row],[المنصرف]]</f>
        <v>-500</v>
      </c>
      <c r="O122" s="46">
        <f>(إجمالي.المعاشات[[#This Row],[منحة 6شهور]]+إجمالي.المعاشات[[#This Row],[مستحقات]])-إجمالي.المعاشات[[#This Row],[المنصرف]]</f>
        <v>-500</v>
      </c>
      <c r="P122" s="46">
        <f>IF(إجمالي.المعاشات[[#This Row],[المتبقي من المنحة]]&lt;0,0,إجمالي.المعاشات[[#This Row],[المتبقي من المنحة]])</f>
        <v>0</v>
      </c>
      <c r="Q12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-500</v>
      </c>
      <c r="R122" s="192">
        <f>إجمالي.المعاشات[[#This Row],[المتبقي]]</f>
        <v>-500</v>
      </c>
      <c r="S122" s="192" t="s">
        <v>182</v>
      </c>
    </row>
    <row r="123" spans="3:19" ht="21" x14ac:dyDescent="0.35">
      <c r="C123" s="103">
        <f>السويس!C20</f>
        <v>12</v>
      </c>
      <c r="D123" s="46" t="str">
        <f>السويس!D19</f>
        <v>رشاد عثمان أحمد</v>
      </c>
      <c r="E123" s="47">
        <f>السويس!E20</f>
        <v>0</v>
      </c>
      <c r="F123" s="50">
        <f>السويس!F20</f>
        <v>0</v>
      </c>
      <c r="G123" s="50"/>
      <c r="H123" s="46">
        <f>السويس!H20</f>
        <v>0</v>
      </c>
      <c r="I123" s="46">
        <f>السويس!I20</f>
        <v>0</v>
      </c>
      <c r="J123" s="46">
        <f>السويس!J20</f>
        <v>0</v>
      </c>
      <c r="K123" s="46">
        <f>السويس!K20</f>
        <v>0</v>
      </c>
      <c r="L123" s="46">
        <f>SUM(إجمالي.المعاشات[[#This Row],[منحة 6شهور]:[مقابل نقدي]])</f>
        <v>0</v>
      </c>
      <c r="M123" s="46">
        <f>SUMIF(بيان.معاشات.السويس[الإسم],بيانات!D123:D139,بيان.معاشات.السويس[إجمالي المنصرف])</f>
        <v>500</v>
      </c>
      <c r="N123" s="46">
        <f>إجمالي.المعاشات[[#This Row],[إجمالي المستحق]]-إجمالي.المعاشات[[#This Row],[المنصرف]]</f>
        <v>-500</v>
      </c>
      <c r="O123" s="46">
        <f>(إجمالي.المعاشات[[#This Row],[منحة 6شهور]]+إجمالي.المعاشات[[#This Row],[مستحقات]])-إجمالي.المعاشات[[#This Row],[المنصرف]]</f>
        <v>-500</v>
      </c>
      <c r="P123" s="46">
        <f>IF(إجمالي.المعاشات[[#This Row],[المتبقي من المنحة]]&lt;0,0,إجمالي.المعاشات[[#This Row],[المتبقي من المنحة]])</f>
        <v>0</v>
      </c>
      <c r="Q12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-500</v>
      </c>
      <c r="R123" s="192">
        <f>إجمالي.المعاشات[[#This Row],[المتبقي]]</f>
        <v>-500</v>
      </c>
      <c r="S123" s="192" t="s">
        <v>182</v>
      </c>
    </row>
    <row r="124" spans="3:19" ht="21" x14ac:dyDescent="0.35">
      <c r="C124" s="103">
        <f>السويس!C21</f>
        <v>13</v>
      </c>
      <c r="D124" s="46">
        <f>السويس!D20</f>
        <v>0</v>
      </c>
      <c r="E124" s="47">
        <f>السويس!E21</f>
        <v>0</v>
      </c>
      <c r="F124" s="50">
        <f>السويس!F21</f>
        <v>0</v>
      </c>
      <c r="G124" s="50"/>
      <c r="H124" s="46">
        <f>السويس!H21</f>
        <v>0</v>
      </c>
      <c r="I124" s="46">
        <f>السويس!I21</f>
        <v>0</v>
      </c>
      <c r="J124" s="46">
        <f>السويس!J21</f>
        <v>0</v>
      </c>
      <c r="K124" s="46">
        <f>السويس!K21</f>
        <v>0</v>
      </c>
      <c r="L124" s="46">
        <f>SUM(إجمالي.المعاشات[[#This Row],[منحة 6شهور]:[مقابل نقدي]])</f>
        <v>0</v>
      </c>
      <c r="M124" s="46">
        <f>SUMIF(بيان.معاشات.السويس[الإسم],بيانات!D124:D140,بيان.معاشات.السويس[إجمالي المنصرف])</f>
        <v>0</v>
      </c>
      <c r="N124" s="46">
        <f>إجمالي.المعاشات[[#This Row],[إجمالي المستحق]]-إجمالي.المعاشات[[#This Row],[المنصرف]]</f>
        <v>0</v>
      </c>
      <c r="O124" s="46">
        <f>(إجمالي.المعاشات[[#This Row],[منحة 6شهور]]+إجمالي.المعاشات[[#This Row],[مستحقات]])-إجمالي.المعاشات[[#This Row],[المنصرف]]</f>
        <v>0</v>
      </c>
      <c r="P124" s="46">
        <f>IF(إجمالي.المعاشات[[#This Row],[المتبقي من المنحة]]&lt;0,0,إجمالي.المعاشات[[#This Row],[المتبقي من المنحة]])</f>
        <v>0</v>
      </c>
      <c r="Q12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24" s="192">
        <f>إجمالي.المعاشات[[#This Row],[المتبقي]]</f>
        <v>0</v>
      </c>
      <c r="S124" s="192" t="s">
        <v>182</v>
      </c>
    </row>
    <row r="125" spans="3:19" ht="21" x14ac:dyDescent="0.35">
      <c r="C125" s="103">
        <f>السويس!C22</f>
        <v>0</v>
      </c>
      <c r="D125" s="46">
        <f>السويس!D21</f>
        <v>0</v>
      </c>
      <c r="E125" s="47">
        <f>السويس!E22</f>
        <v>0</v>
      </c>
      <c r="F125" s="50">
        <f>السويس!F22</f>
        <v>0</v>
      </c>
      <c r="G125" s="50"/>
      <c r="H125" s="46">
        <f>السويس!H22</f>
        <v>0</v>
      </c>
      <c r="I125" s="46">
        <f>السويس!I22</f>
        <v>0</v>
      </c>
      <c r="J125" s="46">
        <f>السويس!J22</f>
        <v>0</v>
      </c>
      <c r="K125" s="46">
        <f>السويس!K22</f>
        <v>0</v>
      </c>
      <c r="L125" s="46">
        <f>SUM(إجمالي.المعاشات[[#This Row],[منحة 6شهور]:[مقابل نقدي]])</f>
        <v>0</v>
      </c>
      <c r="M125" s="46">
        <f>SUMIF(بيان.معاشات.السويس[الإسم],بيانات!D125:D141,بيان.معاشات.السويس[إجمالي المنصرف])</f>
        <v>0</v>
      </c>
      <c r="N125" s="46">
        <f>إجمالي.المعاشات[[#This Row],[إجمالي المستحق]]-إجمالي.المعاشات[[#This Row],[المنصرف]]</f>
        <v>0</v>
      </c>
      <c r="O125" s="46">
        <f>(إجمالي.المعاشات[[#This Row],[منحة 6شهور]]+إجمالي.المعاشات[[#This Row],[مستحقات]])-إجمالي.المعاشات[[#This Row],[المنصرف]]</f>
        <v>0</v>
      </c>
      <c r="P125" s="46">
        <f>IF(إجمالي.المعاشات[[#This Row],[المتبقي من المنحة]]&lt;0,0,إجمالي.المعاشات[[#This Row],[المتبقي من المنحة]])</f>
        <v>0</v>
      </c>
      <c r="Q12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25" s="192">
        <f>إجمالي.المعاشات[[#This Row],[المتبقي]]</f>
        <v>0</v>
      </c>
      <c r="S125" s="192" t="s">
        <v>182</v>
      </c>
    </row>
    <row r="126" spans="3:19" ht="21" x14ac:dyDescent="0.35">
      <c r="C126" s="103"/>
      <c r="D126" s="46" t="str">
        <f>السويس!D22</f>
        <v>الورثة وحالات الوفاة :</v>
      </c>
      <c r="E126" s="47"/>
      <c r="F126" s="50"/>
      <c r="G126" s="50"/>
      <c r="H126" s="46"/>
      <c r="I126" s="46"/>
      <c r="J126" s="46"/>
      <c r="K126" s="46"/>
      <c r="L126" s="46"/>
      <c r="M126" s="46"/>
      <c r="N126" s="46"/>
      <c r="O126" s="46"/>
      <c r="P126" s="46"/>
      <c r="Q126" s="192"/>
      <c r="R126" s="192"/>
      <c r="S126" s="192" t="s">
        <v>182</v>
      </c>
    </row>
    <row r="127" spans="3:19" ht="21" x14ac:dyDescent="0.35">
      <c r="C127" s="103">
        <v>1</v>
      </c>
      <c r="D127" s="46" t="str">
        <f>السويس!D23</f>
        <v>دسوقي سعد حسن</v>
      </c>
      <c r="E127" s="47">
        <f>السويس!E23</f>
        <v>1</v>
      </c>
      <c r="F127" s="50">
        <f>السويس!F24</f>
        <v>43788</v>
      </c>
      <c r="G127" s="50">
        <f>السويس!G24</f>
        <v>43808</v>
      </c>
      <c r="H127" s="239">
        <f>السويس!H23</f>
        <v>17495.16</v>
      </c>
      <c r="I127" s="239">
        <f>السويس!I23</f>
        <v>656.23</v>
      </c>
      <c r="J127" s="239">
        <f>السويس!J23</f>
        <v>11670.3</v>
      </c>
      <c r="K127" s="239">
        <f>السويس!K23</f>
        <v>90</v>
      </c>
      <c r="L127" s="46">
        <f>SUM(إجمالي.المعاشات[[#This Row],[منحة 6شهور]:[مقابل نقدي]])</f>
        <v>29821.69</v>
      </c>
      <c r="M127" s="46">
        <f>SUMIF(بيان.معاشات.السويس[الإسم],بيانات!D127:D143,بيان.معاشات.السويس[إجمالي المنصرف])</f>
        <v>20953</v>
      </c>
      <c r="N127" s="46">
        <f>إجمالي.المعاشات[[#This Row],[إجمالي المستحق]]-إجمالي.المعاشات[[#This Row],[المنصرف]]</f>
        <v>8868.6899999999987</v>
      </c>
      <c r="O127" s="46">
        <f>(إجمالي.المعاشات[[#This Row],[منحة 6شهور]]+إجمالي.المعاشات[[#This Row],[مستحقات]])-إجمالي.المعاشات[[#This Row],[المنصرف]]</f>
        <v>-2801.6100000000006</v>
      </c>
      <c r="P127" s="46">
        <f>IF(إجمالي.المعاشات[[#This Row],[المتبقي من المنحة]]&lt;0,0,إجمالي.المعاشات[[#This Row],[المتبقي من المنحة]])</f>
        <v>0</v>
      </c>
      <c r="Q12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8868.6899999999987</v>
      </c>
      <c r="R127" s="192">
        <f>إجمالي.المعاشات[[#This Row],[المتبقي]]</f>
        <v>8868.6899999999987</v>
      </c>
      <c r="S127" s="192" t="s">
        <v>182</v>
      </c>
    </row>
    <row r="128" spans="3:19" ht="21" x14ac:dyDescent="0.35">
      <c r="C128" s="103">
        <v>2</v>
      </c>
      <c r="D128" s="46" t="str">
        <f>السويس!D24</f>
        <v>السيد عبد السميع</v>
      </c>
      <c r="E128" s="239">
        <f>السويس!E24</f>
        <v>11</v>
      </c>
      <c r="F128" s="50">
        <f>السويس!F24</f>
        <v>43788</v>
      </c>
      <c r="G128" s="50">
        <f>السويس!G24</f>
        <v>43808</v>
      </c>
      <c r="H128" s="262">
        <f>السويس!H24</f>
        <v>14349.6</v>
      </c>
      <c r="I128" s="262">
        <f>السويس!I24</f>
        <v>0</v>
      </c>
      <c r="J128" s="262">
        <f>السويس!J24</f>
        <v>11762.1</v>
      </c>
      <c r="K128" s="262"/>
      <c r="L128" s="46">
        <f>SUM(إجمالي.المعاشات[[#This Row],[منحة 6شهور]:[مقابل نقدي]])</f>
        <v>26111.7</v>
      </c>
      <c r="M128" s="46">
        <f>SUMIF(بيان.معاشات.السويس[الإسم],بيانات!D128:D144,بيان.معاشات.السويس[إجمالي المنصرف])</f>
        <v>1000</v>
      </c>
      <c r="N128" s="46">
        <f>إجمالي.المعاشات[[#This Row],[إجمالي المستحق]]-إجمالي.المعاشات[[#This Row],[المنصرف]]</f>
        <v>25111.7</v>
      </c>
      <c r="O128" s="46">
        <f>(إجمالي.المعاشات[[#This Row],[منحة 6شهور]]+إجمالي.المعاشات[[#This Row],[مستحقات]])-إجمالي.المعاشات[[#This Row],[المنصرف]]</f>
        <v>13349.6</v>
      </c>
      <c r="P128" s="46">
        <f>IF(إجمالي.المعاشات[[#This Row],[المتبقي من المنحة]]&lt;0,0,إجمالي.المعاشات[[#This Row],[المتبقي من المنحة]])</f>
        <v>13349.6</v>
      </c>
      <c r="Q12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11762.1</v>
      </c>
      <c r="R128" s="192">
        <f>إجمالي.المعاشات[[#This Row],[المتبقي]]</f>
        <v>25111.7</v>
      </c>
      <c r="S128" s="192" t="s">
        <v>182</v>
      </c>
    </row>
    <row r="129" spans="3:19" ht="21" x14ac:dyDescent="0.35">
      <c r="C129" s="103">
        <v>3</v>
      </c>
      <c r="D129" s="46" t="str">
        <f>السويس!D25</f>
        <v>السيد عطا يوسف</v>
      </c>
      <c r="E129" s="239">
        <f>السويس!E25</f>
        <v>12</v>
      </c>
      <c r="F129" s="50">
        <f>السويس!F25</f>
        <v>44561</v>
      </c>
      <c r="G129" s="50">
        <f>السويس!G25</f>
        <v>44561</v>
      </c>
      <c r="H129" s="239">
        <f>السويس!H25</f>
        <v>14965.76</v>
      </c>
      <c r="I129" s="239">
        <f>السويس!I25</f>
        <v>19144.95</v>
      </c>
      <c r="J129" s="239">
        <f>السويس!J25</f>
        <v>14265</v>
      </c>
      <c r="K129" s="239">
        <f>السويس!K25</f>
        <v>90</v>
      </c>
      <c r="L129" s="46">
        <f>SUM(إجمالي.المعاشات[[#This Row],[منحة 6شهور]:[مقابل نقدي]])</f>
        <v>48375.71</v>
      </c>
      <c r="M129" s="46">
        <f>SUMIF(بيان.معاشات.السويس[الإسم],بيانات!D129:D145,بيان.معاشات.السويس[إجمالي المنصرف])</f>
        <v>11500</v>
      </c>
      <c r="N129" s="46">
        <f>إجمالي.المعاشات[[#This Row],[إجمالي المستحق]]-إجمالي.المعاشات[[#This Row],[المنصرف]]</f>
        <v>36875.71</v>
      </c>
      <c r="O129" s="46">
        <f>(إجمالي.المعاشات[[#This Row],[منحة 6شهور]]+إجمالي.المعاشات[[#This Row],[مستحقات]])-إجمالي.المعاشات[[#This Row],[المنصرف]]</f>
        <v>22610.71</v>
      </c>
      <c r="P129" s="46">
        <f>IF(إجمالي.المعاشات[[#This Row],[المتبقي من المنحة]]&lt;0,0,إجمالي.المعاشات[[#This Row],[المتبقي من المنحة]])</f>
        <v>22610.71</v>
      </c>
      <c r="Q12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14265</v>
      </c>
      <c r="R129" s="192">
        <f>إجمالي.المعاشات[[#This Row],[المتبقي]]</f>
        <v>36875.71</v>
      </c>
      <c r="S129" s="192" t="s">
        <v>182</v>
      </c>
    </row>
    <row r="130" spans="3:19" ht="21" x14ac:dyDescent="0.35">
      <c r="C130" s="103">
        <f>السويس!C27</f>
        <v>0</v>
      </c>
      <c r="D130" s="46">
        <f>السويس!D26</f>
        <v>0</v>
      </c>
      <c r="E130" s="47">
        <f>السويس!E27</f>
        <v>0</v>
      </c>
      <c r="F130" s="50">
        <f>السويس!F27</f>
        <v>0</v>
      </c>
      <c r="G130" s="50"/>
      <c r="H130" s="46">
        <f>السويس!H27</f>
        <v>0</v>
      </c>
      <c r="I130" s="46">
        <f>السويس!I27</f>
        <v>0</v>
      </c>
      <c r="J130" s="46">
        <f>السويس!J27</f>
        <v>0</v>
      </c>
      <c r="K130" s="46">
        <f>السويس!K27</f>
        <v>0</v>
      </c>
      <c r="L130" s="46">
        <f>SUM(إجمالي.المعاشات[[#This Row],[منحة 6شهور]:[مقابل نقدي]])</f>
        <v>0</v>
      </c>
      <c r="M130" s="46">
        <f>SUMIF(بيان.معاشات.السويس[الإسم],بيانات!D130:D146,بيان.معاشات.السويس[إجمالي المنصرف])</f>
        <v>0</v>
      </c>
      <c r="N130" s="46">
        <f>إجمالي.المعاشات[[#This Row],[إجمالي المستحق]]-إجمالي.المعاشات[[#This Row],[المنصرف]]</f>
        <v>0</v>
      </c>
      <c r="O130" s="46">
        <f>(إجمالي.المعاشات[[#This Row],[منحة 6شهور]]+إجمالي.المعاشات[[#This Row],[مستحقات]])-إجمالي.المعاشات[[#This Row],[المنصرف]]</f>
        <v>0</v>
      </c>
      <c r="P130" s="46">
        <f>IF(إجمالي.المعاشات[[#This Row],[المتبقي من المنحة]]&lt;0,0,إجمالي.المعاشات[[#This Row],[المتبقي من المنحة]])</f>
        <v>0</v>
      </c>
      <c r="Q13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30" s="192">
        <f>إجمالي.المعاشات[[#This Row],[المتبقي]]</f>
        <v>0</v>
      </c>
      <c r="S130" s="192" t="s">
        <v>182</v>
      </c>
    </row>
    <row r="131" spans="3:19" ht="21" x14ac:dyDescent="0.35">
      <c r="C131" s="103"/>
      <c r="D131" s="46"/>
      <c r="E131" s="47"/>
      <c r="F131" s="50"/>
      <c r="G131" s="50"/>
      <c r="H131" s="46"/>
      <c r="I131" s="46"/>
      <c r="J131" s="46"/>
      <c r="K131" s="46"/>
      <c r="L131" s="46">
        <f>SUM(إجمالي.المعاشات[[#This Row],[منحة 6شهور]:[مقابل نقدي]])</f>
        <v>0</v>
      </c>
      <c r="M131" s="46"/>
      <c r="N131" s="46">
        <f>إجمالي.المعاشات[[#This Row],[إجمالي المستحق]]-إجمالي.المعاشات[[#This Row],[المنصرف]]</f>
        <v>0</v>
      </c>
      <c r="O131" s="46">
        <f>(إجمالي.المعاشات[[#This Row],[منحة 6شهور]]+إجمالي.المعاشات[[#This Row],[مستحقات]])-إجمالي.المعاشات[[#This Row],[المنصرف]]</f>
        <v>0</v>
      </c>
      <c r="P131" s="46">
        <f>IF(إجمالي.المعاشات[[#This Row],[المتبقي من المنحة]]&lt;0,0,إجمالي.المعاشات[[#This Row],[المتبقي من المنحة]])</f>
        <v>0</v>
      </c>
      <c r="Q13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31" s="192">
        <f>إجمالي.المعاشات[[#This Row],[المتبقي]]</f>
        <v>0</v>
      </c>
      <c r="S131" s="192"/>
    </row>
    <row r="132" spans="3:19" ht="21" x14ac:dyDescent="0.35">
      <c r="C132" s="103">
        <f>الاإسكندرية!C8</f>
        <v>1</v>
      </c>
      <c r="D132" s="46" t="str">
        <f>الاإسكندرية!D8</f>
        <v>عبد الحي كمال محمد</v>
      </c>
      <c r="E132" s="47">
        <f>الاإسكندرية!E8</f>
        <v>1</v>
      </c>
      <c r="F132" s="50">
        <f>الاإسكندرية!F8</f>
        <v>44275</v>
      </c>
      <c r="G132" s="50"/>
      <c r="H132" s="46">
        <f>الاإسكندرية!H8</f>
        <v>11379.82</v>
      </c>
      <c r="I132" s="46">
        <f>الاإسكندرية!I8</f>
        <v>0</v>
      </c>
      <c r="J132" s="46">
        <f>الاإسكندرية!J8</f>
        <v>9174.98</v>
      </c>
      <c r="K132" s="46">
        <f>الاإسكندرية!K8</f>
        <v>67</v>
      </c>
      <c r="L132" s="46">
        <f>SUM(إجمالي.المعاشات[[#This Row],[منحة 6شهور]:[مقابل نقدي]])</f>
        <v>20554.8</v>
      </c>
      <c r="M132" s="46">
        <f>SUMIF(بيان.معاشات.اسكندرية[الإسم],بيانات!D132:D155,بيان.معاشات.اسكندرية[إجمالي المنصرف])</f>
        <v>10500</v>
      </c>
      <c r="N132" s="46">
        <f>إجمالي.المعاشات[[#This Row],[إجمالي المستحق]]-إجمالي.المعاشات[[#This Row],[المنصرف]]</f>
        <v>10054.799999999999</v>
      </c>
      <c r="O132" s="46">
        <f>(إجمالي.المعاشات[[#This Row],[منحة 6شهور]]+إجمالي.المعاشات[[#This Row],[مستحقات]])-إجمالي.المعاشات[[#This Row],[المنصرف]]</f>
        <v>879.81999999999971</v>
      </c>
      <c r="P132" s="46">
        <f>IF(إجمالي.المعاشات[[#This Row],[المتبقي من المنحة]]&lt;0,0,إجمالي.المعاشات[[#This Row],[المتبقي من المنحة]])</f>
        <v>879.81999999999971</v>
      </c>
      <c r="Q13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9174.98</v>
      </c>
      <c r="R132" s="192">
        <f>إجمالي.المعاشات[[#This Row],[المتبقي]]</f>
        <v>10054.799999999999</v>
      </c>
      <c r="S132" s="192" t="s">
        <v>405</v>
      </c>
    </row>
    <row r="133" spans="3:19" ht="21" x14ac:dyDescent="0.35">
      <c r="C133" s="103">
        <f>الاإسكندرية!C9</f>
        <v>2</v>
      </c>
      <c r="D133" s="46" t="str">
        <f>الاإسكندرية!D9</f>
        <v>أيات محمد علي زهران</v>
      </c>
      <c r="E133" s="47">
        <f>الاإسكندرية!E9</f>
        <v>4</v>
      </c>
      <c r="F133" s="50">
        <f>الاإسكندرية!F9</f>
        <v>43012</v>
      </c>
      <c r="G133" s="50"/>
      <c r="H133" s="46">
        <f>الاإسكندرية!H9</f>
        <v>20043.419999999998</v>
      </c>
      <c r="I133" s="46">
        <f>الاإسكندرية!I9</f>
        <v>0</v>
      </c>
      <c r="J133" s="46">
        <f>الاإسكندرية!J9</f>
        <v>10867.5</v>
      </c>
      <c r="K133" s="46">
        <f>الاإسكندرية!K9</f>
        <v>90</v>
      </c>
      <c r="L133" s="46">
        <f>SUM(إجمالي.المعاشات[[#This Row],[منحة 6شهور]:[مقابل نقدي]])</f>
        <v>30910.92</v>
      </c>
      <c r="M133" s="46">
        <f>SUMIF(بيان.معاشات.اسكندرية[الإسم],بيانات!D133:D156,بيان.معاشات.اسكندرية[إجمالي المنصرف])</f>
        <v>26000</v>
      </c>
      <c r="N133" s="46">
        <f>إجمالي.المعاشات[[#This Row],[إجمالي المستحق]]-إجمالي.المعاشات[[#This Row],[المنصرف]]</f>
        <v>4910.9199999999983</v>
      </c>
      <c r="O133" s="46">
        <f>(إجمالي.المعاشات[[#This Row],[منحة 6شهور]]+إجمالي.المعاشات[[#This Row],[مستحقات]])-إجمالي.المعاشات[[#This Row],[المنصرف]]</f>
        <v>-5956.5800000000017</v>
      </c>
      <c r="P133" s="46">
        <f>IF(إجمالي.المعاشات[[#This Row],[المتبقي من المنحة]]&lt;0,0,إجمالي.المعاشات[[#This Row],[المتبقي من المنحة]])</f>
        <v>0</v>
      </c>
      <c r="Q13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4910.9199999999983</v>
      </c>
      <c r="R133" s="192">
        <f>إجمالي.المعاشات[[#This Row],[المتبقي]]</f>
        <v>4910.9199999999983</v>
      </c>
      <c r="S133" s="192" t="s">
        <v>405</v>
      </c>
    </row>
    <row r="134" spans="3:19" ht="21" x14ac:dyDescent="0.35">
      <c r="C134" s="103">
        <f>الاإسكندرية!C10</f>
        <v>3</v>
      </c>
      <c r="D134" s="46" t="str">
        <f>الاإسكندرية!D10</f>
        <v>محمد عبد المقصود عبد الدايم</v>
      </c>
      <c r="E134" s="47">
        <f>الاإسكندرية!E10</f>
        <v>5</v>
      </c>
      <c r="F134" s="50">
        <f>الاإسكندرية!F10</f>
        <v>43643</v>
      </c>
      <c r="G134" s="50"/>
      <c r="H134" s="46">
        <f>الاإسكندرية!H10</f>
        <v>17472.96</v>
      </c>
      <c r="I134" s="46">
        <f>الاإسكندرية!I10</f>
        <v>0</v>
      </c>
      <c r="J134" s="46">
        <f>الاإسكندرية!J10</f>
        <v>8216.1</v>
      </c>
      <c r="K134" s="46">
        <f>الاإسكندرية!K10</f>
        <v>90</v>
      </c>
      <c r="L134" s="46">
        <f>SUM(إجمالي.المعاشات[[#This Row],[منحة 6شهور]:[مقابل نقدي]])</f>
        <v>25689.059999999998</v>
      </c>
      <c r="M134" s="46">
        <f>SUMIF(بيان.معاشات.اسكندرية[الإسم],بيانات!D134:D157,بيان.معاشات.اسكندرية[إجمالي المنصرف])</f>
        <v>18500</v>
      </c>
      <c r="N134" s="46">
        <f>إجمالي.المعاشات[[#This Row],[إجمالي المستحق]]-إجمالي.المعاشات[[#This Row],[المنصرف]]</f>
        <v>7189.0599999999977</v>
      </c>
      <c r="O134" s="46">
        <f>(إجمالي.المعاشات[[#This Row],[منحة 6شهور]]+إجمالي.المعاشات[[#This Row],[مستحقات]])-إجمالي.المعاشات[[#This Row],[المنصرف]]</f>
        <v>-1027.0400000000009</v>
      </c>
      <c r="P134" s="46">
        <f>IF(إجمالي.المعاشات[[#This Row],[المتبقي من المنحة]]&lt;0,0,إجمالي.المعاشات[[#This Row],[المتبقي من المنحة]])</f>
        <v>0</v>
      </c>
      <c r="Q13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7189.0599999999977</v>
      </c>
      <c r="R134" s="192">
        <f>إجمالي.المعاشات[[#This Row],[المتبقي]]</f>
        <v>7189.0599999999977</v>
      </c>
      <c r="S134" s="192" t="s">
        <v>405</v>
      </c>
    </row>
    <row r="135" spans="3:19" ht="21" x14ac:dyDescent="0.35">
      <c r="C135" s="103">
        <f>الاإسكندرية!C11</f>
        <v>4</v>
      </c>
      <c r="D135" s="46" t="str">
        <f>الاإسكندرية!D11</f>
        <v>فوزي ابراهيم حامد</v>
      </c>
      <c r="E135" s="47">
        <f>الاإسكندرية!E11</f>
        <v>6</v>
      </c>
      <c r="F135" s="50">
        <f>الاإسكندرية!F11</f>
        <v>43687</v>
      </c>
      <c r="G135" s="50"/>
      <c r="H135" s="46">
        <f>الاإسكندرية!H11</f>
        <v>11311.3</v>
      </c>
      <c r="I135" s="46">
        <f>الاإسكندرية!I11</f>
        <v>0</v>
      </c>
      <c r="J135" s="46">
        <f>الاإسكندرية!J11</f>
        <v>6606</v>
      </c>
      <c r="K135" s="46">
        <f>الاإسكندرية!K11</f>
        <v>90</v>
      </c>
      <c r="L135" s="46">
        <f>SUM(إجمالي.المعاشات[[#This Row],[منحة 6شهور]:[مقابل نقدي]])</f>
        <v>17917.3</v>
      </c>
      <c r="M135" s="46">
        <f>SUMIF(بيان.معاشات.اسكندرية[الإسم],بيانات!D135:D158,بيان.معاشات.اسكندرية[إجمالي المنصرف])</f>
        <v>16311.3</v>
      </c>
      <c r="N135" s="46">
        <f>إجمالي.المعاشات[[#This Row],[إجمالي المستحق]]-إجمالي.المعاشات[[#This Row],[المنصرف]]</f>
        <v>1606</v>
      </c>
      <c r="O135" s="46">
        <f>(إجمالي.المعاشات[[#This Row],[منحة 6شهور]]+إجمالي.المعاشات[[#This Row],[مستحقات]])-إجمالي.المعاشات[[#This Row],[المنصرف]]</f>
        <v>-5000</v>
      </c>
      <c r="P135" s="46">
        <f>IF(إجمالي.المعاشات[[#This Row],[المتبقي من المنحة]]&lt;0,0,إجمالي.المعاشات[[#This Row],[المتبقي من المنحة]])</f>
        <v>0</v>
      </c>
      <c r="Q13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1606</v>
      </c>
      <c r="R135" s="192">
        <f>إجمالي.المعاشات[[#This Row],[المتبقي]]</f>
        <v>1606</v>
      </c>
      <c r="S135" s="192" t="s">
        <v>405</v>
      </c>
    </row>
    <row r="136" spans="3:19" ht="21" x14ac:dyDescent="0.35">
      <c r="C136" s="103">
        <f>الاإسكندرية!C12</f>
        <v>5</v>
      </c>
      <c r="D136" s="46" t="str">
        <f>الاإسكندرية!D12</f>
        <v>مصطفى علي مصطفى</v>
      </c>
      <c r="E136" s="47">
        <f>الاإسكندرية!E12</f>
        <v>7</v>
      </c>
      <c r="F136" s="50">
        <f>الاإسكندرية!F12</f>
        <v>44104</v>
      </c>
      <c r="G136" s="50"/>
      <c r="H136" s="46">
        <f>الاإسكندرية!H12</f>
        <v>21166.5</v>
      </c>
      <c r="I136" s="46">
        <f>الاإسكندرية!I12</f>
        <v>0</v>
      </c>
      <c r="J136" s="46">
        <f>الاإسكندرية!J12</f>
        <v>12429.9</v>
      </c>
      <c r="K136" s="46">
        <f>الاإسكندرية!K12</f>
        <v>90</v>
      </c>
      <c r="L136" s="46">
        <f>SUM(إجمالي.المعاشات[[#This Row],[منحة 6شهور]:[مقابل نقدي]])</f>
        <v>33596.400000000001</v>
      </c>
      <c r="M136" s="46">
        <f>SUMIF(بيان.معاشات.اسكندرية[الإسم],بيانات!D136:D159,بيان.معاشات.اسكندرية[إجمالي المنصرف])</f>
        <v>8500</v>
      </c>
      <c r="N136" s="46">
        <f>إجمالي.المعاشات[[#This Row],[إجمالي المستحق]]-إجمالي.المعاشات[[#This Row],[المنصرف]]</f>
        <v>25096.400000000001</v>
      </c>
      <c r="O136" s="46">
        <f>(إجمالي.المعاشات[[#This Row],[منحة 6شهور]]+إجمالي.المعاشات[[#This Row],[مستحقات]])-إجمالي.المعاشات[[#This Row],[المنصرف]]</f>
        <v>12666.5</v>
      </c>
      <c r="P136" s="46">
        <f>IF(إجمالي.المعاشات[[#This Row],[المتبقي من المنحة]]&lt;0,0,إجمالي.المعاشات[[#This Row],[المتبقي من المنحة]])</f>
        <v>12666.5</v>
      </c>
      <c r="Q13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12429.9</v>
      </c>
      <c r="R136" s="192">
        <f>إجمالي.المعاشات[[#This Row],[المتبقي]]</f>
        <v>25096.400000000001</v>
      </c>
      <c r="S136" s="192" t="s">
        <v>405</v>
      </c>
    </row>
    <row r="137" spans="3:19" ht="21" x14ac:dyDescent="0.35">
      <c r="C137" s="103">
        <f>الاإسكندرية!C13</f>
        <v>6</v>
      </c>
      <c r="D137" s="46" t="str">
        <f>الاإسكندرية!D13</f>
        <v>أحمد محمد بدوي</v>
      </c>
      <c r="E137" s="47">
        <f>الاإسكندرية!E13</f>
        <v>8</v>
      </c>
      <c r="F137" s="50">
        <f>الاإسكندرية!F13</f>
        <v>44185</v>
      </c>
      <c r="G137" s="50"/>
      <c r="H137" s="46">
        <f>الاإسكندرية!H13</f>
        <v>20046.5</v>
      </c>
      <c r="I137" s="46">
        <f>الاإسكندرية!I13</f>
        <v>0</v>
      </c>
      <c r="J137" s="46">
        <f>الاإسكندرية!J13</f>
        <v>18697.5</v>
      </c>
      <c r="K137" s="46">
        <f>الاإسكندرية!K13</f>
        <v>90</v>
      </c>
      <c r="L137" s="46">
        <f>SUM(إجمالي.المعاشات[[#This Row],[منحة 6شهور]:[مقابل نقدي]])</f>
        <v>38744</v>
      </c>
      <c r="M137" s="46">
        <f>SUMIF(بيان.معاشات.اسكندرية[الإسم],بيانات!D137:D160,بيان.معاشات.اسكندرية[إجمالي المنصرف])</f>
        <v>8500</v>
      </c>
      <c r="N137" s="46">
        <f>إجمالي.المعاشات[[#This Row],[إجمالي المستحق]]-إجمالي.المعاشات[[#This Row],[المنصرف]]</f>
        <v>30244</v>
      </c>
      <c r="O137" s="46">
        <f>(إجمالي.المعاشات[[#This Row],[منحة 6شهور]]+إجمالي.المعاشات[[#This Row],[مستحقات]])-إجمالي.المعاشات[[#This Row],[المنصرف]]</f>
        <v>11546.5</v>
      </c>
      <c r="P137" s="46">
        <f>IF(إجمالي.المعاشات[[#This Row],[المتبقي من المنحة]]&lt;0,0,إجمالي.المعاشات[[#This Row],[المتبقي من المنحة]])</f>
        <v>11546.5</v>
      </c>
      <c r="Q13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18697.5</v>
      </c>
      <c r="R137" s="192">
        <f>إجمالي.المعاشات[[#This Row],[المتبقي]]</f>
        <v>30244</v>
      </c>
      <c r="S137" s="192" t="s">
        <v>405</v>
      </c>
    </row>
    <row r="138" spans="3:19" ht="21" x14ac:dyDescent="0.35">
      <c r="C138" s="103">
        <f>الاإسكندرية!C14</f>
        <v>7</v>
      </c>
      <c r="D138" s="46" t="str">
        <f>الاإسكندرية!D14</f>
        <v>مبروك السيد مبروك</v>
      </c>
      <c r="E138" s="47">
        <f>الاإسكندرية!E14</f>
        <v>9</v>
      </c>
      <c r="F138" s="50">
        <f>الاإسكندرية!F14</f>
        <v>43885</v>
      </c>
      <c r="G138" s="50"/>
      <c r="H138" s="46">
        <f>الاإسكندرية!H14</f>
        <v>14646.42</v>
      </c>
      <c r="I138" s="46">
        <f>الاإسكندرية!I14</f>
        <v>0</v>
      </c>
      <c r="J138" s="46">
        <f>الاإسكندرية!J14</f>
        <v>11936.13</v>
      </c>
      <c r="K138" s="46">
        <f>الاإسكندرية!K14</f>
        <v>79.5</v>
      </c>
      <c r="L138" s="46">
        <f>SUM(إجمالي.المعاشات[[#This Row],[منحة 6شهور]:[مقابل نقدي]])</f>
        <v>26582.55</v>
      </c>
      <c r="M138" s="46">
        <f>SUMIF(بيان.معاشات.اسكندرية[الإسم],بيانات!D138:D161,بيان.معاشات.اسكندرية[إجمالي المنصرف])</f>
        <v>14000</v>
      </c>
      <c r="N138" s="46">
        <f>إجمالي.المعاشات[[#This Row],[إجمالي المستحق]]-إجمالي.المعاشات[[#This Row],[المنصرف]]</f>
        <v>12582.55</v>
      </c>
      <c r="O138" s="46">
        <f>(إجمالي.المعاشات[[#This Row],[منحة 6شهور]]+إجمالي.المعاشات[[#This Row],[مستحقات]])-إجمالي.المعاشات[[#This Row],[المنصرف]]</f>
        <v>646.42000000000007</v>
      </c>
      <c r="P138" s="46">
        <f>IF(إجمالي.المعاشات[[#This Row],[المتبقي من المنحة]]&lt;0,0,إجمالي.المعاشات[[#This Row],[المتبقي من المنحة]])</f>
        <v>646.42000000000007</v>
      </c>
      <c r="Q13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11936.13</v>
      </c>
      <c r="R138" s="192">
        <f>إجمالي.المعاشات[[#This Row],[المتبقي]]</f>
        <v>12582.55</v>
      </c>
      <c r="S138" s="192" t="s">
        <v>405</v>
      </c>
    </row>
    <row r="139" spans="3:19" ht="21" x14ac:dyDescent="0.35">
      <c r="C139" s="103">
        <f>الاإسكندرية!C15</f>
        <v>8</v>
      </c>
      <c r="D139" s="46" t="str">
        <f>الاإسكندرية!D15</f>
        <v>جمال عطية خضراوي</v>
      </c>
      <c r="E139" s="47">
        <f>الاإسكندرية!E15</f>
        <v>10</v>
      </c>
      <c r="F139" s="50">
        <f>الاإسكندرية!F15</f>
        <v>43384</v>
      </c>
      <c r="G139" s="50"/>
      <c r="H139" s="46">
        <f>الاإسكندرية!H15</f>
        <v>14776.68</v>
      </c>
      <c r="I139" s="46">
        <f>الاإسكندرية!I15</f>
        <v>0</v>
      </c>
      <c r="J139" s="46">
        <f>الاإسكندرية!J15</f>
        <v>7489.68</v>
      </c>
      <c r="K139" s="46">
        <f>الاإسكندرية!K15</f>
        <v>85.5</v>
      </c>
      <c r="L139" s="46">
        <f>SUM(إجمالي.المعاشات[[#This Row],[منحة 6شهور]:[مقابل نقدي]])</f>
        <v>22266.36</v>
      </c>
      <c r="M139" s="46">
        <f>SUMIF(بيان.معاشات.اسكندرية[الإسم],بيانات!D139:D162,بيان.معاشات.اسكندرية[إجمالي المنصرف])</f>
        <v>20000</v>
      </c>
      <c r="N139" s="46">
        <f>إجمالي.المعاشات[[#This Row],[إجمالي المستحق]]-إجمالي.المعاشات[[#This Row],[المنصرف]]</f>
        <v>2266.3600000000006</v>
      </c>
      <c r="O139" s="46">
        <f>(إجمالي.المعاشات[[#This Row],[منحة 6شهور]]+إجمالي.المعاشات[[#This Row],[مستحقات]])-إجمالي.المعاشات[[#This Row],[المنصرف]]</f>
        <v>-5223.32</v>
      </c>
      <c r="P139" s="46">
        <f>IF(إجمالي.المعاشات[[#This Row],[المتبقي من المنحة]]&lt;0,0,إجمالي.المعاشات[[#This Row],[المتبقي من المنحة]])</f>
        <v>0</v>
      </c>
      <c r="Q13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2266.3600000000006</v>
      </c>
      <c r="R139" s="192">
        <f>إجمالي.المعاشات[[#This Row],[المتبقي]]</f>
        <v>2266.3600000000006</v>
      </c>
      <c r="S139" s="192" t="s">
        <v>405</v>
      </c>
    </row>
    <row r="140" spans="3:19" ht="21" x14ac:dyDescent="0.35">
      <c r="C140" s="103">
        <f>الاإسكندرية!C16</f>
        <v>9</v>
      </c>
      <c r="D140" s="46" t="str">
        <f>الاإسكندرية!D16</f>
        <v>أحمد حباشي بكر</v>
      </c>
      <c r="E140" s="47">
        <f>الاإسكندرية!E16</f>
        <v>11</v>
      </c>
      <c r="F140" s="50">
        <f>الاإسكندرية!F16</f>
        <v>44171</v>
      </c>
      <c r="G140" s="50"/>
      <c r="H140" s="46">
        <f>الاإسكندرية!H16</f>
        <v>19556.57</v>
      </c>
      <c r="I140" s="46">
        <f>الاإسكندرية!I16</f>
        <v>0</v>
      </c>
      <c r="J140" s="46">
        <f>الاإسكندرية!J16</f>
        <v>15576.67</v>
      </c>
      <c r="K140" s="46">
        <f>الاإسكندرية!K16</f>
        <v>80</v>
      </c>
      <c r="L140" s="46">
        <f>SUM(إجمالي.المعاشات[[#This Row],[منحة 6شهور]:[مقابل نقدي]])</f>
        <v>35133.24</v>
      </c>
      <c r="M140" s="46">
        <f>SUMIF(بيان.معاشات.اسكندرية[الإسم],بيانات!D140:D163,بيان.معاشات.اسكندرية[إجمالي المنصرف])</f>
        <v>7500</v>
      </c>
      <c r="N140" s="46">
        <f>إجمالي.المعاشات[[#This Row],[إجمالي المستحق]]-إجمالي.المعاشات[[#This Row],[المنصرف]]</f>
        <v>27633.239999999998</v>
      </c>
      <c r="O140" s="46">
        <f>(إجمالي.المعاشات[[#This Row],[منحة 6شهور]]+إجمالي.المعاشات[[#This Row],[مستحقات]])-إجمالي.المعاشات[[#This Row],[المنصرف]]</f>
        <v>12056.57</v>
      </c>
      <c r="P140" s="46">
        <f>IF(إجمالي.المعاشات[[#This Row],[المتبقي من المنحة]]&lt;0,0,إجمالي.المعاشات[[#This Row],[المتبقي من المنحة]])</f>
        <v>12056.57</v>
      </c>
      <c r="Q14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15576.67</v>
      </c>
      <c r="R140" s="192">
        <f>إجمالي.المعاشات[[#This Row],[المتبقي]]</f>
        <v>27633.239999999998</v>
      </c>
      <c r="S140" s="192" t="s">
        <v>405</v>
      </c>
    </row>
    <row r="141" spans="3:19" ht="21" x14ac:dyDescent="0.35">
      <c r="C141" s="103">
        <f>الاإسكندرية!C17</f>
        <v>10</v>
      </c>
      <c r="D141" s="46" t="str">
        <f>الاإسكندرية!D17</f>
        <v>سعيد محمود إسماعيل</v>
      </c>
      <c r="E141" s="47">
        <f>الاإسكندرية!E17</f>
        <v>15</v>
      </c>
      <c r="F141" s="50">
        <f>الاإسكندرية!F17</f>
        <v>43153</v>
      </c>
      <c r="G141" s="50"/>
      <c r="H141" s="46">
        <f>الاإسكندرية!H17</f>
        <v>0</v>
      </c>
      <c r="I141" s="46">
        <f>الاإسكندرية!I17</f>
        <v>0</v>
      </c>
      <c r="J141" s="46">
        <f>الاإسكندرية!J17</f>
        <v>11330.1</v>
      </c>
      <c r="K141" s="46">
        <f>الاإسكندرية!K17</f>
        <v>90</v>
      </c>
      <c r="L141" s="46">
        <f>SUM(إجمالي.المعاشات[[#This Row],[منحة 6شهور]:[مقابل نقدي]])</f>
        <v>11330.1</v>
      </c>
      <c r="M141" s="46">
        <f>SUMIF(بيان.معاشات.اسكندرية[الإسم],بيانات!D141:D164,بيان.معاشات.اسكندرية[إجمالي المنصرف])</f>
        <v>10000</v>
      </c>
      <c r="N141" s="46">
        <f>إجمالي.المعاشات[[#This Row],[إجمالي المستحق]]-إجمالي.المعاشات[[#This Row],[المنصرف]]</f>
        <v>1330.1000000000004</v>
      </c>
      <c r="O141" s="46">
        <f>(إجمالي.المعاشات[[#This Row],[منحة 6شهور]]+إجمالي.المعاشات[[#This Row],[مستحقات]])-إجمالي.المعاشات[[#This Row],[المنصرف]]</f>
        <v>-10000</v>
      </c>
      <c r="P141" s="46">
        <f>IF(إجمالي.المعاشات[[#This Row],[المتبقي من المنحة]]&lt;0,0,إجمالي.المعاشات[[#This Row],[المتبقي من المنحة]])</f>
        <v>0</v>
      </c>
      <c r="Q14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1330.1000000000004</v>
      </c>
      <c r="R141" s="192">
        <f>إجمالي.المعاشات[[#This Row],[المتبقي]]</f>
        <v>1330.1000000000004</v>
      </c>
      <c r="S141" s="192" t="s">
        <v>405</v>
      </c>
    </row>
    <row r="142" spans="3:19" ht="21" x14ac:dyDescent="0.35">
      <c r="C142" s="103">
        <f>الاإسكندرية!C18</f>
        <v>11</v>
      </c>
      <c r="D142" s="46" t="str">
        <f>الاإسكندرية!D18</f>
        <v>حسن إبراهيم محمد</v>
      </c>
      <c r="E142" s="47">
        <f>الاإسكندرية!E18</f>
        <v>17</v>
      </c>
      <c r="F142" s="50">
        <f>الاإسكندرية!F18</f>
        <v>44504</v>
      </c>
      <c r="G142" s="50"/>
      <c r="H142" s="46">
        <f>الاإسكندرية!H18</f>
        <v>15487.26</v>
      </c>
      <c r="I142" s="46">
        <f>الاإسكندرية!I18</f>
        <v>0</v>
      </c>
      <c r="J142" s="46">
        <f>الاإسكندرية!J18</f>
        <v>14505.3</v>
      </c>
      <c r="K142" s="46">
        <f>الاإسكندرية!K18</f>
        <v>90</v>
      </c>
      <c r="L142" s="46">
        <f>SUM(إجمالي.المعاشات[[#This Row],[منحة 6شهور]:[مقابل نقدي]])</f>
        <v>29992.559999999998</v>
      </c>
      <c r="M142" s="46">
        <f>SUMIF(بيان.معاشات.اسكندرية[الإسم],بيانات!D142:D165,بيان.معاشات.اسكندرية[إجمالي المنصرف])</f>
        <v>5000</v>
      </c>
      <c r="N142" s="46">
        <f>إجمالي.المعاشات[[#This Row],[إجمالي المستحق]]-إجمالي.المعاشات[[#This Row],[المنصرف]]</f>
        <v>24992.559999999998</v>
      </c>
      <c r="O142" s="46">
        <f>(إجمالي.المعاشات[[#This Row],[منحة 6شهور]]+إجمالي.المعاشات[[#This Row],[مستحقات]])-إجمالي.المعاشات[[#This Row],[المنصرف]]</f>
        <v>10487.26</v>
      </c>
      <c r="P142" s="46">
        <f>IF(إجمالي.المعاشات[[#This Row],[المتبقي من المنحة]]&lt;0,0,إجمالي.المعاشات[[#This Row],[المتبقي من المنحة]])</f>
        <v>10487.26</v>
      </c>
      <c r="Q14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14505.3</v>
      </c>
      <c r="R142" s="192">
        <f>إجمالي.المعاشات[[#This Row],[المتبقي]]</f>
        <v>24992.559999999998</v>
      </c>
      <c r="S142" s="192" t="s">
        <v>405</v>
      </c>
    </row>
    <row r="143" spans="3:19" ht="21" x14ac:dyDescent="0.35">
      <c r="C143" s="103">
        <f>الاإسكندرية!C19</f>
        <v>12</v>
      </c>
      <c r="D143" s="46" t="str">
        <f>الاإسكندرية!D19</f>
        <v>سمير حلمي محمود</v>
      </c>
      <c r="E143" s="47">
        <f>الاإسكندرية!E19</f>
        <v>18</v>
      </c>
      <c r="F143" s="50">
        <f>الاإسكندرية!F19</f>
        <v>44613</v>
      </c>
      <c r="G143" s="50"/>
      <c r="H143" s="46">
        <f>الاإسكندرية!H19</f>
        <v>29234.02</v>
      </c>
      <c r="I143" s="46">
        <f>الاإسكندرية!I19</f>
        <v>0</v>
      </c>
      <c r="J143" s="46">
        <f>الاإسكندرية!J19</f>
        <v>24624.9</v>
      </c>
      <c r="K143" s="46">
        <f>الاإسكندرية!K19</f>
        <v>90</v>
      </c>
      <c r="L143" s="46">
        <f>SUM(إجمالي.المعاشات[[#This Row],[منحة 6شهور]:[مقابل نقدي]])</f>
        <v>53858.92</v>
      </c>
      <c r="M143" s="46">
        <f>SUMIF(بيان.معاشات.اسكندرية[الإسم],بيانات!D143:D166,بيان.معاشات.اسكندرية[إجمالي المنصرف])</f>
        <v>6500</v>
      </c>
      <c r="N143" s="46">
        <f>إجمالي.المعاشات[[#This Row],[إجمالي المستحق]]-إجمالي.المعاشات[[#This Row],[المنصرف]]</f>
        <v>47358.92</v>
      </c>
      <c r="O143" s="46">
        <f>(إجمالي.المعاشات[[#This Row],[منحة 6شهور]]+إجمالي.المعاشات[[#This Row],[مستحقات]])-إجمالي.المعاشات[[#This Row],[المنصرف]]</f>
        <v>22734.02</v>
      </c>
      <c r="P143" s="46">
        <f>IF(إجمالي.المعاشات[[#This Row],[المتبقي من المنحة]]&lt;0,0,إجمالي.المعاشات[[#This Row],[المتبقي من المنحة]])</f>
        <v>22734.02</v>
      </c>
      <c r="Q14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24624.9</v>
      </c>
      <c r="R143" s="192">
        <f>إجمالي.المعاشات[[#This Row],[المتبقي]]</f>
        <v>47358.92</v>
      </c>
      <c r="S143" s="192" t="s">
        <v>405</v>
      </c>
    </row>
    <row r="144" spans="3:19" ht="21" x14ac:dyDescent="0.35">
      <c r="C144" s="103">
        <f>الاإسكندرية!C20</f>
        <v>13</v>
      </c>
      <c r="D144" s="46" t="str">
        <f>الاإسكندرية!D20</f>
        <v>رجب إبراهيم محمد صالح</v>
      </c>
      <c r="E144" s="47">
        <f>الاإسكندرية!E20</f>
        <v>19</v>
      </c>
      <c r="F144" s="50">
        <f>الاإسكندرية!F20</f>
        <v>44925</v>
      </c>
      <c r="G144" s="50"/>
      <c r="H144" s="46">
        <f>الاإسكندرية!H20</f>
        <v>21060.18</v>
      </c>
      <c r="I144" s="46">
        <f>الاإسكندرية!I20</f>
        <v>0</v>
      </c>
      <c r="J144" s="46">
        <f>الاإسكندرية!J20</f>
        <v>4341.5</v>
      </c>
      <c r="K144" s="46">
        <f>الاإسكندرية!K20</f>
        <v>50</v>
      </c>
      <c r="L144" s="46">
        <f>SUM(إجمالي.المعاشات[[#This Row],[منحة 6شهور]:[مقابل نقدي]])</f>
        <v>25401.68</v>
      </c>
      <c r="M144" s="46">
        <f>SUMIF(بيان.معاشات.اسكندرية[الإسم],بيانات!D144:D167,بيان.معاشات.اسكندرية[إجمالي المنصرف])</f>
        <v>2000</v>
      </c>
      <c r="N144" s="46">
        <f>إجمالي.المعاشات[[#This Row],[إجمالي المستحق]]-إجمالي.المعاشات[[#This Row],[المنصرف]]</f>
        <v>23401.68</v>
      </c>
      <c r="O144" s="46">
        <f>(إجمالي.المعاشات[[#This Row],[منحة 6شهور]]+إجمالي.المعاشات[[#This Row],[مستحقات]])-إجمالي.المعاشات[[#This Row],[المنصرف]]</f>
        <v>19060.18</v>
      </c>
      <c r="P144" s="46">
        <f>IF(إجمالي.المعاشات[[#This Row],[المتبقي من المنحة]]&lt;0,0,إجمالي.المعاشات[[#This Row],[المتبقي من المنحة]])</f>
        <v>19060.18</v>
      </c>
      <c r="Q14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4341.5</v>
      </c>
      <c r="R144" s="192">
        <f>إجمالي.المعاشات[[#This Row],[المتبقي]]</f>
        <v>23401.68</v>
      </c>
      <c r="S144" s="192" t="s">
        <v>405</v>
      </c>
    </row>
    <row r="145" spans="3:19" ht="21" x14ac:dyDescent="0.35">
      <c r="C145" s="103">
        <f>الاإسكندرية!C21</f>
        <v>14</v>
      </c>
      <c r="D145" s="46" t="str">
        <f>الاإسكندرية!D21</f>
        <v>عبد الناصر سيد هليل</v>
      </c>
      <c r="E145" s="47">
        <f>الاإسكندرية!E21</f>
        <v>20</v>
      </c>
      <c r="F145" s="50">
        <f>الاإسكندرية!F21</f>
        <v>44984</v>
      </c>
      <c r="G145" s="50"/>
      <c r="H145" s="46">
        <f>الاإسكندرية!H21</f>
        <v>24455.52</v>
      </c>
      <c r="I145" s="46">
        <f>الاإسكندرية!I21</f>
        <v>0</v>
      </c>
      <c r="J145" s="46">
        <f>الاإسكندرية!J21</f>
        <v>9022.92</v>
      </c>
      <c r="K145" s="46">
        <f>الاإسكندرية!K21</f>
        <v>90</v>
      </c>
      <c r="L145" s="46">
        <f>SUM(إجمالي.المعاشات[[#This Row],[منحة 6شهور]:[مقابل نقدي]])</f>
        <v>33478.44</v>
      </c>
      <c r="M145" s="46">
        <f>SUMIF(بيان.معاشات.اسكندرية[الإسم],بيانات!D145:D168,بيان.معاشات.اسكندرية[إجمالي المنصرف])</f>
        <v>500</v>
      </c>
      <c r="N145" s="46">
        <f>إجمالي.المعاشات[[#This Row],[إجمالي المستحق]]-إجمالي.المعاشات[[#This Row],[المنصرف]]</f>
        <v>32978.44</v>
      </c>
      <c r="O145" s="46">
        <f>(إجمالي.المعاشات[[#This Row],[منحة 6شهور]]+إجمالي.المعاشات[[#This Row],[مستحقات]])-إجمالي.المعاشات[[#This Row],[المنصرف]]</f>
        <v>23955.52</v>
      </c>
      <c r="P145" s="46">
        <f>IF(إجمالي.المعاشات[[#This Row],[المتبقي من المنحة]]&lt;0,0,إجمالي.المعاشات[[#This Row],[المتبقي من المنحة]])</f>
        <v>23955.52</v>
      </c>
      <c r="Q14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9022.92</v>
      </c>
      <c r="R145" s="192">
        <f>إجمالي.المعاشات[[#This Row],[المتبقي]]</f>
        <v>32978.44</v>
      </c>
      <c r="S145" s="192" t="s">
        <v>405</v>
      </c>
    </row>
    <row r="146" spans="3:19" ht="21" x14ac:dyDescent="0.35">
      <c r="C146" s="103">
        <f>الاإسكندرية!C22</f>
        <v>15</v>
      </c>
      <c r="D146" s="46">
        <f>الاإسكندرية!D22</f>
        <v>0</v>
      </c>
      <c r="E146" s="47">
        <f>الاإسكندرية!E22</f>
        <v>0</v>
      </c>
      <c r="F146" s="50">
        <f>الاإسكندرية!F22</f>
        <v>0</v>
      </c>
      <c r="G146" s="50"/>
      <c r="H146" s="46">
        <f>الاإسكندرية!H22</f>
        <v>0</v>
      </c>
      <c r="I146" s="46">
        <f>الاإسكندرية!I22</f>
        <v>0</v>
      </c>
      <c r="J146" s="46">
        <f>الاإسكندرية!J22</f>
        <v>0</v>
      </c>
      <c r="K146" s="46">
        <f>الاإسكندرية!K22</f>
        <v>0</v>
      </c>
      <c r="L146" s="46">
        <f>SUM(إجمالي.المعاشات[[#This Row],[منحة 6شهور]:[مقابل نقدي]])</f>
        <v>0</v>
      </c>
      <c r="M146" s="46">
        <f>SUMIF(بيان.معاشات.اسكندرية[الإسم],بيانات!D146:D169,بيان.معاشات.اسكندرية[إجمالي المنصرف])</f>
        <v>0</v>
      </c>
      <c r="N146" s="46">
        <f>إجمالي.المعاشات[[#This Row],[إجمالي المستحق]]-إجمالي.المعاشات[[#This Row],[المنصرف]]</f>
        <v>0</v>
      </c>
      <c r="O146" s="46">
        <f>(إجمالي.المعاشات[[#This Row],[منحة 6شهور]]+إجمالي.المعاشات[[#This Row],[مستحقات]])-إجمالي.المعاشات[[#This Row],[المنصرف]]</f>
        <v>0</v>
      </c>
      <c r="P146" s="46">
        <f>IF(إجمالي.المعاشات[[#This Row],[المتبقي من المنحة]]&lt;0,0,إجمالي.المعاشات[[#This Row],[المتبقي من المنحة]])</f>
        <v>0</v>
      </c>
      <c r="Q14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46" s="192">
        <f>إجمالي.المعاشات[[#This Row],[المتبقي]]</f>
        <v>0</v>
      </c>
      <c r="S146" s="192" t="s">
        <v>405</v>
      </c>
    </row>
    <row r="147" spans="3:19" ht="21" x14ac:dyDescent="0.35">
      <c r="C147" s="103">
        <f>الاإسكندرية!C23</f>
        <v>0</v>
      </c>
      <c r="D147" s="46" t="str">
        <f>الاإسكندرية!D23</f>
        <v>الورثة وحالات الوفاة :</v>
      </c>
      <c r="E147" s="47">
        <f>الاإسكندرية!E23</f>
        <v>0</v>
      </c>
      <c r="F147" s="50">
        <f>الاإسكندرية!F23</f>
        <v>0</v>
      </c>
      <c r="G147" s="50"/>
      <c r="H147" s="46">
        <f>الاإسكندرية!H23</f>
        <v>0</v>
      </c>
      <c r="I147" s="46">
        <f>الاإسكندرية!I23</f>
        <v>0</v>
      </c>
      <c r="J147" s="46">
        <f>الاإسكندرية!J23</f>
        <v>0</v>
      </c>
      <c r="K147" s="46">
        <f>الاإسكندرية!K23</f>
        <v>0</v>
      </c>
      <c r="L147" s="46">
        <f>SUM(إجمالي.المعاشات[[#This Row],[منحة 6شهور]:[مقابل نقدي]])</f>
        <v>0</v>
      </c>
      <c r="M147" s="46">
        <f>SUMIF(بيان.معاشات.اسكندرية[الإسم],بيانات!D147:D170,بيان.معاشات.اسكندرية[إجمالي المنصرف])</f>
        <v>0</v>
      </c>
      <c r="N147" s="46">
        <f>إجمالي.المعاشات[[#This Row],[إجمالي المستحق]]-إجمالي.المعاشات[[#This Row],[المنصرف]]</f>
        <v>0</v>
      </c>
      <c r="O147" s="46">
        <f>(إجمالي.المعاشات[[#This Row],[منحة 6شهور]]+إجمالي.المعاشات[[#This Row],[مستحقات]])-إجمالي.المعاشات[[#This Row],[المنصرف]]</f>
        <v>0</v>
      </c>
      <c r="P147" s="46">
        <f>IF(إجمالي.المعاشات[[#This Row],[المتبقي من المنحة]]&lt;0,0,إجمالي.المعاشات[[#This Row],[المتبقي من المنحة]])</f>
        <v>0</v>
      </c>
      <c r="Q14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47" s="192">
        <f>إجمالي.المعاشات[[#This Row],[المتبقي]]</f>
        <v>0</v>
      </c>
      <c r="S147" s="192" t="s">
        <v>405</v>
      </c>
    </row>
    <row r="148" spans="3:19" ht="21" x14ac:dyDescent="0.35">
      <c r="C148" s="103">
        <f>الاإسكندرية!C24</f>
        <v>1</v>
      </c>
      <c r="D148" s="46" t="str">
        <f>الاإسكندرية!D24</f>
        <v>عوض متولي محمد</v>
      </c>
      <c r="E148" s="47">
        <f>الاإسكندرية!E24</f>
        <v>12</v>
      </c>
      <c r="F148" s="50">
        <f>الاإسكندرية!F24</f>
        <v>43676</v>
      </c>
      <c r="G148" s="50">
        <f>الاإسكندرية!G24</f>
        <v>43676</v>
      </c>
      <c r="H148" s="46">
        <f>الاإسكندرية!H24</f>
        <v>14230.93</v>
      </c>
      <c r="I148" s="46">
        <f>الاإسكندرية!I24</f>
        <v>7489.15</v>
      </c>
      <c r="J148" s="46">
        <f>الاإسكندرية!J24</f>
        <v>0</v>
      </c>
      <c r="K148" s="46">
        <f>الاإسكندرية!K24</f>
        <v>0</v>
      </c>
      <c r="L148" s="46">
        <f>SUM(إجمالي.المعاشات[[#This Row],[منحة 6شهور]:[مقابل نقدي]])</f>
        <v>21720.080000000002</v>
      </c>
      <c r="M148" s="46">
        <f>SUMIF(بيان.معاشات.اسكندرية[الإسم],بيانات!D148:D171,بيان.معاشات.اسكندرية[إجمالي المنصرف])</f>
        <v>9949.82</v>
      </c>
      <c r="N148" s="46">
        <f>إجمالي.المعاشات[[#This Row],[إجمالي المستحق]]-إجمالي.المعاشات[[#This Row],[المنصرف]]</f>
        <v>11770.260000000002</v>
      </c>
      <c r="O148" s="46">
        <f>(إجمالي.المعاشات[[#This Row],[منحة 6شهور]]+إجمالي.المعاشات[[#This Row],[مستحقات]])-إجمالي.المعاشات[[#This Row],[المنصرف]]</f>
        <v>11770.260000000002</v>
      </c>
      <c r="P148" s="46">
        <f>IF(إجمالي.المعاشات[[#This Row],[المتبقي من المنحة]]&lt;0,0,إجمالي.المعاشات[[#This Row],[المتبقي من المنحة]])</f>
        <v>11770.260000000002</v>
      </c>
      <c r="Q14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48" s="192">
        <f>إجمالي.المعاشات[[#This Row],[المتبقي]]</f>
        <v>11770.260000000002</v>
      </c>
      <c r="S148" s="192" t="s">
        <v>405</v>
      </c>
    </row>
    <row r="149" spans="3:19" ht="21" x14ac:dyDescent="0.35">
      <c r="C149" s="103">
        <f>الاإسكندرية!C25</f>
        <v>2</v>
      </c>
      <c r="D149" s="46" t="str">
        <f>الاإسكندرية!D25</f>
        <v>علي إبراهيم محمد الحمضي</v>
      </c>
      <c r="E149" s="47">
        <f>الاإسكندرية!E25</f>
        <v>13</v>
      </c>
      <c r="F149" s="50">
        <f>الاإسكندرية!F25</f>
        <v>43523</v>
      </c>
      <c r="G149" s="50">
        <f>الاإسكندرية!G25</f>
        <v>43532</v>
      </c>
      <c r="H149" s="46">
        <f>الاإسكندرية!H25</f>
        <v>13798.98</v>
      </c>
      <c r="I149" s="46">
        <f>الاإسكندرية!I25</f>
        <v>13999.43</v>
      </c>
      <c r="J149" s="46">
        <f>الاإسكندرية!J25</f>
        <v>12569.4</v>
      </c>
      <c r="K149" s="46">
        <f>الاإسكندرية!K25</f>
        <v>90</v>
      </c>
      <c r="L149" s="46">
        <f>SUM(إجمالي.المعاشات[[#This Row],[منحة 6شهور]:[مقابل نقدي]])</f>
        <v>40367.81</v>
      </c>
      <c r="M149" s="46">
        <f>SUMIF(بيان.معاشات.اسكندرية[الإسم],بيانات!D149:D172,بيان.معاشات.اسكندرية[إجمالي المنصرف])</f>
        <v>23322.49</v>
      </c>
      <c r="N149" s="46">
        <f>إجمالي.المعاشات[[#This Row],[إجمالي المستحق]]-إجمالي.المعاشات[[#This Row],[المنصرف]]</f>
        <v>17045.319999999996</v>
      </c>
      <c r="O149" s="46">
        <f>(إجمالي.المعاشات[[#This Row],[منحة 6شهور]]+إجمالي.المعاشات[[#This Row],[مستحقات]])-إجمالي.المعاشات[[#This Row],[المنصرف]]</f>
        <v>4475.9199999999983</v>
      </c>
      <c r="P149" s="46">
        <f>IF(إجمالي.المعاشات[[#This Row],[المتبقي من المنحة]]&lt;0,0,إجمالي.المعاشات[[#This Row],[المتبقي من المنحة]])</f>
        <v>4475.9199999999983</v>
      </c>
      <c r="Q14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12569.4</v>
      </c>
      <c r="R149" s="192">
        <f>إجمالي.المعاشات[[#This Row],[المتبقي]]</f>
        <v>17045.319999999996</v>
      </c>
      <c r="S149" s="192" t="s">
        <v>405</v>
      </c>
    </row>
    <row r="150" spans="3:19" ht="21" x14ac:dyDescent="0.35">
      <c r="C150" s="103">
        <f>الاإسكندرية!C26</f>
        <v>3</v>
      </c>
      <c r="D150" s="46" t="str">
        <f>الاإسكندرية!D26</f>
        <v>علي سيد أحمد</v>
      </c>
      <c r="E150" s="47">
        <f>الاإسكندرية!E26</f>
        <v>14</v>
      </c>
      <c r="F150" s="50">
        <f>الاإسكندرية!F26</f>
        <v>43680</v>
      </c>
      <c r="G150" s="50">
        <f>الاإسكندرية!G26</f>
        <v>43680</v>
      </c>
      <c r="H150" s="46">
        <f>الاإسكندرية!H26</f>
        <v>14254.44</v>
      </c>
      <c r="I150" s="46">
        <f>الاإسكندرية!I26</f>
        <v>7326.26</v>
      </c>
      <c r="J150" s="46">
        <f>الاإسكندرية!J26</f>
        <v>11617.2</v>
      </c>
      <c r="K150" s="46">
        <f>الاإسكندرية!K26</f>
        <v>90</v>
      </c>
      <c r="L150" s="46">
        <f>SUM(إجمالي.المعاشات[[#This Row],[منحة 6شهور]:[مقابل نقدي]])</f>
        <v>33197.9</v>
      </c>
      <c r="M150" s="46">
        <f>SUMIF(بيان.معاشات.اسكندرية[الإسم],بيانات!D150:D173,بيان.معاشات.اسكندرية[إجمالي المنصرف])</f>
        <v>11054.07</v>
      </c>
      <c r="N150" s="46">
        <f>إجمالي.المعاشات[[#This Row],[إجمالي المستحق]]-إجمالي.المعاشات[[#This Row],[المنصرف]]</f>
        <v>22143.83</v>
      </c>
      <c r="O150" s="46">
        <f>(إجمالي.المعاشات[[#This Row],[منحة 6شهور]]+إجمالي.المعاشات[[#This Row],[مستحقات]])-إجمالي.المعاشات[[#This Row],[المنصرف]]</f>
        <v>10526.630000000001</v>
      </c>
      <c r="P150" s="46">
        <f>IF(إجمالي.المعاشات[[#This Row],[المتبقي من المنحة]]&lt;0,0,إجمالي.المعاشات[[#This Row],[المتبقي من المنحة]])</f>
        <v>10526.630000000001</v>
      </c>
      <c r="Q15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11617.2</v>
      </c>
      <c r="R150" s="192">
        <f>إجمالي.المعاشات[[#This Row],[المتبقي]]</f>
        <v>22143.83</v>
      </c>
      <c r="S150" s="192" t="s">
        <v>405</v>
      </c>
    </row>
    <row r="151" spans="3:19" ht="21" x14ac:dyDescent="0.35">
      <c r="C151" s="103">
        <f>الاإسكندرية!C27</f>
        <v>4</v>
      </c>
      <c r="D151" s="46" t="str">
        <f>الاإسكندرية!D27</f>
        <v>محمد عوض</v>
      </c>
      <c r="E151" s="47">
        <f>الاإسكندرية!E27</f>
        <v>16</v>
      </c>
      <c r="F151" s="50">
        <f>الاإسكندرية!F27</f>
        <v>43484</v>
      </c>
      <c r="G151" s="50">
        <f>الاإسكندرية!G27</f>
        <v>43484</v>
      </c>
      <c r="H151" s="46">
        <f>الاإسكندرية!H27</f>
        <v>919.5</v>
      </c>
      <c r="I151" s="46">
        <f>الاإسكندرية!I27</f>
        <v>10204.459999999999</v>
      </c>
      <c r="J151" s="46">
        <f>الاإسكندرية!J27</f>
        <v>4185.9399999999996</v>
      </c>
      <c r="K151" s="46">
        <f>الاإسكندرية!K27</f>
        <v>53</v>
      </c>
      <c r="L151" s="46">
        <f>SUM(إجمالي.المعاشات[[#This Row],[منحة 6شهور]:[مقابل نقدي]])</f>
        <v>15309.899999999998</v>
      </c>
      <c r="M151" s="46">
        <f>SUMIF(بيان.معاشات.اسكندرية[الإسم],بيانات!D151:D174,بيان.معاشات.اسكندرية[إجمالي المنصرف])</f>
        <v>12976.51</v>
      </c>
      <c r="N151" s="46">
        <f>إجمالي.المعاشات[[#This Row],[إجمالي المستحق]]-إجمالي.المعاشات[[#This Row],[المنصرف]]</f>
        <v>2333.3899999999976</v>
      </c>
      <c r="O151" s="46">
        <f>(إجمالي.المعاشات[[#This Row],[منحة 6شهور]]+إجمالي.المعاشات[[#This Row],[مستحقات]])-إجمالي.المعاشات[[#This Row],[المنصرف]]</f>
        <v>-1852.5500000000011</v>
      </c>
      <c r="P151" s="46">
        <f>IF(إجمالي.المعاشات[[#This Row],[المتبقي من المنحة]]&lt;0,0,إجمالي.المعاشات[[#This Row],[المتبقي من المنحة]])</f>
        <v>0</v>
      </c>
      <c r="Q15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2333.3899999999976</v>
      </c>
      <c r="R151" s="192">
        <f>إجمالي.المعاشات[[#This Row],[المتبقي]]</f>
        <v>2333.3899999999976</v>
      </c>
      <c r="S151" s="192" t="s">
        <v>405</v>
      </c>
    </row>
    <row r="152" spans="3:19" ht="21" x14ac:dyDescent="0.35">
      <c r="C152" s="103">
        <f>الاإسكندرية!C28</f>
        <v>5</v>
      </c>
      <c r="D152" s="46">
        <f>الاإسكندرية!D28</f>
        <v>0</v>
      </c>
      <c r="E152" s="47">
        <f>الاإسكندرية!E28</f>
        <v>0</v>
      </c>
      <c r="F152" s="50">
        <f>الاإسكندرية!F28</f>
        <v>0</v>
      </c>
      <c r="G152" s="50"/>
      <c r="H152" s="46">
        <f>الاإسكندرية!H28</f>
        <v>0</v>
      </c>
      <c r="I152" s="46">
        <f>الاإسكندرية!I28</f>
        <v>0</v>
      </c>
      <c r="J152" s="46">
        <f>الاإسكندرية!J28</f>
        <v>0</v>
      </c>
      <c r="K152" s="46">
        <f>الاإسكندرية!K28</f>
        <v>0</v>
      </c>
      <c r="L152" s="46">
        <f>SUM(إجمالي.المعاشات[[#This Row],[منحة 6شهور]:[مقابل نقدي]])</f>
        <v>0</v>
      </c>
      <c r="M152" s="46">
        <f>SUMIF(بيان.معاشات.اسكندرية[الإسم],بيانات!D152:D175,بيان.معاشات.اسكندرية[إجمالي المنصرف])</f>
        <v>0</v>
      </c>
      <c r="N152" s="46">
        <f>إجمالي.المعاشات[[#This Row],[إجمالي المستحق]]-إجمالي.المعاشات[[#This Row],[المنصرف]]</f>
        <v>0</v>
      </c>
      <c r="O152" s="46">
        <f>(إجمالي.المعاشات[[#This Row],[منحة 6شهور]]+إجمالي.المعاشات[[#This Row],[مستحقات]])-إجمالي.المعاشات[[#This Row],[المنصرف]]</f>
        <v>0</v>
      </c>
      <c r="P152" s="46">
        <f>IF(إجمالي.المعاشات[[#This Row],[المتبقي من المنحة]]&lt;0,0,إجمالي.المعاشات[[#This Row],[المتبقي من المنحة]])</f>
        <v>0</v>
      </c>
      <c r="Q15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52" s="192">
        <f>إجمالي.المعاشات[[#This Row],[المتبقي]]</f>
        <v>0</v>
      </c>
      <c r="S152" s="192" t="s">
        <v>405</v>
      </c>
    </row>
    <row r="153" spans="3:19" ht="21" x14ac:dyDescent="0.35">
      <c r="C153" s="103">
        <f>الاإسكندرية!C29</f>
        <v>6</v>
      </c>
      <c r="D153" s="46">
        <f>الاإسكندرية!D29</f>
        <v>0</v>
      </c>
      <c r="E153" s="47">
        <f>الاإسكندرية!E29</f>
        <v>0</v>
      </c>
      <c r="F153" s="50">
        <f>الاإسكندرية!F29</f>
        <v>0</v>
      </c>
      <c r="G153" s="50"/>
      <c r="H153" s="46">
        <f>الاإسكندرية!H29</f>
        <v>0</v>
      </c>
      <c r="I153" s="46">
        <f>الاإسكندرية!I29</f>
        <v>0</v>
      </c>
      <c r="J153" s="46">
        <f>الاإسكندرية!J29</f>
        <v>0</v>
      </c>
      <c r="K153" s="46">
        <f>الاإسكندرية!K29</f>
        <v>0</v>
      </c>
      <c r="L153" s="46">
        <f>SUM(إجمالي.المعاشات[[#This Row],[منحة 6شهور]:[مقابل نقدي]])</f>
        <v>0</v>
      </c>
      <c r="M153" s="46">
        <f>SUMIF(بيان.معاشات.اسكندرية[الإسم],بيانات!D153:D176,بيان.معاشات.اسكندرية[إجمالي المنصرف])</f>
        <v>0</v>
      </c>
      <c r="N153" s="46">
        <f>إجمالي.المعاشات[[#This Row],[إجمالي المستحق]]-إجمالي.المعاشات[[#This Row],[المنصرف]]</f>
        <v>0</v>
      </c>
      <c r="O153" s="46">
        <f>(إجمالي.المعاشات[[#This Row],[منحة 6شهور]]+إجمالي.المعاشات[[#This Row],[مستحقات]])-إجمالي.المعاشات[[#This Row],[المنصرف]]</f>
        <v>0</v>
      </c>
      <c r="P153" s="46">
        <f>IF(إجمالي.المعاشات[[#This Row],[المتبقي من المنحة]]&lt;0,0,إجمالي.المعاشات[[#This Row],[المتبقي من المنحة]])</f>
        <v>0</v>
      </c>
      <c r="Q15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53" s="192">
        <f>إجمالي.المعاشات[[#This Row],[المتبقي]]</f>
        <v>0</v>
      </c>
      <c r="S153" s="192" t="s">
        <v>405</v>
      </c>
    </row>
    <row r="154" spans="3:19" ht="21" x14ac:dyDescent="0.35">
      <c r="C154" s="103">
        <f>الاإسكندرية!C30</f>
        <v>7</v>
      </c>
      <c r="D154" s="46">
        <f>الاإسكندرية!D30</f>
        <v>0</v>
      </c>
      <c r="E154" s="47">
        <f>الاإسكندرية!E30</f>
        <v>0</v>
      </c>
      <c r="F154" s="50">
        <f>الاإسكندرية!F30</f>
        <v>0</v>
      </c>
      <c r="G154" s="50"/>
      <c r="H154" s="46">
        <f>الاإسكندرية!H30</f>
        <v>0</v>
      </c>
      <c r="I154" s="46">
        <f>الاإسكندرية!I30</f>
        <v>0</v>
      </c>
      <c r="J154" s="46">
        <f>الاإسكندرية!J30</f>
        <v>0</v>
      </c>
      <c r="K154" s="46">
        <f>الاإسكندرية!K30</f>
        <v>0</v>
      </c>
      <c r="L154" s="46">
        <f>SUM(إجمالي.المعاشات[[#This Row],[منحة 6شهور]:[مقابل نقدي]])</f>
        <v>0</v>
      </c>
      <c r="M154" s="46">
        <f>SUMIF(بيان.معاشات.اسكندرية[الإسم],بيانات!D154:D177,بيان.معاشات.اسكندرية[إجمالي المنصرف])</f>
        <v>0</v>
      </c>
      <c r="N154" s="46">
        <f>إجمالي.المعاشات[[#This Row],[إجمالي المستحق]]-إجمالي.المعاشات[[#This Row],[المنصرف]]</f>
        <v>0</v>
      </c>
      <c r="O154" s="46">
        <f>(إجمالي.المعاشات[[#This Row],[منحة 6شهور]]+إجمالي.المعاشات[[#This Row],[مستحقات]])-إجمالي.المعاشات[[#This Row],[المنصرف]]</f>
        <v>0</v>
      </c>
      <c r="P154" s="46">
        <f>IF(إجمالي.المعاشات[[#This Row],[المتبقي من المنحة]]&lt;0,0,إجمالي.المعاشات[[#This Row],[المتبقي من المنحة]])</f>
        <v>0</v>
      </c>
      <c r="Q15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54" s="192">
        <f>إجمالي.المعاشات[[#This Row],[المتبقي]]</f>
        <v>0</v>
      </c>
      <c r="S154" s="192" t="s">
        <v>405</v>
      </c>
    </row>
    <row r="155" spans="3:19" ht="21" x14ac:dyDescent="0.35">
      <c r="C155" s="103"/>
      <c r="D155" s="46"/>
      <c r="E155" s="47"/>
      <c r="F155" s="50"/>
      <c r="G155" s="50"/>
      <c r="H155" s="46"/>
      <c r="I155" s="46"/>
      <c r="J155" s="46"/>
      <c r="K155" s="46"/>
      <c r="L155" s="46">
        <f>SUM(إجمالي.المعاشات[[#This Row],[منحة 6شهور]:[مقابل نقدي]])</f>
        <v>0</v>
      </c>
      <c r="M155" s="46"/>
      <c r="N155" s="46">
        <f>إجمالي.المعاشات[[#This Row],[إجمالي المستحق]]-إجمالي.المعاشات[[#This Row],[المنصرف]]</f>
        <v>0</v>
      </c>
      <c r="O155" s="46">
        <f>(إجمالي.المعاشات[[#This Row],[منحة 6شهور]]+إجمالي.المعاشات[[#This Row],[مستحقات]])-إجمالي.المعاشات[[#This Row],[المنصرف]]</f>
        <v>0</v>
      </c>
      <c r="P155" s="46">
        <f>IF(إجمالي.المعاشات[[#This Row],[المتبقي من المنحة]]&lt;0,0,إجمالي.المعاشات[[#This Row],[المتبقي من المنحة]])</f>
        <v>0</v>
      </c>
      <c r="Q15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55" s="192">
        <f>إجمالي.المعاشات[[#This Row],[المتبقي]]</f>
        <v>0</v>
      </c>
      <c r="S155" s="192"/>
    </row>
    <row r="156" spans="3:19" ht="21" x14ac:dyDescent="0.35">
      <c r="C156" s="103">
        <f>قنا!C8</f>
        <v>1</v>
      </c>
      <c r="D156" s="46" t="str">
        <f>قنا!D8</f>
        <v>ناصر السيد راشد</v>
      </c>
      <c r="E156" s="47">
        <f>قنا!E8</f>
        <v>1</v>
      </c>
      <c r="F156" s="50">
        <f>قنا!F8</f>
        <v>43693</v>
      </c>
      <c r="G156" s="50"/>
      <c r="H156" s="46">
        <f>قنا!H8</f>
        <v>21649.56</v>
      </c>
      <c r="I156" s="46">
        <f>قنا!I8</f>
        <v>0</v>
      </c>
      <c r="J156" s="46">
        <f>قنا!J8</f>
        <v>14501.26</v>
      </c>
      <c r="K156" s="46">
        <f>قنا!K8</f>
        <v>90</v>
      </c>
      <c r="L156" s="46">
        <f>SUM(إجمالي.المعاشات[[#This Row],[منحة 6شهور]:[مقابل نقدي]])</f>
        <v>36150.82</v>
      </c>
      <c r="M156" s="46">
        <f>SUMIF(بيان.معاشات.قنا[الإسم],بيانات!D156:D194,بيان.معاشات.قنا[إجمالي المنصرف])</f>
        <v>19000</v>
      </c>
      <c r="N156" s="46">
        <f>إجمالي.المعاشات[[#This Row],[إجمالي المستحق]]-إجمالي.المعاشات[[#This Row],[المنصرف]]</f>
        <v>17150.82</v>
      </c>
      <c r="O156" s="46">
        <f>(إجمالي.المعاشات[[#This Row],[منحة 6شهور]]+إجمالي.المعاشات[[#This Row],[مستحقات]])-إجمالي.المعاشات[[#This Row],[المنصرف]]</f>
        <v>2649.5600000000013</v>
      </c>
      <c r="P156" s="46">
        <f>IF(إجمالي.المعاشات[[#This Row],[المتبقي من المنحة]]&lt;0,0,إجمالي.المعاشات[[#This Row],[المتبقي من المنحة]])</f>
        <v>2649.5600000000013</v>
      </c>
      <c r="Q15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14501.26</v>
      </c>
      <c r="R156" s="192">
        <f>إجمالي.المعاشات[[#This Row],[المتبقي]]</f>
        <v>17150.82</v>
      </c>
      <c r="S156" s="192" t="s">
        <v>403</v>
      </c>
    </row>
    <row r="157" spans="3:19" ht="21" x14ac:dyDescent="0.35">
      <c r="C157" s="103">
        <f>قنا!C9</f>
        <v>2</v>
      </c>
      <c r="D157" s="46" t="str">
        <f>قنا!D9</f>
        <v>عبد النبي محمد الصغير</v>
      </c>
      <c r="E157" s="47">
        <f>قنا!E9</f>
        <v>2</v>
      </c>
      <c r="F157" s="50">
        <f>قنا!F9</f>
        <v>43728</v>
      </c>
      <c r="G157" s="50"/>
      <c r="H157" s="46">
        <f>قنا!H9</f>
        <v>23805.3</v>
      </c>
      <c r="I157" s="46">
        <f>قنا!I9</f>
        <v>0</v>
      </c>
      <c r="J157" s="46">
        <f>قنا!J9</f>
        <v>15610.82</v>
      </c>
      <c r="K157" s="46">
        <f>قنا!K9</f>
        <v>90</v>
      </c>
      <c r="L157" s="46">
        <f>SUM(إجمالي.المعاشات[[#This Row],[منحة 6شهور]:[مقابل نقدي]])</f>
        <v>39416.119999999995</v>
      </c>
      <c r="M157" s="46">
        <f>SUMIF(بيان.معاشات.قنا[الإسم],بيانات!D157:D195,بيان.معاشات.قنا[إجمالي المنصرف])</f>
        <v>19500</v>
      </c>
      <c r="N157" s="46">
        <f>إجمالي.المعاشات[[#This Row],[إجمالي المستحق]]-إجمالي.المعاشات[[#This Row],[المنصرف]]</f>
        <v>19916.119999999995</v>
      </c>
      <c r="O157" s="46">
        <f>(إجمالي.المعاشات[[#This Row],[منحة 6شهور]]+إجمالي.المعاشات[[#This Row],[مستحقات]])-إجمالي.المعاشات[[#This Row],[المنصرف]]</f>
        <v>4305.2999999999993</v>
      </c>
      <c r="P157" s="46">
        <f>IF(إجمالي.المعاشات[[#This Row],[المتبقي من المنحة]]&lt;0,0,إجمالي.المعاشات[[#This Row],[المتبقي من المنحة]])</f>
        <v>4305.2999999999993</v>
      </c>
      <c r="Q15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15610.82</v>
      </c>
      <c r="R157" s="192">
        <f>إجمالي.المعاشات[[#This Row],[المتبقي]]</f>
        <v>19916.119999999995</v>
      </c>
      <c r="S157" s="192" t="s">
        <v>403</v>
      </c>
    </row>
    <row r="158" spans="3:19" ht="21" x14ac:dyDescent="0.35">
      <c r="C158" s="103">
        <f>قنا!C10</f>
        <v>3</v>
      </c>
      <c r="D158" s="46" t="str">
        <f>قنا!D10</f>
        <v>أحمد محمد مصطفى</v>
      </c>
      <c r="E158" s="47">
        <f>قنا!E10</f>
        <v>3</v>
      </c>
      <c r="F158" s="50">
        <f>قنا!F10</f>
        <v>43227</v>
      </c>
      <c r="G158" s="50"/>
      <c r="H158" s="46">
        <f>قنا!H10</f>
        <v>0</v>
      </c>
      <c r="I158" s="46">
        <f>قنا!I10</f>
        <v>0</v>
      </c>
      <c r="J158" s="46">
        <f>قنا!J10</f>
        <v>11705.4</v>
      </c>
      <c r="K158" s="46">
        <f>قنا!K10</f>
        <v>90</v>
      </c>
      <c r="L158" s="46">
        <f>SUM(إجمالي.المعاشات[[#This Row],[منحة 6شهور]:[مقابل نقدي]])</f>
        <v>11705.4</v>
      </c>
      <c r="M158" s="46">
        <f>SUMIF(بيان.معاشات.قنا[الإسم],بيانات!D158:D196,بيان.معاشات.قنا[إجمالي المنصرف])</f>
        <v>1773</v>
      </c>
      <c r="N158" s="46">
        <f>إجمالي.المعاشات[[#This Row],[إجمالي المستحق]]-إجمالي.المعاشات[[#This Row],[المنصرف]]</f>
        <v>9932.4</v>
      </c>
      <c r="O158" s="46">
        <f>(إجمالي.المعاشات[[#This Row],[منحة 6شهور]]+إجمالي.المعاشات[[#This Row],[مستحقات]])-إجمالي.المعاشات[[#This Row],[المنصرف]]</f>
        <v>-1773</v>
      </c>
      <c r="P158" s="46">
        <f>IF(إجمالي.المعاشات[[#This Row],[المتبقي من المنحة]]&lt;0,0,إجمالي.المعاشات[[#This Row],[المتبقي من المنحة]])</f>
        <v>0</v>
      </c>
      <c r="Q15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9932.4</v>
      </c>
      <c r="R158" s="192">
        <f>إجمالي.المعاشات[[#This Row],[المتبقي]]</f>
        <v>9932.4</v>
      </c>
      <c r="S158" s="192" t="s">
        <v>403</v>
      </c>
    </row>
    <row r="159" spans="3:19" ht="21" x14ac:dyDescent="0.35">
      <c r="C159" s="103">
        <f>قنا!C11</f>
        <v>4</v>
      </c>
      <c r="D159" s="46" t="str">
        <f>قنا!D11</f>
        <v>علي محمود عبد الرحيم</v>
      </c>
      <c r="E159" s="47">
        <f>قنا!E11</f>
        <v>5</v>
      </c>
      <c r="F159" s="50">
        <f>قنا!F11</f>
        <v>43266</v>
      </c>
      <c r="G159" s="50"/>
      <c r="H159" s="46">
        <f>قنا!H11</f>
        <v>0</v>
      </c>
      <c r="I159" s="46">
        <f>قنا!I11</f>
        <v>0</v>
      </c>
      <c r="J159" s="46">
        <f>قنا!J11</f>
        <v>11316.6</v>
      </c>
      <c r="K159" s="46">
        <f>قنا!K11</f>
        <v>90</v>
      </c>
      <c r="L159" s="46">
        <f>SUM(إجمالي.المعاشات[[#This Row],[منحة 6شهور]:[مقابل نقدي]])</f>
        <v>11316.6</v>
      </c>
      <c r="M159" s="46">
        <f>SUMIF(بيان.معاشات.قنا[الإسم],بيانات!D159:D197,بيان.معاشات.قنا[إجمالي المنصرف])</f>
        <v>2500</v>
      </c>
      <c r="N159" s="46">
        <f>إجمالي.المعاشات[[#This Row],[إجمالي المستحق]]-إجمالي.المعاشات[[#This Row],[المنصرف]]</f>
        <v>8816.6</v>
      </c>
      <c r="O159" s="46">
        <f>(إجمالي.المعاشات[[#This Row],[منحة 6شهور]]+إجمالي.المعاشات[[#This Row],[مستحقات]])-إجمالي.المعاشات[[#This Row],[المنصرف]]</f>
        <v>-2500</v>
      </c>
      <c r="P159" s="46">
        <f>IF(إجمالي.المعاشات[[#This Row],[المتبقي من المنحة]]&lt;0,0,إجمالي.المعاشات[[#This Row],[المتبقي من المنحة]])</f>
        <v>0</v>
      </c>
      <c r="Q15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8816.6</v>
      </c>
      <c r="R159" s="192">
        <f>إجمالي.المعاشات[[#This Row],[المتبقي]]</f>
        <v>8816.6</v>
      </c>
      <c r="S159" s="192" t="s">
        <v>403</v>
      </c>
    </row>
    <row r="160" spans="3:19" ht="21" x14ac:dyDescent="0.35">
      <c r="C160" s="103">
        <f>قنا!C12</f>
        <v>5</v>
      </c>
      <c r="D160" s="46" t="str">
        <f>قنا!D12</f>
        <v>سيد أحمد علي حسين</v>
      </c>
      <c r="E160" s="47">
        <f>قنا!E12</f>
        <v>7</v>
      </c>
      <c r="F160" s="50">
        <f>قنا!F12</f>
        <v>44320</v>
      </c>
      <c r="G160" s="50"/>
      <c r="H160" s="46">
        <f>قنا!H12</f>
        <v>21208.080000000002</v>
      </c>
      <c r="I160" s="46">
        <f>قنا!I12</f>
        <v>0</v>
      </c>
      <c r="J160" s="46">
        <f>قنا!J12</f>
        <v>20899.8</v>
      </c>
      <c r="K160" s="46">
        <f>قنا!K12</f>
        <v>90</v>
      </c>
      <c r="L160" s="46">
        <f>SUM(إجمالي.المعاشات[[#This Row],[منحة 6شهور]:[مقابل نقدي]])</f>
        <v>42107.880000000005</v>
      </c>
      <c r="M160" s="46">
        <f>SUMIF(بيان.معاشات.قنا[الإسم],بيانات!D160:D198,بيان.معاشات.قنا[إجمالي المنصرف])</f>
        <v>11000</v>
      </c>
      <c r="N160" s="46">
        <f>إجمالي.المعاشات[[#This Row],[إجمالي المستحق]]-إجمالي.المعاشات[[#This Row],[المنصرف]]</f>
        <v>31107.880000000005</v>
      </c>
      <c r="O160" s="46">
        <f>(إجمالي.المعاشات[[#This Row],[منحة 6شهور]]+إجمالي.المعاشات[[#This Row],[مستحقات]])-إجمالي.المعاشات[[#This Row],[المنصرف]]</f>
        <v>10208.080000000002</v>
      </c>
      <c r="P160" s="46">
        <f>IF(إجمالي.المعاشات[[#This Row],[المتبقي من المنحة]]&lt;0,0,إجمالي.المعاشات[[#This Row],[المتبقي من المنحة]])</f>
        <v>10208.080000000002</v>
      </c>
      <c r="Q16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20899.8</v>
      </c>
      <c r="R160" s="192">
        <f>إجمالي.المعاشات[[#This Row],[المتبقي]]</f>
        <v>31107.880000000005</v>
      </c>
      <c r="S160" s="192" t="s">
        <v>403</v>
      </c>
    </row>
    <row r="161" spans="3:19" ht="21" x14ac:dyDescent="0.35">
      <c r="C161" s="103">
        <f>قنا!C13</f>
        <v>6</v>
      </c>
      <c r="D161" s="46" t="str">
        <f>قنا!D13</f>
        <v>مصطفى محمد فارس</v>
      </c>
      <c r="E161" s="47">
        <f>قنا!E13</f>
        <v>9</v>
      </c>
      <c r="F161" s="50">
        <f>قنا!F13</f>
        <v>43722</v>
      </c>
      <c r="G161" s="50"/>
      <c r="H161" s="46">
        <f>قنا!H13</f>
        <v>17707.919999999998</v>
      </c>
      <c r="I161" s="46">
        <f>قنا!I13</f>
        <v>0</v>
      </c>
      <c r="J161" s="46">
        <f>قنا!J13</f>
        <v>13728.6</v>
      </c>
      <c r="K161" s="46">
        <f>قنا!K13</f>
        <v>90</v>
      </c>
      <c r="L161" s="46">
        <f>SUM(إجمالي.المعاشات[[#This Row],[منحة 6شهور]:[مقابل نقدي]])</f>
        <v>31436.519999999997</v>
      </c>
      <c r="M161" s="46">
        <f>SUMIF(بيان.معاشات.قنا[الإسم],بيانات!D161:D199,بيان.معاشات.قنا[إجمالي المنصرف])</f>
        <v>17707.919999999998</v>
      </c>
      <c r="N161" s="46">
        <f>إجمالي.المعاشات[[#This Row],[إجمالي المستحق]]-إجمالي.المعاشات[[#This Row],[المنصرف]]</f>
        <v>13728.599999999999</v>
      </c>
      <c r="O161" s="46">
        <f>(إجمالي.المعاشات[[#This Row],[منحة 6شهور]]+إجمالي.المعاشات[[#This Row],[مستحقات]])-إجمالي.المعاشات[[#This Row],[المنصرف]]</f>
        <v>0</v>
      </c>
      <c r="P161" s="46">
        <f>IF(إجمالي.المعاشات[[#This Row],[المتبقي من المنحة]]&lt;0,0,إجمالي.المعاشات[[#This Row],[المتبقي من المنحة]])</f>
        <v>0</v>
      </c>
      <c r="Q16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13728.599999999999</v>
      </c>
      <c r="R161" s="192">
        <f>إجمالي.المعاشات[[#This Row],[المتبقي]]</f>
        <v>13728.599999999999</v>
      </c>
      <c r="S161" s="192" t="s">
        <v>403</v>
      </c>
    </row>
    <row r="162" spans="3:19" ht="21" x14ac:dyDescent="0.35">
      <c r="C162" s="103">
        <f>قنا!C14</f>
        <v>7</v>
      </c>
      <c r="D162" s="46" t="str">
        <f>قنا!D14</f>
        <v>عبد النعيم حسين عبد النعيم</v>
      </c>
      <c r="E162" s="47">
        <f>قنا!E14</f>
        <v>10</v>
      </c>
      <c r="F162" s="50">
        <f>قنا!F14</f>
        <v>43687</v>
      </c>
      <c r="G162" s="50"/>
      <c r="H162" s="46">
        <f>قنا!H14</f>
        <v>13564.2</v>
      </c>
      <c r="I162" s="46">
        <f>قنا!I14</f>
        <v>0</v>
      </c>
      <c r="J162" s="46">
        <f>قنا!J14</f>
        <v>3396.6</v>
      </c>
      <c r="K162" s="46">
        <f>قنا!K14</f>
        <v>27</v>
      </c>
      <c r="L162" s="46">
        <f>SUM(إجمالي.المعاشات[[#This Row],[منحة 6شهور]:[مقابل نقدي]])</f>
        <v>16960.8</v>
      </c>
      <c r="M162" s="46">
        <f>SUMIF(بيان.معاشات.قنا[الإسم],بيانات!D162:D200,بيان.معاشات.قنا[إجمالي المنصرف])</f>
        <v>14500</v>
      </c>
      <c r="N162" s="46">
        <f>إجمالي.المعاشات[[#This Row],[إجمالي المستحق]]-إجمالي.المعاشات[[#This Row],[المنصرف]]</f>
        <v>2460.7999999999993</v>
      </c>
      <c r="O162" s="46">
        <f>(إجمالي.المعاشات[[#This Row],[منحة 6شهور]]+إجمالي.المعاشات[[#This Row],[مستحقات]])-إجمالي.المعاشات[[#This Row],[المنصرف]]</f>
        <v>-935.79999999999927</v>
      </c>
      <c r="P162" s="46">
        <f>IF(إجمالي.المعاشات[[#This Row],[المتبقي من المنحة]]&lt;0,0,إجمالي.المعاشات[[#This Row],[المتبقي من المنحة]])</f>
        <v>0</v>
      </c>
      <c r="Q16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2460.7999999999993</v>
      </c>
      <c r="R162" s="192">
        <f>إجمالي.المعاشات[[#This Row],[المتبقي]]</f>
        <v>2460.7999999999993</v>
      </c>
      <c r="S162" s="192" t="s">
        <v>403</v>
      </c>
    </row>
    <row r="163" spans="3:19" ht="21" x14ac:dyDescent="0.35">
      <c r="C163" s="103">
        <f>قنا!C15</f>
        <v>8</v>
      </c>
      <c r="D163" s="46" t="str">
        <f>قنا!D15</f>
        <v>جابر شحتو حسن</v>
      </c>
      <c r="E163" s="47">
        <f>قنا!E15</f>
        <v>11</v>
      </c>
      <c r="F163" s="50">
        <f>قنا!F15</f>
        <v>43626</v>
      </c>
      <c r="G163" s="50"/>
      <c r="H163" s="46">
        <f>قنا!H15</f>
        <v>17072.68</v>
      </c>
      <c r="I163" s="46">
        <f>قنا!I15</f>
        <v>0</v>
      </c>
      <c r="J163" s="46">
        <f>قنا!J15</f>
        <v>13533.98</v>
      </c>
      <c r="K163" s="46">
        <f>قنا!K15</f>
        <v>90</v>
      </c>
      <c r="L163" s="46">
        <f>SUM(إجمالي.المعاشات[[#This Row],[منحة 6شهور]:[مقابل نقدي]])</f>
        <v>30606.66</v>
      </c>
      <c r="M163" s="46">
        <f>SUMIF(بيان.معاشات.قنا[الإسم],بيانات!D163:D201,بيان.معاشات.قنا[إجمالي المنصرف])</f>
        <v>17072.68</v>
      </c>
      <c r="N163" s="46">
        <f>إجمالي.المعاشات[[#This Row],[إجمالي المستحق]]-إجمالي.المعاشات[[#This Row],[المنصرف]]</f>
        <v>13533.98</v>
      </c>
      <c r="O163" s="46">
        <f>(إجمالي.المعاشات[[#This Row],[منحة 6شهور]]+إجمالي.المعاشات[[#This Row],[مستحقات]])-إجمالي.المعاشات[[#This Row],[المنصرف]]</f>
        <v>0</v>
      </c>
      <c r="P163" s="46">
        <f>IF(إجمالي.المعاشات[[#This Row],[المتبقي من المنحة]]&lt;0,0,إجمالي.المعاشات[[#This Row],[المتبقي من المنحة]])</f>
        <v>0</v>
      </c>
      <c r="Q16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13533.98</v>
      </c>
      <c r="R163" s="192">
        <f>إجمالي.المعاشات[[#This Row],[المتبقي]]</f>
        <v>13533.98</v>
      </c>
      <c r="S163" s="192" t="s">
        <v>403</v>
      </c>
    </row>
    <row r="164" spans="3:19" ht="21" x14ac:dyDescent="0.35">
      <c r="C164" s="103">
        <f>قنا!C16</f>
        <v>9</v>
      </c>
      <c r="D164" s="46" t="str">
        <f>قنا!D16</f>
        <v>صابر عاشور محمد</v>
      </c>
      <c r="E164" s="47">
        <f>قنا!E16</f>
        <v>13</v>
      </c>
      <c r="F164" s="50">
        <f>قنا!F16</f>
        <v>43601</v>
      </c>
      <c r="G164" s="50"/>
      <c r="H164" s="46">
        <f>قنا!H16</f>
        <v>11837.88</v>
      </c>
      <c r="I164" s="46">
        <f>قنا!I16</f>
        <v>0</v>
      </c>
      <c r="J164" s="46">
        <f>قنا!J16</f>
        <v>10735.2</v>
      </c>
      <c r="K164" s="46">
        <f>قنا!K16</f>
        <v>90</v>
      </c>
      <c r="L164" s="46">
        <f>SUM(إجمالي.المعاشات[[#This Row],[منحة 6شهور]:[مقابل نقدي]])</f>
        <v>22573.08</v>
      </c>
      <c r="M164" s="46">
        <f>SUMIF(بيان.معاشات.قنا[الإسم],بيانات!D164:D202,بيان.معاشات.قنا[إجمالي المنصرف])</f>
        <v>13000</v>
      </c>
      <c r="N164" s="46">
        <f>إجمالي.المعاشات[[#This Row],[إجمالي المستحق]]-إجمالي.المعاشات[[#This Row],[المنصرف]]</f>
        <v>9573.0800000000017</v>
      </c>
      <c r="O164" s="46">
        <f>(إجمالي.المعاشات[[#This Row],[منحة 6شهور]]+إجمالي.المعاشات[[#This Row],[مستحقات]])-إجمالي.المعاشات[[#This Row],[المنصرف]]</f>
        <v>-1162.1200000000008</v>
      </c>
      <c r="P164" s="46">
        <f>IF(إجمالي.المعاشات[[#This Row],[المتبقي من المنحة]]&lt;0,0,إجمالي.المعاشات[[#This Row],[المتبقي من المنحة]])</f>
        <v>0</v>
      </c>
      <c r="Q16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9573.0800000000017</v>
      </c>
      <c r="R164" s="192">
        <f>إجمالي.المعاشات[[#This Row],[المتبقي]]</f>
        <v>9573.0800000000017</v>
      </c>
      <c r="S164" s="192" t="s">
        <v>403</v>
      </c>
    </row>
    <row r="165" spans="3:19" ht="21" x14ac:dyDescent="0.35">
      <c r="C165" s="103">
        <f>قنا!C17</f>
        <v>10</v>
      </c>
      <c r="D165" s="46" t="str">
        <f>قنا!D17</f>
        <v>شوقي حمدان يونس</v>
      </c>
      <c r="E165" s="47">
        <f>قنا!E17</f>
        <v>16</v>
      </c>
      <c r="F165" s="50">
        <f>قنا!F17</f>
        <v>43483</v>
      </c>
      <c r="G165" s="50"/>
      <c r="H165" s="46">
        <f>قنا!H17</f>
        <v>16173.6</v>
      </c>
      <c r="I165" s="46">
        <f>قنا!I17</f>
        <v>0</v>
      </c>
      <c r="J165" s="46">
        <f>قنا!J17</f>
        <v>12420.47</v>
      </c>
      <c r="K165" s="46">
        <f>قنا!K17</f>
        <v>90</v>
      </c>
      <c r="L165" s="46">
        <f>SUM(إجمالي.المعاشات[[#This Row],[منحة 6شهور]:[مقابل نقدي]])</f>
        <v>28594.07</v>
      </c>
      <c r="M165" s="46">
        <f>SUMIF(بيان.معاشات.قنا[الإسم],بيانات!D165:D203,بيان.معاشات.قنا[إجمالي المنصرف])</f>
        <v>22594.07</v>
      </c>
      <c r="N165" s="46">
        <f>إجمالي.المعاشات[[#This Row],[إجمالي المستحق]]-إجمالي.المعاشات[[#This Row],[المنصرف]]</f>
        <v>6000</v>
      </c>
      <c r="O165" s="46">
        <f>(إجمالي.المعاشات[[#This Row],[منحة 6شهور]]+إجمالي.المعاشات[[#This Row],[مستحقات]])-إجمالي.المعاشات[[#This Row],[المنصرف]]</f>
        <v>-6420.4699999999993</v>
      </c>
      <c r="P165" s="46">
        <f>IF(إجمالي.المعاشات[[#This Row],[المتبقي من المنحة]]&lt;0,0,إجمالي.المعاشات[[#This Row],[المتبقي من المنحة]])</f>
        <v>0</v>
      </c>
      <c r="Q16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6000</v>
      </c>
      <c r="R165" s="192">
        <f>إجمالي.المعاشات[[#This Row],[المتبقي]]</f>
        <v>6000</v>
      </c>
      <c r="S165" s="192" t="s">
        <v>403</v>
      </c>
    </row>
    <row r="166" spans="3:19" ht="21" x14ac:dyDescent="0.35">
      <c r="C166" s="103">
        <f>قنا!C18</f>
        <v>11</v>
      </c>
      <c r="D166" s="46" t="str">
        <f>قنا!D18</f>
        <v>خميس أحمد علي</v>
      </c>
      <c r="E166" s="47">
        <f>قنا!E18</f>
        <v>17</v>
      </c>
      <c r="F166" s="50">
        <f>قنا!F18</f>
        <v>43475</v>
      </c>
      <c r="G166" s="50"/>
      <c r="H166" s="46">
        <f>قنا!H18</f>
        <v>14048.1</v>
      </c>
      <c r="I166" s="46">
        <f>قنا!I18</f>
        <v>0</v>
      </c>
      <c r="J166" s="46">
        <f>قنا!J18</f>
        <v>12708.13</v>
      </c>
      <c r="K166" s="46">
        <f>قنا!K18</f>
        <v>90</v>
      </c>
      <c r="L166" s="46">
        <f>SUM(إجمالي.المعاشات[[#This Row],[منحة 6شهور]:[مقابل نقدي]])</f>
        <v>26756.23</v>
      </c>
      <c r="M166" s="46">
        <f>SUMIF(بيان.معاشات.قنا[الإسم],بيانات!D166:D204,بيان.معاشات.قنا[إجمالي المنصرف])</f>
        <v>14500</v>
      </c>
      <c r="N166" s="46">
        <f>إجمالي.المعاشات[[#This Row],[إجمالي المستحق]]-إجمالي.المعاشات[[#This Row],[المنصرف]]</f>
        <v>12256.23</v>
      </c>
      <c r="O166" s="46">
        <f>(إجمالي.المعاشات[[#This Row],[منحة 6شهور]]+إجمالي.المعاشات[[#This Row],[مستحقات]])-إجمالي.المعاشات[[#This Row],[المنصرف]]</f>
        <v>-451.89999999999964</v>
      </c>
      <c r="P166" s="46">
        <f>IF(إجمالي.المعاشات[[#This Row],[المتبقي من المنحة]]&lt;0,0,إجمالي.المعاشات[[#This Row],[المتبقي من المنحة]])</f>
        <v>0</v>
      </c>
      <c r="Q16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12256.23</v>
      </c>
      <c r="R166" s="192">
        <f>إجمالي.المعاشات[[#This Row],[المتبقي]]</f>
        <v>12256.23</v>
      </c>
      <c r="S166" s="192" t="s">
        <v>403</v>
      </c>
    </row>
    <row r="167" spans="3:19" ht="21" x14ac:dyDescent="0.35">
      <c r="C167" s="103">
        <f>قنا!C19</f>
        <v>12</v>
      </c>
      <c r="D167" s="46" t="str">
        <f>قنا!D19</f>
        <v>سيد أحمد حسان</v>
      </c>
      <c r="E167" s="47">
        <f>قنا!E19</f>
        <v>20</v>
      </c>
      <c r="F167" s="50">
        <f>قنا!F19</f>
        <v>43874</v>
      </c>
      <c r="G167" s="50"/>
      <c r="H167" s="46">
        <f>قنا!H19</f>
        <v>14044.42</v>
      </c>
      <c r="I167" s="46">
        <f>قنا!I19</f>
        <v>0</v>
      </c>
      <c r="J167" s="46">
        <f>قنا!J19</f>
        <v>16160</v>
      </c>
      <c r="K167" s="46">
        <f>قنا!K19</f>
        <v>90</v>
      </c>
      <c r="L167" s="46">
        <f>SUM(إجمالي.المعاشات[[#This Row],[منحة 6شهور]:[مقابل نقدي]])</f>
        <v>30204.42</v>
      </c>
      <c r="M167" s="46">
        <f>SUMIF(بيان.معاشات.قنا[الإسم],بيانات!D167:D205,بيان.معاشات.قنا[إجمالي المنصرف])</f>
        <v>15391</v>
      </c>
      <c r="N167" s="46">
        <f>إجمالي.المعاشات[[#This Row],[إجمالي المستحق]]-إجمالي.المعاشات[[#This Row],[المنصرف]]</f>
        <v>14813.419999999998</v>
      </c>
      <c r="O167" s="46">
        <f>(إجمالي.المعاشات[[#This Row],[منحة 6شهور]]+إجمالي.المعاشات[[#This Row],[مستحقات]])-إجمالي.المعاشات[[#This Row],[المنصرف]]</f>
        <v>-1346.58</v>
      </c>
      <c r="P167" s="46">
        <f>IF(إجمالي.المعاشات[[#This Row],[المتبقي من المنحة]]&lt;0,0,إجمالي.المعاشات[[#This Row],[المتبقي من المنحة]])</f>
        <v>0</v>
      </c>
      <c r="Q16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14813.419999999998</v>
      </c>
      <c r="R167" s="192">
        <f>إجمالي.المعاشات[[#This Row],[المتبقي]]</f>
        <v>14813.419999999998</v>
      </c>
      <c r="S167" s="192" t="s">
        <v>403</v>
      </c>
    </row>
    <row r="168" spans="3:19" ht="21" x14ac:dyDescent="0.35">
      <c r="C168" s="103">
        <f>قنا!C20</f>
        <v>13</v>
      </c>
      <c r="D168" s="46" t="str">
        <f>قنا!D20</f>
        <v>عبد الحي أحمد سباق</v>
      </c>
      <c r="E168" s="47">
        <f>قنا!E20</f>
        <v>21</v>
      </c>
      <c r="F168" s="50">
        <f>قنا!F20</f>
        <v>43828</v>
      </c>
      <c r="G168" s="50"/>
      <c r="H168" s="46">
        <f>قنا!H20</f>
        <v>14605.56</v>
      </c>
      <c r="I168" s="46">
        <f>قنا!I20</f>
        <v>0</v>
      </c>
      <c r="J168" s="46">
        <f>قنا!J20</f>
        <v>10961.69</v>
      </c>
      <c r="K168" s="46">
        <f>قنا!K20</f>
        <v>90</v>
      </c>
      <c r="L168" s="46">
        <f>SUM(إجمالي.المعاشات[[#This Row],[منحة 6شهور]:[مقابل نقدي]])</f>
        <v>25567.25</v>
      </c>
      <c r="M168" s="46">
        <f>SUMIF(بيان.معاشات.قنا[الإسم],بيانات!D168:D206,بيان.معاشات.قنا[إجمالي المنصرف])</f>
        <v>14605.56</v>
      </c>
      <c r="N168" s="46">
        <f>إجمالي.المعاشات[[#This Row],[إجمالي المستحق]]-إجمالي.المعاشات[[#This Row],[المنصرف]]</f>
        <v>10961.69</v>
      </c>
      <c r="O168" s="46">
        <f>(إجمالي.المعاشات[[#This Row],[منحة 6شهور]]+إجمالي.المعاشات[[#This Row],[مستحقات]])-إجمالي.المعاشات[[#This Row],[المنصرف]]</f>
        <v>0</v>
      </c>
      <c r="P168" s="46">
        <f>IF(إجمالي.المعاشات[[#This Row],[المتبقي من المنحة]]&lt;0,0,إجمالي.المعاشات[[#This Row],[المتبقي من المنحة]])</f>
        <v>0</v>
      </c>
      <c r="Q16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10961.69</v>
      </c>
      <c r="R168" s="192">
        <f>إجمالي.المعاشات[[#This Row],[المتبقي]]</f>
        <v>10961.69</v>
      </c>
      <c r="S168" s="192" t="s">
        <v>403</v>
      </c>
    </row>
    <row r="169" spans="3:19" ht="21" x14ac:dyDescent="0.35">
      <c r="C169" s="103">
        <f>قنا!C21</f>
        <v>14</v>
      </c>
      <c r="D169" s="46" t="str">
        <f>قنا!D21</f>
        <v>بدري عبد الستار حسن</v>
      </c>
      <c r="E169" s="47">
        <f>قنا!E21</f>
        <v>22</v>
      </c>
      <c r="F169" s="50">
        <f>قنا!F21</f>
        <v>43848</v>
      </c>
      <c r="G169" s="50"/>
      <c r="H169" s="46">
        <f>قنا!H21</f>
        <v>13871.2</v>
      </c>
      <c r="I169" s="46">
        <f>قنا!I21</f>
        <v>0</v>
      </c>
      <c r="J169" s="46">
        <f>قنا!J21</f>
        <v>13380</v>
      </c>
      <c r="K169" s="46">
        <f>قنا!K21</f>
        <v>90</v>
      </c>
      <c r="L169" s="46">
        <f>SUM(إجمالي.المعاشات[[#This Row],[منحة 6شهور]:[مقابل نقدي]])</f>
        <v>27251.200000000001</v>
      </c>
      <c r="M169" s="46">
        <f>SUMIF(بيان.معاشات.قنا[الإسم],بيانات!D169:D207,بيان.معاشات.قنا[إجمالي المنصرف])</f>
        <v>15751.2</v>
      </c>
      <c r="N169" s="46">
        <f>إجمالي.المعاشات[[#This Row],[إجمالي المستحق]]-إجمالي.المعاشات[[#This Row],[المنصرف]]</f>
        <v>11500</v>
      </c>
      <c r="O169" s="46">
        <f>(إجمالي.المعاشات[[#This Row],[منحة 6شهور]]+إجمالي.المعاشات[[#This Row],[مستحقات]])-إجمالي.المعاشات[[#This Row],[المنصرف]]</f>
        <v>-1880</v>
      </c>
      <c r="P169" s="46">
        <f>IF(إجمالي.المعاشات[[#This Row],[المتبقي من المنحة]]&lt;0,0,إجمالي.المعاشات[[#This Row],[المتبقي من المنحة]])</f>
        <v>0</v>
      </c>
      <c r="Q16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11500</v>
      </c>
      <c r="R169" s="192">
        <f>إجمالي.المعاشات[[#This Row],[المتبقي]]</f>
        <v>11500</v>
      </c>
      <c r="S169" s="192" t="s">
        <v>403</v>
      </c>
    </row>
    <row r="170" spans="3:19" ht="21" x14ac:dyDescent="0.35">
      <c r="C170" s="103">
        <f>قنا!C22</f>
        <v>15</v>
      </c>
      <c r="D170" s="46" t="str">
        <f>قنا!D22</f>
        <v>جمال محمود إبراهيم</v>
      </c>
      <c r="E170" s="47">
        <f>قنا!E22</f>
        <v>23</v>
      </c>
      <c r="F170" s="50">
        <f>قنا!F22</f>
        <v>43811</v>
      </c>
      <c r="G170" s="50"/>
      <c r="H170" s="46">
        <f>قنا!H22</f>
        <v>10139.33</v>
      </c>
      <c r="I170" s="46">
        <f>قنا!I22</f>
        <v>0</v>
      </c>
      <c r="J170" s="46">
        <f>قنا!J22</f>
        <v>12679.2</v>
      </c>
      <c r="K170" s="46">
        <f>قنا!K22</f>
        <v>90</v>
      </c>
      <c r="L170" s="46">
        <f>SUM(إجمالي.المعاشات[[#This Row],[منحة 6شهور]:[مقابل نقدي]])</f>
        <v>22818.53</v>
      </c>
      <c r="M170" s="46">
        <f>SUMIF(بيان.معاشات.قنا[الإسم],بيانات!D170:D208,بيان.معاشات.قنا[إجمالي المنصرف])</f>
        <v>16916.28</v>
      </c>
      <c r="N170" s="46">
        <f>إجمالي.المعاشات[[#This Row],[إجمالي المستحق]]-إجمالي.المعاشات[[#This Row],[المنصرف]]</f>
        <v>5902.25</v>
      </c>
      <c r="O170" s="46">
        <f>(إجمالي.المعاشات[[#This Row],[منحة 6شهور]]+إجمالي.المعاشات[[#This Row],[مستحقات]])-إجمالي.المعاشات[[#This Row],[المنصرف]]</f>
        <v>-6776.9499999999989</v>
      </c>
      <c r="P170" s="46">
        <f>IF(إجمالي.المعاشات[[#This Row],[المتبقي من المنحة]]&lt;0,0,إجمالي.المعاشات[[#This Row],[المتبقي من المنحة]])</f>
        <v>0</v>
      </c>
      <c r="Q17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5902.25</v>
      </c>
      <c r="R170" s="192">
        <f>إجمالي.المعاشات[[#This Row],[المتبقي]]</f>
        <v>5902.25</v>
      </c>
      <c r="S170" s="192" t="s">
        <v>403</v>
      </c>
    </row>
    <row r="171" spans="3:19" ht="21" x14ac:dyDescent="0.35">
      <c r="C171" s="103">
        <f>قنا!C23</f>
        <v>16</v>
      </c>
      <c r="D171" s="46" t="str">
        <f>قنا!D23</f>
        <v>حمدي مبارك مصطفى</v>
      </c>
      <c r="E171" s="47">
        <f>قنا!E23</f>
        <v>24</v>
      </c>
      <c r="F171" s="50">
        <f>قنا!F23</f>
        <v>43806</v>
      </c>
      <c r="G171" s="50"/>
      <c r="H171" s="46">
        <f>قنا!H23</f>
        <v>20239.86</v>
      </c>
      <c r="I171" s="46">
        <f>قنا!I23</f>
        <v>0</v>
      </c>
      <c r="J171" s="46">
        <f>قنا!J23</f>
        <v>14727.6</v>
      </c>
      <c r="K171" s="46">
        <f>قنا!K23</f>
        <v>90</v>
      </c>
      <c r="L171" s="46">
        <f>SUM(إجمالي.المعاشات[[#This Row],[منحة 6شهور]:[مقابل نقدي]])</f>
        <v>34967.46</v>
      </c>
      <c r="M171" s="46">
        <f>SUMIF(بيان.معاشات.قنا[الإسم],بيانات!D171:D209,بيان.معاشات.قنا[إجمالي المنصرف])</f>
        <v>16739.86</v>
      </c>
      <c r="N171" s="46">
        <f>إجمالي.المعاشات[[#This Row],[إجمالي المستحق]]-إجمالي.المعاشات[[#This Row],[المنصرف]]</f>
        <v>18227.599999999999</v>
      </c>
      <c r="O171" s="46">
        <f>(إجمالي.المعاشات[[#This Row],[منحة 6شهور]]+إجمالي.المعاشات[[#This Row],[مستحقات]])-إجمالي.المعاشات[[#This Row],[المنصرف]]</f>
        <v>3500</v>
      </c>
      <c r="P171" s="46">
        <f>IF(إجمالي.المعاشات[[#This Row],[المتبقي من المنحة]]&lt;0,0,إجمالي.المعاشات[[#This Row],[المتبقي من المنحة]])</f>
        <v>3500</v>
      </c>
      <c r="Q17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14727.6</v>
      </c>
      <c r="R171" s="192">
        <f>إجمالي.المعاشات[[#This Row],[المتبقي]]</f>
        <v>18227.599999999999</v>
      </c>
      <c r="S171" s="192" t="s">
        <v>403</v>
      </c>
    </row>
    <row r="172" spans="3:19" ht="21" x14ac:dyDescent="0.35">
      <c r="C172" s="103">
        <f>قنا!C24</f>
        <v>17</v>
      </c>
      <c r="D172" s="46" t="str">
        <f>قنا!D24</f>
        <v>ممدوح الله جابو سعد</v>
      </c>
      <c r="E172" s="47">
        <f>قنا!E24</f>
        <v>25</v>
      </c>
      <c r="F172" s="50">
        <f>قنا!F24</f>
        <v>43943</v>
      </c>
      <c r="G172" s="50"/>
      <c r="H172" s="46">
        <f>قنا!H24</f>
        <v>18521.28</v>
      </c>
      <c r="I172" s="46">
        <f>قنا!I24</f>
        <v>0</v>
      </c>
      <c r="J172" s="46">
        <f>قنا!J24</f>
        <v>16110</v>
      </c>
      <c r="K172" s="46">
        <f>قنا!K24</f>
        <v>90</v>
      </c>
      <c r="L172" s="46">
        <f>SUM(إجمالي.المعاشات[[#This Row],[منحة 6شهور]:[مقابل نقدي]])</f>
        <v>34631.279999999999</v>
      </c>
      <c r="M172" s="46">
        <f>SUMIF(بيان.معاشات.قنا[الإسم],بيانات!D172:D210,بيان.معاشات.قنا[إجمالي المنصرف])</f>
        <v>13021.279999999999</v>
      </c>
      <c r="N172" s="46">
        <f>إجمالي.المعاشات[[#This Row],[إجمالي المستحق]]-إجمالي.المعاشات[[#This Row],[المنصرف]]</f>
        <v>21610</v>
      </c>
      <c r="O172" s="46">
        <f>(إجمالي.المعاشات[[#This Row],[منحة 6شهور]]+إجمالي.المعاشات[[#This Row],[مستحقات]])-إجمالي.المعاشات[[#This Row],[المنصرف]]</f>
        <v>5500</v>
      </c>
      <c r="P172" s="46">
        <f>IF(إجمالي.المعاشات[[#This Row],[المتبقي من المنحة]]&lt;0,0,إجمالي.المعاشات[[#This Row],[المتبقي من المنحة]])</f>
        <v>5500</v>
      </c>
      <c r="Q17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16110</v>
      </c>
      <c r="R172" s="192">
        <f>إجمالي.المعاشات[[#This Row],[المتبقي]]</f>
        <v>21610</v>
      </c>
      <c r="S172" s="192" t="s">
        <v>403</v>
      </c>
    </row>
    <row r="173" spans="3:19" ht="21" x14ac:dyDescent="0.35">
      <c r="C173" s="103">
        <f>قنا!C25</f>
        <v>18</v>
      </c>
      <c r="D173" s="46" t="str">
        <f>قنا!D25</f>
        <v>عابد جاد سليمان</v>
      </c>
      <c r="E173" s="47">
        <f>قنا!E25</f>
        <v>26</v>
      </c>
      <c r="F173" s="50">
        <f>قنا!F25</f>
        <v>44029</v>
      </c>
      <c r="G173" s="50"/>
      <c r="H173" s="46">
        <f>قنا!H25</f>
        <v>15489.06</v>
      </c>
      <c r="I173" s="46">
        <f>قنا!I25</f>
        <v>0</v>
      </c>
      <c r="J173" s="46">
        <f>قنا!J25</f>
        <v>15135.3</v>
      </c>
      <c r="K173" s="46">
        <f>قنا!K25</f>
        <v>90</v>
      </c>
      <c r="L173" s="46">
        <f>SUM(إجمالي.المعاشات[[#This Row],[منحة 6شهور]:[مقابل نقدي]])</f>
        <v>30624.36</v>
      </c>
      <c r="M173" s="46">
        <f>SUMIF(بيان.معاشات.قنا[الإسم],بيانات!D173:D211,بيان.معاشات.قنا[إجمالي المنصرف])</f>
        <v>15489.06</v>
      </c>
      <c r="N173" s="46">
        <f>إجمالي.المعاشات[[#This Row],[إجمالي المستحق]]-إجمالي.المعاشات[[#This Row],[المنصرف]]</f>
        <v>15135.300000000001</v>
      </c>
      <c r="O173" s="46">
        <f>(إجمالي.المعاشات[[#This Row],[منحة 6شهور]]+إجمالي.المعاشات[[#This Row],[مستحقات]])-إجمالي.المعاشات[[#This Row],[المنصرف]]</f>
        <v>0</v>
      </c>
      <c r="P173" s="46">
        <f>IF(إجمالي.المعاشات[[#This Row],[المتبقي من المنحة]]&lt;0,0,إجمالي.المعاشات[[#This Row],[المتبقي من المنحة]])</f>
        <v>0</v>
      </c>
      <c r="Q17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15135.300000000001</v>
      </c>
      <c r="R173" s="192">
        <f>إجمالي.المعاشات[[#This Row],[المتبقي]]</f>
        <v>15135.300000000001</v>
      </c>
      <c r="S173" s="192" t="s">
        <v>403</v>
      </c>
    </row>
    <row r="174" spans="3:19" ht="21" x14ac:dyDescent="0.35">
      <c r="C174" s="103">
        <f>قنا!C26</f>
        <v>19</v>
      </c>
      <c r="D174" s="46" t="str">
        <f>قنا!D26</f>
        <v>سعاد أبو المجد حمزة</v>
      </c>
      <c r="E174" s="47">
        <f>قنا!E26</f>
        <v>27</v>
      </c>
      <c r="F174" s="50">
        <f>قنا!F26</f>
        <v>44108</v>
      </c>
      <c r="G174" s="50"/>
      <c r="H174" s="46">
        <f>قنا!H26</f>
        <v>18367.32</v>
      </c>
      <c r="I174" s="46">
        <f>قنا!I26</f>
        <v>0</v>
      </c>
      <c r="J174" s="46">
        <f>قنا!J26</f>
        <v>19170</v>
      </c>
      <c r="K174" s="46">
        <f>قنا!K26</f>
        <v>90</v>
      </c>
      <c r="L174" s="46">
        <f>SUM(إجمالي.المعاشات[[#This Row],[منحة 6شهور]:[مقابل نقدي]])</f>
        <v>37537.32</v>
      </c>
      <c r="M174" s="46">
        <f>SUMIF(بيان.معاشات.قنا[الإسم],بيانات!D174:D212,بيان.معاشات.قنا[إجمالي المنصرف])</f>
        <v>13500</v>
      </c>
      <c r="N174" s="46">
        <f>إجمالي.المعاشات[[#This Row],[إجمالي المستحق]]-إجمالي.المعاشات[[#This Row],[المنصرف]]</f>
        <v>24037.32</v>
      </c>
      <c r="O174" s="46">
        <f>(إجمالي.المعاشات[[#This Row],[منحة 6شهور]]+إجمالي.المعاشات[[#This Row],[مستحقات]])-إجمالي.المعاشات[[#This Row],[المنصرف]]</f>
        <v>4867.32</v>
      </c>
      <c r="P174" s="46">
        <f>IF(إجمالي.المعاشات[[#This Row],[المتبقي من المنحة]]&lt;0,0,إجمالي.المعاشات[[#This Row],[المتبقي من المنحة]])</f>
        <v>4867.32</v>
      </c>
      <c r="Q17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19170</v>
      </c>
      <c r="R174" s="192">
        <f>إجمالي.المعاشات[[#This Row],[المتبقي]]</f>
        <v>24037.32</v>
      </c>
      <c r="S174" s="192" t="s">
        <v>403</v>
      </c>
    </row>
    <row r="175" spans="3:19" ht="21" x14ac:dyDescent="0.35">
      <c r="C175" s="103">
        <f>قنا!C27</f>
        <v>20</v>
      </c>
      <c r="D175" s="46" t="str">
        <f>قنا!D27</f>
        <v>محمد عبد المريد حسين</v>
      </c>
      <c r="E175" s="47">
        <f>قنا!E27</f>
        <v>28</v>
      </c>
      <c r="F175" s="50">
        <f>قنا!F27</f>
        <v>44166</v>
      </c>
      <c r="G175" s="50"/>
      <c r="H175" s="46">
        <f>قنا!H27</f>
        <v>20495.740000000002</v>
      </c>
      <c r="I175" s="46">
        <f>قنا!I27</f>
        <v>0</v>
      </c>
      <c r="J175" s="46">
        <f>قنا!J27</f>
        <v>20462.400000000001</v>
      </c>
      <c r="K175" s="46">
        <f>قنا!K27</f>
        <v>90</v>
      </c>
      <c r="L175" s="46">
        <f>SUM(إجمالي.المعاشات[[#This Row],[منحة 6شهور]:[مقابل نقدي]])</f>
        <v>40958.14</v>
      </c>
      <c r="M175" s="46">
        <f>SUMIF(بيان.معاشات.قنا[الإسم],بيانات!D175:D213,بيان.معاشات.قنا[إجمالي المنصرف])</f>
        <v>11500</v>
      </c>
      <c r="N175" s="46">
        <f>إجمالي.المعاشات[[#This Row],[إجمالي المستحق]]-إجمالي.المعاشات[[#This Row],[المنصرف]]</f>
        <v>29458.14</v>
      </c>
      <c r="O175" s="46">
        <f>(إجمالي.المعاشات[[#This Row],[منحة 6شهور]]+إجمالي.المعاشات[[#This Row],[مستحقات]])-إجمالي.المعاشات[[#This Row],[المنصرف]]</f>
        <v>8995.7400000000016</v>
      </c>
      <c r="P175" s="46">
        <f>IF(إجمالي.المعاشات[[#This Row],[المتبقي من المنحة]]&lt;0,0,إجمالي.المعاشات[[#This Row],[المتبقي من المنحة]])</f>
        <v>8995.7400000000016</v>
      </c>
      <c r="Q17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20462.400000000001</v>
      </c>
      <c r="R175" s="192">
        <f>إجمالي.المعاشات[[#This Row],[المتبقي]]</f>
        <v>29458.14</v>
      </c>
      <c r="S175" s="192" t="s">
        <v>403</v>
      </c>
    </row>
    <row r="176" spans="3:19" ht="21" x14ac:dyDescent="0.35">
      <c r="C176" s="103">
        <f>قنا!C28</f>
        <v>21</v>
      </c>
      <c r="D176" s="46" t="str">
        <f>قنا!D28</f>
        <v>حسن علي أحمد سلامة</v>
      </c>
      <c r="E176" s="47">
        <f>قنا!E28</f>
        <v>29</v>
      </c>
      <c r="F176" s="50">
        <f>قنا!F28</f>
        <v>44178</v>
      </c>
      <c r="G176" s="50"/>
      <c r="H176" s="46">
        <f>قنا!H28</f>
        <v>14136.42</v>
      </c>
      <c r="I176" s="46">
        <f>قنا!I28</f>
        <v>0</v>
      </c>
      <c r="J176" s="46">
        <f>قنا!J28</f>
        <v>8841.7999999999993</v>
      </c>
      <c r="K176" s="46">
        <f>قنا!K28</f>
        <v>90</v>
      </c>
      <c r="L176" s="46">
        <f>SUM(إجمالي.المعاشات[[#This Row],[منحة 6شهور]:[مقابل نقدي]])</f>
        <v>22978.22</v>
      </c>
      <c r="M176" s="46">
        <f>SUMIF(بيان.معاشات.قنا[الإسم],بيانات!D176:D214,بيان.معاشات.قنا[إجمالي المنصرف])</f>
        <v>7500</v>
      </c>
      <c r="N176" s="46">
        <f>إجمالي.المعاشات[[#This Row],[إجمالي المستحق]]-إجمالي.المعاشات[[#This Row],[المنصرف]]</f>
        <v>15478.220000000001</v>
      </c>
      <c r="O176" s="46">
        <f>(إجمالي.المعاشات[[#This Row],[منحة 6شهور]]+إجمالي.المعاشات[[#This Row],[مستحقات]])-إجمالي.المعاشات[[#This Row],[المنصرف]]</f>
        <v>6636.42</v>
      </c>
      <c r="P176" s="46">
        <f>IF(إجمالي.المعاشات[[#This Row],[المتبقي من المنحة]]&lt;0,0,إجمالي.المعاشات[[#This Row],[المتبقي من المنحة]])</f>
        <v>6636.42</v>
      </c>
      <c r="Q17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8841.7999999999993</v>
      </c>
      <c r="R176" s="192">
        <f>إجمالي.المعاشات[[#This Row],[المتبقي]]</f>
        <v>15478.220000000001</v>
      </c>
      <c r="S176" s="192" t="s">
        <v>403</v>
      </c>
    </row>
    <row r="177" spans="3:19" ht="21" x14ac:dyDescent="0.35">
      <c r="C177" s="103">
        <f>قنا!C29</f>
        <v>22</v>
      </c>
      <c r="D177" s="46" t="str">
        <f>قنا!D29</f>
        <v>ممدوح سعد الدين محمد</v>
      </c>
      <c r="E177" s="47">
        <f>قنا!E29</f>
        <v>30</v>
      </c>
      <c r="F177" s="50">
        <f>قنا!F29</f>
        <v>44459</v>
      </c>
      <c r="G177" s="50"/>
      <c r="H177" s="46">
        <f>قنا!H29</f>
        <v>16708.8</v>
      </c>
      <c r="I177" s="46">
        <f>قنا!I29</f>
        <v>0</v>
      </c>
      <c r="J177" s="46">
        <f>قنا!J29</f>
        <v>15718.48</v>
      </c>
      <c r="K177" s="46">
        <f>قنا!K29</f>
        <v>90</v>
      </c>
      <c r="L177" s="46">
        <f>SUM(إجمالي.المعاشات[[#This Row],[منحة 6شهور]:[مقابل نقدي]])</f>
        <v>32427.279999999999</v>
      </c>
      <c r="M177" s="46">
        <f>SUMIF(بيان.معاشات.قنا[الإسم],بيانات!D177:D215,بيان.معاشات.قنا[إجمالي المنصرف])</f>
        <v>7208.8</v>
      </c>
      <c r="N177" s="46">
        <f>إجمالي.المعاشات[[#This Row],[إجمالي المستحق]]-إجمالي.المعاشات[[#This Row],[المنصرف]]</f>
        <v>25218.48</v>
      </c>
      <c r="O177" s="46">
        <f>(إجمالي.المعاشات[[#This Row],[منحة 6شهور]]+إجمالي.المعاشات[[#This Row],[مستحقات]])-إجمالي.المعاشات[[#This Row],[المنصرف]]</f>
        <v>9500</v>
      </c>
      <c r="P177" s="46">
        <f>IF(إجمالي.المعاشات[[#This Row],[المتبقي من المنحة]]&lt;0,0,إجمالي.المعاشات[[#This Row],[المتبقي من المنحة]])</f>
        <v>9500</v>
      </c>
      <c r="Q17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15718.48</v>
      </c>
      <c r="R177" s="192">
        <f>إجمالي.المعاشات[[#This Row],[المتبقي]]</f>
        <v>25218.48</v>
      </c>
      <c r="S177" s="192" t="s">
        <v>403</v>
      </c>
    </row>
    <row r="178" spans="3:19" ht="21" x14ac:dyDescent="0.35">
      <c r="C178" s="103">
        <f>قنا!C30</f>
        <v>23</v>
      </c>
      <c r="D178" s="46" t="str">
        <f>قنا!D30</f>
        <v>عبد الله أحمد بدوي علي</v>
      </c>
      <c r="E178" s="47">
        <f>قنا!E30</f>
        <v>31</v>
      </c>
      <c r="F178" s="50">
        <f>قنا!F30</f>
        <v>42373</v>
      </c>
      <c r="G178" s="50"/>
      <c r="H178" s="46">
        <f>قنا!H30</f>
        <v>0</v>
      </c>
      <c r="I178" s="46">
        <f>قنا!I30</f>
        <v>0</v>
      </c>
      <c r="J178" s="46">
        <f>قنا!J30</f>
        <v>8688.6</v>
      </c>
      <c r="K178" s="46">
        <f>قنا!K30</f>
        <v>90</v>
      </c>
      <c r="L178" s="46">
        <f>SUM(إجمالي.المعاشات[[#This Row],[منحة 6شهور]:[مقابل نقدي]])</f>
        <v>8688.6</v>
      </c>
      <c r="M178" s="46">
        <f>SUMIF(بيان.معاشات.قنا[الإسم],بيانات!D178:D216,بيان.معاشات.قنا[إجمالي المنصرف])</f>
        <v>3818.18</v>
      </c>
      <c r="N178" s="46">
        <f>إجمالي.المعاشات[[#This Row],[إجمالي المستحق]]-إجمالي.المعاشات[[#This Row],[المنصرف]]</f>
        <v>4870.42</v>
      </c>
      <c r="O178" s="46">
        <f>(إجمالي.المعاشات[[#This Row],[منحة 6شهور]]+إجمالي.المعاشات[[#This Row],[مستحقات]])-إجمالي.المعاشات[[#This Row],[المنصرف]]</f>
        <v>-3818.18</v>
      </c>
      <c r="P178" s="46">
        <f>IF(إجمالي.المعاشات[[#This Row],[المتبقي من المنحة]]&lt;0,0,إجمالي.المعاشات[[#This Row],[المتبقي من المنحة]])</f>
        <v>0</v>
      </c>
      <c r="Q17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4870.42</v>
      </c>
      <c r="R178" s="192">
        <f>إجمالي.المعاشات[[#This Row],[المتبقي]]</f>
        <v>4870.42</v>
      </c>
      <c r="S178" s="192" t="s">
        <v>403</v>
      </c>
    </row>
    <row r="179" spans="3:19" ht="21" x14ac:dyDescent="0.35">
      <c r="C179" s="103">
        <f>قنا!C31</f>
        <v>24</v>
      </c>
      <c r="D179" s="46" t="str">
        <f>قنا!D31</f>
        <v>محمد حلمي إسماعيل</v>
      </c>
      <c r="E179" s="47">
        <f>قنا!E31</f>
        <v>32</v>
      </c>
      <c r="F179" s="50">
        <f>قنا!F31</f>
        <v>44579</v>
      </c>
      <c r="G179" s="50"/>
      <c r="H179" s="46">
        <f>قنا!H31</f>
        <v>20886.12</v>
      </c>
      <c r="I179" s="46">
        <f>قنا!I31</f>
        <v>0</v>
      </c>
      <c r="J179" s="46">
        <f>قنا!J31</f>
        <v>18900</v>
      </c>
      <c r="K179" s="46">
        <f>قنا!K31</f>
        <v>90</v>
      </c>
      <c r="L179" s="46">
        <f>SUM(إجمالي.المعاشات[[#This Row],[منحة 6شهور]:[مقابل نقدي]])</f>
        <v>39786.119999999995</v>
      </c>
      <c r="M179" s="46">
        <f>SUMIF(بيان.معاشات.قنا[الإسم],بيانات!D179:D217,بيان.معاشات.قنا[إجمالي المنصرف])</f>
        <v>10000</v>
      </c>
      <c r="N179" s="46">
        <f>إجمالي.المعاشات[[#This Row],[إجمالي المستحق]]-إجمالي.المعاشات[[#This Row],[المنصرف]]</f>
        <v>29786.119999999995</v>
      </c>
      <c r="O179" s="46">
        <f>(إجمالي.المعاشات[[#This Row],[منحة 6شهور]]+إجمالي.المعاشات[[#This Row],[مستحقات]])-إجمالي.المعاشات[[#This Row],[المنصرف]]</f>
        <v>10886.119999999999</v>
      </c>
      <c r="P179" s="46">
        <f>IF(إجمالي.المعاشات[[#This Row],[المتبقي من المنحة]]&lt;0,0,إجمالي.المعاشات[[#This Row],[المتبقي من المنحة]])</f>
        <v>10886.119999999999</v>
      </c>
      <c r="Q17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18900</v>
      </c>
      <c r="R179" s="192">
        <f>إجمالي.المعاشات[[#This Row],[المتبقي]]</f>
        <v>29786.119999999995</v>
      </c>
      <c r="S179" s="192" t="s">
        <v>403</v>
      </c>
    </row>
    <row r="180" spans="3:19" ht="21" x14ac:dyDescent="0.35">
      <c r="C180" s="103">
        <f>قنا!C32</f>
        <v>25</v>
      </c>
      <c r="D180" s="46" t="str">
        <f>قنا!D32</f>
        <v>رمضان محمود مبارك</v>
      </c>
      <c r="E180" s="47">
        <f>قنا!E32</f>
        <v>33</v>
      </c>
      <c r="F180" s="50">
        <f>قنا!F32</f>
        <v>44610</v>
      </c>
      <c r="G180" s="50"/>
      <c r="H180" s="46">
        <f>قنا!H32</f>
        <v>18491.04</v>
      </c>
      <c r="I180" s="46">
        <f>قنا!I32</f>
        <v>0</v>
      </c>
      <c r="J180" s="46">
        <f>قنا!J32</f>
        <v>4997.72</v>
      </c>
      <c r="K180" s="46">
        <f>قنا!K32</f>
        <v>26</v>
      </c>
      <c r="L180" s="46">
        <f>SUM(إجمالي.المعاشات[[#This Row],[منحة 6شهور]:[مقابل نقدي]])</f>
        <v>23488.760000000002</v>
      </c>
      <c r="M180" s="46">
        <f>SUMIF(بيان.معاشات.قنا[الإسم],بيانات!D180:D218,بيان.معاشات.قنا[إجمالي المنصرف])</f>
        <v>5991.04</v>
      </c>
      <c r="N180" s="46">
        <f>إجمالي.المعاشات[[#This Row],[إجمالي المستحق]]-إجمالي.المعاشات[[#This Row],[المنصرف]]</f>
        <v>17497.72</v>
      </c>
      <c r="O180" s="46">
        <f>(إجمالي.المعاشات[[#This Row],[منحة 6شهور]]+إجمالي.المعاشات[[#This Row],[مستحقات]])-إجمالي.المعاشات[[#This Row],[المنصرف]]</f>
        <v>12500</v>
      </c>
      <c r="P180" s="46">
        <f>IF(إجمالي.المعاشات[[#This Row],[المتبقي من المنحة]]&lt;0,0,إجمالي.المعاشات[[#This Row],[المتبقي من المنحة]])</f>
        <v>12500</v>
      </c>
      <c r="Q18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4997.72</v>
      </c>
      <c r="R180" s="192">
        <f>إجمالي.المعاشات[[#This Row],[المتبقي]]</f>
        <v>17497.72</v>
      </c>
      <c r="S180" s="192" t="s">
        <v>403</v>
      </c>
    </row>
    <row r="181" spans="3:19" ht="21" x14ac:dyDescent="0.35">
      <c r="C181" s="103">
        <f>قنا!C33</f>
        <v>26</v>
      </c>
      <c r="D181" s="46" t="str">
        <f>قنا!D33</f>
        <v>عبيد محمد أحمد قاسم</v>
      </c>
      <c r="E181" s="47">
        <f>قنا!E33</f>
        <v>34</v>
      </c>
      <c r="F181" s="50">
        <f>قنا!F33</f>
        <v>44673</v>
      </c>
      <c r="G181" s="50"/>
      <c r="H181" s="46">
        <f>قنا!H33</f>
        <v>18673.82</v>
      </c>
      <c r="I181" s="46">
        <f>قنا!I33</f>
        <v>0</v>
      </c>
      <c r="J181" s="46">
        <f>قنا!J33</f>
        <v>12899.7</v>
      </c>
      <c r="K181" s="46">
        <f>قنا!K33</f>
        <v>90</v>
      </c>
      <c r="L181" s="46">
        <f>SUM(إجمالي.المعاشات[[#This Row],[منحة 6شهور]:[مقابل نقدي]])</f>
        <v>31573.52</v>
      </c>
      <c r="M181" s="46">
        <f>SUMIF(بيان.معاشات.قنا[الإسم],بيانات!D181:D219,بيان.معاشات.قنا[إجمالي المنصرف])</f>
        <v>2000</v>
      </c>
      <c r="N181" s="46">
        <f>إجمالي.المعاشات[[#This Row],[إجمالي المستحق]]-إجمالي.المعاشات[[#This Row],[المنصرف]]</f>
        <v>29573.52</v>
      </c>
      <c r="O181" s="46">
        <f>(إجمالي.المعاشات[[#This Row],[منحة 6شهور]]+إجمالي.المعاشات[[#This Row],[مستحقات]])-إجمالي.المعاشات[[#This Row],[المنصرف]]</f>
        <v>16673.82</v>
      </c>
      <c r="P181" s="46">
        <f>IF(إجمالي.المعاشات[[#This Row],[المتبقي من المنحة]]&lt;0,0,إجمالي.المعاشات[[#This Row],[المتبقي من المنحة]])</f>
        <v>16673.82</v>
      </c>
      <c r="Q18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12899.7</v>
      </c>
      <c r="R181" s="192">
        <f>إجمالي.المعاشات[[#This Row],[المتبقي]]</f>
        <v>29573.52</v>
      </c>
      <c r="S181" s="192" t="s">
        <v>403</v>
      </c>
    </row>
    <row r="182" spans="3:19" ht="21" x14ac:dyDescent="0.35">
      <c r="C182" s="103">
        <f>قنا!C34</f>
        <v>27</v>
      </c>
      <c r="D182" s="46" t="str">
        <f>قنا!D34</f>
        <v>حسين عبد الواحد حسين</v>
      </c>
      <c r="E182" s="47">
        <f>قنا!E34</f>
        <v>35</v>
      </c>
      <c r="F182" s="50">
        <f>قنا!F34</f>
        <v>44780</v>
      </c>
      <c r="G182" s="50"/>
      <c r="H182" s="46">
        <f>قنا!H34</f>
        <v>17291.650000000001</v>
      </c>
      <c r="I182" s="46">
        <f>قنا!I34</f>
        <v>0</v>
      </c>
      <c r="J182" s="46">
        <f>قنا!J34</f>
        <v>15024.6</v>
      </c>
      <c r="K182" s="46">
        <f>قنا!K34</f>
        <v>90</v>
      </c>
      <c r="L182" s="46">
        <f>SUM(إجمالي.المعاشات[[#This Row],[منحة 6شهور]:[مقابل نقدي]])</f>
        <v>32316.25</v>
      </c>
      <c r="M182" s="46">
        <f>SUMIF(بيان.معاشات.قنا[الإسم],بيانات!D182:D220,بيان.معاشات.قنا[إجمالي المنصرف])</f>
        <v>4500</v>
      </c>
      <c r="N182" s="46">
        <f>إجمالي.المعاشات[[#This Row],[إجمالي المستحق]]-إجمالي.المعاشات[[#This Row],[المنصرف]]</f>
        <v>27816.25</v>
      </c>
      <c r="O182" s="46">
        <f>(إجمالي.المعاشات[[#This Row],[منحة 6شهور]]+إجمالي.المعاشات[[#This Row],[مستحقات]])-إجمالي.المعاشات[[#This Row],[المنصرف]]</f>
        <v>12791.650000000001</v>
      </c>
      <c r="P182" s="46">
        <f>IF(إجمالي.المعاشات[[#This Row],[المتبقي من المنحة]]&lt;0,0,إجمالي.المعاشات[[#This Row],[المتبقي من المنحة]])</f>
        <v>12791.650000000001</v>
      </c>
      <c r="Q18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15024.6</v>
      </c>
      <c r="R182" s="192">
        <f>إجمالي.المعاشات[[#This Row],[المتبقي]]</f>
        <v>27816.25</v>
      </c>
      <c r="S182" s="192" t="s">
        <v>403</v>
      </c>
    </row>
    <row r="183" spans="3:19" ht="21" x14ac:dyDescent="0.35">
      <c r="C183" s="103">
        <f>قنا!C35</f>
        <v>28</v>
      </c>
      <c r="D183" s="46" t="str">
        <f>قنا!D35</f>
        <v>علي محمد أحمد علي</v>
      </c>
      <c r="E183" s="47">
        <f>قنا!E35</f>
        <v>36</v>
      </c>
      <c r="F183" s="50">
        <f>قنا!F35</f>
        <v>44815</v>
      </c>
      <c r="G183" s="50"/>
      <c r="H183" s="46">
        <f>قنا!H35</f>
        <v>22795.03</v>
      </c>
      <c r="I183" s="46">
        <f>قنا!I35</f>
        <v>0</v>
      </c>
      <c r="J183" s="46">
        <f>قنا!J35</f>
        <v>18700.2</v>
      </c>
      <c r="K183" s="46">
        <f>قنا!K35</f>
        <v>90</v>
      </c>
      <c r="L183" s="46">
        <f>SUM(إجمالي.المعاشات[[#This Row],[منحة 6شهور]:[مقابل نقدي]])</f>
        <v>41495.229999999996</v>
      </c>
      <c r="M183" s="46">
        <f>SUMIF(بيان.معاشات.قنا[الإسم],بيانات!D183:D221,بيان.معاشات.قنا[إجمالي المنصرف])</f>
        <v>4000</v>
      </c>
      <c r="N183" s="46">
        <f>إجمالي.المعاشات[[#This Row],[إجمالي المستحق]]-إجمالي.المعاشات[[#This Row],[المنصرف]]</f>
        <v>37495.229999999996</v>
      </c>
      <c r="O183" s="46">
        <f>(إجمالي.المعاشات[[#This Row],[منحة 6شهور]]+إجمالي.المعاشات[[#This Row],[مستحقات]])-إجمالي.المعاشات[[#This Row],[المنصرف]]</f>
        <v>18795.03</v>
      </c>
      <c r="P183" s="46">
        <f>IF(إجمالي.المعاشات[[#This Row],[المتبقي من المنحة]]&lt;0,0,إجمالي.المعاشات[[#This Row],[المتبقي من المنحة]])</f>
        <v>18795.03</v>
      </c>
      <c r="Q18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18700.2</v>
      </c>
      <c r="R183" s="192">
        <f>إجمالي.المعاشات[[#This Row],[المتبقي]]</f>
        <v>37495.229999999996</v>
      </c>
      <c r="S183" s="192" t="s">
        <v>403</v>
      </c>
    </row>
    <row r="184" spans="3:19" ht="21" x14ac:dyDescent="0.35">
      <c r="C184" s="103">
        <f>قنا!C36</f>
        <v>29</v>
      </c>
      <c r="D184" s="46" t="str">
        <f>قنا!D36</f>
        <v>عبده أبو الفضل عارف</v>
      </c>
      <c r="E184" s="47">
        <f>قنا!E36</f>
        <v>37</v>
      </c>
      <c r="F184" s="50">
        <f>قنا!F36</f>
        <v>44885</v>
      </c>
      <c r="G184" s="50"/>
      <c r="H184" s="46">
        <f>قنا!H36</f>
        <v>22665.72</v>
      </c>
      <c r="I184" s="46">
        <f>قنا!I36</f>
        <v>0</v>
      </c>
      <c r="J184" s="46">
        <f>قنا!J36</f>
        <v>17250.3</v>
      </c>
      <c r="K184" s="46">
        <f>قنا!K36</f>
        <v>90</v>
      </c>
      <c r="L184" s="46">
        <f>SUM(إجمالي.المعاشات[[#This Row],[منحة 6شهور]:[مقابل نقدي]])</f>
        <v>39916.020000000004</v>
      </c>
      <c r="M184" s="46">
        <f>SUMIF(بيان.معاشات.قنا[الإسم],بيانات!D184:D222,بيان.معاشات.قنا[إجمالي المنصرف])</f>
        <v>3000</v>
      </c>
      <c r="N184" s="46">
        <f>إجمالي.المعاشات[[#This Row],[إجمالي المستحق]]-إجمالي.المعاشات[[#This Row],[المنصرف]]</f>
        <v>36916.020000000004</v>
      </c>
      <c r="O184" s="46">
        <f>(إجمالي.المعاشات[[#This Row],[منحة 6شهور]]+إجمالي.المعاشات[[#This Row],[مستحقات]])-إجمالي.المعاشات[[#This Row],[المنصرف]]</f>
        <v>19665.72</v>
      </c>
      <c r="P184" s="46">
        <f>IF(إجمالي.المعاشات[[#This Row],[المتبقي من المنحة]]&lt;0,0,إجمالي.المعاشات[[#This Row],[المتبقي من المنحة]])</f>
        <v>19665.72</v>
      </c>
      <c r="Q18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17250.3</v>
      </c>
      <c r="R184" s="192">
        <f>إجمالي.المعاشات[[#This Row],[المتبقي]]</f>
        <v>36916.020000000004</v>
      </c>
      <c r="S184" s="192" t="s">
        <v>403</v>
      </c>
    </row>
    <row r="185" spans="3:19" ht="21" x14ac:dyDescent="0.35">
      <c r="C185" s="103">
        <f>قنا!C37</f>
        <v>30</v>
      </c>
      <c r="D185" s="46" t="str">
        <f>قنا!D37</f>
        <v>محمد محمود محمد عبد الرحمن</v>
      </c>
      <c r="E185" s="47">
        <f>قنا!E37</f>
        <v>38</v>
      </c>
      <c r="F185" s="50">
        <f>قنا!F37</f>
        <v>44957</v>
      </c>
      <c r="G185" s="50"/>
      <c r="H185" s="46">
        <f>قنا!H37</f>
        <v>22864.560000000001</v>
      </c>
      <c r="I185" s="46">
        <f>قنا!I37</f>
        <v>0</v>
      </c>
      <c r="J185" s="46">
        <f>قنا!J37</f>
        <v>8140.46</v>
      </c>
      <c r="K185" s="46">
        <f>قنا!K37</f>
        <v>0</v>
      </c>
      <c r="L185" s="46">
        <f>SUM(إجمالي.المعاشات[[#This Row],[منحة 6شهور]:[مقابل نقدي]])</f>
        <v>31005.02</v>
      </c>
      <c r="M185" s="46">
        <f>SUMIF(بيان.معاشات.قنا[الإسم],بيانات!D185:D223,بيان.معاشات.قنا[إجمالي المنصرف])</f>
        <v>500</v>
      </c>
      <c r="N185" s="46">
        <f>إجمالي.المعاشات[[#This Row],[إجمالي المستحق]]-إجمالي.المعاشات[[#This Row],[المنصرف]]</f>
        <v>30505.02</v>
      </c>
      <c r="O185" s="46">
        <f>(إجمالي.المعاشات[[#This Row],[منحة 6شهور]]+إجمالي.المعاشات[[#This Row],[مستحقات]])-إجمالي.المعاشات[[#This Row],[المنصرف]]</f>
        <v>22364.560000000001</v>
      </c>
      <c r="P185" s="46">
        <f>IF(إجمالي.المعاشات[[#This Row],[المتبقي من المنحة]]&lt;0,0,إجمالي.المعاشات[[#This Row],[المتبقي من المنحة]])</f>
        <v>22364.560000000001</v>
      </c>
      <c r="Q18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8140.46</v>
      </c>
      <c r="R185" s="192">
        <f>إجمالي.المعاشات[[#This Row],[المتبقي]]</f>
        <v>30505.02</v>
      </c>
      <c r="S185" s="192" t="s">
        <v>403</v>
      </c>
    </row>
    <row r="186" spans="3:19" ht="21" x14ac:dyDescent="0.35">
      <c r="C186" s="103">
        <f>قنا!C38</f>
        <v>31</v>
      </c>
      <c r="D186" s="46">
        <f>قنا!D38</f>
        <v>0</v>
      </c>
      <c r="E186" s="47">
        <f>قنا!E38</f>
        <v>0</v>
      </c>
      <c r="F186" s="50">
        <f>قنا!F38</f>
        <v>0</v>
      </c>
      <c r="G186" s="50"/>
      <c r="H186" s="46">
        <f>قنا!H38</f>
        <v>0</v>
      </c>
      <c r="I186" s="46">
        <f>قنا!I38</f>
        <v>0</v>
      </c>
      <c r="J186" s="46">
        <f>قنا!J38</f>
        <v>0</v>
      </c>
      <c r="K186" s="46">
        <f>قنا!K38</f>
        <v>0</v>
      </c>
      <c r="L186" s="46">
        <f>SUM(إجمالي.المعاشات[[#This Row],[منحة 6شهور]:[مقابل نقدي]])</f>
        <v>0</v>
      </c>
      <c r="M186" s="46">
        <f>SUMIF(بيان.معاشات.قنا[الإسم],بيانات!D186:D224,بيان.معاشات.قنا[إجمالي المنصرف])</f>
        <v>0</v>
      </c>
      <c r="N186" s="46">
        <f>إجمالي.المعاشات[[#This Row],[إجمالي المستحق]]-إجمالي.المعاشات[[#This Row],[المنصرف]]</f>
        <v>0</v>
      </c>
      <c r="O186" s="46">
        <f>(إجمالي.المعاشات[[#This Row],[منحة 6شهور]]+إجمالي.المعاشات[[#This Row],[مستحقات]])-إجمالي.المعاشات[[#This Row],[المنصرف]]</f>
        <v>0</v>
      </c>
      <c r="P186" s="46">
        <f>IF(إجمالي.المعاشات[[#This Row],[المتبقي من المنحة]]&lt;0,0,إجمالي.المعاشات[[#This Row],[المتبقي من المنحة]])</f>
        <v>0</v>
      </c>
      <c r="Q18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86" s="192">
        <f>إجمالي.المعاشات[[#This Row],[المتبقي]]</f>
        <v>0</v>
      </c>
      <c r="S186" s="192" t="s">
        <v>403</v>
      </c>
    </row>
    <row r="187" spans="3:19" ht="21" x14ac:dyDescent="0.35">
      <c r="C187" s="103">
        <f>قنا!C39</f>
        <v>0</v>
      </c>
      <c r="D187" s="46">
        <f>قنا!D39</f>
        <v>0</v>
      </c>
      <c r="E187" s="47">
        <f>قنا!E39</f>
        <v>0</v>
      </c>
      <c r="F187" s="50">
        <f>قنا!F39</f>
        <v>0</v>
      </c>
      <c r="G187" s="50"/>
      <c r="H187" s="46">
        <f>قنا!H39</f>
        <v>0</v>
      </c>
      <c r="I187" s="46">
        <f>قنا!I39</f>
        <v>0</v>
      </c>
      <c r="J187" s="46">
        <f>قنا!J39</f>
        <v>0</v>
      </c>
      <c r="K187" s="46">
        <f>قنا!K39</f>
        <v>0</v>
      </c>
      <c r="L187" s="46">
        <f>SUM(إجمالي.المعاشات[[#This Row],[منحة 6شهور]:[مقابل نقدي]])</f>
        <v>0</v>
      </c>
      <c r="M187" s="46">
        <f>SUMIF(بيان.معاشات.قنا[الإسم],بيانات!D187:D225,بيان.معاشات.قنا[إجمالي المنصرف])</f>
        <v>0</v>
      </c>
      <c r="N187" s="46">
        <f>إجمالي.المعاشات[[#This Row],[إجمالي المستحق]]-إجمالي.المعاشات[[#This Row],[المنصرف]]</f>
        <v>0</v>
      </c>
      <c r="O187" s="46">
        <f>(إجمالي.المعاشات[[#This Row],[منحة 6شهور]]+إجمالي.المعاشات[[#This Row],[مستحقات]])-إجمالي.المعاشات[[#This Row],[المنصرف]]</f>
        <v>0</v>
      </c>
      <c r="P187" s="46">
        <f>IF(إجمالي.المعاشات[[#This Row],[المتبقي من المنحة]]&lt;0,0,إجمالي.المعاشات[[#This Row],[المتبقي من المنحة]])</f>
        <v>0</v>
      </c>
      <c r="Q18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87" s="192">
        <f>إجمالي.المعاشات[[#This Row],[المتبقي]]</f>
        <v>0</v>
      </c>
      <c r="S187" s="192" t="s">
        <v>403</v>
      </c>
    </row>
    <row r="188" spans="3:19" ht="21" x14ac:dyDescent="0.35">
      <c r="C188" s="103">
        <f>قنا!C40</f>
        <v>0</v>
      </c>
      <c r="D188" s="46">
        <f>قنا!D40</f>
        <v>0</v>
      </c>
      <c r="E188" s="47">
        <f>قنا!E40</f>
        <v>0</v>
      </c>
      <c r="F188" s="50">
        <f>قنا!F40</f>
        <v>0</v>
      </c>
      <c r="G188" s="50"/>
      <c r="H188" s="46">
        <f>قنا!H40</f>
        <v>0</v>
      </c>
      <c r="I188" s="46">
        <f>قنا!I40</f>
        <v>0</v>
      </c>
      <c r="J188" s="46">
        <f>قنا!J40</f>
        <v>0</v>
      </c>
      <c r="K188" s="46">
        <f>قنا!K40</f>
        <v>0</v>
      </c>
      <c r="L188" s="46">
        <f>SUM(إجمالي.المعاشات[[#This Row],[منحة 6شهور]:[مقابل نقدي]])</f>
        <v>0</v>
      </c>
      <c r="M188" s="46">
        <f>SUMIF(بيان.معاشات.قنا[الإسم],بيانات!D188:D226,بيان.معاشات.قنا[إجمالي المنصرف])</f>
        <v>0</v>
      </c>
      <c r="N188" s="46">
        <f>إجمالي.المعاشات[[#This Row],[إجمالي المستحق]]-إجمالي.المعاشات[[#This Row],[المنصرف]]</f>
        <v>0</v>
      </c>
      <c r="O188" s="46">
        <f>(إجمالي.المعاشات[[#This Row],[منحة 6شهور]]+إجمالي.المعاشات[[#This Row],[مستحقات]])-إجمالي.المعاشات[[#This Row],[المنصرف]]</f>
        <v>0</v>
      </c>
      <c r="P188" s="46">
        <f>IF(إجمالي.المعاشات[[#This Row],[المتبقي من المنحة]]&lt;0,0,إجمالي.المعاشات[[#This Row],[المتبقي من المنحة]])</f>
        <v>0</v>
      </c>
      <c r="Q18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88" s="192">
        <f>إجمالي.المعاشات[[#This Row],[المتبقي]]</f>
        <v>0</v>
      </c>
      <c r="S188" s="192" t="s">
        <v>403</v>
      </c>
    </row>
    <row r="189" spans="3:19" ht="21" x14ac:dyDescent="0.35">
      <c r="C189" s="103">
        <f>قنا!C41</f>
        <v>0</v>
      </c>
      <c r="D189" s="46" t="str">
        <f>قنا!D41</f>
        <v>الورثة وحالات الوفاة :</v>
      </c>
      <c r="E189" s="47">
        <f>قنا!E41</f>
        <v>0</v>
      </c>
      <c r="F189" s="50">
        <f>قنا!F41</f>
        <v>0</v>
      </c>
      <c r="G189" s="50"/>
      <c r="H189" s="46">
        <f>قنا!H41</f>
        <v>0</v>
      </c>
      <c r="I189" s="46">
        <f>قنا!I41</f>
        <v>0</v>
      </c>
      <c r="J189" s="46">
        <f>قنا!J41</f>
        <v>0</v>
      </c>
      <c r="K189" s="46">
        <f>قنا!K41</f>
        <v>0</v>
      </c>
      <c r="L189" s="46">
        <f>SUM(إجمالي.المعاشات[[#This Row],[منحة 6شهور]:[مقابل نقدي]])</f>
        <v>0</v>
      </c>
      <c r="M189" s="46">
        <f>SUMIF(بيان.معاشات.قنا[الإسم],بيانات!D189:D227,بيان.معاشات.قنا[إجمالي المنصرف])</f>
        <v>0</v>
      </c>
      <c r="N189" s="46">
        <f>إجمالي.المعاشات[[#This Row],[إجمالي المستحق]]-إجمالي.المعاشات[[#This Row],[المنصرف]]</f>
        <v>0</v>
      </c>
      <c r="O189" s="46">
        <f>(إجمالي.المعاشات[[#This Row],[منحة 6شهور]]+إجمالي.المعاشات[[#This Row],[مستحقات]])-إجمالي.المعاشات[[#This Row],[المنصرف]]</f>
        <v>0</v>
      </c>
      <c r="P189" s="46">
        <f>IF(إجمالي.المعاشات[[#This Row],[المتبقي من المنحة]]&lt;0,0,إجمالي.المعاشات[[#This Row],[المتبقي من المنحة]])</f>
        <v>0</v>
      </c>
      <c r="Q18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89" s="192">
        <f>إجمالي.المعاشات[[#This Row],[المتبقي]]</f>
        <v>0</v>
      </c>
      <c r="S189" s="192" t="s">
        <v>403</v>
      </c>
    </row>
    <row r="190" spans="3:19" ht="21" x14ac:dyDescent="0.35">
      <c r="C190" s="103">
        <f>قنا!C42</f>
        <v>1</v>
      </c>
      <c r="D190" s="46">
        <f>قنا!D42</f>
        <v>0</v>
      </c>
      <c r="E190" s="47">
        <f>قنا!E42</f>
        <v>0</v>
      </c>
      <c r="F190" s="50">
        <f>قنا!F42</f>
        <v>0</v>
      </c>
      <c r="G190" s="50"/>
      <c r="H190" s="46">
        <f>قنا!H42</f>
        <v>0</v>
      </c>
      <c r="I190" s="46">
        <f>قنا!I42</f>
        <v>0</v>
      </c>
      <c r="J190" s="46">
        <f>قنا!J42</f>
        <v>0</v>
      </c>
      <c r="K190" s="46">
        <f>قنا!K42</f>
        <v>0</v>
      </c>
      <c r="L190" s="46">
        <f>SUM(إجمالي.المعاشات[[#This Row],[منحة 6شهور]:[مقابل نقدي]])</f>
        <v>0</v>
      </c>
      <c r="M190" s="46">
        <f>SUMIF(بيان.معاشات.قنا[الإسم],بيانات!D190:D228,بيان.معاشات.قنا[إجمالي المنصرف])</f>
        <v>0</v>
      </c>
      <c r="N190" s="46">
        <f>إجمالي.المعاشات[[#This Row],[إجمالي المستحق]]-إجمالي.المعاشات[[#This Row],[المنصرف]]</f>
        <v>0</v>
      </c>
      <c r="O190" s="46">
        <f>(إجمالي.المعاشات[[#This Row],[منحة 6شهور]]+إجمالي.المعاشات[[#This Row],[مستحقات]])-إجمالي.المعاشات[[#This Row],[المنصرف]]</f>
        <v>0</v>
      </c>
      <c r="P190" s="46">
        <f>IF(إجمالي.المعاشات[[#This Row],[المتبقي من المنحة]]&lt;0,0,إجمالي.المعاشات[[#This Row],[المتبقي من المنحة]])</f>
        <v>0</v>
      </c>
      <c r="Q19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90" s="192">
        <f>إجمالي.المعاشات[[#This Row],[المتبقي]]</f>
        <v>0</v>
      </c>
      <c r="S190" s="192" t="s">
        <v>403</v>
      </c>
    </row>
    <row r="191" spans="3:19" ht="21" x14ac:dyDescent="0.35">
      <c r="C191" s="103">
        <f>قنا!C43</f>
        <v>2</v>
      </c>
      <c r="D191" s="46">
        <f>قنا!D43</f>
        <v>0</v>
      </c>
      <c r="E191" s="47">
        <f>قنا!E43</f>
        <v>0</v>
      </c>
      <c r="F191" s="50">
        <f>قنا!F43</f>
        <v>0</v>
      </c>
      <c r="G191" s="50"/>
      <c r="H191" s="46">
        <f>قنا!H43</f>
        <v>0</v>
      </c>
      <c r="I191" s="46">
        <f>قنا!I43</f>
        <v>0</v>
      </c>
      <c r="J191" s="46">
        <f>قنا!J43</f>
        <v>0</v>
      </c>
      <c r="K191" s="46">
        <f>قنا!K43</f>
        <v>0</v>
      </c>
      <c r="L191" s="46">
        <f>SUM(إجمالي.المعاشات[[#This Row],[منحة 6شهور]:[مقابل نقدي]])</f>
        <v>0</v>
      </c>
      <c r="M191" s="46">
        <f>SUMIF(بيان.معاشات.قنا[الإسم],بيانات!D191:D229,بيان.معاشات.قنا[إجمالي المنصرف])</f>
        <v>0</v>
      </c>
      <c r="N191" s="46">
        <f>إجمالي.المعاشات[[#This Row],[إجمالي المستحق]]-إجمالي.المعاشات[[#This Row],[المنصرف]]</f>
        <v>0</v>
      </c>
      <c r="O191" s="46">
        <f>(إجمالي.المعاشات[[#This Row],[منحة 6شهور]]+إجمالي.المعاشات[[#This Row],[مستحقات]])-إجمالي.المعاشات[[#This Row],[المنصرف]]</f>
        <v>0</v>
      </c>
      <c r="P191" s="46">
        <f>IF(إجمالي.المعاشات[[#This Row],[المتبقي من المنحة]]&lt;0,0,إجمالي.المعاشات[[#This Row],[المتبقي من المنحة]])</f>
        <v>0</v>
      </c>
      <c r="Q19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91" s="192">
        <f>إجمالي.المعاشات[[#This Row],[المتبقي]]</f>
        <v>0</v>
      </c>
      <c r="S191" s="192" t="s">
        <v>403</v>
      </c>
    </row>
    <row r="192" spans="3:19" ht="21" x14ac:dyDescent="0.35">
      <c r="C192" s="103">
        <f>قنا!C44</f>
        <v>3</v>
      </c>
      <c r="D192" s="46">
        <f>قنا!D44</f>
        <v>0</v>
      </c>
      <c r="E192" s="47">
        <f>قنا!E44</f>
        <v>0</v>
      </c>
      <c r="F192" s="50">
        <f>قنا!F44</f>
        <v>0</v>
      </c>
      <c r="G192" s="50"/>
      <c r="H192" s="46">
        <f>قنا!H44</f>
        <v>0</v>
      </c>
      <c r="I192" s="46">
        <f>قنا!I44</f>
        <v>0</v>
      </c>
      <c r="J192" s="46">
        <f>قنا!J44</f>
        <v>0</v>
      </c>
      <c r="K192" s="46">
        <f>قنا!K44</f>
        <v>0</v>
      </c>
      <c r="L192" s="46">
        <f>SUM(إجمالي.المعاشات[[#This Row],[منحة 6شهور]:[مقابل نقدي]])</f>
        <v>0</v>
      </c>
      <c r="M192" s="46">
        <f>SUMIF(بيان.معاشات.قنا[الإسم],بيانات!D192:D230,بيان.معاشات.قنا[إجمالي المنصرف])</f>
        <v>0</v>
      </c>
      <c r="N192" s="46">
        <f>إجمالي.المعاشات[[#This Row],[إجمالي المستحق]]-إجمالي.المعاشات[[#This Row],[المنصرف]]</f>
        <v>0</v>
      </c>
      <c r="O192" s="46">
        <f>(إجمالي.المعاشات[[#This Row],[منحة 6شهور]]+إجمالي.المعاشات[[#This Row],[مستحقات]])-إجمالي.المعاشات[[#This Row],[المنصرف]]</f>
        <v>0</v>
      </c>
      <c r="P192" s="46">
        <f>IF(إجمالي.المعاشات[[#This Row],[المتبقي من المنحة]]&lt;0,0,إجمالي.المعاشات[[#This Row],[المتبقي من المنحة]])</f>
        <v>0</v>
      </c>
      <c r="Q19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92" s="192">
        <f>إجمالي.المعاشات[[#This Row],[المتبقي]]</f>
        <v>0</v>
      </c>
      <c r="S192" s="192" t="s">
        <v>403</v>
      </c>
    </row>
    <row r="193" spans="3:19" ht="21" x14ac:dyDescent="0.35">
      <c r="C193" s="103">
        <f>قنا!C45</f>
        <v>4</v>
      </c>
      <c r="D193" s="46">
        <f>قنا!D45</f>
        <v>0</v>
      </c>
      <c r="E193" s="47">
        <f>قنا!E45</f>
        <v>0</v>
      </c>
      <c r="F193" s="50">
        <f>قنا!F45</f>
        <v>0</v>
      </c>
      <c r="G193" s="50"/>
      <c r="H193" s="46">
        <f>قنا!H45</f>
        <v>0</v>
      </c>
      <c r="I193" s="46">
        <f>قنا!I45</f>
        <v>0</v>
      </c>
      <c r="J193" s="46">
        <f>قنا!J45</f>
        <v>0</v>
      </c>
      <c r="K193" s="46">
        <f>قنا!K45</f>
        <v>0</v>
      </c>
      <c r="L193" s="46">
        <f>SUM(إجمالي.المعاشات[[#This Row],[منحة 6شهور]:[مقابل نقدي]])</f>
        <v>0</v>
      </c>
      <c r="M193" s="46">
        <f>SUMIF(بيان.معاشات.قنا[الإسم],بيانات!D193:D231,بيان.معاشات.قنا[إجمالي المنصرف])</f>
        <v>0</v>
      </c>
      <c r="N193" s="46">
        <f>إجمالي.المعاشات[[#This Row],[إجمالي المستحق]]-إجمالي.المعاشات[[#This Row],[المنصرف]]</f>
        <v>0</v>
      </c>
      <c r="O193" s="46">
        <f>(إجمالي.المعاشات[[#This Row],[منحة 6شهور]]+إجمالي.المعاشات[[#This Row],[مستحقات]])-إجمالي.المعاشات[[#This Row],[المنصرف]]</f>
        <v>0</v>
      </c>
      <c r="P193" s="46">
        <f>IF(إجمالي.المعاشات[[#This Row],[المتبقي من المنحة]]&lt;0,0,إجمالي.المعاشات[[#This Row],[المتبقي من المنحة]])</f>
        <v>0</v>
      </c>
      <c r="Q19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93" s="192">
        <f>إجمالي.المعاشات[[#This Row],[المتبقي]]</f>
        <v>0</v>
      </c>
      <c r="S193" s="192" t="s">
        <v>403</v>
      </c>
    </row>
    <row r="194" spans="3:19" ht="21" x14ac:dyDescent="0.35">
      <c r="C194" s="103"/>
      <c r="D194" s="46"/>
      <c r="E194" s="47"/>
      <c r="F194" s="50"/>
      <c r="G194" s="50"/>
      <c r="H194" s="46"/>
      <c r="I194" s="46"/>
      <c r="J194" s="46"/>
      <c r="K194" s="46"/>
      <c r="L194" s="46">
        <f>SUM(إجمالي.المعاشات[[#This Row],[منحة 6شهور]:[مقابل نقدي]])</f>
        <v>0</v>
      </c>
      <c r="M194" s="46">
        <f>SUMIF(بيان.معاشات.قنا[الإسم],بيانات!D194:D232,بيان.معاشات.قنا[إجمالي المنصرف])</f>
        <v>0</v>
      </c>
      <c r="N194" s="46">
        <f>إجمالي.المعاشات[[#This Row],[إجمالي المستحق]]-إجمالي.المعاشات[[#This Row],[المنصرف]]</f>
        <v>0</v>
      </c>
      <c r="O194" s="46">
        <f>(إجمالي.المعاشات[[#This Row],[منحة 6شهور]]+إجمالي.المعاشات[[#This Row],[مستحقات]])-إجمالي.المعاشات[[#This Row],[المنصرف]]</f>
        <v>0</v>
      </c>
      <c r="P194" s="46">
        <f>IF(إجمالي.المعاشات[[#This Row],[المتبقي من المنحة]]&lt;0,0,إجمالي.المعاشات[[#This Row],[المتبقي من المنحة]])</f>
        <v>0</v>
      </c>
      <c r="Q19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194" s="192">
        <f>إجمالي.المعاشات[[#This Row],[المتبقي]]</f>
        <v>0</v>
      </c>
      <c r="S194" s="192"/>
    </row>
    <row r="195" spans="3:19" ht="21" x14ac:dyDescent="0.35">
      <c r="C195" s="103">
        <f>سفاجا!C8</f>
        <v>1</v>
      </c>
      <c r="D195" s="46" t="str">
        <f>سفاجا!D8</f>
        <v>رمضان مبارك بدوي</v>
      </c>
      <c r="E195" s="47">
        <f>سفاجا!E8</f>
        <v>1</v>
      </c>
      <c r="F195" s="50">
        <f>سفاجا!F8</f>
        <v>43890</v>
      </c>
      <c r="G195" s="50"/>
      <c r="H195" s="46">
        <f>سفاجا!H8</f>
        <v>16484.64</v>
      </c>
      <c r="I195" s="46">
        <f>سفاجا!I8</f>
        <v>0</v>
      </c>
      <c r="J195" s="46">
        <f>سفاجا!J8</f>
        <v>13122</v>
      </c>
      <c r="K195" s="46">
        <f>سفاجا!K8</f>
        <v>90</v>
      </c>
      <c r="L195" s="46">
        <f>SUM(إجمالي.المعاشات[[#This Row],[منحة 6شهور]:[مقابل نقدي]])</f>
        <v>29606.639999999999</v>
      </c>
      <c r="M195" s="46">
        <f>SUMIF(بيان.مغاشات.سفاجا[الإسم],بيانات!D195:D234,بيان.مغاشات.سفاجا[إجمالي المنصرف])</f>
        <v>15000</v>
      </c>
      <c r="N195" s="46">
        <f>إجمالي.المعاشات[[#This Row],[إجمالي المستحق]]-إجمالي.المعاشات[[#This Row],[المنصرف]]</f>
        <v>14606.64</v>
      </c>
      <c r="O195" s="46">
        <f>(إجمالي.المعاشات[[#This Row],[منحة 6شهور]]+إجمالي.المعاشات[[#This Row],[مستحقات]])-إجمالي.المعاشات[[#This Row],[المنصرف]]</f>
        <v>1484.6399999999994</v>
      </c>
      <c r="P195" s="46">
        <f>IF(إجمالي.المعاشات[[#This Row],[المتبقي من المنحة]]&lt;0,0,إجمالي.المعاشات[[#This Row],[المتبقي من المنحة]])</f>
        <v>1484.6399999999994</v>
      </c>
      <c r="Q19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13122</v>
      </c>
      <c r="R195" s="192">
        <f>إجمالي.المعاشات[[#This Row],[المتبقي]]</f>
        <v>14606.64</v>
      </c>
      <c r="S195" s="192" t="s">
        <v>406</v>
      </c>
    </row>
    <row r="196" spans="3:19" ht="21" x14ac:dyDescent="0.35">
      <c r="C196" s="103">
        <f>سفاجا!C9</f>
        <v>2</v>
      </c>
      <c r="D196" s="46" t="str">
        <f>سفاجا!D9</f>
        <v>سريان مايز يوحنا</v>
      </c>
      <c r="E196" s="47">
        <f>سفاجا!E9</f>
        <v>2</v>
      </c>
      <c r="F196" s="50">
        <f>سفاجا!F9</f>
        <v>43970</v>
      </c>
      <c r="G196" s="50"/>
      <c r="H196" s="46">
        <f>سفاجا!H9</f>
        <v>16411.14</v>
      </c>
      <c r="I196" s="46">
        <f>سفاجا!I9</f>
        <v>0</v>
      </c>
      <c r="J196" s="46">
        <f>سفاجا!J9</f>
        <v>15319.8</v>
      </c>
      <c r="K196" s="46">
        <f>سفاجا!K9</f>
        <v>90</v>
      </c>
      <c r="L196" s="46">
        <f>SUM(إجمالي.المعاشات[[#This Row],[منحة 6شهور]:[مقابل نقدي]])</f>
        <v>31730.94</v>
      </c>
      <c r="M196" s="46">
        <f>SUMIF(بيان.مغاشات.سفاجا[الإسم],بيانات!D196:D235,بيان.مغاشات.سفاجا[إجمالي المنصرف])</f>
        <v>11000</v>
      </c>
      <c r="N196" s="46">
        <f>إجمالي.المعاشات[[#This Row],[إجمالي المستحق]]-إجمالي.المعاشات[[#This Row],[المنصرف]]</f>
        <v>20730.939999999999</v>
      </c>
      <c r="O196" s="46">
        <f>(إجمالي.المعاشات[[#This Row],[منحة 6شهور]]+إجمالي.المعاشات[[#This Row],[مستحقات]])-إجمالي.المعاشات[[#This Row],[المنصرف]]</f>
        <v>5411.1399999999994</v>
      </c>
      <c r="P196" s="46">
        <f>IF(إجمالي.المعاشات[[#This Row],[المتبقي من المنحة]]&lt;0,0,إجمالي.المعاشات[[#This Row],[المتبقي من المنحة]])</f>
        <v>5411.1399999999994</v>
      </c>
      <c r="Q19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15319.8</v>
      </c>
      <c r="R196" s="192">
        <f>إجمالي.المعاشات[[#This Row],[المتبقي]]</f>
        <v>20730.939999999999</v>
      </c>
      <c r="S196" s="192" t="s">
        <v>406</v>
      </c>
    </row>
    <row r="197" spans="3:19" ht="21" x14ac:dyDescent="0.35">
      <c r="C197" s="103">
        <f>سفاجا!C10</f>
        <v>3</v>
      </c>
      <c r="D197" s="46" t="str">
        <f>سفاجا!D10</f>
        <v>عبد النبي مبارك أحمد</v>
      </c>
      <c r="E197" s="47">
        <f>سفاجا!E10</f>
        <v>3</v>
      </c>
      <c r="F197" s="50">
        <f>سفاجا!F10</f>
        <v>44186</v>
      </c>
      <c r="G197" s="50"/>
      <c r="H197" s="46">
        <f>سفاجا!H10</f>
        <v>18816.02</v>
      </c>
      <c r="I197" s="46">
        <f>سفاجا!I10</f>
        <v>0</v>
      </c>
      <c r="J197" s="46">
        <f>سفاجا!J10</f>
        <v>17119.8</v>
      </c>
      <c r="K197" s="46">
        <f>سفاجا!K10</f>
        <v>90</v>
      </c>
      <c r="L197" s="46">
        <f>SUM(إجمالي.المعاشات[[#This Row],[منحة 6شهور]:[مقابل نقدي]])</f>
        <v>35935.82</v>
      </c>
      <c r="M197" s="46">
        <f>SUMIF(بيان.مغاشات.سفاجا[الإسم],بيانات!D197:D236,بيان.مغاشات.سفاجا[إجمالي المنصرف])</f>
        <v>15000</v>
      </c>
      <c r="N197" s="46">
        <f>إجمالي.المعاشات[[#This Row],[إجمالي المستحق]]-إجمالي.المعاشات[[#This Row],[المنصرف]]</f>
        <v>20935.82</v>
      </c>
      <c r="O197" s="46">
        <f>(إجمالي.المعاشات[[#This Row],[منحة 6شهور]]+إجمالي.المعاشات[[#This Row],[مستحقات]])-إجمالي.المعاشات[[#This Row],[المنصرف]]</f>
        <v>3816.0200000000004</v>
      </c>
      <c r="P197" s="46">
        <f>IF(إجمالي.المعاشات[[#This Row],[المتبقي من المنحة]]&lt;0,0,إجمالي.المعاشات[[#This Row],[المتبقي من المنحة]])</f>
        <v>3816.0200000000004</v>
      </c>
      <c r="Q19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17119.8</v>
      </c>
      <c r="R197" s="192">
        <f>إجمالي.المعاشات[[#This Row],[المتبقي]]</f>
        <v>20935.82</v>
      </c>
      <c r="S197" s="192" t="s">
        <v>406</v>
      </c>
    </row>
    <row r="198" spans="3:19" ht="21" x14ac:dyDescent="0.35">
      <c r="C198" s="103">
        <f>سفاجا!C11</f>
        <v>4</v>
      </c>
      <c r="D198" s="46" t="str">
        <f>سفاجا!D11</f>
        <v>أنور محمد إبراهيم</v>
      </c>
      <c r="E198" s="47">
        <f>سفاجا!E11</f>
        <v>4</v>
      </c>
      <c r="F198" s="50">
        <f>سفاجا!F11</f>
        <v>44049</v>
      </c>
      <c r="G198" s="50"/>
      <c r="H198" s="46">
        <f>سفاجا!H11</f>
        <v>16481.7</v>
      </c>
      <c r="I198" s="46">
        <f>سفاجا!I11</f>
        <v>0</v>
      </c>
      <c r="J198" s="46">
        <f>سفاجا!J11</f>
        <v>12664.8</v>
      </c>
      <c r="K198" s="46">
        <f>سفاجا!K11</f>
        <v>90</v>
      </c>
      <c r="L198" s="46">
        <f>SUM(إجمالي.المعاشات[[#This Row],[منحة 6شهور]:[مقابل نقدي]])</f>
        <v>29146.5</v>
      </c>
      <c r="M198" s="46">
        <f>SUMIF(بيان.مغاشات.سفاجا[الإسم],بيانات!D198:D237,بيان.مغاشات.سفاجا[إجمالي المنصرف])</f>
        <v>12000</v>
      </c>
      <c r="N198" s="46">
        <f>إجمالي.المعاشات[[#This Row],[إجمالي المستحق]]-إجمالي.المعاشات[[#This Row],[المنصرف]]</f>
        <v>17146.5</v>
      </c>
      <c r="O198" s="46">
        <f>(إجمالي.المعاشات[[#This Row],[منحة 6شهور]]+إجمالي.المعاشات[[#This Row],[مستحقات]])-إجمالي.المعاشات[[#This Row],[المنصرف]]</f>
        <v>4481.7000000000007</v>
      </c>
      <c r="P198" s="46">
        <f>IF(إجمالي.المعاشات[[#This Row],[المتبقي من المنحة]]&lt;0,0,إجمالي.المعاشات[[#This Row],[المتبقي من المنحة]])</f>
        <v>4481.7000000000007</v>
      </c>
      <c r="Q19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12664.8</v>
      </c>
      <c r="R198" s="192">
        <f>إجمالي.المعاشات[[#This Row],[المتبقي]]</f>
        <v>17146.5</v>
      </c>
      <c r="S198" s="192" t="s">
        <v>406</v>
      </c>
    </row>
    <row r="199" spans="3:19" ht="21" x14ac:dyDescent="0.35">
      <c r="C199" s="103">
        <f>سفاجا!C12</f>
        <v>5</v>
      </c>
      <c r="D199" s="46" t="str">
        <f>سفاجا!D12</f>
        <v>عبد الحي السيد أحمد</v>
      </c>
      <c r="E199" s="47">
        <f>سفاجا!E12</f>
        <v>5</v>
      </c>
      <c r="F199" s="50">
        <f>سفاجا!F12</f>
        <v>43837</v>
      </c>
      <c r="G199" s="50"/>
      <c r="H199" s="46">
        <f>سفاجا!H12</f>
        <v>15433.02</v>
      </c>
      <c r="I199" s="46">
        <f>سفاجا!I12</f>
        <v>0</v>
      </c>
      <c r="J199" s="46">
        <f>سفاجا!J12</f>
        <v>8939.7000000000007</v>
      </c>
      <c r="K199" s="46">
        <f>سفاجا!K12</f>
        <v>90</v>
      </c>
      <c r="L199" s="46">
        <f>SUM(إجمالي.المعاشات[[#This Row],[منحة 6شهور]:[مقابل نقدي]])</f>
        <v>24372.720000000001</v>
      </c>
      <c r="M199" s="46">
        <f>SUMIF(بيان.مغاشات.سفاجا[الإسم],بيانات!D199:D238,بيان.مغاشات.سفاجا[إجمالي المنصرف])</f>
        <v>17433.02</v>
      </c>
      <c r="N199" s="46">
        <f>إجمالي.المعاشات[[#This Row],[إجمالي المستحق]]-إجمالي.المعاشات[[#This Row],[المنصرف]]</f>
        <v>6939.7000000000007</v>
      </c>
      <c r="O199" s="46">
        <f>(إجمالي.المعاشات[[#This Row],[منحة 6شهور]]+إجمالي.المعاشات[[#This Row],[مستحقات]])-إجمالي.المعاشات[[#This Row],[المنصرف]]</f>
        <v>-2000</v>
      </c>
      <c r="P199" s="46">
        <f>IF(إجمالي.المعاشات[[#This Row],[المتبقي من المنحة]]&lt;0,0,إجمالي.المعاشات[[#This Row],[المتبقي من المنحة]])</f>
        <v>0</v>
      </c>
      <c r="Q19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6939.7000000000007</v>
      </c>
      <c r="R199" s="192">
        <f>إجمالي.المعاشات[[#This Row],[المتبقي]]</f>
        <v>6939.7000000000007</v>
      </c>
      <c r="S199" s="192" t="s">
        <v>406</v>
      </c>
    </row>
    <row r="200" spans="3:19" ht="21" x14ac:dyDescent="0.35">
      <c r="C200" s="103">
        <f>سفاجا!C13</f>
        <v>6</v>
      </c>
      <c r="D200" s="46" t="str">
        <f>سفاجا!D13</f>
        <v>أحمد علي محمود</v>
      </c>
      <c r="E200" s="47">
        <f>سفاجا!E13</f>
        <v>6</v>
      </c>
      <c r="F200" s="50">
        <f>سفاجا!F13</f>
        <v>44068</v>
      </c>
      <c r="G200" s="50"/>
      <c r="H200" s="46">
        <f>سفاجا!H13</f>
        <v>26433.96</v>
      </c>
      <c r="I200" s="46">
        <f>سفاجا!I13</f>
        <v>0</v>
      </c>
      <c r="J200" s="46">
        <f>سفاجا!J13</f>
        <v>19362.599999999999</v>
      </c>
      <c r="K200" s="46">
        <f>سفاجا!K13</f>
        <v>90</v>
      </c>
      <c r="L200" s="46">
        <f>SUM(إجمالي.المعاشات[[#This Row],[منحة 6شهور]:[مقابل نقدي]])</f>
        <v>45796.56</v>
      </c>
      <c r="M200" s="46">
        <f>SUMIF(بيان.مغاشات.سفاجا[الإسم],بيانات!D200:D239,بيان.مغاشات.سفاجا[إجمالي المنصرف])</f>
        <v>14000</v>
      </c>
      <c r="N200" s="46">
        <f>إجمالي.المعاشات[[#This Row],[إجمالي المستحق]]-إجمالي.المعاشات[[#This Row],[المنصرف]]</f>
        <v>31796.559999999998</v>
      </c>
      <c r="O200" s="46">
        <f>(إجمالي.المعاشات[[#This Row],[منحة 6شهور]]+إجمالي.المعاشات[[#This Row],[مستحقات]])-إجمالي.المعاشات[[#This Row],[المنصرف]]</f>
        <v>12433.96</v>
      </c>
      <c r="P200" s="46">
        <f>IF(إجمالي.المعاشات[[#This Row],[المتبقي من المنحة]]&lt;0,0,إجمالي.المعاشات[[#This Row],[المتبقي من المنحة]])</f>
        <v>12433.96</v>
      </c>
      <c r="Q20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19362.599999999999</v>
      </c>
      <c r="R200" s="192">
        <f>إجمالي.المعاشات[[#This Row],[المتبقي]]</f>
        <v>31796.559999999998</v>
      </c>
      <c r="S200" s="192" t="s">
        <v>406</v>
      </c>
    </row>
    <row r="201" spans="3:19" ht="21" x14ac:dyDescent="0.35">
      <c r="C201" s="103">
        <f>سفاجا!C14</f>
        <v>7</v>
      </c>
      <c r="D201" s="46" t="str">
        <f>سفاجا!D14</f>
        <v>عز الدين عطا</v>
      </c>
      <c r="E201" s="47">
        <f>سفاجا!E14</f>
        <v>7</v>
      </c>
      <c r="F201" s="50">
        <f>سفاجا!F14</f>
        <v>43370</v>
      </c>
      <c r="G201" s="50"/>
      <c r="H201" s="46">
        <f>سفاجا!H14</f>
        <v>15565.74</v>
      </c>
      <c r="I201" s="46">
        <f>سفاجا!I14</f>
        <v>0</v>
      </c>
      <c r="J201" s="46">
        <f>سفاجا!J14</f>
        <v>12451.5</v>
      </c>
      <c r="K201" s="46">
        <f>سفاجا!K14</f>
        <v>90</v>
      </c>
      <c r="L201" s="46">
        <f>SUM(إجمالي.المعاشات[[#This Row],[منحة 6شهور]:[مقابل نقدي]])</f>
        <v>28017.239999999998</v>
      </c>
      <c r="M201" s="46">
        <f>SUMIF(بيان.مغاشات.سفاجا[الإسم],بيانات!D201:D240,بيان.مغاشات.سفاجا[إجمالي المنصرف])</f>
        <v>24100</v>
      </c>
      <c r="N201" s="46">
        <f>إجمالي.المعاشات[[#This Row],[إجمالي المستحق]]-إجمالي.المعاشات[[#This Row],[المنصرف]]</f>
        <v>3917.239999999998</v>
      </c>
      <c r="O201" s="46">
        <f>(إجمالي.المعاشات[[#This Row],[منحة 6شهور]]+إجمالي.المعاشات[[#This Row],[مستحقات]])-إجمالي.المعاشات[[#This Row],[المنصرف]]</f>
        <v>-8534.26</v>
      </c>
      <c r="P201" s="46">
        <f>IF(إجمالي.المعاشات[[#This Row],[المتبقي من المنحة]]&lt;0,0,إجمالي.المعاشات[[#This Row],[المتبقي من المنحة]])</f>
        <v>0</v>
      </c>
      <c r="Q20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3917.239999999998</v>
      </c>
      <c r="R201" s="192">
        <f>إجمالي.المعاشات[[#This Row],[المتبقي]]</f>
        <v>3917.239999999998</v>
      </c>
      <c r="S201" s="192" t="s">
        <v>406</v>
      </c>
    </row>
    <row r="202" spans="3:19" ht="21" x14ac:dyDescent="0.35">
      <c r="C202" s="103">
        <f>سفاجا!C15</f>
        <v>8</v>
      </c>
      <c r="D202" s="46" t="str">
        <f>سفاجا!D15</f>
        <v>عوض الله جلال عبد السلام</v>
      </c>
      <c r="E202" s="47">
        <f>سفاجا!E15</f>
        <v>8</v>
      </c>
      <c r="F202" s="50">
        <f>سفاجا!F15</f>
        <v>43987</v>
      </c>
      <c r="G202" s="50"/>
      <c r="H202" s="46">
        <f>سفاجا!H15</f>
        <v>19209</v>
      </c>
      <c r="I202" s="46">
        <f>سفاجا!I15</f>
        <v>0</v>
      </c>
      <c r="J202" s="46">
        <f>سفاجا!J15</f>
        <v>16312.5</v>
      </c>
      <c r="K202" s="46">
        <f>سفاجا!K15</f>
        <v>90</v>
      </c>
      <c r="L202" s="46">
        <f>SUM(إجمالي.المعاشات[[#This Row],[منحة 6شهور]:[مقابل نقدي]])</f>
        <v>35521.5</v>
      </c>
      <c r="M202" s="46">
        <f>SUMIF(بيان.مغاشات.سفاجا[الإسم],بيانات!D202:D241,بيان.مغاشات.سفاجا[إجمالي المنصرف])</f>
        <v>14000</v>
      </c>
      <c r="N202" s="46">
        <f>إجمالي.المعاشات[[#This Row],[إجمالي المستحق]]-إجمالي.المعاشات[[#This Row],[المنصرف]]</f>
        <v>21521.5</v>
      </c>
      <c r="O202" s="46">
        <f>(إجمالي.المعاشات[[#This Row],[منحة 6شهور]]+إجمالي.المعاشات[[#This Row],[مستحقات]])-إجمالي.المعاشات[[#This Row],[المنصرف]]</f>
        <v>5209</v>
      </c>
      <c r="P202" s="46">
        <f>IF(إجمالي.المعاشات[[#This Row],[المتبقي من المنحة]]&lt;0,0,إجمالي.المعاشات[[#This Row],[المتبقي من المنحة]])</f>
        <v>5209</v>
      </c>
      <c r="Q20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16312.5</v>
      </c>
      <c r="R202" s="192">
        <f>إجمالي.المعاشات[[#This Row],[المتبقي]]</f>
        <v>21521.5</v>
      </c>
      <c r="S202" s="192" t="s">
        <v>406</v>
      </c>
    </row>
    <row r="203" spans="3:19" ht="21" x14ac:dyDescent="0.35">
      <c r="C203" s="103">
        <f>سفاجا!C16</f>
        <v>9</v>
      </c>
      <c r="D203" s="46" t="str">
        <f>سفاجا!D16</f>
        <v>محمد مصطفى علي</v>
      </c>
      <c r="E203" s="47">
        <f>سفاجا!E16</f>
        <v>9</v>
      </c>
      <c r="F203" s="50">
        <f>سفاجا!F16</f>
        <v>43436</v>
      </c>
      <c r="G203" s="50"/>
      <c r="H203" s="46">
        <f>سفاجا!H16</f>
        <v>17098.2</v>
      </c>
      <c r="I203" s="46">
        <f>سفاجا!I16</f>
        <v>0</v>
      </c>
      <c r="J203" s="46">
        <f>سفاجا!J16</f>
        <v>11910.53</v>
      </c>
      <c r="K203" s="46">
        <f>سفاجا!K16</f>
        <v>90</v>
      </c>
      <c r="L203" s="46">
        <f>SUM(إجمالي.المعاشات[[#This Row],[منحة 6شهور]:[مقابل نقدي]])</f>
        <v>29008.730000000003</v>
      </c>
      <c r="M203" s="46">
        <f>SUMIF(بيان.مغاشات.سفاجا[الإسم],بيانات!D203:D242,بيان.مغاشات.سفاجا[إجمالي المنصرف])</f>
        <v>18700</v>
      </c>
      <c r="N203" s="46">
        <f>إجمالي.المعاشات[[#This Row],[إجمالي المستحق]]-إجمالي.المعاشات[[#This Row],[المنصرف]]</f>
        <v>10308.730000000003</v>
      </c>
      <c r="O203" s="46">
        <f>(إجمالي.المعاشات[[#This Row],[منحة 6شهور]]+إجمالي.المعاشات[[#This Row],[مستحقات]])-إجمالي.المعاشات[[#This Row],[المنصرف]]</f>
        <v>-1601.7999999999993</v>
      </c>
      <c r="P203" s="46">
        <f>IF(إجمالي.المعاشات[[#This Row],[المتبقي من المنحة]]&lt;0,0,إجمالي.المعاشات[[#This Row],[المتبقي من المنحة]])</f>
        <v>0</v>
      </c>
      <c r="Q20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10308.730000000003</v>
      </c>
      <c r="R203" s="192">
        <f>إجمالي.المعاشات[[#This Row],[المتبقي]]</f>
        <v>10308.730000000003</v>
      </c>
      <c r="S203" s="192" t="s">
        <v>406</v>
      </c>
    </row>
    <row r="204" spans="3:19" ht="21" x14ac:dyDescent="0.35">
      <c r="C204" s="103">
        <f>سفاجا!C17</f>
        <v>10</v>
      </c>
      <c r="D204" s="46" t="str">
        <f>سفاجا!D17</f>
        <v>شعبان سليم مبارك</v>
      </c>
      <c r="E204" s="47">
        <f>سفاجا!E17</f>
        <v>10</v>
      </c>
      <c r="F204" s="50">
        <f>سفاجا!F17</f>
        <v>43523</v>
      </c>
      <c r="G204" s="50"/>
      <c r="H204" s="46">
        <f>سفاجا!H17</f>
        <v>18335.099999999999</v>
      </c>
      <c r="I204" s="46">
        <f>سفاجا!I17</f>
        <v>0</v>
      </c>
      <c r="J204" s="46">
        <f>سفاجا!J17</f>
        <v>12949.45</v>
      </c>
      <c r="K204" s="46">
        <f>سفاجا!K17</f>
        <v>90</v>
      </c>
      <c r="L204" s="46">
        <f>SUM(إجمالي.المعاشات[[#This Row],[منحة 6شهور]:[مقابل نقدي]])</f>
        <v>31284.55</v>
      </c>
      <c r="M204" s="46">
        <f>SUMIF(بيان.مغاشات.سفاجا[الإسم],بيانات!D204:D243,بيان.مغاشات.سفاجا[إجمالي المنصرف])</f>
        <v>21035.1</v>
      </c>
      <c r="N204" s="46">
        <f>إجمالي.المعاشات[[#This Row],[إجمالي المستحق]]-إجمالي.المعاشات[[#This Row],[المنصرف]]</f>
        <v>10249.450000000001</v>
      </c>
      <c r="O204" s="46">
        <f>(إجمالي.المعاشات[[#This Row],[منحة 6شهور]]+إجمالي.المعاشات[[#This Row],[مستحقات]])-إجمالي.المعاشات[[#This Row],[المنصرف]]</f>
        <v>-2700</v>
      </c>
      <c r="P204" s="46">
        <f>IF(إجمالي.المعاشات[[#This Row],[المتبقي من المنحة]]&lt;0,0,إجمالي.المعاشات[[#This Row],[المتبقي من المنحة]])</f>
        <v>0</v>
      </c>
      <c r="Q20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10249.450000000001</v>
      </c>
      <c r="R204" s="192">
        <f>إجمالي.المعاشات[[#This Row],[المتبقي]]</f>
        <v>10249.450000000001</v>
      </c>
      <c r="S204" s="192" t="s">
        <v>406</v>
      </c>
    </row>
    <row r="205" spans="3:19" ht="21" x14ac:dyDescent="0.35">
      <c r="C205" s="103">
        <f>سفاجا!C18</f>
        <v>11</v>
      </c>
      <c r="D205" s="46" t="str">
        <f>سفاجا!D18</f>
        <v>إبراهيم حسن علي</v>
      </c>
      <c r="E205" s="47">
        <f>سفاجا!E18</f>
        <v>11</v>
      </c>
      <c r="F205" s="50">
        <f>سفاجا!F18</f>
        <v>43585</v>
      </c>
      <c r="G205" s="50"/>
      <c r="H205" s="46">
        <f>سفاجا!H18</f>
        <v>13221.54</v>
      </c>
      <c r="I205" s="46">
        <f>سفاجا!I18</f>
        <v>0</v>
      </c>
      <c r="J205" s="46">
        <f>سفاجا!J18</f>
        <v>8697.6</v>
      </c>
      <c r="K205" s="46">
        <f>سفاجا!K18</f>
        <v>90</v>
      </c>
      <c r="L205" s="46">
        <f>SUM(إجمالي.المعاشات[[#This Row],[منحة 6شهور]:[مقابل نقدي]])</f>
        <v>21919.14</v>
      </c>
      <c r="M205" s="46">
        <f>SUMIF(بيان.مغاشات.سفاجا[الإسم],بيانات!D205:D243,بيان.مغاشات.سفاجا[إجمالي المنصرف])</f>
        <v>16000</v>
      </c>
      <c r="N205" s="46">
        <f>إجمالي.المعاشات[[#This Row],[إجمالي المستحق]]-إجمالي.المعاشات[[#This Row],[المنصرف]]</f>
        <v>5919.1399999999994</v>
      </c>
      <c r="O205" s="46">
        <f>(إجمالي.المعاشات[[#This Row],[منحة 6شهور]]+إجمالي.المعاشات[[#This Row],[مستحقات]])-إجمالي.المعاشات[[#This Row],[المنصرف]]</f>
        <v>-2778.4599999999991</v>
      </c>
      <c r="P205" s="46">
        <f>IF(إجمالي.المعاشات[[#This Row],[المتبقي من المنحة]]&lt;0,0,إجمالي.المعاشات[[#This Row],[المتبقي من المنحة]])</f>
        <v>0</v>
      </c>
      <c r="Q20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5919.1399999999994</v>
      </c>
      <c r="R205" s="192">
        <f>إجمالي.المعاشات[[#This Row],[المتبقي]]</f>
        <v>5919.1399999999994</v>
      </c>
      <c r="S205" s="192" t="s">
        <v>406</v>
      </c>
    </row>
    <row r="206" spans="3:19" ht="21" x14ac:dyDescent="0.35">
      <c r="C206" s="103">
        <f>سفاجا!C19</f>
        <v>12</v>
      </c>
      <c r="D206" s="46" t="str">
        <f>سفاجا!D19</f>
        <v>عبد الصبور عطيتو إسماعيل</v>
      </c>
      <c r="E206" s="47">
        <f>سفاجا!E19</f>
        <v>12</v>
      </c>
      <c r="F206" s="50">
        <f>سفاجا!F19</f>
        <v>43741</v>
      </c>
      <c r="G206" s="50"/>
      <c r="H206" s="46">
        <f>سفاجا!H19</f>
        <v>17857.14</v>
      </c>
      <c r="I206" s="46">
        <f>سفاجا!I19</f>
        <v>0</v>
      </c>
      <c r="J206" s="46">
        <f>سفاجا!J19</f>
        <v>12785.6</v>
      </c>
      <c r="K206" s="46">
        <f>سفاجا!K19</f>
        <v>90</v>
      </c>
      <c r="L206" s="46">
        <f>SUM(إجمالي.المعاشات[[#This Row],[منحة 6شهور]:[مقابل نقدي]])</f>
        <v>30642.739999999998</v>
      </c>
      <c r="M206" s="46">
        <f>SUMIF(بيان.مغاشات.سفاجا[الإسم],بيانات!D206:D244,بيان.مغاشات.سفاجا[إجمالي المنصرف])</f>
        <v>17857.14</v>
      </c>
      <c r="N206" s="46">
        <f>إجمالي.المعاشات[[#This Row],[إجمالي المستحق]]-إجمالي.المعاشات[[#This Row],[المنصرف]]</f>
        <v>12785.599999999999</v>
      </c>
      <c r="O206" s="46">
        <f>(إجمالي.المعاشات[[#This Row],[منحة 6شهور]]+إجمالي.المعاشات[[#This Row],[مستحقات]])-إجمالي.المعاشات[[#This Row],[المنصرف]]</f>
        <v>0</v>
      </c>
      <c r="P206" s="46">
        <f>IF(إجمالي.المعاشات[[#This Row],[المتبقي من المنحة]]&lt;0,0,إجمالي.المعاشات[[#This Row],[المتبقي من المنحة]])</f>
        <v>0</v>
      </c>
      <c r="Q20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12785.599999999999</v>
      </c>
      <c r="R206" s="192">
        <f>إجمالي.المعاشات[[#This Row],[المتبقي]]</f>
        <v>12785.599999999999</v>
      </c>
      <c r="S206" s="192" t="s">
        <v>406</v>
      </c>
    </row>
    <row r="207" spans="3:19" ht="21" x14ac:dyDescent="0.35">
      <c r="C207" s="103">
        <f>سفاجا!C20</f>
        <v>13</v>
      </c>
      <c r="D207" s="46" t="str">
        <f>سفاجا!D20</f>
        <v>شاذلي يوسف عبد اللطيف</v>
      </c>
      <c r="E207" s="47">
        <f>سفاجا!E20</f>
        <v>13</v>
      </c>
      <c r="F207" s="50">
        <f>سفاجا!F20</f>
        <v>43645</v>
      </c>
      <c r="G207" s="50"/>
      <c r="H207" s="46">
        <f>سفاجا!H20</f>
        <v>19101.66</v>
      </c>
      <c r="I207" s="46">
        <f>سفاجا!I20</f>
        <v>0</v>
      </c>
      <c r="J207" s="46">
        <f>سفاجا!J20</f>
        <v>14017.88</v>
      </c>
      <c r="K207" s="46">
        <f>سفاجا!K20</f>
        <v>90</v>
      </c>
      <c r="L207" s="46">
        <f>SUM(إجمالي.المعاشات[[#This Row],[منحة 6شهور]:[مقابل نقدي]])</f>
        <v>33119.54</v>
      </c>
      <c r="M207" s="46">
        <f>SUMIF(بيان.مغاشات.سفاجا[الإسم],بيانات!D207:D245,بيان.مغاشات.سفاجا[إجمالي المنصرف])</f>
        <v>9500</v>
      </c>
      <c r="N207" s="46">
        <f>إجمالي.المعاشات[[#This Row],[إجمالي المستحق]]-إجمالي.المعاشات[[#This Row],[المنصرف]]</f>
        <v>23619.54</v>
      </c>
      <c r="O207" s="46">
        <f>(إجمالي.المعاشات[[#This Row],[منحة 6شهور]]+إجمالي.المعاشات[[#This Row],[مستحقات]])-إجمالي.المعاشات[[#This Row],[المنصرف]]</f>
        <v>9601.66</v>
      </c>
      <c r="P207" s="46">
        <f>IF(إجمالي.المعاشات[[#This Row],[المتبقي من المنحة]]&lt;0,0,إجمالي.المعاشات[[#This Row],[المتبقي من المنحة]])</f>
        <v>9601.66</v>
      </c>
      <c r="Q20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14017.88</v>
      </c>
      <c r="R207" s="192">
        <f>إجمالي.المعاشات[[#This Row],[المتبقي]]</f>
        <v>23619.54</v>
      </c>
      <c r="S207" s="192" t="s">
        <v>406</v>
      </c>
    </row>
    <row r="208" spans="3:19" ht="21" x14ac:dyDescent="0.35">
      <c r="C208" s="103">
        <f>سفاجا!C21</f>
        <v>14</v>
      </c>
      <c r="D208" s="46" t="str">
        <f>سفاجا!D21</f>
        <v xml:space="preserve">عبد الغني إبراهيم أحمد </v>
      </c>
      <c r="E208" s="47">
        <f>سفاجا!E21</f>
        <v>15</v>
      </c>
      <c r="F208" s="50">
        <f>سفاجا!F21</f>
        <v>43771</v>
      </c>
      <c r="G208" s="50"/>
      <c r="H208" s="46">
        <f>سفاجا!H21</f>
        <v>18962.740000000002</v>
      </c>
      <c r="I208" s="46">
        <f>سفاجا!I21</f>
        <v>0</v>
      </c>
      <c r="J208" s="46">
        <f>سفاجا!J21</f>
        <v>16470</v>
      </c>
      <c r="K208" s="46">
        <f>سفاجا!K21</f>
        <v>90</v>
      </c>
      <c r="L208" s="46">
        <f>SUM(إجمالي.المعاشات[[#This Row],[منحة 6شهور]:[مقابل نقدي]])</f>
        <v>35432.740000000005</v>
      </c>
      <c r="M208" s="46">
        <f>SUMIF(بيان.مغاشات.سفاجا[الإسم],بيانات!D208:D246,بيان.مغاشات.سفاجا[إجمالي المنصرف])</f>
        <v>20562.739999999998</v>
      </c>
      <c r="N208" s="46">
        <f>إجمالي.المعاشات[[#This Row],[إجمالي المستحق]]-إجمالي.المعاشات[[#This Row],[المنصرف]]</f>
        <v>14870.000000000007</v>
      </c>
      <c r="O208" s="46">
        <f>(إجمالي.المعاشات[[#This Row],[منحة 6شهور]]+إجمالي.المعاشات[[#This Row],[مستحقات]])-إجمالي.المعاشات[[#This Row],[المنصرف]]</f>
        <v>-1599.9999999999964</v>
      </c>
      <c r="P208" s="46">
        <f>IF(إجمالي.المعاشات[[#This Row],[المتبقي من المنحة]]&lt;0,0,إجمالي.المعاشات[[#This Row],[المتبقي من المنحة]])</f>
        <v>0</v>
      </c>
      <c r="Q20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14870.000000000007</v>
      </c>
      <c r="R208" s="192">
        <f>إجمالي.المعاشات[[#This Row],[المتبقي]]</f>
        <v>14870.000000000007</v>
      </c>
      <c r="S208" s="192" t="s">
        <v>406</v>
      </c>
    </row>
    <row r="209" spans="3:19" ht="21" x14ac:dyDescent="0.35">
      <c r="C209" s="103">
        <f>سفاجا!C22</f>
        <v>15</v>
      </c>
      <c r="D209" s="46" t="str">
        <f>سفاجا!D22</f>
        <v>سعيدة ثابت محمود مرسي</v>
      </c>
      <c r="E209" s="47">
        <f>سفاجا!E22</f>
        <v>18</v>
      </c>
      <c r="F209" s="50">
        <f>سفاجا!F22</f>
        <v>42834</v>
      </c>
      <c r="G209" s="50"/>
      <c r="H209" s="46">
        <f>سفاجا!H22</f>
        <v>0</v>
      </c>
      <c r="I209" s="46">
        <f>سفاجا!I22</f>
        <v>0</v>
      </c>
      <c r="J209" s="46">
        <f>سفاجا!J22</f>
        <v>10199.700000000001</v>
      </c>
      <c r="K209" s="46">
        <f>سفاجا!K22</f>
        <v>90</v>
      </c>
      <c r="L209" s="46">
        <f>SUM(إجمالي.المعاشات[[#This Row],[منحة 6شهور]:[مقابل نقدي]])</f>
        <v>10199.700000000001</v>
      </c>
      <c r="M209" s="46">
        <f>SUMIF(بيان.مغاشات.سفاجا[الإسم],بيانات!D209:D247,بيان.مغاشات.سفاجا[إجمالي المنصرف])</f>
        <v>9000</v>
      </c>
      <c r="N209" s="46">
        <f>إجمالي.المعاشات[[#This Row],[إجمالي المستحق]]-إجمالي.المعاشات[[#This Row],[المنصرف]]</f>
        <v>1199.7000000000007</v>
      </c>
      <c r="O209" s="46">
        <f>(إجمالي.المعاشات[[#This Row],[منحة 6شهور]]+إجمالي.المعاشات[[#This Row],[مستحقات]])-إجمالي.المعاشات[[#This Row],[المنصرف]]</f>
        <v>-9000</v>
      </c>
      <c r="P209" s="46">
        <f>IF(إجمالي.المعاشات[[#This Row],[المتبقي من المنحة]]&lt;0,0,إجمالي.المعاشات[[#This Row],[المتبقي من المنحة]])</f>
        <v>0</v>
      </c>
      <c r="Q20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1199.7000000000007</v>
      </c>
      <c r="R209" s="192">
        <f>إجمالي.المعاشات[[#This Row],[المتبقي]]</f>
        <v>1199.7000000000007</v>
      </c>
      <c r="S209" s="192" t="s">
        <v>406</v>
      </c>
    </row>
    <row r="210" spans="3:19" ht="21" x14ac:dyDescent="0.35">
      <c r="C210" s="103">
        <f>سفاجا!C23</f>
        <v>16</v>
      </c>
      <c r="D210" s="46" t="str">
        <f>سفاجا!D23</f>
        <v>أحمد بدري أحمد محمود</v>
      </c>
      <c r="E210" s="47">
        <f>سفاجا!E23</f>
        <v>21</v>
      </c>
      <c r="F210" s="50">
        <f>سفاجا!F23</f>
        <v>43155</v>
      </c>
      <c r="G210" s="50"/>
      <c r="H210" s="46">
        <f>سفاجا!H23</f>
        <v>0</v>
      </c>
      <c r="I210" s="46">
        <f>سفاجا!I23</f>
        <v>0</v>
      </c>
      <c r="J210" s="46">
        <f>سفاجا!J23</f>
        <v>11330</v>
      </c>
      <c r="K210" s="46">
        <f>سفاجا!K23</f>
        <v>90</v>
      </c>
      <c r="L210" s="46">
        <f>SUM(إجمالي.المعاشات[[#This Row],[منحة 6شهور]:[مقابل نقدي]])</f>
        <v>11330</v>
      </c>
      <c r="M210" s="46">
        <f>SUMIF(بيان.مغاشات.سفاجا[الإسم],بيانات!D210:D248,بيان.مغاشات.سفاجا[إجمالي المنصرف])</f>
        <v>7000</v>
      </c>
      <c r="N210" s="46">
        <f>إجمالي.المعاشات[[#This Row],[إجمالي المستحق]]-إجمالي.المعاشات[[#This Row],[المنصرف]]</f>
        <v>4330</v>
      </c>
      <c r="O210" s="46">
        <f>(إجمالي.المعاشات[[#This Row],[منحة 6شهور]]+إجمالي.المعاشات[[#This Row],[مستحقات]])-إجمالي.المعاشات[[#This Row],[المنصرف]]</f>
        <v>-7000</v>
      </c>
      <c r="P210" s="46">
        <f>IF(إجمالي.المعاشات[[#This Row],[المتبقي من المنحة]]&lt;0,0,إجمالي.المعاشات[[#This Row],[المتبقي من المنحة]])</f>
        <v>0</v>
      </c>
      <c r="Q21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4330</v>
      </c>
      <c r="R210" s="192">
        <f>إجمالي.المعاشات[[#This Row],[المتبقي]]</f>
        <v>4330</v>
      </c>
      <c r="S210" s="192" t="s">
        <v>406</v>
      </c>
    </row>
    <row r="211" spans="3:19" ht="21" x14ac:dyDescent="0.35">
      <c r="C211" s="103">
        <f>سفاجا!C24</f>
        <v>17</v>
      </c>
      <c r="D211" s="46" t="str">
        <f>سفاجا!D24</f>
        <v>عامر أحمد محمد</v>
      </c>
      <c r="E211" s="47">
        <f>سفاجا!E24</f>
        <v>23</v>
      </c>
      <c r="F211" s="50">
        <f>سفاجا!F24</f>
        <v>42833</v>
      </c>
      <c r="G211" s="50"/>
      <c r="H211" s="46">
        <f>سفاجا!H24</f>
        <v>0</v>
      </c>
      <c r="I211" s="46">
        <f>سفاجا!I24</f>
        <v>0</v>
      </c>
      <c r="J211" s="46">
        <f>سفاجا!J24</f>
        <v>10199.700000000001</v>
      </c>
      <c r="K211" s="46">
        <f>سفاجا!K24</f>
        <v>90</v>
      </c>
      <c r="L211" s="46">
        <f>SUM(إجمالي.المعاشات[[#This Row],[منحة 6شهور]:[مقابل نقدي]])</f>
        <v>10199.700000000001</v>
      </c>
      <c r="M211" s="46">
        <f>SUMIF(بيان.مغاشات.سفاجا[الإسم],بيانات!D211:D249,بيان.مغاشات.سفاجا[إجمالي المنصرف])</f>
        <v>5269.7</v>
      </c>
      <c r="N211" s="46">
        <f>إجمالي.المعاشات[[#This Row],[إجمالي المستحق]]-إجمالي.المعاشات[[#This Row],[المنصرف]]</f>
        <v>4930.0000000000009</v>
      </c>
      <c r="O211" s="46">
        <f>(إجمالي.المعاشات[[#This Row],[منحة 6شهور]]+إجمالي.المعاشات[[#This Row],[مستحقات]])-إجمالي.المعاشات[[#This Row],[المنصرف]]</f>
        <v>-5269.7</v>
      </c>
      <c r="P211" s="46">
        <f>IF(إجمالي.المعاشات[[#This Row],[المتبقي من المنحة]]&lt;0,0,إجمالي.المعاشات[[#This Row],[المتبقي من المنحة]])</f>
        <v>0</v>
      </c>
      <c r="Q21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4930.0000000000009</v>
      </c>
      <c r="R211" s="192">
        <f>إجمالي.المعاشات[[#This Row],[المتبقي]]</f>
        <v>4930.0000000000009</v>
      </c>
      <c r="S211" s="192" t="s">
        <v>406</v>
      </c>
    </row>
    <row r="212" spans="3:19" ht="21" x14ac:dyDescent="0.35">
      <c r="C212" s="103">
        <f>سفاجا!C25</f>
        <v>18</v>
      </c>
      <c r="D212" s="46" t="str">
        <f>سفاجا!D25</f>
        <v>أحمد محمود طلب</v>
      </c>
      <c r="E212" s="47">
        <f>سفاجا!E25</f>
        <v>24</v>
      </c>
      <c r="F212" s="50">
        <f>سفاجا!F25</f>
        <v>44069</v>
      </c>
      <c r="G212" s="50"/>
      <c r="H212" s="46">
        <f>سفاجا!H25</f>
        <v>21309.84</v>
      </c>
      <c r="I212" s="46">
        <f>سفاجا!I25</f>
        <v>0</v>
      </c>
      <c r="J212" s="46">
        <f>سفاجا!J25</f>
        <v>17447.400000000001</v>
      </c>
      <c r="K212" s="46">
        <f>سفاجا!K25</f>
        <v>90</v>
      </c>
      <c r="L212" s="46">
        <f>SUM(إجمالي.المعاشات[[#This Row],[منحة 6شهور]:[مقابل نقدي]])</f>
        <v>38757.240000000005</v>
      </c>
      <c r="M212" s="46">
        <f>SUMIF(بيان.مغاشات.سفاجا[الإسم],بيانات!D212:D250,بيان.مغاشات.سفاجا[إجمالي المنصرف])</f>
        <v>13000</v>
      </c>
      <c r="N212" s="46">
        <f>إجمالي.المعاشات[[#This Row],[إجمالي المستحق]]-إجمالي.المعاشات[[#This Row],[المنصرف]]</f>
        <v>25757.240000000005</v>
      </c>
      <c r="O212" s="46">
        <f>(إجمالي.المعاشات[[#This Row],[منحة 6شهور]]+إجمالي.المعاشات[[#This Row],[مستحقات]])-إجمالي.المعاشات[[#This Row],[المنصرف]]</f>
        <v>8309.84</v>
      </c>
      <c r="P212" s="46">
        <f>IF(إجمالي.المعاشات[[#This Row],[المتبقي من المنحة]]&lt;0,0,إجمالي.المعاشات[[#This Row],[المتبقي من المنحة]])</f>
        <v>8309.84</v>
      </c>
      <c r="Q21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17447.400000000001</v>
      </c>
      <c r="R212" s="192">
        <f>إجمالي.المعاشات[[#This Row],[المتبقي]]</f>
        <v>25757.240000000005</v>
      </c>
      <c r="S212" s="192" t="s">
        <v>406</v>
      </c>
    </row>
    <row r="213" spans="3:19" ht="21" x14ac:dyDescent="0.35">
      <c r="C213" s="103">
        <f>سفاجا!C26</f>
        <v>19</v>
      </c>
      <c r="D213" s="46" t="str">
        <f>سفاجا!D26</f>
        <v>محمد حسن إسماعيل</v>
      </c>
      <c r="E213" s="47">
        <f>سفاجا!E26</f>
        <v>25</v>
      </c>
      <c r="F213" s="50">
        <f>سفاجا!F26</f>
        <v>43363</v>
      </c>
      <c r="G213" s="50"/>
      <c r="H213" s="46">
        <f>سفاجا!H26</f>
        <v>15072.6</v>
      </c>
      <c r="I213" s="46">
        <f>سفاجا!I26</f>
        <v>0</v>
      </c>
      <c r="J213" s="46">
        <f>سفاجا!J26</f>
        <v>12359.7</v>
      </c>
      <c r="K213" s="46">
        <f>سفاجا!K26</f>
        <v>90</v>
      </c>
      <c r="L213" s="46">
        <f>SUM(إجمالي.المعاشات[[#This Row],[منحة 6شهور]:[مقابل نقدي]])</f>
        <v>27432.300000000003</v>
      </c>
      <c r="M213" s="46">
        <f>SUMIF(بيان.مغاشات.سفاجا[الإسم],بيانات!D213:D251,بيان.مغاشات.سفاجا[إجمالي المنصرف])</f>
        <v>24100</v>
      </c>
      <c r="N213" s="46">
        <f>إجمالي.المعاشات[[#This Row],[إجمالي المستحق]]-إجمالي.المعاشات[[#This Row],[المنصرف]]</f>
        <v>3332.3000000000029</v>
      </c>
      <c r="O213" s="46">
        <f>(إجمالي.المعاشات[[#This Row],[منحة 6شهور]]+إجمالي.المعاشات[[#This Row],[مستحقات]])-إجمالي.المعاشات[[#This Row],[المنصرف]]</f>
        <v>-9027.4</v>
      </c>
      <c r="P213" s="46">
        <f>IF(إجمالي.المعاشات[[#This Row],[المتبقي من المنحة]]&lt;0,0,إجمالي.المعاشات[[#This Row],[المتبقي من المنحة]])</f>
        <v>0</v>
      </c>
      <c r="Q21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3332.3000000000029</v>
      </c>
      <c r="R213" s="192">
        <f>إجمالي.المعاشات[[#This Row],[المتبقي]]</f>
        <v>3332.3000000000029</v>
      </c>
      <c r="S213" s="192" t="s">
        <v>406</v>
      </c>
    </row>
    <row r="214" spans="3:19" ht="21" x14ac:dyDescent="0.35">
      <c r="C214" s="103">
        <f>سفاجا!C27</f>
        <v>20</v>
      </c>
      <c r="D214" s="46" t="str">
        <f>سفاجا!D27</f>
        <v>روماني رياض عبد الشهيد</v>
      </c>
      <c r="E214" s="47">
        <f>سفاجا!E27</f>
        <v>26</v>
      </c>
      <c r="F214" s="50">
        <f>سفاجا!F27</f>
        <v>43010</v>
      </c>
      <c r="G214" s="50"/>
      <c r="H214" s="46">
        <f>سفاجا!H27</f>
        <v>0</v>
      </c>
      <c r="I214" s="46">
        <f>سفاجا!I27</f>
        <v>0</v>
      </c>
      <c r="J214" s="46">
        <f>سفاجا!J27</f>
        <v>10000.799999999999</v>
      </c>
      <c r="K214" s="46">
        <f>سفاجا!K27</f>
        <v>90</v>
      </c>
      <c r="L214" s="46">
        <f>SUM(إجمالي.المعاشات[[#This Row],[منحة 6شهور]:[مقابل نقدي]])</f>
        <v>10000.799999999999</v>
      </c>
      <c r="M214" s="46">
        <f>SUMIF(بيان.مغاشات.سفاجا[الإسم],بيانات!D214:D252,بيان.مغاشات.سفاجا[إجمالي المنصرف])</f>
        <v>7560.74</v>
      </c>
      <c r="N214" s="46">
        <f>إجمالي.المعاشات[[#This Row],[إجمالي المستحق]]-إجمالي.المعاشات[[#This Row],[المنصرف]]</f>
        <v>2440.0599999999995</v>
      </c>
      <c r="O214" s="46">
        <f>(إجمالي.المعاشات[[#This Row],[منحة 6شهور]]+إجمالي.المعاشات[[#This Row],[مستحقات]])-إجمالي.المعاشات[[#This Row],[المنصرف]]</f>
        <v>-7560.74</v>
      </c>
      <c r="P214" s="46">
        <f>IF(إجمالي.المعاشات[[#This Row],[المتبقي من المنحة]]&lt;0,0,إجمالي.المعاشات[[#This Row],[المتبقي من المنحة]])</f>
        <v>0</v>
      </c>
      <c r="Q21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2440.0599999999995</v>
      </c>
      <c r="R214" s="192">
        <f>إجمالي.المعاشات[[#This Row],[المتبقي]]</f>
        <v>2440.0599999999995</v>
      </c>
      <c r="S214" s="192" t="s">
        <v>406</v>
      </c>
    </row>
    <row r="215" spans="3:19" ht="21" x14ac:dyDescent="0.35">
      <c r="C215" s="103">
        <f>سفاجا!C28</f>
        <v>21</v>
      </c>
      <c r="D215" s="46" t="str">
        <f>سفاجا!D28</f>
        <v>محمد حامد شارد</v>
      </c>
      <c r="E215" s="47">
        <f>سفاجا!E28</f>
        <v>27</v>
      </c>
      <c r="F215" s="50">
        <f>سفاجا!F28</f>
        <v>42737</v>
      </c>
      <c r="G215" s="50"/>
      <c r="H215" s="46">
        <f>سفاجا!H28</f>
        <v>1840.14</v>
      </c>
      <c r="I215" s="46">
        <f>سفاجا!I28</f>
        <v>15022.4</v>
      </c>
      <c r="J215" s="46">
        <f>سفاجا!J28</f>
        <v>9870.2999999999993</v>
      </c>
      <c r="K215" s="46">
        <f>سفاجا!K28</f>
        <v>90</v>
      </c>
      <c r="L215" s="46">
        <f>SUM(إجمالي.المعاشات[[#This Row],[منحة 6شهور]:[مقابل نقدي]])</f>
        <v>26732.84</v>
      </c>
      <c r="M215" s="46">
        <f>SUMIF(بيان.مغاشات.سفاجا[الإسم],بيانات!D215:D253,بيان.مغاشات.سفاجا[إجمالي المنصرف])</f>
        <v>11568.75</v>
      </c>
      <c r="N215" s="46">
        <f>إجمالي.المعاشات[[#This Row],[إجمالي المستحق]]-إجمالي.المعاشات[[#This Row],[المنصرف]]</f>
        <v>15164.09</v>
      </c>
      <c r="O215" s="46">
        <f>(إجمالي.المعاشات[[#This Row],[منحة 6شهور]]+إجمالي.المعاشات[[#This Row],[مستحقات]])-إجمالي.المعاشات[[#This Row],[المنصرف]]</f>
        <v>5293.7900000000009</v>
      </c>
      <c r="P215" s="46">
        <f>IF(إجمالي.المعاشات[[#This Row],[المتبقي من المنحة]]&lt;0,0,إجمالي.المعاشات[[#This Row],[المتبقي من المنحة]])</f>
        <v>5293.7900000000009</v>
      </c>
      <c r="Q21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9870.2999999999993</v>
      </c>
      <c r="R215" s="192">
        <f>إجمالي.المعاشات[[#This Row],[المتبقي]]</f>
        <v>15164.09</v>
      </c>
      <c r="S215" s="192" t="s">
        <v>406</v>
      </c>
    </row>
    <row r="216" spans="3:19" ht="21" x14ac:dyDescent="0.35">
      <c r="C216" s="103">
        <f>سفاجا!C29</f>
        <v>22</v>
      </c>
      <c r="D216" s="46" t="str">
        <f>سفاجا!D29</f>
        <v>أحمد حميد محمد</v>
      </c>
      <c r="E216" s="47">
        <f>سفاجا!E29</f>
        <v>29</v>
      </c>
      <c r="F216" s="50">
        <f>سفاجا!F29</f>
        <v>44053</v>
      </c>
      <c r="G216" s="50"/>
      <c r="H216" s="46">
        <f>سفاجا!H29</f>
        <v>23007.9</v>
      </c>
      <c r="I216" s="46">
        <f>سفاجا!I29</f>
        <v>0</v>
      </c>
      <c r="J216" s="46">
        <f>سفاجا!J29</f>
        <v>18634.5</v>
      </c>
      <c r="K216" s="46">
        <f>سفاجا!K29</f>
        <v>90</v>
      </c>
      <c r="L216" s="46">
        <f>SUM(إجمالي.المعاشات[[#This Row],[منحة 6شهور]:[مقابل نقدي]])</f>
        <v>41642.400000000001</v>
      </c>
      <c r="M216" s="46">
        <f>SUMIF(بيان.مغاشات.سفاجا[الإسم],بيانات!D216:D254,بيان.مغاشات.سفاجا[إجمالي المنصرف])</f>
        <v>16000</v>
      </c>
      <c r="N216" s="46">
        <f>إجمالي.المعاشات[[#This Row],[إجمالي المستحق]]-إجمالي.المعاشات[[#This Row],[المنصرف]]</f>
        <v>25642.400000000001</v>
      </c>
      <c r="O216" s="46">
        <f>(إجمالي.المعاشات[[#This Row],[منحة 6شهور]]+إجمالي.المعاشات[[#This Row],[مستحقات]])-إجمالي.المعاشات[[#This Row],[المنصرف]]</f>
        <v>7007.9000000000015</v>
      </c>
      <c r="P216" s="46">
        <f>IF(إجمالي.المعاشات[[#This Row],[المتبقي من المنحة]]&lt;0,0,إجمالي.المعاشات[[#This Row],[المتبقي من المنحة]])</f>
        <v>7007.9000000000015</v>
      </c>
      <c r="Q21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18634.5</v>
      </c>
      <c r="R216" s="192">
        <f>إجمالي.المعاشات[[#This Row],[المتبقي]]</f>
        <v>25642.400000000001</v>
      </c>
      <c r="S216" s="192" t="s">
        <v>406</v>
      </c>
    </row>
    <row r="217" spans="3:19" ht="21" x14ac:dyDescent="0.35">
      <c r="C217" s="103">
        <f>سفاجا!C30</f>
        <v>23</v>
      </c>
      <c r="D217" s="46" t="str">
        <f>سفاجا!D30</f>
        <v>جابر مصطفى إسماعيل</v>
      </c>
      <c r="E217" s="47">
        <f>سفاجا!E30</f>
        <v>33</v>
      </c>
      <c r="F217" s="50">
        <f>سفاجا!F30</f>
        <v>44464</v>
      </c>
      <c r="G217" s="50"/>
      <c r="H217" s="46">
        <f>سفاجا!H30</f>
        <v>21228.48</v>
      </c>
      <c r="I217" s="46">
        <f>سفاجا!I30</f>
        <v>0</v>
      </c>
      <c r="J217" s="46">
        <f>سفاجا!J30</f>
        <v>18819.900000000001</v>
      </c>
      <c r="K217" s="46">
        <f>سفاجا!K30</f>
        <v>90</v>
      </c>
      <c r="L217" s="46">
        <f>SUM(إجمالي.المعاشات[[#This Row],[منحة 6شهور]:[مقابل نقدي]])</f>
        <v>40048.380000000005</v>
      </c>
      <c r="M217" s="46">
        <f>SUMIF(بيان.مغاشات.سفاجا[الإسم],بيانات!D217:D255,بيان.مغاشات.سفاجا[إجمالي المنصرف])</f>
        <v>7000</v>
      </c>
      <c r="N217" s="46">
        <f>إجمالي.المعاشات[[#This Row],[إجمالي المستحق]]-إجمالي.المعاشات[[#This Row],[المنصرف]]</f>
        <v>33048.380000000005</v>
      </c>
      <c r="O217" s="46">
        <f>(إجمالي.المعاشات[[#This Row],[منحة 6شهور]]+إجمالي.المعاشات[[#This Row],[مستحقات]])-إجمالي.المعاشات[[#This Row],[المنصرف]]</f>
        <v>14228.48</v>
      </c>
      <c r="P217" s="46">
        <f>IF(إجمالي.المعاشات[[#This Row],[المتبقي من المنحة]]&lt;0,0,إجمالي.المعاشات[[#This Row],[المتبقي من المنحة]])</f>
        <v>14228.48</v>
      </c>
      <c r="Q21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18819.900000000001</v>
      </c>
      <c r="R217" s="192">
        <f>إجمالي.المعاشات[[#This Row],[المتبقي]]</f>
        <v>33048.380000000005</v>
      </c>
      <c r="S217" s="192" t="s">
        <v>406</v>
      </c>
    </row>
    <row r="218" spans="3:19" ht="21" x14ac:dyDescent="0.35">
      <c r="C218" s="103">
        <f>سفاجا!C31</f>
        <v>24</v>
      </c>
      <c r="D218" s="46" t="str">
        <f>سفاجا!D31</f>
        <v>عبد الرحمن أبو المجد محمد</v>
      </c>
      <c r="E218" s="47">
        <f>سفاجا!E31</f>
        <v>34</v>
      </c>
      <c r="F218" s="50">
        <f>سفاجا!F31</f>
        <v>43865</v>
      </c>
      <c r="G218" s="50"/>
      <c r="H218" s="46">
        <f>سفاجا!H31</f>
        <v>16903.169999999998</v>
      </c>
      <c r="I218" s="46">
        <f>سفاجا!I31</f>
        <v>0</v>
      </c>
      <c r="J218" s="46">
        <f>سفاجا!J31</f>
        <v>13474.8</v>
      </c>
      <c r="K218" s="46">
        <f>سفاجا!K31</f>
        <v>90</v>
      </c>
      <c r="L218" s="46">
        <f>SUM(إجمالي.المعاشات[[#This Row],[منحة 6شهور]:[مقابل نقدي]])</f>
        <v>30377.969999999998</v>
      </c>
      <c r="M218" s="46">
        <f>SUMIF(بيان.مغاشات.سفاجا[الإسم],بيانات!D218:D256,بيان.مغاشات.سفاجا[إجمالي المنصرف])</f>
        <v>16903.169999999998</v>
      </c>
      <c r="N218" s="46">
        <f>إجمالي.المعاشات[[#This Row],[إجمالي المستحق]]-إجمالي.المعاشات[[#This Row],[المنصرف]]</f>
        <v>13474.8</v>
      </c>
      <c r="O218" s="46">
        <f>(إجمالي.المعاشات[[#This Row],[منحة 6شهور]]+إجمالي.المعاشات[[#This Row],[مستحقات]])-إجمالي.المعاشات[[#This Row],[المنصرف]]</f>
        <v>0</v>
      </c>
      <c r="P218" s="46">
        <f>IF(إجمالي.المعاشات[[#This Row],[المتبقي من المنحة]]&lt;0,0,إجمالي.المعاشات[[#This Row],[المتبقي من المنحة]])</f>
        <v>0</v>
      </c>
      <c r="Q21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13474.8</v>
      </c>
      <c r="R218" s="192">
        <f>إجمالي.المعاشات[[#This Row],[المتبقي]]</f>
        <v>13474.8</v>
      </c>
      <c r="S218" s="192" t="s">
        <v>406</v>
      </c>
    </row>
    <row r="219" spans="3:19" ht="21" x14ac:dyDescent="0.35">
      <c r="C219" s="103">
        <f>سفاجا!C32</f>
        <v>25</v>
      </c>
      <c r="D219" s="46" t="str">
        <f>سفاجا!D32</f>
        <v>محمد حسن أحمد نصر</v>
      </c>
      <c r="E219" s="47">
        <f>سفاجا!E32</f>
        <v>35</v>
      </c>
      <c r="F219" s="50">
        <f>سفاجا!F32</f>
        <v>44443</v>
      </c>
      <c r="G219" s="50"/>
      <c r="H219" s="46">
        <f>سفاجا!H32</f>
        <v>12423.95</v>
      </c>
      <c r="I219" s="46">
        <f>سفاجا!I32</f>
        <v>0</v>
      </c>
      <c r="J219" s="46">
        <f>سفاجا!J32</f>
        <v>13050</v>
      </c>
      <c r="K219" s="46">
        <f>سفاجا!K32</f>
        <v>90</v>
      </c>
      <c r="L219" s="46">
        <f>SUM(إجمالي.المعاشات[[#This Row],[منحة 6شهور]:[مقابل نقدي]])</f>
        <v>25473.95</v>
      </c>
      <c r="M219" s="46">
        <f>SUMIF(بيان.مغاشات.سفاجا[الإسم],بيانات!D219:D257,بيان.مغاشات.سفاجا[إجمالي المنصرف])</f>
        <v>6423.95</v>
      </c>
      <c r="N219" s="46">
        <f>إجمالي.المعاشات[[#This Row],[إجمالي المستحق]]-إجمالي.المعاشات[[#This Row],[المنصرف]]</f>
        <v>19050</v>
      </c>
      <c r="O219" s="46">
        <f>(إجمالي.المعاشات[[#This Row],[منحة 6شهور]]+إجمالي.المعاشات[[#This Row],[مستحقات]])-إجمالي.المعاشات[[#This Row],[المنصرف]]</f>
        <v>6000.0000000000009</v>
      </c>
      <c r="P219" s="46">
        <f>IF(إجمالي.المعاشات[[#This Row],[المتبقي من المنحة]]&lt;0,0,إجمالي.المعاشات[[#This Row],[المتبقي من المنحة]])</f>
        <v>6000.0000000000009</v>
      </c>
      <c r="Q21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13050</v>
      </c>
      <c r="R219" s="192">
        <f>إجمالي.المعاشات[[#This Row],[المتبقي]]</f>
        <v>19050</v>
      </c>
      <c r="S219" s="192" t="s">
        <v>406</v>
      </c>
    </row>
    <row r="220" spans="3:19" ht="21" x14ac:dyDescent="0.35">
      <c r="C220" s="103">
        <f>سفاجا!C33</f>
        <v>26</v>
      </c>
      <c r="D220" s="46" t="str">
        <f>سفاجا!D33</f>
        <v>علي محمد علي حسين</v>
      </c>
      <c r="E220" s="47">
        <f>سفاجا!E33</f>
        <v>36</v>
      </c>
      <c r="F220" s="50">
        <f>سفاجا!F33</f>
        <v>44538</v>
      </c>
      <c r="G220" s="50"/>
      <c r="H220" s="46">
        <f>سفاجا!H33</f>
        <v>14432.67</v>
      </c>
      <c r="I220" s="46">
        <f>سفاجا!I33</f>
        <v>0</v>
      </c>
      <c r="J220" s="46">
        <f>سفاجا!J33</f>
        <v>12632.5</v>
      </c>
      <c r="K220" s="46">
        <f>سفاجا!K33</f>
        <v>90</v>
      </c>
      <c r="L220" s="46">
        <f>SUM(إجمالي.المعاشات[[#This Row],[منحة 6شهور]:[مقابل نقدي]])</f>
        <v>27065.17</v>
      </c>
      <c r="M220" s="46">
        <f>SUMIF(بيان.مغاشات.سفاجا[الإسم],بيانات!D220:D258,بيان.مغاشات.سفاجا[إجمالي المنصرف])</f>
        <v>8000</v>
      </c>
      <c r="N220" s="46">
        <f>إجمالي.المعاشات[[#This Row],[إجمالي المستحق]]-إجمالي.المعاشات[[#This Row],[المنصرف]]</f>
        <v>19065.169999999998</v>
      </c>
      <c r="O220" s="46">
        <f>(إجمالي.المعاشات[[#This Row],[منحة 6شهور]]+إجمالي.المعاشات[[#This Row],[مستحقات]])-إجمالي.المعاشات[[#This Row],[المنصرف]]</f>
        <v>6432.67</v>
      </c>
      <c r="P220" s="46">
        <f>IF(إجمالي.المعاشات[[#This Row],[المتبقي من المنحة]]&lt;0,0,إجمالي.المعاشات[[#This Row],[المتبقي من المنحة]])</f>
        <v>6432.67</v>
      </c>
      <c r="Q22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12632.5</v>
      </c>
      <c r="R220" s="192">
        <f>إجمالي.المعاشات[[#This Row],[المتبقي]]</f>
        <v>19065.169999999998</v>
      </c>
      <c r="S220" s="192" t="s">
        <v>406</v>
      </c>
    </row>
    <row r="221" spans="3:19" ht="21" x14ac:dyDescent="0.35">
      <c r="C221" s="103">
        <f>سفاجا!C34</f>
        <v>27</v>
      </c>
      <c r="D221" s="46" t="str">
        <f>سفاجا!D34</f>
        <v>محسوب عمران أحمد</v>
      </c>
      <c r="E221" s="47">
        <f>سفاجا!E34</f>
        <v>37</v>
      </c>
      <c r="F221" s="50">
        <f>سفاجا!F34</f>
        <v>44581</v>
      </c>
      <c r="G221" s="50"/>
      <c r="H221" s="46">
        <f>سفاجا!H34</f>
        <v>17086.22</v>
      </c>
      <c r="I221" s="46">
        <f>سفاجا!I34</f>
        <v>0</v>
      </c>
      <c r="J221" s="46">
        <f>سفاجا!J34</f>
        <v>16200</v>
      </c>
      <c r="K221" s="46">
        <f>سفاجا!K34</f>
        <v>90</v>
      </c>
      <c r="L221" s="46">
        <f>SUM(إجمالي.المعاشات[[#This Row],[منحة 6شهور]:[مقابل نقدي]])</f>
        <v>33286.22</v>
      </c>
      <c r="M221" s="46">
        <f>SUMIF(بيان.مغاشات.سفاجا[الإسم],بيانات!D221:D259,بيان.مغاشات.سفاجا[إجمالي المنصرف])</f>
        <v>5086.2199999999993</v>
      </c>
      <c r="N221" s="46">
        <f>إجمالي.المعاشات[[#This Row],[إجمالي المستحق]]-إجمالي.المعاشات[[#This Row],[المنصرف]]</f>
        <v>28200</v>
      </c>
      <c r="O221" s="46">
        <f>(إجمالي.المعاشات[[#This Row],[منحة 6شهور]]+إجمالي.المعاشات[[#This Row],[مستحقات]])-إجمالي.المعاشات[[#This Row],[المنصرف]]</f>
        <v>12000.000000000002</v>
      </c>
      <c r="P221" s="46">
        <f>IF(إجمالي.المعاشات[[#This Row],[المتبقي من المنحة]]&lt;0,0,إجمالي.المعاشات[[#This Row],[المتبقي من المنحة]])</f>
        <v>12000.000000000002</v>
      </c>
      <c r="Q22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16200</v>
      </c>
      <c r="R221" s="192">
        <f>إجمالي.المعاشات[[#This Row],[المتبقي]]</f>
        <v>28200</v>
      </c>
      <c r="S221" s="192" t="s">
        <v>406</v>
      </c>
    </row>
    <row r="222" spans="3:19" ht="21" x14ac:dyDescent="0.35">
      <c r="C222" s="103">
        <f>سفاجا!C35</f>
        <v>28</v>
      </c>
      <c r="D222" s="46" t="str">
        <f>سفاجا!D35</f>
        <v>محمود أحمد الصغير</v>
      </c>
      <c r="E222" s="47">
        <f>سفاجا!E35</f>
        <v>39</v>
      </c>
      <c r="F222" s="50">
        <f>سفاجا!F35</f>
        <v>44613</v>
      </c>
      <c r="G222" s="50"/>
      <c r="H222" s="46">
        <f>سفاجا!H35</f>
        <v>16455.43</v>
      </c>
      <c r="I222" s="46">
        <f>سفاجا!I35</f>
        <v>0</v>
      </c>
      <c r="J222" s="46">
        <f>سفاجا!J35</f>
        <v>18199.8</v>
      </c>
      <c r="K222" s="46">
        <f>سفاجا!K35</f>
        <v>90</v>
      </c>
      <c r="L222" s="46">
        <f>SUM(إجمالي.المعاشات[[#This Row],[منحة 6شهور]:[مقابل نقدي]])</f>
        <v>34655.229999999996</v>
      </c>
      <c r="M222" s="46">
        <f>SUMIF(بيان.مغاشات.سفاجا[الإسم],بيانات!D222:D260,بيان.مغاشات.سفاجا[إجمالي المنصرف])</f>
        <v>6955.43</v>
      </c>
      <c r="N222" s="46">
        <f>إجمالي.المعاشات[[#This Row],[إجمالي المستحق]]-إجمالي.المعاشات[[#This Row],[المنصرف]]</f>
        <v>27699.799999999996</v>
      </c>
      <c r="O222" s="46">
        <f>(إجمالي.المعاشات[[#This Row],[منحة 6شهور]]+إجمالي.المعاشات[[#This Row],[مستحقات]])-إجمالي.المعاشات[[#This Row],[المنصرف]]</f>
        <v>9500</v>
      </c>
      <c r="P222" s="46">
        <f>IF(إجمالي.المعاشات[[#This Row],[المتبقي من المنحة]]&lt;0,0,إجمالي.المعاشات[[#This Row],[المتبقي من المنحة]])</f>
        <v>9500</v>
      </c>
      <c r="Q22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18199.8</v>
      </c>
      <c r="R222" s="192">
        <f>إجمالي.المعاشات[[#This Row],[المتبقي]]</f>
        <v>27699.799999999996</v>
      </c>
      <c r="S222" s="192" t="s">
        <v>406</v>
      </c>
    </row>
    <row r="223" spans="3:19" ht="21" x14ac:dyDescent="0.35">
      <c r="C223" s="103">
        <f>سفاجا!C36</f>
        <v>29</v>
      </c>
      <c r="D223" s="46" t="str">
        <f>سفاجا!D36</f>
        <v>محمد مصطفى أحمد</v>
      </c>
      <c r="E223" s="47">
        <f>سفاجا!E36</f>
        <v>40</v>
      </c>
      <c r="F223" s="50">
        <f>سفاجا!F36</f>
        <v>44650</v>
      </c>
      <c r="G223" s="50"/>
      <c r="H223" s="46">
        <f>سفاجا!H36</f>
        <v>21343.56</v>
      </c>
      <c r="I223" s="46">
        <f>سفاجا!I36</f>
        <v>0</v>
      </c>
      <c r="J223" s="46">
        <f>سفاجا!J36</f>
        <v>19199.7</v>
      </c>
      <c r="K223" s="46">
        <f>سفاجا!K36</f>
        <v>90</v>
      </c>
      <c r="L223" s="46">
        <f>SUM(إجمالي.المعاشات[[#This Row],[منحة 6شهور]:[مقابل نقدي]])</f>
        <v>40543.26</v>
      </c>
      <c r="M223" s="46">
        <f>SUMIF(بيان.مغاشات.سفاجا[الإسم],بيانات!D223:D261,بيان.مغاشات.سفاجا[إجمالي المنصرف])</f>
        <v>5000</v>
      </c>
      <c r="N223" s="46">
        <f>إجمالي.المعاشات[[#This Row],[إجمالي المستحق]]-إجمالي.المعاشات[[#This Row],[المنصرف]]</f>
        <v>35543.26</v>
      </c>
      <c r="O223" s="46">
        <f>(إجمالي.المعاشات[[#This Row],[منحة 6شهور]]+إجمالي.المعاشات[[#This Row],[مستحقات]])-إجمالي.المعاشات[[#This Row],[المنصرف]]</f>
        <v>16343.560000000001</v>
      </c>
      <c r="P223" s="46">
        <f>IF(إجمالي.المعاشات[[#This Row],[المتبقي من المنحة]]&lt;0,0,إجمالي.المعاشات[[#This Row],[المتبقي من المنحة]])</f>
        <v>16343.560000000001</v>
      </c>
      <c r="Q22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19199.7</v>
      </c>
      <c r="R223" s="192">
        <f>إجمالي.المعاشات[[#This Row],[المتبقي]]</f>
        <v>35543.26</v>
      </c>
      <c r="S223" s="192" t="s">
        <v>406</v>
      </c>
    </row>
    <row r="224" spans="3:19" ht="21" x14ac:dyDescent="0.35">
      <c r="C224" s="103">
        <f>سفاجا!C37</f>
        <v>30</v>
      </c>
      <c r="D224" s="46" t="str">
        <f>سفاجا!D37</f>
        <v>عزت حسن أحمد</v>
      </c>
      <c r="E224" s="47">
        <f>سفاجا!E37</f>
        <v>41</v>
      </c>
      <c r="F224" s="50">
        <f>سفاجا!F37</f>
        <v>44671</v>
      </c>
      <c r="G224" s="50"/>
      <c r="H224" s="46">
        <f>سفاجا!H37</f>
        <v>21625.439999999999</v>
      </c>
      <c r="I224" s="46">
        <f>سفاجا!I37</f>
        <v>0</v>
      </c>
      <c r="J224" s="46">
        <f>سفاجا!J37</f>
        <v>18000</v>
      </c>
      <c r="K224" s="46">
        <f>سفاجا!K37</f>
        <v>90</v>
      </c>
      <c r="L224" s="46">
        <f>SUM(إجمالي.المعاشات[[#This Row],[منحة 6شهور]:[مقابل نقدي]])</f>
        <v>39625.440000000002</v>
      </c>
      <c r="M224" s="46">
        <f>SUMIF(بيان.مغاشات.سفاجا[الإسم],بيانات!D224:D262,بيان.مغاشات.سفاجا[إجمالي المنصرف])</f>
        <v>5500</v>
      </c>
      <c r="N224" s="46">
        <f>إجمالي.المعاشات[[#This Row],[إجمالي المستحق]]-إجمالي.المعاشات[[#This Row],[المنصرف]]</f>
        <v>34125.440000000002</v>
      </c>
      <c r="O224" s="46">
        <f>(إجمالي.المعاشات[[#This Row],[منحة 6شهور]]+إجمالي.المعاشات[[#This Row],[مستحقات]])-إجمالي.المعاشات[[#This Row],[المنصرف]]</f>
        <v>16125.439999999999</v>
      </c>
      <c r="P224" s="46">
        <f>IF(إجمالي.المعاشات[[#This Row],[المتبقي من المنحة]]&lt;0,0,إجمالي.المعاشات[[#This Row],[المتبقي من المنحة]])</f>
        <v>16125.439999999999</v>
      </c>
      <c r="Q224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18000</v>
      </c>
      <c r="R224" s="192">
        <f>إجمالي.المعاشات[[#This Row],[المتبقي]]</f>
        <v>34125.440000000002</v>
      </c>
      <c r="S224" s="192" t="s">
        <v>406</v>
      </c>
    </row>
    <row r="225" spans="3:24" ht="21" x14ac:dyDescent="0.35">
      <c r="C225" s="103">
        <f>سفاجا!C38</f>
        <v>31</v>
      </c>
      <c r="D225" s="46" t="str">
        <f>سفاجا!D38</f>
        <v>رميس ناشد رميس شنودة</v>
      </c>
      <c r="E225" s="47">
        <f>سفاجا!E38</f>
        <v>42</v>
      </c>
      <c r="F225" s="50">
        <f>سفاجا!F38</f>
        <v>44781</v>
      </c>
      <c r="G225" s="50"/>
      <c r="H225" s="46">
        <f>سفاجا!H38</f>
        <v>19193.82</v>
      </c>
      <c r="I225" s="46">
        <f>سفاجا!I38</f>
        <v>0</v>
      </c>
      <c r="J225" s="46">
        <f>سفاجا!J38</f>
        <v>15474.6</v>
      </c>
      <c r="K225" s="46">
        <f>سفاجا!K38</f>
        <v>90</v>
      </c>
      <c r="L225" s="46">
        <f>SUM(إجمالي.المعاشات[[#This Row],[منحة 6شهور]:[مقابل نقدي]])</f>
        <v>34668.42</v>
      </c>
      <c r="M225" s="46">
        <f>SUMIF(بيان.مغاشات.سفاجا[الإسم],بيانات!D225:D263,بيان.مغاشات.سفاجا[إجمالي المنصرف])</f>
        <v>3500</v>
      </c>
      <c r="N225" s="46">
        <f>إجمالي.المعاشات[[#This Row],[إجمالي المستحق]]-إجمالي.المعاشات[[#This Row],[المنصرف]]</f>
        <v>31168.42</v>
      </c>
      <c r="O225" s="46">
        <f>(إجمالي.المعاشات[[#This Row],[منحة 6شهور]]+إجمالي.المعاشات[[#This Row],[مستحقات]])-إجمالي.المعاشات[[#This Row],[المنصرف]]</f>
        <v>15693.82</v>
      </c>
      <c r="P225" s="46">
        <f>IF(إجمالي.المعاشات[[#This Row],[المتبقي من المنحة]]&lt;0,0,إجمالي.المعاشات[[#This Row],[المتبقي من المنحة]])</f>
        <v>15693.82</v>
      </c>
      <c r="Q225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15474.6</v>
      </c>
      <c r="R225" s="192">
        <f>إجمالي.المعاشات[[#This Row],[المتبقي]]</f>
        <v>31168.42</v>
      </c>
      <c r="S225" s="192" t="s">
        <v>406</v>
      </c>
    </row>
    <row r="226" spans="3:24" ht="21" x14ac:dyDescent="0.35">
      <c r="C226" s="103">
        <f>سفاجا!C39</f>
        <v>0</v>
      </c>
      <c r="D226" s="46">
        <f>سفاجا!D39</f>
        <v>0</v>
      </c>
      <c r="E226" s="47">
        <f>سفاجا!E39</f>
        <v>0</v>
      </c>
      <c r="F226" s="50">
        <f>سفاجا!F39</f>
        <v>0</v>
      </c>
      <c r="G226" s="50"/>
      <c r="H226" s="46">
        <f>سفاجا!H39</f>
        <v>0</v>
      </c>
      <c r="I226" s="46">
        <f>سفاجا!I39</f>
        <v>0</v>
      </c>
      <c r="J226" s="46">
        <f>سفاجا!J39</f>
        <v>0</v>
      </c>
      <c r="K226" s="46">
        <f>سفاجا!K39</f>
        <v>0</v>
      </c>
      <c r="L226" s="46">
        <f>SUM(إجمالي.المعاشات[[#This Row],[منحة 6شهور]:[مقابل نقدي]])</f>
        <v>0</v>
      </c>
      <c r="M226" s="46">
        <f>SUMIF(بيان.مغاشات.سفاجا[الإسم],بيانات!D226:D264,بيان.مغاشات.سفاجا[إجمالي المنصرف])</f>
        <v>0</v>
      </c>
      <c r="N226" s="46">
        <f>إجمالي.المعاشات[[#This Row],[إجمالي المستحق]]-إجمالي.المعاشات[[#This Row],[المنصرف]]</f>
        <v>0</v>
      </c>
      <c r="O226" s="46">
        <f>(إجمالي.المعاشات[[#This Row],[منحة 6شهور]]+إجمالي.المعاشات[[#This Row],[مستحقات]])-إجمالي.المعاشات[[#This Row],[المنصرف]]</f>
        <v>0</v>
      </c>
      <c r="P226" s="46">
        <f>IF(إجمالي.المعاشات[[#This Row],[المتبقي من المنحة]]&lt;0,0,إجمالي.المعاشات[[#This Row],[المتبقي من المنحة]])</f>
        <v>0</v>
      </c>
      <c r="Q226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226" s="192">
        <f>إجمالي.المعاشات[[#This Row],[المتبقي]]</f>
        <v>0</v>
      </c>
      <c r="S226" s="192" t="s">
        <v>406</v>
      </c>
    </row>
    <row r="227" spans="3:24" ht="21" x14ac:dyDescent="0.35">
      <c r="C227" s="103">
        <f>سفاجا!C40</f>
        <v>0</v>
      </c>
      <c r="D227" s="46">
        <f>سفاجا!D40</f>
        <v>0</v>
      </c>
      <c r="E227" s="47">
        <f>سفاجا!E40</f>
        <v>0</v>
      </c>
      <c r="F227" s="50">
        <f>سفاجا!F40</f>
        <v>0</v>
      </c>
      <c r="G227" s="50"/>
      <c r="H227" s="46">
        <f>سفاجا!H40</f>
        <v>0</v>
      </c>
      <c r="I227" s="46">
        <f>سفاجا!I40</f>
        <v>0</v>
      </c>
      <c r="J227" s="46">
        <f>سفاجا!J40</f>
        <v>0</v>
      </c>
      <c r="K227" s="46">
        <f>سفاجا!K40</f>
        <v>0</v>
      </c>
      <c r="L227" s="46">
        <f>SUM(إجمالي.المعاشات[[#This Row],[منحة 6شهور]:[مقابل نقدي]])</f>
        <v>0</v>
      </c>
      <c r="M227" s="46">
        <f>SUMIF(بيان.مغاشات.سفاجا[الإسم],بيانات!D227:D265,بيان.مغاشات.سفاجا[إجمالي المنصرف])</f>
        <v>0</v>
      </c>
      <c r="N227" s="46">
        <f>إجمالي.المعاشات[[#This Row],[إجمالي المستحق]]-إجمالي.المعاشات[[#This Row],[المنصرف]]</f>
        <v>0</v>
      </c>
      <c r="O227" s="46">
        <f>(إجمالي.المعاشات[[#This Row],[منحة 6شهور]]+إجمالي.المعاشات[[#This Row],[مستحقات]])-إجمالي.المعاشات[[#This Row],[المنصرف]]</f>
        <v>0</v>
      </c>
      <c r="P227" s="46">
        <f>IF(إجمالي.المعاشات[[#This Row],[المتبقي من المنحة]]&lt;0,0,إجمالي.المعاشات[[#This Row],[المتبقي من المنحة]])</f>
        <v>0</v>
      </c>
      <c r="Q227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227" s="192">
        <f>إجمالي.المعاشات[[#This Row],[المتبقي]]</f>
        <v>0</v>
      </c>
      <c r="S227" s="192" t="s">
        <v>406</v>
      </c>
    </row>
    <row r="228" spans="3:24" ht="21" x14ac:dyDescent="0.35">
      <c r="C228" s="103">
        <f>سفاجا!C41</f>
        <v>0</v>
      </c>
      <c r="D228" s="46" t="str">
        <f>سفاجا!D41</f>
        <v>الورثة وحالات الوفاة :</v>
      </c>
      <c r="E228" s="47">
        <f>سفاجا!E41</f>
        <v>0</v>
      </c>
      <c r="F228" s="50">
        <f>سفاجا!F41</f>
        <v>0</v>
      </c>
      <c r="G228" s="50"/>
      <c r="H228" s="46">
        <f>سفاجا!H41</f>
        <v>0</v>
      </c>
      <c r="I228" s="46">
        <f>سفاجا!I41</f>
        <v>0</v>
      </c>
      <c r="J228" s="46">
        <f>سفاجا!J41</f>
        <v>0</v>
      </c>
      <c r="K228" s="46">
        <f>سفاجا!K41</f>
        <v>0</v>
      </c>
      <c r="L228" s="46">
        <f>SUM(إجمالي.المعاشات[[#This Row],[منحة 6شهور]:[مقابل نقدي]])</f>
        <v>0</v>
      </c>
      <c r="M228" s="46">
        <f>SUMIF(بيان.مغاشات.سفاجا[الإسم],بيانات!D228:D266,بيان.مغاشات.سفاجا[إجمالي المنصرف])</f>
        <v>0</v>
      </c>
      <c r="N228" s="46">
        <f>إجمالي.المعاشات[[#This Row],[إجمالي المستحق]]-إجمالي.المعاشات[[#This Row],[المنصرف]]</f>
        <v>0</v>
      </c>
      <c r="O228" s="46">
        <f>(إجمالي.المعاشات[[#This Row],[منحة 6شهور]]+إجمالي.المعاشات[[#This Row],[مستحقات]])-إجمالي.المعاشات[[#This Row],[المنصرف]]</f>
        <v>0</v>
      </c>
      <c r="P228" s="46">
        <f>IF(إجمالي.المعاشات[[#This Row],[المتبقي من المنحة]]&lt;0,0,إجمالي.المعاشات[[#This Row],[المتبقي من المنحة]])</f>
        <v>0</v>
      </c>
      <c r="Q228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228" s="192">
        <f>إجمالي.المعاشات[[#This Row],[المتبقي]]</f>
        <v>0</v>
      </c>
      <c r="S228" s="192" t="s">
        <v>406</v>
      </c>
    </row>
    <row r="229" spans="3:24" ht="21" x14ac:dyDescent="0.35">
      <c r="C229" s="103">
        <f>سفاجا!C42</f>
        <v>1</v>
      </c>
      <c r="D229" s="46" t="str">
        <f>سفاجا!D42</f>
        <v>مصطفى حامد حسين</v>
      </c>
      <c r="E229" s="47">
        <f>سفاجا!E42</f>
        <v>30</v>
      </c>
      <c r="F229" s="50">
        <f>سفاجا!F42</f>
        <v>43279</v>
      </c>
      <c r="G229" s="50">
        <f>سفاجا!G42</f>
        <v>43279</v>
      </c>
      <c r="H229" s="46">
        <f>سفاجا!H42</f>
        <v>14019.66</v>
      </c>
      <c r="I229" s="46">
        <f>سفاجا!I42</f>
        <v>14314.18</v>
      </c>
      <c r="J229" s="46">
        <f>سفاجا!J42</f>
        <v>11672.85</v>
      </c>
      <c r="K229" s="46">
        <f>سفاجا!K42</f>
        <v>90</v>
      </c>
      <c r="L229" s="46">
        <f>SUM(إجمالي.المعاشات[[#This Row],[منحة 6شهور]:[مقابل نقدي]])</f>
        <v>40006.69</v>
      </c>
      <c r="M229" s="46">
        <f>SUMIF(بيان.مغاشات.سفاجا[الإسم],بيانات!D229:D267,بيان.مغاشات.سفاجا[إجمالي المنصرف])</f>
        <v>23874.2</v>
      </c>
      <c r="N229" s="46">
        <f>إجمالي.المعاشات[[#This Row],[إجمالي المستحق]]-إجمالي.المعاشات[[#This Row],[المنصرف]]</f>
        <v>16132.490000000002</v>
      </c>
      <c r="O229" s="46">
        <f>(إجمالي.المعاشات[[#This Row],[منحة 6شهور]]+إجمالي.المعاشات[[#This Row],[مستحقات]])-إجمالي.المعاشات[[#This Row],[المنصرف]]</f>
        <v>4459.6399999999994</v>
      </c>
      <c r="P229" s="46">
        <f>IF(إجمالي.المعاشات[[#This Row],[المتبقي من المنحة]]&lt;0,0,إجمالي.المعاشات[[#This Row],[المتبقي من المنحة]])</f>
        <v>4459.6399999999994</v>
      </c>
      <c r="Q229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11672.85</v>
      </c>
      <c r="R229" s="192">
        <f>إجمالي.المعاشات[[#This Row],[المتبقي]]</f>
        <v>16132.490000000002</v>
      </c>
      <c r="S229" s="192" t="s">
        <v>406</v>
      </c>
    </row>
    <row r="230" spans="3:24" ht="21" x14ac:dyDescent="0.35">
      <c r="C230" s="103">
        <f>سفاجا!C43</f>
        <v>2</v>
      </c>
      <c r="D230" s="46" t="str">
        <f>سفاجا!D43</f>
        <v>صابر حجاجي معوض</v>
      </c>
      <c r="E230" s="47">
        <f>سفاجا!E43</f>
        <v>31</v>
      </c>
      <c r="F230" s="50">
        <f>سفاجا!F43</f>
        <v>44018</v>
      </c>
      <c r="G230" s="50">
        <f>سفاجا!G43</f>
        <v>44018</v>
      </c>
      <c r="H230" s="46">
        <f>سفاجا!H43</f>
        <v>14385.28</v>
      </c>
      <c r="I230" s="46">
        <f>سفاجا!I43</f>
        <v>3698.49</v>
      </c>
      <c r="J230" s="46">
        <f>سفاجا!J43</f>
        <v>7208.52</v>
      </c>
      <c r="K230" s="46">
        <f>سفاجا!K43</f>
        <v>86</v>
      </c>
      <c r="L230" s="46">
        <f>SUM(إجمالي.المعاشات[[#This Row],[منحة 6شهور]:[مقابل نقدي]])</f>
        <v>25292.29</v>
      </c>
      <c r="M230" s="46">
        <f>SUMIF(بيان.مغاشات.سفاجا[الإسم],بيانات!D230:D268,بيان.مغاشات.سفاجا[إجمالي المنصرف])</f>
        <v>8510.4699999999993</v>
      </c>
      <c r="N230" s="46">
        <f>إجمالي.المعاشات[[#This Row],[إجمالي المستحق]]-إجمالي.المعاشات[[#This Row],[المنصرف]]</f>
        <v>16781.82</v>
      </c>
      <c r="O230" s="46">
        <f>(إجمالي.المعاشات[[#This Row],[منحة 6شهور]]+إجمالي.المعاشات[[#This Row],[مستحقات]])-إجمالي.المعاشات[[#This Row],[المنصرف]]</f>
        <v>9573.3000000000011</v>
      </c>
      <c r="P230" s="46">
        <f>IF(إجمالي.المعاشات[[#This Row],[المتبقي من المنحة]]&lt;0,0,إجمالي.المعاشات[[#This Row],[المتبقي من المنحة]])</f>
        <v>9573.3000000000011</v>
      </c>
      <c r="Q230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7208.52</v>
      </c>
      <c r="R230" s="192">
        <f>إجمالي.المعاشات[[#This Row],[المتبقي]]</f>
        <v>16781.82</v>
      </c>
      <c r="S230" s="192" t="s">
        <v>406</v>
      </c>
    </row>
    <row r="231" spans="3:24" ht="21" x14ac:dyDescent="0.35">
      <c r="C231" s="103">
        <f>سفاجا!C44</f>
        <v>3</v>
      </c>
      <c r="D231" s="46" t="str">
        <f>سفاجا!D44</f>
        <v>منتصر حامد حسين</v>
      </c>
      <c r="E231" s="47">
        <f>سفاجا!E44</f>
        <v>32</v>
      </c>
      <c r="F231" s="50">
        <f>سفاجا!F44</f>
        <v>44103</v>
      </c>
      <c r="G231" s="50">
        <f>سفاجا!G44</f>
        <v>44103</v>
      </c>
      <c r="H231" s="46">
        <f>سفاجا!H44</f>
        <v>13823.82</v>
      </c>
      <c r="I231" s="46">
        <f>سفاجا!I44</f>
        <v>21427.89</v>
      </c>
      <c r="J231" s="46">
        <f>سفاجا!J44</f>
        <v>11669.4</v>
      </c>
      <c r="K231" s="46">
        <f>سفاجا!K44</f>
        <v>90</v>
      </c>
      <c r="L231" s="46">
        <f>SUM(إجمالي.المعاشات[[#This Row],[منحة 6شهور]:[مقابل نقدي]])</f>
        <v>46921.11</v>
      </c>
      <c r="M231" s="46">
        <f>SUMIF(بيان.مغاشات.سفاجا[الإسم],بيانات!D231:D269,بيان.مغاشات.سفاجا[إجمالي المنصرف])</f>
        <v>17934.3</v>
      </c>
      <c r="N231" s="46">
        <f>إجمالي.المعاشات[[#This Row],[إجمالي المستحق]]-إجمالي.المعاشات[[#This Row],[المنصرف]]</f>
        <v>28986.81</v>
      </c>
      <c r="O231" s="46">
        <f>(إجمالي.المعاشات[[#This Row],[منحة 6شهور]]+إجمالي.المعاشات[[#This Row],[مستحقات]])-إجمالي.المعاشات[[#This Row],[المنصرف]]</f>
        <v>17317.41</v>
      </c>
      <c r="P231" s="46">
        <f>IF(إجمالي.المعاشات[[#This Row],[المتبقي من المنحة]]&lt;0,0,إجمالي.المعاشات[[#This Row],[المتبقي من المنحة]])</f>
        <v>17317.41</v>
      </c>
      <c r="Q231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11669.4</v>
      </c>
      <c r="R231" s="192">
        <f>إجمالي.المعاشات[[#This Row],[المتبقي]]</f>
        <v>28986.81</v>
      </c>
      <c r="S231" s="192" t="s">
        <v>406</v>
      </c>
    </row>
    <row r="232" spans="3:24" ht="21" x14ac:dyDescent="0.35">
      <c r="C232" s="103">
        <f>سفاجا!C45</f>
        <v>4</v>
      </c>
      <c r="D232" s="46" t="str">
        <f>سفاجا!D45</f>
        <v>محمد محمد محمد نوفل</v>
      </c>
      <c r="E232" s="47">
        <f>سفاجا!E45</f>
        <v>43</v>
      </c>
      <c r="F232" s="50">
        <f>سفاجا!F45</f>
        <v>44749</v>
      </c>
      <c r="G232" s="50">
        <f>سفاجا!G45</f>
        <v>44749</v>
      </c>
      <c r="H232" s="46">
        <f>سفاجا!H45</f>
        <v>22133.88</v>
      </c>
      <c r="I232" s="46">
        <f>سفاجا!I45</f>
        <v>28855.909999999996</v>
      </c>
      <c r="J232" s="46">
        <f>سفاجا!J45</f>
        <v>19050</v>
      </c>
      <c r="K232" s="46">
        <f>سفاجا!K45</f>
        <v>90</v>
      </c>
      <c r="L232" s="46">
        <f>SUM(إجمالي.المعاشات[[#This Row],[منحة 6شهور]:[مقابل نقدي]])</f>
        <v>70039.789999999994</v>
      </c>
      <c r="M232" s="46">
        <f>SUMIF(بيان.مغاشات.سفاجا[الإسم],بيانات!D232:D270,بيان.مغاشات.سفاجا[إجمالي المنصرف])</f>
        <v>0</v>
      </c>
      <c r="N232" s="46">
        <f>إجمالي.المعاشات[[#This Row],[إجمالي المستحق]]-إجمالي.المعاشات[[#This Row],[المنصرف]]</f>
        <v>70039.789999999994</v>
      </c>
      <c r="O232" s="46">
        <f>(إجمالي.المعاشات[[#This Row],[منحة 6شهور]]+إجمالي.المعاشات[[#This Row],[مستحقات]])-إجمالي.المعاشات[[#This Row],[المنصرف]]</f>
        <v>50989.789999999994</v>
      </c>
      <c r="P232" s="46">
        <f>IF(إجمالي.المعاشات[[#This Row],[المتبقي من المنحة]]&lt;0,0,إجمالي.المعاشات[[#This Row],[المتبقي من المنحة]])</f>
        <v>50989.789999999994</v>
      </c>
      <c r="Q232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19050</v>
      </c>
      <c r="R232" s="192">
        <f>إجمالي.المعاشات[[#This Row],[المتبقي]]</f>
        <v>70039.789999999994</v>
      </c>
      <c r="S232" s="192" t="s">
        <v>406</v>
      </c>
    </row>
    <row r="233" spans="3:24" ht="21" x14ac:dyDescent="0.35">
      <c r="C233" s="103">
        <f>سفاجا!C46</f>
        <v>5</v>
      </c>
      <c r="D233" s="46" t="str">
        <f>سفاجا!D46</f>
        <v>أسامة محمد الصغير محمد</v>
      </c>
      <c r="E233" s="47">
        <f>سفاجا!E46</f>
        <v>44</v>
      </c>
      <c r="F233" s="50">
        <f>سفاجا!F46</f>
        <v>44928</v>
      </c>
      <c r="G233" s="50"/>
      <c r="H233" s="46">
        <f>سفاجا!H46</f>
        <v>18921.900000000001</v>
      </c>
      <c r="I233" s="46">
        <f>سفاجا!I46</f>
        <v>19878.32</v>
      </c>
      <c r="J233" s="46">
        <f>سفاجا!J46</f>
        <v>6874.86</v>
      </c>
      <c r="K233" s="46">
        <f>سفاجا!K46</f>
        <v>90</v>
      </c>
      <c r="L233" s="46">
        <f>SUM(إجمالي.المعاشات[[#This Row],[منحة 6شهور]:[مقابل نقدي]])</f>
        <v>45675.08</v>
      </c>
      <c r="M233" s="46">
        <f>SUMIF(بيان.مغاشات.سفاجا[الإسم],بيانات!D233:D271,بيان.مغاشات.سفاجا[إجمالي المنصرف])</f>
        <v>0</v>
      </c>
      <c r="N233" s="46">
        <f>إجمالي.المعاشات[[#This Row],[إجمالي المستحق]]-إجمالي.المعاشات[[#This Row],[المنصرف]]</f>
        <v>45675.08</v>
      </c>
      <c r="O233" s="46">
        <f>(إجمالي.المعاشات[[#This Row],[منحة 6شهور]]+إجمالي.المعاشات[[#This Row],[مستحقات]])-إجمالي.المعاشات[[#This Row],[المنصرف]]</f>
        <v>38800.22</v>
      </c>
      <c r="P233" s="46">
        <f>IF(إجمالي.المعاشات[[#This Row],[المتبقي من المنحة]]&lt;0,0,إجمالي.المعاشات[[#This Row],[المتبقي من المنحة]])</f>
        <v>38800.22</v>
      </c>
      <c r="Q233" s="192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6874.86</v>
      </c>
      <c r="R233" s="192">
        <f>إجمالي.المعاشات[[#This Row],[المتبقي]]</f>
        <v>45675.08</v>
      </c>
      <c r="S233" s="192" t="s">
        <v>406</v>
      </c>
    </row>
    <row r="234" spans="3:24" ht="21" x14ac:dyDescent="0.35">
      <c r="C234" s="104"/>
      <c r="D234" s="52"/>
      <c r="E234" s="105"/>
      <c r="F234" s="80"/>
      <c r="G234" s="80"/>
      <c r="H234" s="52"/>
      <c r="I234" s="52"/>
      <c r="J234" s="52"/>
      <c r="K234" s="52"/>
      <c r="L234" s="52">
        <f>SUM(إجمالي.المعاشات[[#This Row],[منحة 6شهور]:[مقابل نقدي]])</f>
        <v>0</v>
      </c>
      <c r="M234" s="46">
        <f>SUMIF(بيان.مغاشات.سفاجا[الإسم],بيانات!D234:D272,بيان.مغاشات.سفاجا[إجمالي المنصرف])</f>
        <v>0</v>
      </c>
      <c r="N234" s="52">
        <f>إجمالي.المعاشات[[#This Row],[إجمالي المستحق]]-إجمالي.المعاشات[[#This Row],[المنصرف]]</f>
        <v>0</v>
      </c>
      <c r="O234" s="52">
        <f>(إجمالي.المعاشات[[#This Row],[منحة 6شهور]]+إجمالي.المعاشات[[#This Row],[مستحقات]])-إجمالي.المعاشات[[#This Row],[المنصرف]]</f>
        <v>0</v>
      </c>
      <c r="P234" s="52">
        <f>IF(إجمالي.المعاشات[[#This Row],[المتبقي من المنحة]]&lt;0,0,إجمالي.المعاشات[[#This Row],[المتبقي من المنحة]])</f>
        <v>0</v>
      </c>
      <c r="Q234" s="194">
        <f>IF(إجمالي.المعاشات[[#This Row],[المتبقي من المنحة بعد 1-]]&gt;0,إجمالي.المعاشات[[#This Row],[مقابل نقدي]],IF(إجمالي.المعاشات[[#This Row],[المتبقي من المنحة بعد 1-]]&lt;1,إجمالي.المعاشات[[#This Row],[المتبقي]],0))</f>
        <v>0</v>
      </c>
      <c r="R234" s="194">
        <f>إجمالي.المعاشات[[#This Row],[المتبقي]]</f>
        <v>0</v>
      </c>
      <c r="S234" s="194"/>
    </row>
    <row r="235" spans="3:24" ht="21" x14ac:dyDescent="0.35">
      <c r="C235" s="261" t="s">
        <v>396</v>
      </c>
      <c r="D235" s="102"/>
      <c r="E235" s="102"/>
      <c r="F235" s="102"/>
      <c r="G235" s="102"/>
      <c r="H235" s="102">
        <f>SUBTOTAL(109,إجمالي.المعاشات[منحة 6شهور])</f>
        <v>3198059.4000000018</v>
      </c>
      <c r="I235" s="102">
        <f>SUBTOTAL(109,إجمالي.المعاشات[مستحقات])</f>
        <v>220844.27</v>
      </c>
      <c r="J235" s="102">
        <f>SUBTOTAL(109,إجمالي.المعاشات[مقابل نقدي])</f>
        <v>2387775.6399999992</v>
      </c>
      <c r="K235" s="102"/>
      <c r="L235" s="102">
        <f>SUBTOTAL(109,إجمالي.المعاشات[إجمالي المستحق])</f>
        <v>5806679.3100000005</v>
      </c>
      <c r="M235" s="102">
        <f>SUBTOTAL(109,إجمالي.المعاشات[المنصرف])</f>
        <v>2546468.1500000018</v>
      </c>
      <c r="N235" s="102">
        <f>SUBTOTAL(109,إجمالي.المعاشات[المتبقي])</f>
        <v>3260211.1600000006</v>
      </c>
      <c r="O235" s="102"/>
      <c r="P235" s="102">
        <f>SUBTOTAL(109,إجمالي.المعاشات[المتبقي من المنحة بعد 1-])</f>
        <v>1213041.67</v>
      </c>
      <c r="Q235" s="102">
        <f>SUM(Q5:Q234)</f>
        <v>2047169.4899999998</v>
      </c>
      <c r="R235" s="102">
        <f>SUM(R5:R234)</f>
        <v>3260211.1600000006</v>
      </c>
      <c r="S235" s="102"/>
    </row>
    <row r="238" spans="3:24" s="67" customFormat="1" ht="69.75" customHeight="1" x14ac:dyDescent="0.25">
      <c r="D238" s="240"/>
      <c r="E238" s="240"/>
      <c r="J238" s="272"/>
      <c r="K238" s="252" t="s">
        <v>408</v>
      </c>
      <c r="L238" s="253" t="s">
        <v>5</v>
      </c>
      <c r="M238" s="253" t="s">
        <v>129</v>
      </c>
      <c r="N238" s="253" t="s">
        <v>7</v>
      </c>
      <c r="O238" s="253" t="s">
        <v>8</v>
      </c>
      <c r="P238" s="254" t="s">
        <v>407</v>
      </c>
      <c r="R238" s="70"/>
      <c r="S238" s="70"/>
      <c r="T238" s="70"/>
      <c r="U238" s="382" t="s">
        <v>545</v>
      </c>
      <c r="V238" s="383"/>
      <c r="W238" s="245" t="s">
        <v>226</v>
      </c>
      <c r="X238" s="246" t="s">
        <v>5</v>
      </c>
    </row>
    <row r="239" spans="3:24" ht="28.5" x14ac:dyDescent="0.45">
      <c r="J239" s="273"/>
      <c r="K239" s="255" t="s">
        <v>227</v>
      </c>
      <c r="L239" s="256">
        <f>SUM(L5:L112)</f>
        <v>2933015.52</v>
      </c>
      <c r="M239" s="256">
        <f t="shared" ref="M239:N239" si="0">SUM(M5:M112)</f>
        <v>1442178.72</v>
      </c>
      <c r="N239" s="256">
        <f t="shared" si="0"/>
        <v>1490836.8</v>
      </c>
      <c r="O239" s="256">
        <f>SUM(P5:P112)</f>
        <v>551642.99</v>
      </c>
      <c r="P239" s="257">
        <f>N239-O239</f>
        <v>939193.81</v>
      </c>
      <c r="R239" s="55"/>
      <c r="S239" s="55"/>
      <c r="T239" s="55"/>
      <c r="U239" s="250" t="s">
        <v>546</v>
      </c>
      <c r="V239" s="251" t="s">
        <v>547</v>
      </c>
      <c r="W239" s="251" t="s">
        <v>226</v>
      </c>
      <c r="X239" s="251" t="s">
        <v>5</v>
      </c>
    </row>
    <row r="240" spans="3:24" ht="28.5" x14ac:dyDescent="0.45">
      <c r="J240" s="273"/>
      <c r="K240" s="255" t="s">
        <v>182</v>
      </c>
      <c r="L240" s="256">
        <f>SUM(L113:L131)</f>
        <v>320243.27</v>
      </c>
      <c r="M240" s="256">
        <f t="shared" ref="M240:N240" si="1">SUM(M113:M131)</f>
        <v>124220.37999999999</v>
      </c>
      <c r="N240" s="256">
        <f t="shared" si="1"/>
        <v>196022.88999999998</v>
      </c>
      <c r="O240" s="256">
        <f>SUM(P113:P131)</f>
        <v>70239.78</v>
      </c>
      <c r="P240" s="257">
        <f t="shared" ref="P240:P243" si="2">N240-O240</f>
        <v>125783.10999999999</v>
      </c>
      <c r="R240" s="55"/>
      <c r="S240" s="55"/>
      <c r="T240" s="55"/>
      <c r="U240" s="248">
        <v>74</v>
      </c>
      <c r="V240" s="244">
        <v>16</v>
      </c>
      <c r="W240" s="244" t="s">
        <v>227</v>
      </c>
      <c r="X240" s="244">
        <f t="shared" ref="X240:X244" si="3">L239</f>
        <v>2933015.52</v>
      </c>
    </row>
    <row r="241" spans="10:24" ht="28.5" x14ac:dyDescent="0.45">
      <c r="J241" s="273"/>
      <c r="K241" s="255" t="s">
        <v>405</v>
      </c>
      <c r="L241" s="256">
        <f>SUM(L132:L155)</f>
        <v>516052.02</v>
      </c>
      <c r="M241" s="256">
        <f t="shared" ref="M241:N241" si="4">SUM(M132:M155)</f>
        <v>211114.19</v>
      </c>
      <c r="N241" s="256">
        <f t="shared" si="4"/>
        <v>304937.83</v>
      </c>
      <c r="O241" s="256">
        <f>SUM(P132:P155)</f>
        <v>140805.59999999998</v>
      </c>
      <c r="P241" s="257">
        <f t="shared" si="2"/>
        <v>164132.23000000004</v>
      </c>
      <c r="R241" s="55"/>
      <c r="S241" s="55"/>
      <c r="T241" s="55"/>
      <c r="U241" s="249">
        <v>9</v>
      </c>
      <c r="V241" s="247">
        <v>3</v>
      </c>
      <c r="W241" s="247" t="s">
        <v>182</v>
      </c>
      <c r="X241" s="247">
        <f t="shared" si="3"/>
        <v>320243.27</v>
      </c>
    </row>
    <row r="242" spans="10:24" ht="28.5" x14ac:dyDescent="0.45">
      <c r="J242" s="273"/>
      <c r="K242" s="255" t="s">
        <v>403</v>
      </c>
      <c r="L242" s="256">
        <f>SUM(L156:L194)</f>
        <v>885859.15999999992</v>
      </c>
      <c r="M242" s="256">
        <f t="shared" ref="M242:N242" si="5">SUM(M156:M194)</f>
        <v>334579.93</v>
      </c>
      <c r="N242" s="256">
        <f t="shared" si="5"/>
        <v>551279.2300000001</v>
      </c>
      <c r="O242" s="256">
        <f>SUM(P156:P194)</f>
        <v>169839.31999999998</v>
      </c>
      <c r="P242" s="257">
        <f t="shared" si="2"/>
        <v>381439.91000000015</v>
      </c>
      <c r="R242" s="55"/>
      <c r="S242" s="55"/>
      <c r="T242" s="55"/>
      <c r="U242" s="248">
        <v>15</v>
      </c>
      <c r="V242" s="244">
        <v>4</v>
      </c>
      <c r="W242" s="244" t="s">
        <v>405</v>
      </c>
      <c r="X242" s="244">
        <f t="shared" si="3"/>
        <v>516052.02</v>
      </c>
    </row>
    <row r="243" spans="10:24" ht="28.5" x14ac:dyDescent="0.45">
      <c r="J243" s="273"/>
      <c r="K243" s="255" t="s">
        <v>406</v>
      </c>
      <c r="L243" s="256">
        <f>SUM(L195:L234)</f>
        <v>1151509.3400000001</v>
      </c>
      <c r="M243" s="256">
        <f t="shared" ref="M243:N243" si="6">SUM(M195:M234)</f>
        <v>434374.92999999993</v>
      </c>
      <c r="N243" s="256">
        <f t="shared" si="6"/>
        <v>717134.41</v>
      </c>
      <c r="O243" s="256">
        <f>SUM(P195:P234)</f>
        <v>280513.98</v>
      </c>
      <c r="P243" s="257">
        <f t="shared" si="2"/>
        <v>436620.43000000005</v>
      </c>
      <c r="R243" s="55"/>
      <c r="S243" s="55"/>
      <c r="T243" s="55"/>
      <c r="U243" s="249">
        <v>30</v>
      </c>
      <c r="V243" s="247">
        <v>0</v>
      </c>
      <c r="W243" s="247" t="s">
        <v>403</v>
      </c>
      <c r="X243" s="247">
        <f t="shared" si="3"/>
        <v>885859.15999999992</v>
      </c>
    </row>
    <row r="244" spans="10:24" ht="28.5" x14ac:dyDescent="0.45">
      <c r="J244" s="273"/>
      <c r="K244" s="258" t="s">
        <v>396</v>
      </c>
      <c r="L244" s="259">
        <f>SUBTOTAL(109,إجماليات.فروع[إجمالي المستحق])</f>
        <v>5806679.3099999996</v>
      </c>
      <c r="M244" s="259">
        <f>SUBTOTAL(109,إجماليات.فروع[المنصرف])</f>
        <v>2546468.1499999994</v>
      </c>
      <c r="N244" s="259">
        <f>SUBTOTAL(109,إجماليات.فروع[المتبقي])</f>
        <v>3260211.16</v>
      </c>
      <c r="O244" s="259">
        <f>SUBTOTAL(109,إجماليات.فروع[المتبقي من المنحة])</f>
        <v>1213041.67</v>
      </c>
      <c r="P244" s="260">
        <f>SUBTOTAL(109,إجماليات.فروع[المتبقي من المقابل النقدي])</f>
        <v>2047169.4900000002</v>
      </c>
      <c r="R244" s="106"/>
      <c r="S244" s="106"/>
      <c r="T244" s="106"/>
      <c r="U244" s="248">
        <v>31</v>
      </c>
      <c r="V244" s="244">
        <v>5</v>
      </c>
      <c r="W244" s="244" t="s">
        <v>406</v>
      </c>
      <c r="X244" s="244">
        <f t="shared" si="3"/>
        <v>1151509.3400000001</v>
      </c>
    </row>
    <row r="245" spans="10:24" ht="23.25" x14ac:dyDescent="0.25">
      <c r="U245" s="249">
        <f>SUBTOTAL(109,U239:U244)</f>
        <v>159</v>
      </c>
      <c r="V245" s="247">
        <f>SUBTOTAL(109,V239:V244)</f>
        <v>28</v>
      </c>
      <c r="W245" s="247" t="s">
        <v>396</v>
      </c>
      <c r="X245" s="247" t="e">
        <f>#REF!</f>
        <v>#REF!</v>
      </c>
    </row>
    <row r="246" spans="10:24" s="263" customFormat="1" ht="46.5" x14ac:dyDescent="0.25">
      <c r="J246" s="271" t="s">
        <v>226</v>
      </c>
      <c r="K246" s="241" t="s">
        <v>550</v>
      </c>
      <c r="L246" s="242" t="s">
        <v>5</v>
      </c>
      <c r="M246" s="242" t="s">
        <v>129</v>
      </c>
      <c r="N246" s="242" t="s">
        <v>7</v>
      </c>
      <c r="O246" s="242" t="s">
        <v>8</v>
      </c>
      <c r="P246" s="243" t="s">
        <v>407</v>
      </c>
      <c r="Q246" s="67"/>
    </row>
    <row r="247" spans="10:24" ht="23.25" x14ac:dyDescent="0.25">
      <c r="J247" s="385" t="s">
        <v>227</v>
      </c>
      <c r="K247" s="264" t="s">
        <v>548</v>
      </c>
      <c r="L247" s="32">
        <f>L239-L248</f>
        <v>2277287.96</v>
      </c>
      <c r="M247" s="32">
        <f>M239-M248</f>
        <v>1040299.6600000001</v>
      </c>
      <c r="N247" s="32">
        <f>N239-N248</f>
        <v>1236988.3</v>
      </c>
      <c r="O247" s="32">
        <f>O239-O248</f>
        <v>475141.23</v>
      </c>
      <c r="P247" s="265">
        <f>P239-P248</f>
        <v>810676.62000000011</v>
      </c>
    </row>
    <row r="248" spans="10:24" ht="23.25" x14ac:dyDescent="0.25">
      <c r="J248" s="385"/>
      <c r="K248" s="264" t="s">
        <v>549</v>
      </c>
      <c r="L248" s="32">
        <f>SUM(L90:L104)+L62</f>
        <v>655727.55999999982</v>
      </c>
      <c r="M248" s="32">
        <f>SUM(M90:M104)+M62</f>
        <v>401879.05999999988</v>
      </c>
      <c r="N248" s="32">
        <f>SUM(N90:N104)+N62</f>
        <v>253848.5</v>
      </c>
      <c r="O248" s="32">
        <f>SUM(O90:O104)+O62</f>
        <v>76501.759999999995</v>
      </c>
      <c r="P248" s="265">
        <f>SUM(P90:P104)+P62</f>
        <v>128517.19</v>
      </c>
    </row>
    <row r="249" spans="10:24" ht="23.25" x14ac:dyDescent="0.25">
      <c r="J249" s="385" t="s">
        <v>182</v>
      </c>
      <c r="K249" s="264" t="s">
        <v>548</v>
      </c>
      <c r="L249" s="32">
        <f>L240-L250</f>
        <v>215934.17</v>
      </c>
      <c r="M249" s="32">
        <f>M240-M250</f>
        <v>90767.37999999999</v>
      </c>
      <c r="N249" s="32">
        <f>N240-N250</f>
        <v>125166.78999999998</v>
      </c>
      <c r="O249" s="32">
        <f>O240-O250</f>
        <v>37081.08</v>
      </c>
      <c r="P249" s="265">
        <f>P240-P250</f>
        <v>89822.799999999988</v>
      </c>
    </row>
    <row r="250" spans="10:24" ht="23.25" x14ac:dyDescent="0.25">
      <c r="J250" s="385"/>
      <c r="K250" s="264" t="s">
        <v>549</v>
      </c>
      <c r="L250" s="32">
        <f>SUM(L127:L130)</f>
        <v>104309.1</v>
      </c>
      <c r="M250" s="32">
        <f>SUM(M127:M130)</f>
        <v>33453</v>
      </c>
      <c r="N250" s="32">
        <f>SUM(N127:N130)</f>
        <v>70856.100000000006</v>
      </c>
      <c r="O250" s="32">
        <f>SUM(O127:O130)</f>
        <v>33158.699999999997</v>
      </c>
      <c r="P250" s="265">
        <f>SUM(P127:P130)</f>
        <v>35960.31</v>
      </c>
    </row>
    <row r="251" spans="10:24" ht="23.25" x14ac:dyDescent="0.25">
      <c r="J251" s="385" t="s">
        <v>405</v>
      </c>
      <c r="K251" s="264" t="s">
        <v>548</v>
      </c>
      <c r="L251" s="32">
        <f>L241-L252</f>
        <v>405456.33</v>
      </c>
      <c r="M251" s="32">
        <f>M241-M252</f>
        <v>153811.29999999999</v>
      </c>
      <c r="N251" s="32">
        <f>N241-N252</f>
        <v>251645.03000000003</v>
      </c>
      <c r="O251" s="32">
        <f>O241-O252</f>
        <v>115885.33999999997</v>
      </c>
      <c r="P251" s="265">
        <f>P241-P252</f>
        <v>137359.42000000004</v>
      </c>
    </row>
    <row r="252" spans="10:24" ht="23.25" x14ac:dyDescent="0.25">
      <c r="J252" s="385"/>
      <c r="K252" s="264" t="s">
        <v>549</v>
      </c>
      <c r="L252" s="32">
        <f>SUM(L148:L154)</f>
        <v>110595.69</v>
      </c>
      <c r="M252" s="32">
        <f>SUM(M148:M154)</f>
        <v>57302.89</v>
      </c>
      <c r="N252" s="32">
        <f>SUM(N148:N154)</f>
        <v>53292.800000000003</v>
      </c>
      <c r="O252" s="32">
        <f>SUM(O148:O154)</f>
        <v>24920.260000000002</v>
      </c>
      <c r="P252" s="265">
        <f>SUM(P148:P154)</f>
        <v>26772.81</v>
      </c>
    </row>
    <row r="253" spans="10:24" ht="23.25" x14ac:dyDescent="0.25">
      <c r="J253" s="385" t="s">
        <v>403</v>
      </c>
      <c r="K253" s="264" t="s">
        <v>548</v>
      </c>
      <c r="L253" s="32">
        <f>L242-L254</f>
        <v>885859.15999999992</v>
      </c>
      <c r="M253" s="32">
        <f>M242-M254</f>
        <v>334579.93</v>
      </c>
      <c r="N253" s="32">
        <f>N242-N254</f>
        <v>551279.2300000001</v>
      </c>
      <c r="O253" s="32">
        <f>O242-O254</f>
        <v>169839.31999999998</v>
      </c>
      <c r="P253" s="265">
        <f>P242-P254</f>
        <v>381439.91000000015</v>
      </c>
    </row>
    <row r="254" spans="10:24" ht="23.25" x14ac:dyDescent="0.25">
      <c r="J254" s="385"/>
      <c r="K254" s="264" t="s">
        <v>549</v>
      </c>
      <c r="L254" s="32">
        <f>SUM(L190:L193)</f>
        <v>0</v>
      </c>
      <c r="M254" s="32">
        <f>SUM(M190:M193)</f>
        <v>0</v>
      </c>
      <c r="N254" s="32">
        <f>SUM(N190:N193)</f>
        <v>0</v>
      </c>
      <c r="O254" s="32">
        <f>SUM(O190:O193)</f>
        <v>0</v>
      </c>
      <c r="P254" s="265">
        <f>SUM(P190:P193)</f>
        <v>0</v>
      </c>
    </row>
    <row r="255" spans="10:24" ht="23.25" x14ac:dyDescent="0.25">
      <c r="J255" s="385" t="s">
        <v>406</v>
      </c>
      <c r="K255" s="264" t="s">
        <v>548</v>
      </c>
      <c r="L255" s="32">
        <f>L243-L256</f>
        <v>923574.38000000012</v>
      </c>
      <c r="M255" s="32">
        <f>M243-M256</f>
        <v>384055.95999999996</v>
      </c>
      <c r="N255" s="32">
        <f>N243-N256</f>
        <v>539518.42000000004</v>
      </c>
      <c r="O255" s="32">
        <f>O243-O256</f>
        <v>159373.62</v>
      </c>
      <c r="P255" s="265">
        <f>P243-P256</f>
        <v>315480.07000000007</v>
      </c>
    </row>
    <row r="256" spans="10:24" ht="23.25" x14ac:dyDescent="0.25">
      <c r="J256" s="385"/>
      <c r="K256" s="264" t="s">
        <v>549</v>
      </c>
      <c r="L256" s="32">
        <f>SUM(L229:L234)</f>
        <v>227934.96000000002</v>
      </c>
      <c r="M256" s="32">
        <f>SUM(M229:M234)</f>
        <v>50318.97</v>
      </c>
      <c r="N256" s="32">
        <f>SUM(N229:N234)</f>
        <v>177615.99</v>
      </c>
      <c r="O256" s="32">
        <f>SUM(O229:O234)</f>
        <v>121140.35999999999</v>
      </c>
      <c r="P256" s="265">
        <f>SUM(P229:P234)</f>
        <v>121140.35999999999</v>
      </c>
    </row>
    <row r="257" spans="10:16" ht="23.25" x14ac:dyDescent="0.25">
      <c r="J257" s="270"/>
      <c r="K257" s="266" t="s">
        <v>396</v>
      </c>
      <c r="L257" s="267">
        <f>SUBTOTAL(109,الجدول13[إجمالي المستحق])</f>
        <v>5806679.3099999996</v>
      </c>
      <c r="M257" s="267">
        <f>SUBTOTAL(109,الجدول13[المنصرف])</f>
        <v>2546468.15</v>
      </c>
      <c r="N257" s="267">
        <f>SUBTOTAL(109,الجدول13[المتبقي])</f>
        <v>3260211.16</v>
      </c>
      <c r="O257" s="267">
        <f>SUBTOTAL(109,الجدول13[المتبقي من المنحة])</f>
        <v>1213041.67</v>
      </c>
      <c r="P257" s="268">
        <f>SUBTOTAL(109,الجدول13[المتبقي من المقابل النقدي])</f>
        <v>2047169.4900000007</v>
      </c>
    </row>
    <row r="258" spans="10:16" ht="26.25" x14ac:dyDescent="0.4">
      <c r="J258" s="384" t="s">
        <v>396</v>
      </c>
      <c r="K258" s="269" t="s">
        <v>548</v>
      </c>
      <c r="L258" s="269">
        <f>L247+L249+L251+L253+L255</f>
        <v>4708112</v>
      </c>
      <c r="M258" s="269">
        <f>M247+M249+M251+M253+M255</f>
        <v>2003514.23</v>
      </c>
      <c r="N258" s="269">
        <f t="shared" ref="N258:P258" si="7">N247+N249+N251+N253+N255</f>
        <v>2704597.77</v>
      </c>
      <c r="O258" s="269">
        <f t="shared" si="7"/>
        <v>957320.58999999985</v>
      </c>
      <c r="P258" s="269">
        <f t="shared" si="7"/>
        <v>1734778.8200000005</v>
      </c>
    </row>
    <row r="259" spans="10:16" ht="26.25" x14ac:dyDescent="0.4">
      <c r="J259" s="384"/>
      <c r="K259" s="269" t="s">
        <v>549</v>
      </c>
      <c r="L259" s="269">
        <f>الجدول13[[#Totals],[إجمالي المستحق]]-L258</f>
        <v>1098567.3099999996</v>
      </c>
      <c r="M259" s="269">
        <f>الجدول13[[#Totals],[المنصرف]]-M258</f>
        <v>542953.91999999993</v>
      </c>
      <c r="N259" s="269">
        <f>الجدول13[[#Totals],[المتبقي]]-N258</f>
        <v>555613.39000000013</v>
      </c>
      <c r="O259" s="269">
        <f>الجدول13[[#Totals],[المتبقي من المنحة]]-O258</f>
        <v>255721.08000000007</v>
      </c>
      <c r="P259" s="269">
        <f>الجدول13[[#Totals],[المتبقي من المقابل النقدي]]-P258</f>
        <v>312390.67000000016</v>
      </c>
    </row>
  </sheetData>
  <mergeCells count="7">
    <mergeCell ref="U238:V238"/>
    <mergeCell ref="J258:J259"/>
    <mergeCell ref="J247:J248"/>
    <mergeCell ref="J249:J250"/>
    <mergeCell ref="J251:J252"/>
    <mergeCell ref="J253:J254"/>
    <mergeCell ref="J255:J256"/>
  </mergeCells>
  <pageMargins left="0.7" right="0.7" top="0.75" bottom="0.75" header="0.3" footer="0.3"/>
  <pageSetup paperSize="9" scale="61" fitToHeight="0" orientation="portrait" r:id="rId1"/>
  <ignoredErrors>
    <ignoredError sqref="M5:M111 M132:M154 M156:M184 M185:M194 M195:M234" calculatedColumn="1"/>
  </ignoredErrors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63"/>
  <sheetViews>
    <sheetView rightToLeft="1" workbookViewId="0">
      <selection activeCell="J9" sqref="J9"/>
    </sheetView>
  </sheetViews>
  <sheetFormatPr defaultColWidth="9" defaultRowHeight="15" x14ac:dyDescent="0.25"/>
  <cols>
    <col min="1" max="1" width="10.140625" style="165" customWidth="1"/>
    <col min="2" max="2" width="7" style="165" customWidth="1"/>
    <col min="3" max="3" width="13.7109375" style="165" bestFit="1" customWidth="1"/>
    <col min="4" max="4" width="5.42578125" style="165" customWidth="1"/>
    <col min="5" max="5" width="24.5703125" style="165" bestFit="1" customWidth="1"/>
    <col min="6" max="6" width="14.5703125" style="165" customWidth="1"/>
    <col min="7" max="7" width="10.7109375" style="165" customWidth="1"/>
    <col min="8" max="8" width="23.140625" style="165" customWidth="1"/>
    <col min="9" max="9" width="12.140625" style="165" customWidth="1"/>
    <col min="10" max="10" width="3.42578125" style="165" customWidth="1"/>
    <col min="11" max="16384" width="9" style="165"/>
  </cols>
  <sheetData>
    <row r="2" spans="2:12" x14ac:dyDescent="0.25">
      <c r="B2" s="166"/>
      <c r="C2" s="166"/>
      <c r="D2" s="166"/>
      <c r="E2" s="166"/>
      <c r="F2" s="166"/>
      <c r="G2" s="166"/>
      <c r="H2" s="166"/>
      <c r="I2" s="166"/>
      <c r="J2" s="166"/>
    </row>
    <row r="3" spans="2:12" ht="21" x14ac:dyDescent="0.35">
      <c r="B3" s="166"/>
      <c r="C3" s="167" t="s">
        <v>442</v>
      </c>
      <c r="D3" s="168"/>
      <c r="E3" s="168"/>
      <c r="F3" s="168"/>
      <c r="G3" s="168"/>
      <c r="H3" s="169"/>
      <c r="I3" s="169"/>
      <c r="J3" s="166"/>
    </row>
    <row r="4" spans="2:12" ht="21" x14ac:dyDescent="0.35">
      <c r="B4" s="166"/>
      <c r="C4" s="169"/>
      <c r="D4" s="169"/>
      <c r="E4" s="170" t="s">
        <v>443</v>
      </c>
      <c r="F4" s="168"/>
      <c r="G4" s="168"/>
      <c r="H4" s="169"/>
      <c r="I4" s="169"/>
      <c r="J4" s="166"/>
    </row>
    <row r="5" spans="2:12" ht="27.75" customHeight="1" x14ac:dyDescent="0.35">
      <c r="B5" s="166"/>
      <c r="C5" s="167" t="s">
        <v>444</v>
      </c>
      <c r="D5" s="168"/>
      <c r="E5" s="168"/>
      <c r="F5" s="168"/>
      <c r="G5" s="168"/>
      <c r="H5" s="168"/>
      <c r="I5" s="168"/>
      <c r="J5" s="171"/>
      <c r="K5" s="164"/>
      <c r="L5" s="164"/>
    </row>
    <row r="6" spans="2:12" ht="21" x14ac:dyDescent="0.35">
      <c r="B6" s="166"/>
      <c r="C6" s="169"/>
      <c r="D6" s="178" t="s">
        <v>0</v>
      </c>
      <c r="E6" s="179" t="s">
        <v>99</v>
      </c>
      <c r="F6" s="179" t="s">
        <v>445</v>
      </c>
      <c r="G6" s="179" t="s">
        <v>226</v>
      </c>
      <c r="H6" s="180" t="s">
        <v>11</v>
      </c>
      <c r="I6" s="169"/>
      <c r="J6" s="166"/>
    </row>
    <row r="7" spans="2:12" ht="21" x14ac:dyDescent="0.35">
      <c r="B7" s="166"/>
      <c r="C7" s="169"/>
      <c r="D7" s="183">
        <v>1</v>
      </c>
      <c r="E7" s="184" t="s">
        <v>339</v>
      </c>
      <c r="F7" s="185">
        <v>43890</v>
      </c>
      <c r="G7" s="186" t="s">
        <v>406</v>
      </c>
      <c r="H7" s="176"/>
      <c r="I7" s="169"/>
      <c r="J7" s="166"/>
    </row>
    <row r="8" spans="2:12" ht="21" x14ac:dyDescent="0.35">
      <c r="B8" s="166"/>
      <c r="C8" s="169"/>
      <c r="D8" s="183">
        <v>2</v>
      </c>
      <c r="E8" s="184" t="s">
        <v>340</v>
      </c>
      <c r="F8" s="185">
        <v>43970</v>
      </c>
      <c r="G8" s="186" t="s">
        <v>406</v>
      </c>
      <c r="H8" s="176"/>
      <c r="I8" s="169"/>
      <c r="J8" s="166"/>
    </row>
    <row r="9" spans="2:12" ht="21" x14ac:dyDescent="0.35">
      <c r="B9" s="166"/>
      <c r="C9" s="169"/>
      <c r="D9" s="183">
        <v>3</v>
      </c>
      <c r="E9" s="184" t="s">
        <v>341</v>
      </c>
      <c r="F9" s="185">
        <v>44186</v>
      </c>
      <c r="G9" s="186" t="s">
        <v>406</v>
      </c>
      <c r="H9" s="176"/>
      <c r="I9" s="169"/>
      <c r="J9" s="166"/>
    </row>
    <row r="10" spans="2:12" ht="21" x14ac:dyDescent="0.35">
      <c r="B10" s="166"/>
      <c r="C10" s="169"/>
      <c r="D10" s="183">
        <v>4</v>
      </c>
      <c r="E10" s="184" t="s">
        <v>342</v>
      </c>
      <c r="F10" s="185">
        <v>44049</v>
      </c>
      <c r="G10" s="186" t="s">
        <v>406</v>
      </c>
      <c r="H10" s="176"/>
      <c r="I10" s="169"/>
      <c r="J10" s="166"/>
    </row>
    <row r="11" spans="2:12" ht="21" x14ac:dyDescent="0.35">
      <c r="B11" s="166"/>
      <c r="C11" s="169"/>
      <c r="D11" s="183">
        <v>5</v>
      </c>
      <c r="E11" s="184" t="s">
        <v>345</v>
      </c>
      <c r="F11" s="185">
        <v>44068</v>
      </c>
      <c r="G11" s="186" t="s">
        <v>406</v>
      </c>
      <c r="H11" s="176"/>
      <c r="I11" s="169"/>
      <c r="J11" s="166"/>
    </row>
    <row r="12" spans="2:12" ht="21" x14ac:dyDescent="0.35">
      <c r="B12" s="166"/>
      <c r="C12" s="169"/>
      <c r="D12" s="183">
        <v>6</v>
      </c>
      <c r="E12" s="184" t="s">
        <v>348</v>
      </c>
      <c r="F12" s="185">
        <v>43987</v>
      </c>
      <c r="G12" s="186" t="s">
        <v>406</v>
      </c>
      <c r="H12" s="176"/>
      <c r="I12" s="169"/>
      <c r="J12" s="166"/>
    </row>
    <row r="13" spans="2:12" ht="21" x14ac:dyDescent="0.35">
      <c r="B13" s="166"/>
      <c r="C13" s="169"/>
      <c r="D13" s="183">
        <v>7</v>
      </c>
      <c r="E13" s="184" t="s">
        <v>351</v>
      </c>
      <c r="F13" s="185">
        <v>43523</v>
      </c>
      <c r="G13" s="186" t="s">
        <v>406</v>
      </c>
      <c r="H13" s="176"/>
      <c r="I13" s="169"/>
      <c r="J13" s="166"/>
    </row>
    <row r="14" spans="2:12" ht="21" x14ac:dyDescent="0.35">
      <c r="B14" s="166"/>
      <c r="C14" s="169"/>
      <c r="D14" s="183">
        <v>8</v>
      </c>
      <c r="E14" s="184" t="s">
        <v>353</v>
      </c>
      <c r="F14" s="185">
        <v>43741</v>
      </c>
      <c r="G14" s="186" t="s">
        <v>406</v>
      </c>
      <c r="H14" s="176"/>
      <c r="I14" s="169"/>
      <c r="J14" s="166"/>
    </row>
    <row r="15" spans="2:12" ht="21" x14ac:dyDescent="0.35">
      <c r="B15" s="166"/>
      <c r="C15" s="169"/>
      <c r="D15" s="183">
        <v>9</v>
      </c>
      <c r="E15" s="184" t="s">
        <v>361</v>
      </c>
      <c r="F15" s="185">
        <v>44069</v>
      </c>
      <c r="G15" s="186" t="s">
        <v>406</v>
      </c>
      <c r="H15" s="177"/>
      <c r="I15" s="169"/>
      <c r="J15" s="166"/>
    </row>
    <row r="16" spans="2:12" ht="23.25" customHeight="1" x14ac:dyDescent="0.35">
      <c r="B16" s="166"/>
      <c r="C16" s="169"/>
      <c r="D16" s="183">
        <v>10</v>
      </c>
      <c r="E16" s="184" t="s">
        <v>364</v>
      </c>
      <c r="F16" s="185">
        <v>42737</v>
      </c>
      <c r="G16" s="186" t="s">
        <v>406</v>
      </c>
      <c r="H16" s="177"/>
      <c r="I16" s="169"/>
      <c r="J16" s="166"/>
    </row>
    <row r="17" spans="2:10" ht="21" x14ac:dyDescent="0.35">
      <c r="B17" s="166"/>
      <c r="C17" s="169"/>
      <c r="D17" s="183">
        <v>11</v>
      </c>
      <c r="E17" s="184" t="s">
        <v>365</v>
      </c>
      <c r="F17" s="185">
        <v>44053</v>
      </c>
      <c r="G17" s="186" t="s">
        <v>406</v>
      </c>
      <c r="H17" s="177"/>
      <c r="I17" s="169"/>
      <c r="J17" s="166"/>
    </row>
    <row r="18" spans="2:10" ht="21" x14ac:dyDescent="0.35">
      <c r="B18" s="166"/>
      <c r="C18" s="169"/>
      <c r="D18" s="183">
        <v>12</v>
      </c>
      <c r="E18" s="184" t="s">
        <v>366</v>
      </c>
      <c r="F18" s="185">
        <v>44464</v>
      </c>
      <c r="G18" s="186" t="s">
        <v>406</v>
      </c>
      <c r="H18" s="177"/>
      <c r="I18" s="168"/>
      <c r="J18" s="166"/>
    </row>
    <row r="19" spans="2:10" ht="21" x14ac:dyDescent="0.35">
      <c r="B19" s="166"/>
      <c r="C19" s="169"/>
      <c r="D19" s="183">
        <v>13</v>
      </c>
      <c r="E19" s="184" t="s">
        <v>367</v>
      </c>
      <c r="F19" s="185">
        <v>43865</v>
      </c>
      <c r="G19" s="186" t="s">
        <v>406</v>
      </c>
      <c r="H19" s="177"/>
      <c r="I19" s="169"/>
      <c r="J19" s="166"/>
    </row>
    <row r="20" spans="2:10" ht="21" x14ac:dyDescent="0.35">
      <c r="B20" s="166"/>
      <c r="C20" s="169"/>
      <c r="D20" s="183">
        <v>14</v>
      </c>
      <c r="E20" s="184" t="s">
        <v>368</v>
      </c>
      <c r="F20" s="185">
        <v>44443</v>
      </c>
      <c r="G20" s="186" t="s">
        <v>406</v>
      </c>
      <c r="H20" s="177"/>
      <c r="I20" s="168"/>
      <c r="J20" s="166"/>
    </row>
    <row r="21" spans="2:10" ht="21" x14ac:dyDescent="0.35">
      <c r="B21" s="166"/>
      <c r="C21" s="166"/>
      <c r="D21" s="183">
        <v>15</v>
      </c>
      <c r="E21" s="184" t="s">
        <v>369</v>
      </c>
      <c r="F21" s="185">
        <v>44538</v>
      </c>
      <c r="G21" s="186" t="s">
        <v>406</v>
      </c>
      <c r="H21" s="177"/>
      <c r="I21" s="166"/>
      <c r="J21" s="166"/>
    </row>
    <row r="22" spans="2:10" ht="21" x14ac:dyDescent="0.35">
      <c r="B22" s="166"/>
      <c r="C22" s="166"/>
      <c r="D22" s="183">
        <v>16</v>
      </c>
      <c r="E22" s="184" t="s">
        <v>370</v>
      </c>
      <c r="F22" s="185">
        <v>44581</v>
      </c>
      <c r="G22" s="186" t="s">
        <v>406</v>
      </c>
      <c r="H22" s="177"/>
      <c r="I22" s="166"/>
      <c r="J22" s="166"/>
    </row>
    <row r="23" spans="2:10" ht="21" x14ac:dyDescent="0.35">
      <c r="B23" s="166"/>
      <c r="C23" s="166"/>
      <c r="D23" s="183">
        <v>17</v>
      </c>
      <c r="E23" s="184" t="s">
        <v>371</v>
      </c>
      <c r="F23" s="185">
        <v>44613</v>
      </c>
      <c r="G23" s="186" t="s">
        <v>406</v>
      </c>
      <c r="H23" s="177"/>
      <c r="I23" s="166"/>
      <c r="J23" s="166"/>
    </row>
    <row r="24" spans="2:10" ht="21" x14ac:dyDescent="0.35">
      <c r="B24" s="166"/>
      <c r="C24" s="166"/>
      <c r="D24" s="183">
        <v>18</v>
      </c>
      <c r="E24" s="184" t="s">
        <v>372</v>
      </c>
      <c r="F24" s="185">
        <v>44650</v>
      </c>
      <c r="G24" s="186" t="s">
        <v>406</v>
      </c>
      <c r="H24" s="177"/>
      <c r="I24" s="166"/>
      <c r="J24" s="166"/>
    </row>
    <row r="25" spans="2:10" ht="21" x14ac:dyDescent="0.35">
      <c r="B25" s="166"/>
      <c r="C25" s="166"/>
      <c r="D25" s="183">
        <v>19</v>
      </c>
      <c r="E25" s="184" t="s">
        <v>373</v>
      </c>
      <c r="F25" s="185">
        <v>44671</v>
      </c>
      <c r="G25" s="186" t="s">
        <v>406</v>
      </c>
      <c r="H25" s="177"/>
      <c r="I25" s="166"/>
      <c r="J25" s="166"/>
    </row>
    <row r="26" spans="2:10" ht="21" x14ac:dyDescent="0.35">
      <c r="B26" s="166"/>
      <c r="C26" s="166"/>
      <c r="D26" s="183">
        <v>20</v>
      </c>
      <c r="E26" s="184" t="s">
        <v>374</v>
      </c>
      <c r="F26" s="185">
        <v>44781</v>
      </c>
      <c r="G26" s="186" t="s">
        <v>406</v>
      </c>
      <c r="H26" s="177"/>
      <c r="I26" s="166"/>
      <c r="J26" s="166"/>
    </row>
    <row r="27" spans="2:10" ht="21" x14ac:dyDescent="0.35">
      <c r="B27" s="166"/>
      <c r="C27" s="166"/>
      <c r="D27" s="183">
        <v>21</v>
      </c>
      <c r="E27" s="184" t="s">
        <v>375</v>
      </c>
      <c r="F27" s="185">
        <v>43279</v>
      </c>
      <c r="G27" s="186" t="s">
        <v>406</v>
      </c>
      <c r="H27" s="177"/>
      <c r="I27" s="166"/>
      <c r="J27" s="166"/>
    </row>
    <row r="28" spans="2:10" ht="21" x14ac:dyDescent="0.35">
      <c r="B28" s="166"/>
      <c r="C28" s="166"/>
      <c r="D28" s="183">
        <v>22</v>
      </c>
      <c r="E28" s="184" t="s">
        <v>377</v>
      </c>
      <c r="F28" s="185">
        <v>44018</v>
      </c>
      <c r="G28" s="186" t="s">
        <v>406</v>
      </c>
      <c r="H28" s="177"/>
      <c r="I28" s="166"/>
      <c r="J28" s="166"/>
    </row>
    <row r="29" spans="2:10" ht="21" x14ac:dyDescent="0.35">
      <c r="B29" s="166"/>
      <c r="C29" s="166"/>
      <c r="D29" s="183">
        <v>23</v>
      </c>
      <c r="E29" s="184" t="s">
        <v>379</v>
      </c>
      <c r="F29" s="185">
        <v>44103</v>
      </c>
      <c r="G29" s="186" t="s">
        <v>406</v>
      </c>
      <c r="H29" s="177"/>
      <c r="I29" s="166"/>
      <c r="J29" s="166"/>
    </row>
    <row r="30" spans="2:10" ht="21" x14ac:dyDescent="0.35">
      <c r="B30" s="166"/>
      <c r="C30" s="166"/>
      <c r="D30" s="183">
        <v>24</v>
      </c>
      <c r="E30" s="184" t="s">
        <v>381</v>
      </c>
      <c r="F30" s="185">
        <v>44749</v>
      </c>
      <c r="G30" s="186" t="s">
        <v>406</v>
      </c>
      <c r="H30" s="177"/>
      <c r="I30" s="166"/>
      <c r="J30" s="166"/>
    </row>
    <row r="31" spans="2:10" ht="21" hidden="1" x14ac:dyDescent="0.35">
      <c r="B31" s="166"/>
      <c r="C31" s="166"/>
      <c r="D31" s="183">
        <v>25</v>
      </c>
      <c r="E31" s="184"/>
      <c r="F31" s="185"/>
      <c r="G31" s="186" t="s">
        <v>406</v>
      </c>
      <c r="H31" s="177"/>
      <c r="I31" s="166"/>
      <c r="J31" s="166"/>
    </row>
    <row r="32" spans="2:10" ht="21" hidden="1" x14ac:dyDescent="0.35">
      <c r="B32" s="166"/>
      <c r="C32" s="166"/>
      <c r="D32" s="183">
        <v>26</v>
      </c>
      <c r="E32" s="184"/>
      <c r="F32" s="185"/>
      <c r="G32" s="186" t="s">
        <v>406</v>
      </c>
      <c r="H32" s="177"/>
      <c r="I32" s="166"/>
      <c r="J32" s="166"/>
    </row>
    <row r="33" spans="2:10" ht="21" hidden="1" x14ac:dyDescent="0.35">
      <c r="B33" s="166"/>
      <c r="C33" s="166"/>
      <c r="D33" s="183">
        <v>27</v>
      </c>
      <c r="E33" s="184"/>
      <c r="F33" s="185"/>
      <c r="G33" s="186" t="s">
        <v>406</v>
      </c>
      <c r="H33" s="177"/>
      <c r="I33" s="166"/>
      <c r="J33" s="166"/>
    </row>
    <row r="34" spans="2:10" ht="21" hidden="1" x14ac:dyDescent="0.35">
      <c r="B34" s="166"/>
      <c r="C34" s="166"/>
      <c r="D34" s="183">
        <v>28</v>
      </c>
      <c r="E34" s="184"/>
      <c r="F34" s="185"/>
      <c r="G34" s="186" t="s">
        <v>406</v>
      </c>
      <c r="H34" s="177"/>
      <c r="I34" s="166"/>
      <c r="J34" s="166"/>
    </row>
    <row r="35" spans="2:10" ht="21" hidden="1" x14ac:dyDescent="0.35">
      <c r="B35" s="166"/>
      <c r="C35" s="166"/>
      <c r="D35" s="183">
        <v>29</v>
      </c>
      <c r="E35" s="184"/>
      <c r="F35" s="185"/>
      <c r="G35" s="186" t="s">
        <v>406</v>
      </c>
      <c r="H35" s="177"/>
      <c r="I35" s="166"/>
      <c r="J35" s="166"/>
    </row>
    <row r="36" spans="2:10" ht="21" hidden="1" x14ac:dyDescent="0.35">
      <c r="B36" s="166"/>
      <c r="C36" s="166"/>
      <c r="D36" s="183">
        <v>30</v>
      </c>
      <c r="E36" s="184"/>
      <c r="F36" s="185"/>
      <c r="G36" s="186" t="s">
        <v>406</v>
      </c>
      <c r="H36" s="177"/>
      <c r="I36" s="166"/>
      <c r="J36" s="166"/>
    </row>
    <row r="37" spans="2:10" ht="21" hidden="1" x14ac:dyDescent="0.35">
      <c r="B37" s="166"/>
      <c r="C37" s="166"/>
      <c r="D37" s="183">
        <v>31</v>
      </c>
      <c r="E37" s="184"/>
      <c r="F37" s="185"/>
      <c r="G37" s="186" t="s">
        <v>406</v>
      </c>
      <c r="H37" s="177"/>
      <c r="I37" s="166"/>
      <c r="J37" s="166"/>
    </row>
    <row r="38" spans="2:10" ht="21" hidden="1" x14ac:dyDescent="0.35">
      <c r="B38" s="166"/>
      <c r="C38" s="166"/>
      <c r="D38" s="183">
        <v>32</v>
      </c>
      <c r="E38" s="184"/>
      <c r="F38" s="185"/>
      <c r="G38" s="186" t="s">
        <v>406</v>
      </c>
      <c r="H38" s="177"/>
      <c r="I38" s="166"/>
      <c r="J38" s="166"/>
    </row>
    <row r="39" spans="2:10" ht="21" hidden="1" x14ac:dyDescent="0.35">
      <c r="B39" s="166"/>
      <c r="C39" s="166"/>
      <c r="D39" s="183">
        <v>33</v>
      </c>
      <c r="E39" s="184"/>
      <c r="F39" s="185"/>
      <c r="G39" s="186" t="s">
        <v>406</v>
      </c>
      <c r="H39" s="177"/>
      <c r="I39" s="166"/>
      <c r="J39" s="166"/>
    </row>
    <row r="40" spans="2:10" ht="21" hidden="1" x14ac:dyDescent="0.35">
      <c r="B40" s="166"/>
      <c r="C40" s="166"/>
      <c r="D40" s="183">
        <v>34</v>
      </c>
      <c r="E40" s="184"/>
      <c r="F40" s="185"/>
      <c r="G40" s="186" t="s">
        <v>406</v>
      </c>
      <c r="H40" s="177"/>
      <c r="I40" s="166"/>
      <c r="J40" s="166"/>
    </row>
    <row r="41" spans="2:10" ht="21" hidden="1" x14ac:dyDescent="0.35">
      <c r="B41" s="166"/>
      <c r="C41" s="166"/>
      <c r="D41" s="183">
        <v>35</v>
      </c>
      <c r="E41" s="184"/>
      <c r="F41" s="185"/>
      <c r="G41" s="186" t="s">
        <v>406</v>
      </c>
      <c r="H41" s="177"/>
      <c r="I41" s="166"/>
      <c r="J41" s="166"/>
    </row>
    <row r="42" spans="2:10" ht="21" hidden="1" x14ac:dyDescent="0.35">
      <c r="B42" s="166"/>
      <c r="C42" s="166"/>
      <c r="D42" s="183">
        <v>36</v>
      </c>
      <c r="E42" s="184"/>
      <c r="F42" s="185"/>
      <c r="G42" s="186" t="s">
        <v>406</v>
      </c>
      <c r="H42" s="177"/>
      <c r="I42" s="166"/>
      <c r="J42" s="166"/>
    </row>
    <row r="43" spans="2:10" ht="21" hidden="1" x14ac:dyDescent="0.35">
      <c r="B43" s="166"/>
      <c r="C43" s="166"/>
      <c r="D43" s="183">
        <v>37</v>
      </c>
      <c r="E43" s="184"/>
      <c r="F43" s="185"/>
      <c r="G43" s="186" t="s">
        <v>406</v>
      </c>
      <c r="H43" s="177"/>
      <c r="I43" s="166"/>
      <c r="J43" s="166"/>
    </row>
    <row r="44" spans="2:10" ht="21" hidden="1" x14ac:dyDescent="0.35">
      <c r="B44" s="166"/>
      <c r="C44" s="166"/>
      <c r="D44" s="183">
        <v>38</v>
      </c>
      <c r="E44" s="184"/>
      <c r="F44" s="185"/>
      <c r="G44" s="186" t="s">
        <v>406</v>
      </c>
      <c r="H44" s="177"/>
      <c r="I44" s="166"/>
      <c r="J44" s="166"/>
    </row>
    <row r="45" spans="2:10" ht="21" hidden="1" x14ac:dyDescent="0.35">
      <c r="B45" s="166"/>
      <c r="C45" s="166"/>
      <c r="D45" s="183">
        <v>39</v>
      </c>
      <c r="E45" s="184"/>
      <c r="F45" s="185"/>
      <c r="G45" s="186" t="s">
        <v>406</v>
      </c>
      <c r="H45" s="177"/>
      <c r="I45" s="166"/>
      <c r="J45" s="166"/>
    </row>
    <row r="46" spans="2:10" ht="21" hidden="1" x14ac:dyDescent="0.35">
      <c r="B46" s="166"/>
      <c r="C46" s="166"/>
      <c r="D46" s="183">
        <v>40</v>
      </c>
      <c r="E46" s="184"/>
      <c r="F46" s="185"/>
      <c r="G46" s="186" t="s">
        <v>406</v>
      </c>
      <c r="H46" s="177"/>
      <c r="I46" s="166"/>
      <c r="J46" s="166"/>
    </row>
    <row r="47" spans="2:10" ht="21" hidden="1" x14ac:dyDescent="0.35">
      <c r="B47" s="166"/>
      <c r="C47" s="166"/>
      <c r="D47" s="183">
        <v>41</v>
      </c>
      <c r="E47" s="184"/>
      <c r="F47" s="185"/>
      <c r="G47" s="186" t="s">
        <v>406</v>
      </c>
      <c r="H47" s="177"/>
      <c r="I47" s="166"/>
      <c r="J47" s="166"/>
    </row>
    <row r="48" spans="2:10" ht="21" hidden="1" x14ac:dyDescent="0.35">
      <c r="B48" s="166"/>
      <c r="C48" s="166"/>
      <c r="D48" s="183">
        <v>42</v>
      </c>
      <c r="E48" s="184"/>
      <c r="F48" s="185"/>
      <c r="G48" s="186" t="s">
        <v>406</v>
      </c>
      <c r="H48" s="177"/>
      <c r="I48" s="166"/>
      <c r="J48" s="166"/>
    </row>
    <row r="49" spans="2:10" ht="21" hidden="1" x14ac:dyDescent="0.35">
      <c r="B49" s="166"/>
      <c r="C49" s="166"/>
      <c r="D49" s="183">
        <v>43</v>
      </c>
      <c r="E49" s="184"/>
      <c r="F49" s="185"/>
      <c r="G49" s="186" t="s">
        <v>406</v>
      </c>
      <c r="H49" s="177"/>
      <c r="I49" s="166"/>
      <c r="J49" s="166"/>
    </row>
    <row r="50" spans="2:10" ht="21" hidden="1" x14ac:dyDescent="0.35">
      <c r="B50" s="166"/>
      <c r="C50" s="166"/>
      <c r="D50" s="183">
        <v>44</v>
      </c>
      <c r="E50" s="184"/>
      <c r="F50" s="185"/>
      <c r="G50" s="186" t="s">
        <v>406</v>
      </c>
      <c r="H50" s="177"/>
      <c r="I50" s="166"/>
      <c r="J50" s="166"/>
    </row>
    <row r="51" spans="2:10" ht="21" hidden="1" x14ac:dyDescent="0.35">
      <c r="B51" s="166"/>
      <c r="C51" s="166"/>
      <c r="D51" s="183">
        <v>45</v>
      </c>
      <c r="E51" s="184"/>
      <c r="F51" s="185"/>
      <c r="G51" s="186" t="s">
        <v>406</v>
      </c>
      <c r="H51" s="177"/>
      <c r="I51" s="166"/>
      <c r="J51" s="166"/>
    </row>
    <row r="52" spans="2:10" ht="21" hidden="1" x14ac:dyDescent="0.35">
      <c r="B52" s="166"/>
      <c r="C52" s="166"/>
      <c r="D52" s="183">
        <v>46</v>
      </c>
      <c r="E52" s="184"/>
      <c r="F52" s="185"/>
      <c r="G52" s="186" t="s">
        <v>406</v>
      </c>
      <c r="H52" s="177"/>
      <c r="I52" s="166"/>
      <c r="J52" s="166"/>
    </row>
    <row r="53" spans="2:10" ht="21" hidden="1" x14ac:dyDescent="0.35">
      <c r="B53" s="166"/>
      <c r="C53" s="166"/>
      <c r="D53" s="183">
        <v>47</v>
      </c>
      <c r="E53" s="184"/>
      <c r="F53" s="185"/>
      <c r="G53" s="186" t="s">
        <v>406</v>
      </c>
      <c r="H53" s="177"/>
      <c r="I53" s="166"/>
      <c r="J53" s="166"/>
    </row>
    <row r="54" spans="2:10" ht="21" hidden="1" x14ac:dyDescent="0.35">
      <c r="B54" s="166"/>
      <c r="C54" s="166"/>
      <c r="D54" s="183">
        <v>48</v>
      </c>
      <c r="E54" s="184"/>
      <c r="F54" s="185"/>
      <c r="G54" s="186" t="s">
        <v>406</v>
      </c>
      <c r="H54" s="177"/>
      <c r="I54" s="166"/>
      <c r="J54" s="166"/>
    </row>
    <row r="55" spans="2:10" ht="21" hidden="1" x14ac:dyDescent="0.35">
      <c r="B55" s="166"/>
      <c r="C55" s="166"/>
      <c r="D55" s="183">
        <v>49</v>
      </c>
      <c r="E55" s="184"/>
      <c r="F55" s="185"/>
      <c r="G55" s="186" t="s">
        <v>406</v>
      </c>
      <c r="H55" s="177"/>
      <c r="I55" s="166"/>
      <c r="J55" s="166"/>
    </row>
    <row r="56" spans="2:10" ht="21" hidden="1" x14ac:dyDescent="0.35">
      <c r="B56" s="166"/>
      <c r="C56" s="166"/>
      <c r="D56" s="183">
        <v>50</v>
      </c>
      <c r="E56" s="184"/>
      <c r="F56" s="185"/>
      <c r="G56" s="186" t="s">
        <v>406</v>
      </c>
      <c r="H56" s="177"/>
      <c r="I56" s="166"/>
      <c r="J56" s="166"/>
    </row>
    <row r="57" spans="2:10" ht="21" x14ac:dyDescent="0.35">
      <c r="B57" s="166"/>
      <c r="C57" s="166"/>
      <c r="D57" s="169"/>
      <c r="E57" s="172"/>
      <c r="F57" s="175" t="s">
        <v>446</v>
      </c>
      <c r="G57" s="173"/>
      <c r="H57" s="173"/>
      <c r="I57" s="166"/>
      <c r="J57" s="166"/>
    </row>
    <row r="58" spans="2:10" ht="21" x14ac:dyDescent="0.35">
      <c r="B58" s="166"/>
      <c r="C58" s="166"/>
      <c r="D58" s="169"/>
      <c r="E58" s="169"/>
      <c r="F58" s="174" t="s">
        <v>447</v>
      </c>
      <c r="G58" s="174"/>
      <c r="H58" s="174"/>
      <c r="I58" s="166"/>
      <c r="J58" s="166"/>
    </row>
    <row r="59" spans="2:10" ht="21" x14ac:dyDescent="0.35">
      <c r="B59" s="166"/>
      <c r="C59" s="181" t="s">
        <v>458</v>
      </c>
      <c r="D59" s="169"/>
      <c r="E59" s="169"/>
      <c r="F59" s="169"/>
      <c r="G59" s="168"/>
      <c r="H59" s="168" t="s">
        <v>448</v>
      </c>
      <c r="I59" s="166"/>
      <c r="J59" s="166"/>
    </row>
    <row r="60" spans="2:10" ht="21" x14ac:dyDescent="0.35">
      <c r="B60" s="166"/>
      <c r="C60" s="182">
        <v>44975</v>
      </c>
      <c r="D60" s="169"/>
      <c r="E60" s="169"/>
      <c r="F60" s="169"/>
      <c r="G60" s="169"/>
      <c r="H60" s="169"/>
      <c r="I60" s="166"/>
      <c r="J60" s="166"/>
    </row>
    <row r="61" spans="2:10" ht="21" x14ac:dyDescent="0.35">
      <c r="B61" s="166"/>
      <c r="C61" s="166"/>
      <c r="D61" s="169"/>
      <c r="E61" s="169"/>
      <c r="F61" s="169"/>
      <c r="G61" s="168"/>
      <c r="H61" s="168" t="s">
        <v>449</v>
      </c>
      <c r="I61" s="166"/>
      <c r="J61" s="166"/>
    </row>
    <row r="62" spans="2:10" x14ac:dyDescent="0.25">
      <c r="B62" s="166"/>
      <c r="C62" s="166"/>
      <c r="D62" s="166"/>
      <c r="E62" s="166"/>
      <c r="F62" s="166"/>
      <c r="G62" s="166"/>
      <c r="H62" s="166"/>
      <c r="I62" s="166"/>
      <c r="J62" s="166"/>
    </row>
    <row r="63" spans="2:10" x14ac:dyDescent="0.25">
      <c r="B63" s="166"/>
      <c r="C63" s="166"/>
      <c r="D63" s="166"/>
      <c r="E63" s="166"/>
      <c r="F63" s="166"/>
      <c r="G63" s="166"/>
      <c r="H63" s="166"/>
      <c r="I63" s="166"/>
      <c r="J63" s="166"/>
    </row>
  </sheetData>
  <pageMargins left="0.7" right="0.7" top="0.75" bottom="0.75" header="0.3" footer="0.3"/>
  <pageSetup paperSize="9" scale="74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القاهرة</vt:lpstr>
      <vt:lpstr>السويس</vt:lpstr>
      <vt:lpstr>الاإسكندرية</vt:lpstr>
      <vt:lpstr>قنا</vt:lpstr>
      <vt:lpstr>سفاجا</vt:lpstr>
      <vt:lpstr>الوفيات والورثة دينمك</vt:lpstr>
      <vt:lpstr>أخر دفعة</vt:lpstr>
      <vt:lpstr>بيانات</vt:lpstr>
      <vt:lpstr>خطابات</vt:lpstr>
      <vt:lpstr>ورقة2</vt:lpstr>
      <vt:lpstr>ورقة2 (2)</vt:lpstr>
      <vt:lpstr>الوفيات والورثة</vt:lpstr>
      <vt:lpstr>ورقة1</vt:lpstr>
      <vt:lpstr>بيانات!Print_Area</vt:lpstr>
      <vt:lpstr>خطابات!Print_Area</vt:lpstr>
      <vt:lpstr>خطابات!Print_Titles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ambn</dc:creator>
  <cp:lastModifiedBy>AMBN</cp:lastModifiedBy>
  <cp:lastPrinted>2023-05-16T09:49:10Z</cp:lastPrinted>
  <dcterms:created xsi:type="dcterms:W3CDTF">2022-01-12T11:51:23Z</dcterms:created>
  <dcterms:modified xsi:type="dcterms:W3CDTF">2023-05-21T17:33:30Z</dcterms:modified>
</cp:coreProperties>
</file>