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47C22389-07FD-4B9F-A607-C67567A6EE7E}" xr6:coauthVersionLast="47" xr6:coauthVersionMax="47" xr10:uidLastSave="{00000000-0000-0000-0000-000000000000}"/>
  <bookViews>
    <workbookView xWindow="945" yWindow="4320" windowWidth="21765" windowHeight="9030" tabRatio="706" activeTab="7" xr2:uid="{00000000-000D-0000-FFFF-FFFF00000000}"/>
  </bookViews>
  <sheets>
    <sheet name="ورقة1" sheetId="1" r:id="rId1"/>
    <sheet name="Sheet1" sheetId="2" r:id="rId2"/>
    <sheet name="سلف" sheetId="3" r:id="rId3"/>
    <sheet name="غياب" sheetId="4" r:id="rId4"/>
    <sheet name="تاخير " sheetId="5" r:id="rId5"/>
    <sheet name="اذونات" sheetId="6" r:id="rId6"/>
    <sheet name="جزاءات " sheetId="7" r:id="rId7"/>
    <sheet name="البصمة " sheetId="8" r:id="rId8"/>
    <sheet name="بيانات البصمة " sheetId="9" r:id="rId9"/>
    <sheet name="Sheet2" sheetId="10" r:id="rId10"/>
    <sheet name="Sheet3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8" l="1"/>
  <c r="I10" i="8"/>
  <c r="I11" i="8"/>
  <c r="I12" i="8"/>
  <c r="K12" i="8" s="1"/>
  <c r="I13" i="8"/>
  <c r="K13" i="8" s="1"/>
  <c r="I14" i="8"/>
  <c r="I15" i="8"/>
  <c r="I16" i="8"/>
  <c r="K16" i="8" s="1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K32" i="8" s="1"/>
  <c r="I33" i="8"/>
  <c r="I34" i="8"/>
  <c r="I35" i="8"/>
  <c r="K35" i="8" s="1"/>
  <c r="I36" i="8"/>
  <c r="I37" i="8"/>
  <c r="I38" i="8"/>
  <c r="K38" i="8" s="1"/>
  <c r="I39" i="8"/>
  <c r="K39" i="8" s="1"/>
  <c r="I40" i="8"/>
  <c r="K40" i="8" s="1"/>
  <c r="I41" i="8"/>
  <c r="I42" i="8"/>
  <c r="I43" i="8"/>
  <c r="K43" i="8" s="1"/>
  <c r="I44" i="8"/>
  <c r="I45" i="8"/>
  <c r="I46" i="8"/>
  <c r="I47" i="8"/>
  <c r="I48" i="8"/>
  <c r="K48" i="8" s="1"/>
  <c r="I49" i="8"/>
  <c r="I50" i="8"/>
  <c r="I51" i="8"/>
  <c r="K51" i="8" s="1"/>
  <c r="I52" i="8"/>
  <c r="I53" i="8"/>
  <c r="K53" i="8" s="1"/>
  <c r="I54" i="8"/>
  <c r="K54" i="8" s="1"/>
  <c r="I55" i="8"/>
  <c r="I56" i="8"/>
  <c r="K56" i="8" s="1"/>
  <c r="I57" i="8"/>
  <c r="I58" i="8"/>
  <c r="I59" i="8"/>
  <c r="K59" i="8" s="1"/>
  <c r="I60" i="8"/>
  <c r="K60" i="8" s="1"/>
  <c r="I61" i="8"/>
  <c r="K61" i="8" s="1"/>
  <c r="I62" i="8"/>
  <c r="I63" i="8"/>
  <c r="I64" i="8"/>
  <c r="K64" i="8" s="1"/>
  <c r="I65" i="8"/>
  <c r="I66" i="8"/>
  <c r="I67" i="8"/>
  <c r="I68" i="8"/>
  <c r="K68" i="8" s="1"/>
  <c r="I69" i="8"/>
  <c r="K69" i="8" s="1"/>
  <c r="I70" i="8"/>
  <c r="K70" i="8" s="1"/>
  <c r="I71" i="8"/>
  <c r="K71" i="8" s="1"/>
  <c r="I72" i="8"/>
  <c r="K72" i="8" s="1"/>
  <c r="I73" i="8"/>
  <c r="I74" i="8"/>
  <c r="I75" i="8"/>
  <c r="I76" i="8"/>
  <c r="K76" i="8" s="1"/>
  <c r="I77" i="8"/>
  <c r="I78" i="8"/>
  <c r="I79" i="8"/>
  <c r="I80" i="8"/>
  <c r="K80" i="8" s="1"/>
  <c r="I81" i="8"/>
  <c r="I82" i="8"/>
  <c r="I83" i="8"/>
  <c r="I84" i="8"/>
  <c r="K84" i="8" s="1"/>
  <c r="I85" i="8"/>
  <c r="K85" i="8" s="1"/>
  <c r="I86" i="8"/>
  <c r="K86" i="8" s="1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948" i="8"/>
  <c r="I947" i="8"/>
  <c r="H947" i="8"/>
  <c r="G947" i="8"/>
  <c r="I946" i="8"/>
  <c r="H946" i="8"/>
  <c r="G946" i="8"/>
  <c r="I945" i="8"/>
  <c r="H945" i="8"/>
  <c r="G945" i="8"/>
  <c r="I944" i="8"/>
  <c r="H944" i="8"/>
  <c r="G944" i="8"/>
  <c r="I943" i="8"/>
  <c r="H943" i="8"/>
  <c r="G943" i="8"/>
  <c r="I942" i="8"/>
  <c r="H942" i="8"/>
  <c r="G942" i="8"/>
  <c r="I941" i="8"/>
  <c r="H941" i="8"/>
  <c r="G941" i="8"/>
  <c r="I940" i="8"/>
  <c r="H940" i="8"/>
  <c r="G940" i="8"/>
  <c r="I939" i="8"/>
  <c r="H939" i="8"/>
  <c r="G939" i="8"/>
  <c r="I938" i="8"/>
  <c r="H938" i="8"/>
  <c r="G938" i="8"/>
  <c r="I937" i="8"/>
  <c r="H937" i="8"/>
  <c r="G937" i="8"/>
  <c r="I936" i="8"/>
  <c r="H936" i="8"/>
  <c r="G936" i="8"/>
  <c r="I935" i="8"/>
  <c r="H935" i="8"/>
  <c r="G935" i="8"/>
  <c r="I934" i="8"/>
  <c r="H934" i="8"/>
  <c r="G934" i="8"/>
  <c r="I933" i="8"/>
  <c r="H933" i="8"/>
  <c r="G933" i="8"/>
  <c r="I932" i="8"/>
  <c r="H932" i="8"/>
  <c r="G932" i="8"/>
  <c r="I931" i="8"/>
  <c r="H931" i="8"/>
  <c r="G931" i="8"/>
  <c r="I930" i="8"/>
  <c r="H930" i="8"/>
  <c r="G930" i="8"/>
  <c r="I929" i="8"/>
  <c r="H929" i="8"/>
  <c r="G929" i="8"/>
  <c r="I928" i="8"/>
  <c r="H928" i="8"/>
  <c r="G928" i="8"/>
  <c r="I927" i="8"/>
  <c r="H927" i="8"/>
  <c r="G927" i="8"/>
  <c r="I926" i="8"/>
  <c r="H926" i="8"/>
  <c r="G926" i="8"/>
  <c r="I925" i="8"/>
  <c r="H925" i="8"/>
  <c r="G925" i="8"/>
  <c r="I924" i="8"/>
  <c r="H924" i="8"/>
  <c r="G924" i="8"/>
  <c r="I923" i="8"/>
  <c r="H923" i="8"/>
  <c r="G923" i="8"/>
  <c r="I922" i="8"/>
  <c r="H922" i="8"/>
  <c r="G922" i="8"/>
  <c r="I921" i="8"/>
  <c r="H921" i="8"/>
  <c r="G921" i="8"/>
  <c r="I920" i="8"/>
  <c r="H920" i="8"/>
  <c r="G920" i="8"/>
  <c r="I919" i="8"/>
  <c r="H919" i="8"/>
  <c r="G919" i="8"/>
  <c r="I918" i="8"/>
  <c r="H918" i="8"/>
  <c r="G918" i="8"/>
  <c r="I917" i="8"/>
  <c r="H917" i="8"/>
  <c r="G917" i="8"/>
  <c r="I916" i="8"/>
  <c r="H916" i="8"/>
  <c r="G916" i="8"/>
  <c r="I915" i="8"/>
  <c r="H915" i="8"/>
  <c r="G915" i="8"/>
  <c r="I914" i="8"/>
  <c r="H914" i="8"/>
  <c r="G914" i="8"/>
  <c r="I913" i="8"/>
  <c r="H913" i="8"/>
  <c r="G913" i="8"/>
  <c r="I912" i="8"/>
  <c r="H912" i="8"/>
  <c r="G912" i="8"/>
  <c r="I911" i="8"/>
  <c r="H911" i="8"/>
  <c r="G911" i="8"/>
  <c r="I910" i="8"/>
  <c r="H910" i="8"/>
  <c r="G910" i="8"/>
  <c r="I909" i="8"/>
  <c r="H909" i="8"/>
  <c r="G909" i="8"/>
  <c r="I908" i="8"/>
  <c r="H908" i="8"/>
  <c r="G908" i="8"/>
  <c r="I907" i="8"/>
  <c r="H907" i="8"/>
  <c r="G907" i="8"/>
  <c r="I906" i="8"/>
  <c r="H906" i="8"/>
  <c r="G906" i="8"/>
  <c r="I905" i="8"/>
  <c r="H905" i="8"/>
  <c r="G905" i="8"/>
  <c r="I904" i="8"/>
  <c r="H904" i="8"/>
  <c r="G904" i="8"/>
  <c r="I903" i="8"/>
  <c r="H903" i="8"/>
  <c r="G903" i="8"/>
  <c r="I902" i="8"/>
  <c r="H902" i="8"/>
  <c r="G902" i="8"/>
  <c r="I901" i="8"/>
  <c r="H901" i="8"/>
  <c r="G901" i="8"/>
  <c r="I900" i="8"/>
  <c r="H900" i="8"/>
  <c r="G900" i="8"/>
  <c r="I899" i="8"/>
  <c r="H899" i="8"/>
  <c r="G899" i="8"/>
  <c r="I898" i="8"/>
  <c r="H898" i="8"/>
  <c r="G898" i="8"/>
  <c r="I897" i="8"/>
  <c r="H897" i="8"/>
  <c r="G897" i="8"/>
  <c r="I896" i="8"/>
  <c r="H896" i="8"/>
  <c r="G896" i="8"/>
  <c r="I895" i="8"/>
  <c r="H895" i="8"/>
  <c r="G895" i="8"/>
  <c r="I894" i="8"/>
  <c r="H894" i="8"/>
  <c r="G894" i="8"/>
  <c r="I893" i="8"/>
  <c r="H893" i="8"/>
  <c r="G893" i="8"/>
  <c r="I892" i="8"/>
  <c r="H892" i="8"/>
  <c r="G892" i="8"/>
  <c r="I891" i="8"/>
  <c r="H891" i="8"/>
  <c r="G891" i="8"/>
  <c r="I890" i="8"/>
  <c r="H890" i="8"/>
  <c r="G890" i="8"/>
  <c r="I889" i="8"/>
  <c r="H889" i="8"/>
  <c r="G889" i="8"/>
  <c r="I888" i="8"/>
  <c r="H888" i="8"/>
  <c r="G888" i="8"/>
  <c r="I887" i="8"/>
  <c r="H887" i="8"/>
  <c r="G887" i="8"/>
  <c r="I886" i="8"/>
  <c r="H886" i="8"/>
  <c r="G886" i="8"/>
  <c r="I885" i="8"/>
  <c r="H885" i="8"/>
  <c r="G885" i="8"/>
  <c r="I884" i="8"/>
  <c r="H884" i="8"/>
  <c r="G884" i="8"/>
  <c r="I883" i="8"/>
  <c r="H883" i="8"/>
  <c r="G883" i="8"/>
  <c r="I882" i="8"/>
  <c r="H882" i="8"/>
  <c r="G882" i="8"/>
  <c r="I881" i="8"/>
  <c r="H881" i="8"/>
  <c r="G881" i="8"/>
  <c r="I880" i="8"/>
  <c r="H880" i="8"/>
  <c r="G880" i="8"/>
  <c r="I879" i="8"/>
  <c r="H879" i="8"/>
  <c r="G879" i="8"/>
  <c r="I878" i="8"/>
  <c r="H878" i="8"/>
  <c r="G878" i="8"/>
  <c r="I877" i="8"/>
  <c r="H877" i="8"/>
  <c r="G877" i="8"/>
  <c r="I876" i="8"/>
  <c r="H876" i="8"/>
  <c r="G876" i="8"/>
  <c r="I875" i="8"/>
  <c r="H875" i="8"/>
  <c r="G875" i="8"/>
  <c r="I874" i="8"/>
  <c r="H874" i="8"/>
  <c r="G874" i="8"/>
  <c r="I873" i="8"/>
  <c r="H873" i="8"/>
  <c r="G873" i="8"/>
  <c r="I872" i="8"/>
  <c r="H872" i="8"/>
  <c r="G872" i="8"/>
  <c r="I871" i="8"/>
  <c r="H871" i="8"/>
  <c r="G871" i="8"/>
  <c r="I870" i="8"/>
  <c r="H870" i="8"/>
  <c r="G870" i="8"/>
  <c r="I869" i="8"/>
  <c r="H869" i="8"/>
  <c r="G869" i="8"/>
  <c r="I868" i="8"/>
  <c r="H868" i="8"/>
  <c r="G868" i="8"/>
  <c r="I867" i="8"/>
  <c r="H867" i="8"/>
  <c r="G867" i="8"/>
  <c r="I866" i="8"/>
  <c r="H866" i="8"/>
  <c r="G866" i="8"/>
  <c r="I865" i="8"/>
  <c r="H865" i="8"/>
  <c r="G865" i="8"/>
  <c r="I864" i="8"/>
  <c r="H864" i="8"/>
  <c r="G864" i="8"/>
  <c r="I863" i="8"/>
  <c r="H863" i="8"/>
  <c r="G863" i="8"/>
  <c r="I862" i="8"/>
  <c r="H862" i="8"/>
  <c r="G862" i="8"/>
  <c r="I861" i="8"/>
  <c r="H861" i="8"/>
  <c r="G861" i="8"/>
  <c r="I860" i="8"/>
  <c r="H860" i="8"/>
  <c r="G860" i="8"/>
  <c r="I859" i="8"/>
  <c r="H859" i="8"/>
  <c r="G859" i="8"/>
  <c r="I858" i="8"/>
  <c r="H858" i="8"/>
  <c r="G858" i="8"/>
  <c r="I857" i="8"/>
  <c r="H857" i="8"/>
  <c r="G857" i="8"/>
  <c r="I856" i="8"/>
  <c r="H856" i="8"/>
  <c r="G856" i="8"/>
  <c r="I855" i="8"/>
  <c r="H855" i="8"/>
  <c r="G855" i="8"/>
  <c r="I854" i="8"/>
  <c r="H854" i="8"/>
  <c r="G854" i="8"/>
  <c r="I853" i="8"/>
  <c r="H853" i="8"/>
  <c r="G853" i="8"/>
  <c r="I852" i="8"/>
  <c r="H852" i="8"/>
  <c r="G852" i="8"/>
  <c r="I851" i="8"/>
  <c r="H851" i="8"/>
  <c r="G851" i="8"/>
  <c r="I850" i="8"/>
  <c r="H850" i="8"/>
  <c r="G850" i="8"/>
  <c r="I849" i="8"/>
  <c r="H849" i="8"/>
  <c r="G849" i="8"/>
  <c r="I848" i="8"/>
  <c r="H848" i="8"/>
  <c r="G848" i="8"/>
  <c r="I847" i="8"/>
  <c r="H847" i="8"/>
  <c r="G847" i="8"/>
  <c r="I846" i="8"/>
  <c r="H846" i="8"/>
  <c r="G846" i="8"/>
  <c r="I845" i="8"/>
  <c r="H845" i="8"/>
  <c r="G845" i="8"/>
  <c r="I844" i="8"/>
  <c r="H844" i="8"/>
  <c r="G844" i="8"/>
  <c r="I843" i="8"/>
  <c r="H843" i="8"/>
  <c r="G843" i="8"/>
  <c r="I842" i="8"/>
  <c r="H842" i="8"/>
  <c r="G842" i="8"/>
  <c r="I841" i="8"/>
  <c r="H841" i="8"/>
  <c r="G841" i="8"/>
  <c r="I840" i="8"/>
  <c r="H840" i="8"/>
  <c r="G840" i="8"/>
  <c r="I839" i="8"/>
  <c r="H839" i="8"/>
  <c r="G839" i="8"/>
  <c r="I838" i="8"/>
  <c r="H838" i="8"/>
  <c r="G838" i="8"/>
  <c r="I837" i="8"/>
  <c r="H837" i="8"/>
  <c r="G837" i="8"/>
  <c r="I836" i="8"/>
  <c r="H836" i="8"/>
  <c r="G836" i="8"/>
  <c r="I835" i="8"/>
  <c r="H835" i="8"/>
  <c r="G835" i="8"/>
  <c r="I834" i="8"/>
  <c r="H834" i="8"/>
  <c r="G834" i="8"/>
  <c r="I833" i="8"/>
  <c r="H833" i="8"/>
  <c r="G833" i="8"/>
  <c r="I832" i="8"/>
  <c r="H832" i="8"/>
  <c r="G832" i="8"/>
  <c r="I831" i="8"/>
  <c r="H831" i="8"/>
  <c r="G831" i="8"/>
  <c r="I830" i="8"/>
  <c r="H830" i="8"/>
  <c r="G830" i="8"/>
  <c r="I829" i="8"/>
  <c r="H829" i="8"/>
  <c r="G829" i="8"/>
  <c r="I828" i="8"/>
  <c r="H828" i="8"/>
  <c r="G828" i="8"/>
  <c r="I827" i="8"/>
  <c r="H827" i="8"/>
  <c r="G827" i="8"/>
  <c r="I826" i="8"/>
  <c r="H826" i="8"/>
  <c r="G826" i="8"/>
  <c r="I825" i="8"/>
  <c r="H825" i="8"/>
  <c r="G825" i="8"/>
  <c r="I824" i="8"/>
  <c r="H824" i="8"/>
  <c r="G824" i="8"/>
  <c r="I823" i="8"/>
  <c r="H823" i="8"/>
  <c r="G823" i="8"/>
  <c r="I822" i="8"/>
  <c r="H822" i="8"/>
  <c r="G822" i="8"/>
  <c r="I821" i="8"/>
  <c r="H821" i="8"/>
  <c r="G821" i="8"/>
  <c r="I820" i="8"/>
  <c r="H820" i="8"/>
  <c r="G820" i="8"/>
  <c r="I819" i="8"/>
  <c r="H819" i="8"/>
  <c r="G819" i="8"/>
  <c r="I818" i="8"/>
  <c r="H818" i="8"/>
  <c r="G818" i="8"/>
  <c r="I817" i="8"/>
  <c r="H817" i="8"/>
  <c r="G817" i="8"/>
  <c r="I816" i="8"/>
  <c r="H816" i="8"/>
  <c r="G816" i="8"/>
  <c r="I815" i="8"/>
  <c r="H815" i="8"/>
  <c r="G815" i="8"/>
  <c r="I814" i="8"/>
  <c r="H814" i="8"/>
  <c r="G814" i="8"/>
  <c r="I813" i="8"/>
  <c r="H813" i="8"/>
  <c r="G813" i="8"/>
  <c r="I812" i="8"/>
  <c r="H812" i="8"/>
  <c r="G812" i="8"/>
  <c r="I811" i="8"/>
  <c r="H811" i="8"/>
  <c r="G811" i="8"/>
  <c r="I810" i="8"/>
  <c r="H810" i="8"/>
  <c r="G810" i="8"/>
  <c r="I809" i="8"/>
  <c r="H809" i="8"/>
  <c r="G809" i="8"/>
  <c r="I808" i="8"/>
  <c r="H808" i="8"/>
  <c r="G808" i="8"/>
  <c r="I807" i="8"/>
  <c r="H807" i="8"/>
  <c r="G807" i="8"/>
  <c r="I806" i="8"/>
  <c r="H806" i="8"/>
  <c r="G806" i="8"/>
  <c r="I805" i="8"/>
  <c r="H805" i="8"/>
  <c r="G805" i="8"/>
  <c r="I804" i="8"/>
  <c r="H804" i="8"/>
  <c r="G804" i="8"/>
  <c r="I803" i="8"/>
  <c r="H803" i="8"/>
  <c r="G803" i="8"/>
  <c r="I802" i="8"/>
  <c r="H802" i="8"/>
  <c r="G802" i="8"/>
  <c r="I801" i="8"/>
  <c r="H801" i="8"/>
  <c r="G801" i="8"/>
  <c r="I800" i="8"/>
  <c r="H800" i="8"/>
  <c r="G800" i="8"/>
  <c r="I799" i="8"/>
  <c r="H799" i="8"/>
  <c r="G799" i="8"/>
  <c r="I798" i="8"/>
  <c r="H798" i="8"/>
  <c r="G798" i="8"/>
  <c r="I797" i="8"/>
  <c r="H797" i="8"/>
  <c r="G797" i="8"/>
  <c r="I796" i="8"/>
  <c r="H796" i="8"/>
  <c r="G796" i="8"/>
  <c r="I795" i="8"/>
  <c r="H795" i="8"/>
  <c r="G795" i="8"/>
  <c r="I794" i="8"/>
  <c r="H794" i="8"/>
  <c r="G794" i="8"/>
  <c r="I793" i="8"/>
  <c r="H793" i="8"/>
  <c r="G793" i="8"/>
  <c r="I792" i="8"/>
  <c r="H792" i="8"/>
  <c r="G792" i="8"/>
  <c r="I791" i="8"/>
  <c r="H791" i="8"/>
  <c r="G791" i="8"/>
  <c r="I790" i="8"/>
  <c r="H790" i="8"/>
  <c r="G790" i="8"/>
  <c r="I789" i="8"/>
  <c r="H789" i="8"/>
  <c r="G789" i="8"/>
  <c r="I788" i="8"/>
  <c r="H788" i="8"/>
  <c r="G788" i="8"/>
  <c r="I787" i="8"/>
  <c r="H787" i="8"/>
  <c r="G787" i="8"/>
  <c r="I786" i="8"/>
  <c r="H786" i="8"/>
  <c r="G786" i="8"/>
  <c r="I785" i="8"/>
  <c r="H785" i="8"/>
  <c r="G785" i="8"/>
  <c r="I784" i="8"/>
  <c r="H784" i="8"/>
  <c r="G784" i="8"/>
  <c r="I783" i="8"/>
  <c r="H783" i="8"/>
  <c r="G783" i="8"/>
  <c r="I782" i="8"/>
  <c r="H782" i="8"/>
  <c r="G782" i="8"/>
  <c r="I781" i="8"/>
  <c r="H781" i="8"/>
  <c r="G781" i="8"/>
  <c r="I780" i="8"/>
  <c r="H780" i="8"/>
  <c r="G780" i="8"/>
  <c r="I779" i="8"/>
  <c r="H779" i="8"/>
  <c r="G779" i="8"/>
  <c r="I778" i="8"/>
  <c r="H778" i="8"/>
  <c r="G778" i="8"/>
  <c r="I777" i="8"/>
  <c r="H777" i="8"/>
  <c r="G777" i="8"/>
  <c r="I776" i="8"/>
  <c r="H776" i="8"/>
  <c r="G776" i="8"/>
  <c r="I775" i="8"/>
  <c r="H775" i="8"/>
  <c r="G775" i="8"/>
  <c r="I774" i="8"/>
  <c r="H774" i="8"/>
  <c r="G774" i="8"/>
  <c r="I773" i="8"/>
  <c r="H773" i="8"/>
  <c r="G773" i="8"/>
  <c r="I772" i="8"/>
  <c r="H772" i="8"/>
  <c r="G772" i="8"/>
  <c r="I771" i="8"/>
  <c r="H771" i="8"/>
  <c r="G771" i="8"/>
  <c r="I770" i="8"/>
  <c r="H770" i="8"/>
  <c r="G770" i="8"/>
  <c r="I769" i="8"/>
  <c r="H769" i="8"/>
  <c r="G769" i="8"/>
  <c r="I768" i="8"/>
  <c r="H768" i="8"/>
  <c r="G768" i="8"/>
  <c r="I767" i="8"/>
  <c r="H767" i="8"/>
  <c r="G767" i="8"/>
  <c r="I766" i="8"/>
  <c r="H766" i="8"/>
  <c r="G766" i="8"/>
  <c r="I765" i="8"/>
  <c r="H765" i="8"/>
  <c r="G765" i="8"/>
  <c r="I764" i="8"/>
  <c r="H764" i="8"/>
  <c r="G764" i="8"/>
  <c r="I763" i="8"/>
  <c r="H763" i="8"/>
  <c r="G763" i="8"/>
  <c r="I762" i="8"/>
  <c r="H762" i="8"/>
  <c r="G762" i="8"/>
  <c r="I761" i="8"/>
  <c r="H761" i="8"/>
  <c r="G761" i="8"/>
  <c r="I760" i="8"/>
  <c r="H760" i="8"/>
  <c r="G760" i="8"/>
  <c r="I759" i="8"/>
  <c r="H759" i="8"/>
  <c r="G759" i="8"/>
  <c r="I758" i="8"/>
  <c r="H758" i="8"/>
  <c r="G758" i="8"/>
  <c r="I757" i="8"/>
  <c r="H757" i="8"/>
  <c r="G757" i="8"/>
  <c r="I756" i="8"/>
  <c r="H756" i="8"/>
  <c r="G756" i="8"/>
  <c r="I755" i="8"/>
  <c r="H755" i="8"/>
  <c r="G755" i="8"/>
  <c r="I754" i="8"/>
  <c r="H754" i="8"/>
  <c r="G754" i="8"/>
  <c r="I753" i="8"/>
  <c r="H753" i="8"/>
  <c r="G753" i="8"/>
  <c r="I752" i="8"/>
  <c r="H752" i="8"/>
  <c r="G752" i="8"/>
  <c r="I751" i="8"/>
  <c r="H751" i="8"/>
  <c r="G751" i="8"/>
  <c r="I750" i="8"/>
  <c r="H750" i="8"/>
  <c r="G750" i="8"/>
  <c r="I749" i="8"/>
  <c r="H749" i="8"/>
  <c r="G749" i="8"/>
  <c r="I748" i="8"/>
  <c r="H748" i="8"/>
  <c r="G748" i="8"/>
  <c r="I747" i="8"/>
  <c r="H747" i="8"/>
  <c r="G747" i="8"/>
  <c r="I746" i="8"/>
  <c r="H746" i="8"/>
  <c r="G746" i="8"/>
  <c r="I745" i="8"/>
  <c r="H745" i="8"/>
  <c r="G745" i="8"/>
  <c r="I744" i="8"/>
  <c r="H744" i="8"/>
  <c r="G744" i="8"/>
  <c r="I743" i="8"/>
  <c r="H743" i="8"/>
  <c r="G743" i="8"/>
  <c r="I742" i="8"/>
  <c r="H742" i="8"/>
  <c r="G742" i="8"/>
  <c r="I741" i="8"/>
  <c r="H741" i="8"/>
  <c r="G741" i="8"/>
  <c r="I740" i="8"/>
  <c r="H740" i="8"/>
  <c r="G740" i="8"/>
  <c r="I739" i="8"/>
  <c r="H739" i="8"/>
  <c r="G739" i="8"/>
  <c r="I738" i="8"/>
  <c r="H738" i="8"/>
  <c r="G738" i="8"/>
  <c r="I737" i="8"/>
  <c r="H737" i="8"/>
  <c r="G737" i="8"/>
  <c r="I736" i="8"/>
  <c r="H736" i="8"/>
  <c r="G736" i="8"/>
  <c r="I735" i="8"/>
  <c r="H735" i="8"/>
  <c r="G735" i="8"/>
  <c r="I734" i="8"/>
  <c r="H734" i="8"/>
  <c r="G734" i="8"/>
  <c r="I733" i="8"/>
  <c r="H733" i="8"/>
  <c r="G733" i="8"/>
  <c r="I732" i="8"/>
  <c r="H732" i="8"/>
  <c r="G732" i="8"/>
  <c r="I731" i="8"/>
  <c r="H731" i="8"/>
  <c r="G731" i="8"/>
  <c r="I730" i="8"/>
  <c r="H730" i="8"/>
  <c r="G730" i="8"/>
  <c r="I729" i="8"/>
  <c r="H729" i="8"/>
  <c r="G729" i="8"/>
  <c r="I728" i="8"/>
  <c r="H728" i="8"/>
  <c r="G728" i="8"/>
  <c r="A728" i="8"/>
  <c r="I727" i="8"/>
  <c r="H727" i="8"/>
  <c r="G727" i="8"/>
  <c r="A727" i="8"/>
  <c r="I726" i="8"/>
  <c r="H726" i="8"/>
  <c r="G726" i="8"/>
  <c r="A726" i="8"/>
  <c r="I725" i="8"/>
  <c r="H725" i="8"/>
  <c r="G725" i="8"/>
  <c r="A725" i="8"/>
  <c r="I724" i="8"/>
  <c r="H724" i="8"/>
  <c r="G724" i="8"/>
  <c r="A724" i="8"/>
  <c r="I723" i="8"/>
  <c r="H723" i="8"/>
  <c r="G723" i="8"/>
  <c r="A723" i="8"/>
  <c r="I722" i="8"/>
  <c r="H722" i="8"/>
  <c r="G722" i="8"/>
  <c r="A722" i="8"/>
  <c r="I721" i="8"/>
  <c r="H721" i="8"/>
  <c r="G721" i="8"/>
  <c r="A721" i="8"/>
  <c r="I720" i="8"/>
  <c r="H720" i="8"/>
  <c r="G720" i="8"/>
  <c r="A720" i="8"/>
  <c r="I719" i="8"/>
  <c r="H719" i="8"/>
  <c r="G719" i="8"/>
  <c r="A719" i="8"/>
  <c r="I718" i="8"/>
  <c r="H718" i="8"/>
  <c r="G718" i="8"/>
  <c r="A718" i="8"/>
  <c r="I717" i="8"/>
  <c r="H717" i="8"/>
  <c r="G717" i="8"/>
  <c r="A717" i="8"/>
  <c r="I716" i="8"/>
  <c r="H716" i="8"/>
  <c r="G716" i="8"/>
  <c r="A716" i="8"/>
  <c r="I715" i="8"/>
  <c r="H715" i="8"/>
  <c r="G715" i="8"/>
  <c r="A715" i="8"/>
  <c r="I714" i="8"/>
  <c r="H714" i="8"/>
  <c r="G714" i="8"/>
  <c r="A714" i="8"/>
  <c r="I713" i="8"/>
  <c r="H713" i="8"/>
  <c r="G713" i="8"/>
  <c r="A713" i="8"/>
  <c r="I712" i="8"/>
  <c r="H712" i="8"/>
  <c r="G712" i="8"/>
  <c r="A712" i="8"/>
  <c r="I711" i="8"/>
  <c r="H711" i="8"/>
  <c r="G711" i="8"/>
  <c r="A711" i="8"/>
  <c r="I710" i="8"/>
  <c r="H710" i="8"/>
  <c r="G710" i="8"/>
  <c r="A710" i="8"/>
  <c r="I709" i="8"/>
  <c r="H709" i="8"/>
  <c r="G709" i="8"/>
  <c r="A709" i="8"/>
  <c r="I708" i="8"/>
  <c r="H708" i="8"/>
  <c r="G708" i="8"/>
  <c r="A708" i="8"/>
  <c r="I707" i="8"/>
  <c r="H707" i="8"/>
  <c r="G707" i="8"/>
  <c r="A707" i="8"/>
  <c r="I706" i="8"/>
  <c r="H706" i="8"/>
  <c r="G706" i="8"/>
  <c r="A706" i="8"/>
  <c r="I705" i="8"/>
  <c r="H705" i="8"/>
  <c r="G705" i="8"/>
  <c r="A705" i="8"/>
  <c r="I704" i="8"/>
  <c r="H704" i="8"/>
  <c r="G704" i="8"/>
  <c r="A704" i="8"/>
  <c r="I703" i="8"/>
  <c r="H703" i="8"/>
  <c r="G703" i="8"/>
  <c r="A703" i="8"/>
  <c r="I702" i="8"/>
  <c r="H702" i="8"/>
  <c r="G702" i="8"/>
  <c r="A702" i="8"/>
  <c r="I701" i="8"/>
  <c r="H701" i="8"/>
  <c r="G701" i="8"/>
  <c r="A701" i="8"/>
  <c r="I700" i="8"/>
  <c r="H700" i="8"/>
  <c r="G700" i="8"/>
  <c r="A700" i="8"/>
  <c r="I699" i="8"/>
  <c r="H699" i="8"/>
  <c r="G699" i="8"/>
  <c r="A699" i="8"/>
  <c r="I698" i="8"/>
  <c r="H698" i="8"/>
  <c r="G698" i="8"/>
  <c r="A698" i="8"/>
  <c r="I697" i="8"/>
  <c r="H697" i="8"/>
  <c r="G697" i="8"/>
  <c r="A697" i="8"/>
  <c r="I696" i="8"/>
  <c r="H696" i="8"/>
  <c r="G696" i="8"/>
  <c r="A696" i="8"/>
  <c r="I695" i="8"/>
  <c r="H695" i="8"/>
  <c r="G695" i="8"/>
  <c r="A695" i="8"/>
  <c r="I694" i="8"/>
  <c r="H694" i="8"/>
  <c r="G694" i="8"/>
  <c r="A694" i="8"/>
  <c r="I693" i="8"/>
  <c r="H693" i="8"/>
  <c r="G693" i="8"/>
  <c r="A693" i="8"/>
  <c r="I692" i="8"/>
  <c r="H692" i="8"/>
  <c r="G692" i="8"/>
  <c r="A692" i="8"/>
  <c r="I691" i="8"/>
  <c r="H691" i="8"/>
  <c r="G691" i="8"/>
  <c r="A691" i="8"/>
  <c r="I690" i="8"/>
  <c r="H690" i="8"/>
  <c r="G690" i="8"/>
  <c r="A690" i="8"/>
  <c r="I689" i="8"/>
  <c r="H689" i="8"/>
  <c r="G689" i="8"/>
  <c r="A689" i="8"/>
  <c r="I688" i="8"/>
  <c r="H688" i="8"/>
  <c r="G688" i="8"/>
  <c r="A688" i="8"/>
  <c r="I687" i="8"/>
  <c r="H687" i="8"/>
  <c r="G687" i="8"/>
  <c r="A687" i="8"/>
  <c r="I686" i="8"/>
  <c r="H686" i="8"/>
  <c r="G686" i="8"/>
  <c r="A686" i="8"/>
  <c r="I685" i="8"/>
  <c r="H685" i="8"/>
  <c r="G685" i="8"/>
  <c r="A685" i="8"/>
  <c r="I684" i="8"/>
  <c r="H684" i="8"/>
  <c r="G684" i="8"/>
  <c r="A684" i="8"/>
  <c r="I683" i="8"/>
  <c r="H683" i="8"/>
  <c r="G683" i="8"/>
  <c r="A683" i="8"/>
  <c r="I682" i="8"/>
  <c r="H682" i="8"/>
  <c r="G682" i="8"/>
  <c r="A682" i="8"/>
  <c r="I681" i="8"/>
  <c r="H681" i="8"/>
  <c r="G681" i="8"/>
  <c r="A681" i="8"/>
  <c r="I680" i="8"/>
  <c r="H680" i="8"/>
  <c r="G680" i="8"/>
  <c r="A680" i="8"/>
  <c r="I679" i="8"/>
  <c r="H679" i="8"/>
  <c r="G679" i="8"/>
  <c r="A679" i="8"/>
  <c r="I678" i="8"/>
  <c r="H678" i="8"/>
  <c r="G678" i="8"/>
  <c r="A678" i="8"/>
  <c r="I677" i="8"/>
  <c r="H677" i="8"/>
  <c r="G677" i="8"/>
  <c r="A677" i="8"/>
  <c r="I676" i="8"/>
  <c r="H676" i="8"/>
  <c r="G676" i="8"/>
  <c r="A676" i="8"/>
  <c r="I675" i="8"/>
  <c r="H675" i="8"/>
  <c r="G675" i="8"/>
  <c r="A675" i="8"/>
  <c r="I674" i="8"/>
  <c r="H674" i="8"/>
  <c r="G674" i="8"/>
  <c r="A674" i="8"/>
  <c r="I673" i="8"/>
  <c r="H673" i="8"/>
  <c r="G673" i="8"/>
  <c r="A673" i="8"/>
  <c r="I672" i="8"/>
  <c r="H672" i="8"/>
  <c r="G672" i="8"/>
  <c r="A672" i="8"/>
  <c r="I671" i="8"/>
  <c r="H671" i="8"/>
  <c r="G671" i="8"/>
  <c r="A671" i="8"/>
  <c r="I670" i="8"/>
  <c r="H670" i="8"/>
  <c r="G670" i="8"/>
  <c r="A670" i="8"/>
  <c r="I669" i="8"/>
  <c r="H669" i="8"/>
  <c r="G669" i="8"/>
  <c r="A669" i="8"/>
  <c r="I668" i="8"/>
  <c r="H668" i="8"/>
  <c r="G668" i="8"/>
  <c r="A668" i="8"/>
  <c r="I667" i="8"/>
  <c r="H667" i="8"/>
  <c r="G667" i="8"/>
  <c r="A667" i="8"/>
  <c r="I666" i="8"/>
  <c r="H666" i="8"/>
  <c r="G666" i="8"/>
  <c r="A666" i="8"/>
  <c r="I665" i="8"/>
  <c r="H665" i="8"/>
  <c r="G665" i="8"/>
  <c r="A665" i="8"/>
  <c r="I664" i="8"/>
  <c r="H664" i="8"/>
  <c r="G664" i="8"/>
  <c r="A664" i="8"/>
  <c r="I663" i="8"/>
  <c r="H663" i="8"/>
  <c r="G663" i="8"/>
  <c r="A663" i="8"/>
  <c r="I662" i="8"/>
  <c r="H662" i="8"/>
  <c r="G662" i="8"/>
  <c r="A662" i="8"/>
  <c r="I661" i="8"/>
  <c r="H661" i="8"/>
  <c r="G661" i="8"/>
  <c r="A661" i="8"/>
  <c r="I660" i="8"/>
  <c r="H660" i="8"/>
  <c r="G660" i="8"/>
  <c r="A660" i="8"/>
  <c r="I659" i="8"/>
  <c r="H659" i="8"/>
  <c r="G659" i="8"/>
  <c r="A659" i="8"/>
  <c r="I658" i="8"/>
  <c r="H658" i="8"/>
  <c r="G658" i="8"/>
  <c r="A658" i="8"/>
  <c r="I657" i="8"/>
  <c r="H657" i="8"/>
  <c r="G657" i="8"/>
  <c r="A657" i="8"/>
  <c r="I656" i="8"/>
  <c r="H656" i="8"/>
  <c r="G656" i="8"/>
  <c r="A656" i="8"/>
  <c r="I655" i="8"/>
  <c r="H655" i="8"/>
  <c r="G655" i="8"/>
  <c r="A655" i="8"/>
  <c r="I654" i="8"/>
  <c r="H654" i="8"/>
  <c r="G654" i="8"/>
  <c r="A654" i="8"/>
  <c r="I653" i="8"/>
  <c r="H653" i="8"/>
  <c r="G653" i="8"/>
  <c r="A653" i="8"/>
  <c r="I652" i="8"/>
  <c r="H652" i="8"/>
  <c r="G652" i="8"/>
  <c r="A652" i="8"/>
  <c r="I651" i="8"/>
  <c r="H651" i="8"/>
  <c r="G651" i="8"/>
  <c r="A651" i="8"/>
  <c r="I650" i="8"/>
  <c r="H650" i="8"/>
  <c r="G650" i="8"/>
  <c r="A650" i="8"/>
  <c r="I649" i="8"/>
  <c r="H649" i="8"/>
  <c r="G649" i="8"/>
  <c r="A649" i="8"/>
  <c r="I648" i="8"/>
  <c r="H648" i="8"/>
  <c r="G648" i="8"/>
  <c r="A648" i="8"/>
  <c r="I647" i="8"/>
  <c r="H647" i="8"/>
  <c r="G647" i="8"/>
  <c r="A647" i="8"/>
  <c r="I646" i="8"/>
  <c r="H646" i="8"/>
  <c r="G646" i="8"/>
  <c r="A646" i="8"/>
  <c r="I645" i="8"/>
  <c r="H645" i="8"/>
  <c r="G645" i="8"/>
  <c r="A645" i="8"/>
  <c r="I644" i="8"/>
  <c r="H644" i="8"/>
  <c r="G644" i="8"/>
  <c r="A644" i="8"/>
  <c r="I643" i="8"/>
  <c r="H643" i="8"/>
  <c r="G643" i="8"/>
  <c r="A643" i="8"/>
  <c r="I642" i="8"/>
  <c r="H642" i="8"/>
  <c r="G642" i="8"/>
  <c r="A642" i="8"/>
  <c r="I641" i="8"/>
  <c r="H641" i="8"/>
  <c r="G641" i="8"/>
  <c r="A641" i="8"/>
  <c r="I640" i="8"/>
  <c r="H640" i="8"/>
  <c r="G640" i="8"/>
  <c r="A640" i="8"/>
  <c r="I639" i="8"/>
  <c r="H639" i="8"/>
  <c r="G639" i="8"/>
  <c r="A639" i="8"/>
  <c r="I638" i="8"/>
  <c r="H638" i="8"/>
  <c r="G638" i="8"/>
  <c r="A638" i="8"/>
  <c r="I637" i="8"/>
  <c r="H637" i="8"/>
  <c r="G637" i="8"/>
  <c r="A637" i="8"/>
  <c r="I636" i="8"/>
  <c r="H636" i="8"/>
  <c r="G636" i="8"/>
  <c r="A636" i="8"/>
  <c r="I635" i="8"/>
  <c r="H635" i="8"/>
  <c r="G635" i="8"/>
  <c r="A635" i="8"/>
  <c r="I634" i="8"/>
  <c r="H634" i="8"/>
  <c r="G634" i="8"/>
  <c r="A634" i="8"/>
  <c r="I633" i="8"/>
  <c r="H633" i="8"/>
  <c r="G633" i="8"/>
  <c r="A633" i="8"/>
  <c r="I632" i="8"/>
  <c r="H632" i="8"/>
  <c r="G632" i="8"/>
  <c r="A632" i="8"/>
  <c r="I631" i="8"/>
  <c r="H631" i="8"/>
  <c r="G631" i="8"/>
  <c r="A631" i="8"/>
  <c r="I630" i="8"/>
  <c r="H630" i="8"/>
  <c r="G630" i="8"/>
  <c r="A630" i="8"/>
  <c r="I629" i="8"/>
  <c r="H629" i="8"/>
  <c r="G629" i="8"/>
  <c r="A629" i="8"/>
  <c r="I628" i="8"/>
  <c r="H628" i="8"/>
  <c r="G628" i="8"/>
  <c r="A628" i="8"/>
  <c r="I627" i="8"/>
  <c r="H627" i="8"/>
  <c r="G627" i="8"/>
  <c r="A627" i="8"/>
  <c r="I626" i="8"/>
  <c r="H626" i="8"/>
  <c r="G626" i="8"/>
  <c r="A626" i="8"/>
  <c r="H624" i="8"/>
  <c r="G624" i="8"/>
  <c r="A624" i="8"/>
  <c r="H623" i="8"/>
  <c r="G623" i="8"/>
  <c r="A623" i="8"/>
  <c r="H622" i="8"/>
  <c r="G622" i="8"/>
  <c r="A622" i="8"/>
  <c r="H621" i="8"/>
  <c r="G621" i="8"/>
  <c r="A621" i="8"/>
  <c r="H620" i="8"/>
  <c r="G620" i="8"/>
  <c r="A620" i="8"/>
  <c r="H619" i="8"/>
  <c r="G619" i="8"/>
  <c r="A619" i="8"/>
  <c r="H618" i="8"/>
  <c r="G618" i="8"/>
  <c r="A618" i="8"/>
  <c r="H617" i="8"/>
  <c r="G617" i="8"/>
  <c r="A617" i="8"/>
  <c r="H616" i="8"/>
  <c r="G616" i="8"/>
  <c r="A616" i="8"/>
  <c r="H615" i="8"/>
  <c r="G615" i="8"/>
  <c r="A615" i="8"/>
  <c r="H614" i="8"/>
  <c r="G614" i="8"/>
  <c r="A614" i="8"/>
  <c r="H613" i="8"/>
  <c r="G613" i="8"/>
  <c r="A613" i="8"/>
  <c r="H612" i="8"/>
  <c r="G612" i="8"/>
  <c r="A612" i="8"/>
  <c r="H611" i="8"/>
  <c r="G611" i="8"/>
  <c r="A611" i="8"/>
  <c r="H610" i="8"/>
  <c r="G610" i="8"/>
  <c r="A610" i="8"/>
  <c r="H609" i="8"/>
  <c r="G609" i="8"/>
  <c r="A609" i="8"/>
  <c r="H608" i="8"/>
  <c r="G608" i="8"/>
  <c r="A608" i="8"/>
  <c r="H607" i="8"/>
  <c r="G607" i="8"/>
  <c r="A607" i="8"/>
  <c r="H606" i="8"/>
  <c r="G606" i="8"/>
  <c r="A606" i="8"/>
  <c r="H605" i="8"/>
  <c r="G605" i="8"/>
  <c r="A605" i="8"/>
  <c r="H604" i="8"/>
  <c r="G604" i="8"/>
  <c r="A604" i="8"/>
  <c r="H603" i="8"/>
  <c r="G603" i="8"/>
  <c r="A603" i="8"/>
  <c r="H602" i="8"/>
  <c r="G602" i="8"/>
  <c r="A602" i="8"/>
  <c r="H601" i="8"/>
  <c r="G601" i="8"/>
  <c r="A601" i="8"/>
  <c r="H600" i="8"/>
  <c r="G600" i="8"/>
  <c r="A600" i="8"/>
  <c r="H599" i="8"/>
  <c r="G599" i="8"/>
  <c r="A599" i="8"/>
  <c r="H598" i="8"/>
  <c r="G598" i="8"/>
  <c r="A598" i="8"/>
  <c r="H597" i="8"/>
  <c r="G597" i="8"/>
  <c r="A597" i="8"/>
  <c r="H596" i="8"/>
  <c r="G596" i="8"/>
  <c r="A596" i="8"/>
  <c r="H595" i="8"/>
  <c r="G595" i="8"/>
  <c r="A595" i="8"/>
  <c r="H594" i="8"/>
  <c r="G594" i="8"/>
  <c r="A594" i="8"/>
  <c r="H593" i="8"/>
  <c r="G593" i="8"/>
  <c r="A593" i="8"/>
  <c r="H592" i="8"/>
  <c r="G592" i="8"/>
  <c r="A592" i="8"/>
  <c r="H591" i="8"/>
  <c r="G591" i="8"/>
  <c r="A591" i="8"/>
  <c r="H590" i="8"/>
  <c r="G590" i="8"/>
  <c r="A590" i="8"/>
  <c r="H589" i="8"/>
  <c r="G589" i="8"/>
  <c r="A589" i="8"/>
  <c r="H588" i="8"/>
  <c r="G588" i="8"/>
  <c r="A588" i="8"/>
  <c r="H587" i="8"/>
  <c r="G587" i="8"/>
  <c r="A587" i="8"/>
  <c r="H586" i="8"/>
  <c r="G586" i="8"/>
  <c r="A586" i="8"/>
  <c r="H585" i="8"/>
  <c r="G585" i="8"/>
  <c r="A585" i="8"/>
  <c r="H584" i="8"/>
  <c r="G584" i="8"/>
  <c r="A584" i="8"/>
  <c r="H583" i="8"/>
  <c r="G583" i="8"/>
  <c r="A583" i="8"/>
  <c r="H582" i="8"/>
  <c r="G582" i="8"/>
  <c r="A582" i="8"/>
  <c r="H581" i="8"/>
  <c r="G581" i="8"/>
  <c r="A581" i="8"/>
  <c r="H580" i="8"/>
  <c r="G580" i="8"/>
  <c r="A580" i="8"/>
  <c r="H579" i="8"/>
  <c r="G579" i="8"/>
  <c r="A579" i="8"/>
  <c r="H578" i="8"/>
  <c r="G578" i="8"/>
  <c r="A578" i="8"/>
  <c r="H577" i="8"/>
  <c r="G577" i="8"/>
  <c r="A577" i="8"/>
  <c r="H576" i="8"/>
  <c r="G576" i="8"/>
  <c r="A576" i="8"/>
  <c r="H575" i="8"/>
  <c r="G575" i="8"/>
  <c r="A575" i="8"/>
  <c r="H574" i="8"/>
  <c r="G574" i="8"/>
  <c r="A574" i="8"/>
  <c r="H573" i="8"/>
  <c r="G573" i="8"/>
  <c r="A573" i="8"/>
  <c r="H572" i="8"/>
  <c r="G572" i="8"/>
  <c r="A572" i="8"/>
  <c r="H571" i="8"/>
  <c r="G571" i="8"/>
  <c r="A571" i="8"/>
  <c r="H570" i="8"/>
  <c r="G570" i="8"/>
  <c r="A570" i="8"/>
  <c r="H569" i="8"/>
  <c r="G569" i="8"/>
  <c r="A569" i="8"/>
  <c r="H568" i="8"/>
  <c r="G568" i="8"/>
  <c r="A568" i="8"/>
  <c r="H567" i="8"/>
  <c r="G567" i="8"/>
  <c r="A567" i="8"/>
  <c r="H566" i="8"/>
  <c r="G566" i="8"/>
  <c r="A566" i="8"/>
  <c r="H565" i="8"/>
  <c r="G565" i="8"/>
  <c r="A565" i="8"/>
  <c r="H564" i="8"/>
  <c r="G564" i="8"/>
  <c r="A564" i="8"/>
  <c r="H563" i="8"/>
  <c r="G563" i="8"/>
  <c r="A563" i="8"/>
  <c r="H562" i="8"/>
  <c r="G562" i="8"/>
  <c r="A562" i="8"/>
  <c r="H561" i="8"/>
  <c r="G561" i="8"/>
  <c r="A561" i="8"/>
  <c r="H560" i="8"/>
  <c r="G560" i="8"/>
  <c r="A560" i="8"/>
  <c r="H559" i="8"/>
  <c r="G559" i="8"/>
  <c r="A559" i="8"/>
  <c r="H558" i="8"/>
  <c r="G558" i="8"/>
  <c r="A558" i="8"/>
  <c r="H557" i="8"/>
  <c r="G557" i="8"/>
  <c r="A557" i="8"/>
  <c r="H556" i="8"/>
  <c r="G556" i="8"/>
  <c r="A556" i="8"/>
  <c r="H555" i="8"/>
  <c r="G555" i="8"/>
  <c r="A555" i="8"/>
  <c r="H554" i="8"/>
  <c r="G554" i="8"/>
  <c r="A554" i="8"/>
  <c r="H553" i="8"/>
  <c r="G553" i="8"/>
  <c r="A553" i="8"/>
  <c r="H552" i="8"/>
  <c r="G552" i="8"/>
  <c r="A552" i="8"/>
  <c r="H551" i="8"/>
  <c r="G551" i="8"/>
  <c r="A551" i="8"/>
  <c r="H550" i="8"/>
  <c r="G550" i="8"/>
  <c r="A550" i="8"/>
  <c r="H549" i="8"/>
  <c r="G549" i="8"/>
  <c r="A549" i="8"/>
  <c r="H548" i="8"/>
  <c r="G548" i="8"/>
  <c r="A548" i="8"/>
  <c r="H547" i="8"/>
  <c r="G547" i="8"/>
  <c r="A547" i="8"/>
  <c r="H546" i="8"/>
  <c r="G546" i="8"/>
  <c r="A546" i="8"/>
  <c r="H545" i="8"/>
  <c r="G545" i="8"/>
  <c r="A545" i="8"/>
  <c r="H544" i="8"/>
  <c r="G544" i="8"/>
  <c r="A544" i="8"/>
  <c r="H543" i="8"/>
  <c r="G543" i="8"/>
  <c r="A543" i="8"/>
  <c r="H542" i="8"/>
  <c r="G542" i="8"/>
  <c r="A542" i="8"/>
  <c r="H541" i="8"/>
  <c r="G541" i="8"/>
  <c r="A541" i="8"/>
  <c r="H540" i="8"/>
  <c r="G540" i="8"/>
  <c r="A540" i="8"/>
  <c r="H539" i="8"/>
  <c r="G539" i="8"/>
  <c r="A539" i="8"/>
  <c r="H538" i="8"/>
  <c r="G538" i="8"/>
  <c r="A538" i="8"/>
  <c r="H537" i="8"/>
  <c r="G537" i="8"/>
  <c r="A537" i="8"/>
  <c r="H536" i="8"/>
  <c r="G536" i="8"/>
  <c r="A536" i="8"/>
  <c r="H535" i="8"/>
  <c r="G535" i="8"/>
  <c r="A535" i="8"/>
  <c r="H534" i="8"/>
  <c r="G534" i="8"/>
  <c r="A534" i="8"/>
  <c r="H533" i="8"/>
  <c r="G533" i="8"/>
  <c r="A533" i="8"/>
  <c r="H532" i="8"/>
  <c r="G532" i="8"/>
  <c r="A532" i="8"/>
  <c r="H531" i="8"/>
  <c r="G531" i="8"/>
  <c r="A531" i="8"/>
  <c r="H530" i="8"/>
  <c r="G530" i="8"/>
  <c r="A530" i="8"/>
  <c r="H529" i="8"/>
  <c r="G529" i="8"/>
  <c r="A529" i="8"/>
  <c r="H528" i="8"/>
  <c r="G528" i="8"/>
  <c r="A528" i="8"/>
  <c r="H527" i="8"/>
  <c r="G527" i="8"/>
  <c r="A527" i="8"/>
  <c r="H526" i="8"/>
  <c r="G526" i="8"/>
  <c r="A526" i="8"/>
  <c r="H525" i="8"/>
  <c r="G525" i="8"/>
  <c r="A525" i="8"/>
  <c r="H524" i="8"/>
  <c r="G524" i="8"/>
  <c r="A524" i="8"/>
  <c r="H523" i="8"/>
  <c r="G523" i="8"/>
  <c r="A523" i="8"/>
  <c r="H522" i="8"/>
  <c r="G522" i="8"/>
  <c r="A522" i="8"/>
  <c r="H521" i="8"/>
  <c r="G521" i="8"/>
  <c r="A521" i="8"/>
  <c r="H520" i="8"/>
  <c r="G520" i="8"/>
  <c r="A520" i="8"/>
  <c r="H519" i="8"/>
  <c r="G519" i="8"/>
  <c r="A519" i="8"/>
  <c r="H518" i="8"/>
  <c r="G518" i="8"/>
  <c r="A518" i="8"/>
  <c r="H517" i="8"/>
  <c r="G517" i="8"/>
  <c r="A517" i="8"/>
  <c r="H516" i="8"/>
  <c r="G516" i="8"/>
  <c r="A516" i="8"/>
  <c r="H515" i="8"/>
  <c r="G515" i="8"/>
  <c r="A515" i="8"/>
  <c r="H514" i="8"/>
  <c r="G514" i="8"/>
  <c r="A514" i="8"/>
  <c r="H513" i="8"/>
  <c r="G513" i="8"/>
  <c r="A513" i="8"/>
  <c r="H512" i="8"/>
  <c r="G512" i="8"/>
  <c r="A512" i="8"/>
  <c r="H511" i="8"/>
  <c r="G511" i="8"/>
  <c r="A511" i="8"/>
  <c r="H510" i="8"/>
  <c r="G510" i="8"/>
  <c r="A510" i="8"/>
  <c r="H509" i="8"/>
  <c r="G509" i="8"/>
  <c r="A509" i="8"/>
  <c r="H508" i="8"/>
  <c r="G508" i="8"/>
  <c r="A508" i="8"/>
  <c r="H507" i="8"/>
  <c r="G507" i="8"/>
  <c r="A507" i="8"/>
  <c r="H506" i="8"/>
  <c r="G506" i="8"/>
  <c r="A506" i="8"/>
  <c r="H505" i="8"/>
  <c r="G505" i="8"/>
  <c r="A505" i="8"/>
  <c r="H504" i="8"/>
  <c r="G504" i="8"/>
  <c r="A504" i="8"/>
  <c r="H503" i="8"/>
  <c r="G503" i="8"/>
  <c r="A503" i="8"/>
  <c r="H502" i="8"/>
  <c r="G502" i="8"/>
  <c r="A502" i="8"/>
  <c r="H501" i="8"/>
  <c r="G501" i="8"/>
  <c r="A501" i="8"/>
  <c r="H500" i="8"/>
  <c r="G500" i="8"/>
  <c r="A500" i="8"/>
  <c r="H499" i="8"/>
  <c r="G499" i="8"/>
  <c r="A499" i="8"/>
  <c r="H498" i="8"/>
  <c r="G498" i="8"/>
  <c r="A498" i="8"/>
  <c r="H497" i="8"/>
  <c r="G497" i="8"/>
  <c r="A497" i="8"/>
  <c r="H496" i="8"/>
  <c r="G496" i="8"/>
  <c r="A496" i="8"/>
  <c r="H495" i="8"/>
  <c r="G495" i="8"/>
  <c r="A495" i="8"/>
  <c r="H494" i="8"/>
  <c r="G494" i="8"/>
  <c r="A494" i="8"/>
  <c r="H493" i="8"/>
  <c r="G493" i="8"/>
  <c r="A493" i="8"/>
  <c r="H492" i="8"/>
  <c r="G492" i="8"/>
  <c r="A492" i="8"/>
  <c r="H491" i="8"/>
  <c r="G491" i="8"/>
  <c r="A491" i="8"/>
  <c r="H490" i="8"/>
  <c r="G490" i="8"/>
  <c r="A490" i="8"/>
  <c r="H489" i="8"/>
  <c r="G489" i="8"/>
  <c r="A489" i="8"/>
  <c r="H488" i="8"/>
  <c r="G488" i="8"/>
  <c r="A488" i="8"/>
  <c r="H487" i="8"/>
  <c r="G487" i="8"/>
  <c r="A487" i="8"/>
  <c r="H486" i="8"/>
  <c r="G486" i="8"/>
  <c r="A486" i="8"/>
  <c r="H485" i="8"/>
  <c r="G485" i="8"/>
  <c r="A485" i="8"/>
  <c r="H484" i="8"/>
  <c r="G484" i="8"/>
  <c r="A484" i="8"/>
  <c r="H483" i="8"/>
  <c r="G483" i="8"/>
  <c r="A483" i="8"/>
  <c r="H482" i="8"/>
  <c r="G482" i="8"/>
  <c r="A482" i="8"/>
  <c r="H481" i="8"/>
  <c r="G481" i="8"/>
  <c r="A481" i="8"/>
  <c r="H480" i="8"/>
  <c r="G480" i="8"/>
  <c r="A480" i="8"/>
  <c r="H479" i="8"/>
  <c r="G479" i="8"/>
  <c r="A479" i="8"/>
  <c r="H478" i="8"/>
  <c r="G478" i="8"/>
  <c r="A478" i="8"/>
  <c r="H477" i="8"/>
  <c r="G477" i="8"/>
  <c r="A477" i="8"/>
  <c r="H476" i="8"/>
  <c r="G476" i="8"/>
  <c r="A476" i="8"/>
  <c r="H475" i="8"/>
  <c r="G475" i="8"/>
  <c r="A475" i="8"/>
  <c r="H474" i="8"/>
  <c r="G474" i="8"/>
  <c r="A474" i="8"/>
  <c r="H473" i="8"/>
  <c r="G473" i="8"/>
  <c r="A473" i="8"/>
  <c r="H472" i="8"/>
  <c r="G472" i="8"/>
  <c r="A472" i="8"/>
  <c r="H471" i="8"/>
  <c r="G471" i="8"/>
  <c r="A471" i="8"/>
  <c r="H470" i="8"/>
  <c r="G470" i="8"/>
  <c r="A470" i="8"/>
  <c r="H469" i="8"/>
  <c r="G469" i="8"/>
  <c r="A469" i="8"/>
  <c r="H468" i="8"/>
  <c r="G468" i="8"/>
  <c r="A468" i="8"/>
  <c r="H467" i="8"/>
  <c r="G467" i="8"/>
  <c r="A467" i="8"/>
  <c r="H466" i="8"/>
  <c r="G466" i="8"/>
  <c r="A466" i="8"/>
  <c r="H465" i="8"/>
  <c r="G465" i="8"/>
  <c r="A465" i="8"/>
  <c r="H464" i="8"/>
  <c r="G464" i="8"/>
  <c r="A464" i="8"/>
  <c r="H463" i="8"/>
  <c r="G463" i="8"/>
  <c r="A463" i="8"/>
  <c r="H462" i="8"/>
  <c r="G462" i="8"/>
  <c r="A462" i="8"/>
  <c r="H461" i="8"/>
  <c r="G461" i="8"/>
  <c r="A461" i="8"/>
  <c r="H460" i="8"/>
  <c r="G460" i="8"/>
  <c r="A460" i="8"/>
  <c r="H459" i="8"/>
  <c r="G459" i="8"/>
  <c r="A459" i="8"/>
  <c r="H458" i="8"/>
  <c r="G458" i="8"/>
  <c r="A458" i="8"/>
  <c r="H457" i="8"/>
  <c r="G457" i="8"/>
  <c r="A457" i="8"/>
  <c r="H456" i="8"/>
  <c r="G456" i="8"/>
  <c r="A456" i="8"/>
  <c r="H455" i="8"/>
  <c r="G455" i="8"/>
  <c r="A455" i="8"/>
  <c r="H454" i="8"/>
  <c r="G454" i="8"/>
  <c r="A454" i="8"/>
  <c r="H453" i="8"/>
  <c r="G453" i="8"/>
  <c r="A453" i="8"/>
  <c r="H452" i="8"/>
  <c r="G452" i="8"/>
  <c r="A452" i="8"/>
  <c r="H451" i="8"/>
  <c r="G451" i="8"/>
  <c r="A451" i="8"/>
  <c r="H450" i="8"/>
  <c r="G450" i="8"/>
  <c r="A450" i="8"/>
  <c r="H449" i="8"/>
  <c r="G449" i="8"/>
  <c r="A449" i="8"/>
  <c r="H448" i="8"/>
  <c r="G448" i="8"/>
  <c r="A448" i="8"/>
  <c r="H447" i="8"/>
  <c r="G447" i="8"/>
  <c r="A447" i="8"/>
  <c r="H446" i="8"/>
  <c r="G446" i="8"/>
  <c r="A446" i="8"/>
  <c r="H445" i="8"/>
  <c r="G445" i="8"/>
  <c r="A445" i="8"/>
  <c r="H444" i="8"/>
  <c r="G444" i="8"/>
  <c r="A444" i="8"/>
  <c r="H443" i="8"/>
  <c r="G443" i="8"/>
  <c r="A443" i="8"/>
  <c r="H442" i="8"/>
  <c r="G442" i="8"/>
  <c r="A442" i="8"/>
  <c r="H441" i="8"/>
  <c r="G441" i="8"/>
  <c r="A441" i="8"/>
  <c r="H440" i="8"/>
  <c r="G440" i="8"/>
  <c r="A440" i="8"/>
  <c r="H439" i="8"/>
  <c r="G439" i="8"/>
  <c r="A439" i="8"/>
  <c r="H438" i="8"/>
  <c r="G438" i="8"/>
  <c r="A438" i="8"/>
  <c r="H437" i="8"/>
  <c r="G437" i="8"/>
  <c r="A437" i="8"/>
  <c r="H436" i="8"/>
  <c r="G436" i="8"/>
  <c r="A436" i="8"/>
  <c r="H435" i="8"/>
  <c r="G435" i="8"/>
  <c r="A435" i="8"/>
  <c r="H434" i="8"/>
  <c r="G434" i="8"/>
  <c r="A434" i="8"/>
  <c r="H433" i="8"/>
  <c r="G433" i="8"/>
  <c r="A433" i="8"/>
  <c r="H432" i="8"/>
  <c r="G432" i="8"/>
  <c r="A432" i="8"/>
  <c r="H431" i="8"/>
  <c r="G431" i="8"/>
  <c r="A431" i="8"/>
  <c r="H430" i="8"/>
  <c r="G430" i="8"/>
  <c r="A430" i="8"/>
  <c r="H429" i="8"/>
  <c r="G429" i="8"/>
  <c r="A429" i="8"/>
  <c r="H428" i="8"/>
  <c r="G428" i="8"/>
  <c r="A428" i="8"/>
  <c r="H427" i="8"/>
  <c r="G427" i="8"/>
  <c r="A427" i="8"/>
  <c r="H426" i="8"/>
  <c r="G426" i="8"/>
  <c r="A426" i="8"/>
  <c r="H425" i="8"/>
  <c r="G425" i="8"/>
  <c r="A425" i="8"/>
  <c r="H424" i="8"/>
  <c r="G424" i="8"/>
  <c r="A424" i="8"/>
  <c r="H423" i="8"/>
  <c r="G423" i="8"/>
  <c r="A423" i="8"/>
  <c r="H422" i="8"/>
  <c r="G422" i="8"/>
  <c r="A422" i="8"/>
  <c r="H421" i="8"/>
  <c r="G421" i="8"/>
  <c r="A421" i="8"/>
  <c r="H420" i="8"/>
  <c r="G420" i="8"/>
  <c r="A420" i="8"/>
  <c r="H419" i="8"/>
  <c r="G419" i="8"/>
  <c r="A419" i="8"/>
  <c r="H418" i="8"/>
  <c r="G418" i="8"/>
  <c r="A418" i="8"/>
  <c r="H417" i="8"/>
  <c r="G417" i="8"/>
  <c r="A417" i="8"/>
  <c r="H416" i="8"/>
  <c r="G416" i="8"/>
  <c r="A416" i="8"/>
  <c r="H415" i="8"/>
  <c r="G415" i="8"/>
  <c r="A415" i="8"/>
  <c r="H414" i="8"/>
  <c r="G414" i="8"/>
  <c r="A414" i="8"/>
  <c r="H413" i="8"/>
  <c r="G413" i="8"/>
  <c r="A413" i="8"/>
  <c r="H412" i="8"/>
  <c r="G412" i="8"/>
  <c r="A412" i="8"/>
  <c r="H411" i="8"/>
  <c r="G411" i="8"/>
  <c r="A411" i="8"/>
  <c r="H410" i="8"/>
  <c r="G410" i="8"/>
  <c r="A410" i="8"/>
  <c r="H409" i="8"/>
  <c r="G409" i="8"/>
  <c r="A409" i="8"/>
  <c r="H408" i="8"/>
  <c r="G408" i="8"/>
  <c r="A408" i="8"/>
  <c r="H407" i="8"/>
  <c r="G407" i="8"/>
  <c r="A407" i="8"/>
  <c r="H406" i="8"/>
  <c r="G406" i="8"/>
  <c r="A406" i="8"/>
  <c r="H405" i="8"/>
  <c r="G405" i="8"/>
  <c r="A405" i="8"/>
  <c r="H404" i="8"/>
  <c r="G404" i="8"/>
  <c r="A404" i="8"/>
  <c r="H403" i="8"/>
  <c r="G403" i="8"/>
  <c r="A403" i="8"/>
  <c r="H402" i="8"/>
  <c r="G402" i="8"/>
  <c r="A402" i="8"/>
  <c r="H401" i="8"/>
  <c r="G401" i="8"/>
  <c r="A401" i="8"/>
  <c r="H400" i="8"/>
  <c r="G400" i="8"/>
  <c r="A400" i="8"/>
  <c r="H399" i="8"/>
  <c r="G399" i="8"/>
  <c r="A399" i="8"/>
  <c r="H398" i="8"/>
  <c r="G398" i="8"/>
  <c r="A398" i="8"/>
  <c r="H397" i="8"/>
  <c r="G397" i="8"/>
  <c r="A397" i="8"/>
  <c r="H396" i="8"/>
  <c r="G396" i="8"/>
  <c r="A396" i="8"/>
  <c r="H395" i="8"/>
  <c r="G395" i="8"/>
  <c r="A395" i="8"/>
  <c r="H394" i="8"/>
  <c r="G394" i="8"/>
  <c r="A394" i="8"/>
  <c r="H393" i="8"/>
  <c r="G393" i="8"/>
  <c r="A393" i="8"/>
  <c r="H392" i="8"/>
  <c r="G392" i="8"/>
  <c r="A392" i="8"/>
  <c r="H391" i="8"/>
  <c r="G391" i="8"/>
  <c r="A391" i="8"/>
  <c r="H390" i="8"/>
  <c r="G390" i="8"/>
  <c r="A390" i="8"/>
  <c r="H389" i="8"/>
  <c r="G389" i="8"/>
  <c r="A389" i="8"/>
  <c r="H388" i="8"/>
  <c r="G388" i="8"/>
  <c r="A388" i="8"/>
  <c r="H387" i="8"/>
  <c r="G387" i="8"/>
  <c r="A387" i="8"/>
  <c r="H386" i="8"/>
  <c r="G386" i="8"/>
  <c r="A386" i="8"/>
  <c r="H385" i="8"/>
  <c r="G385" i="8"/>
  <c r="A385" i="8"/>
  <c r="H384" i="8"/>
  <c r="G384" i="8"/>
  <c r="A384" i="8"/>
  <c r="H383" i="8"/>
  <c r="G383" i="8"/>
  <c r="A383" i="8"/>
  <c r="H382" i="8"/>
  <c r="G382" i="8"/>
  <c r="A382" i="8"/>
  <c r="H381" i="8"/>
  <c r="G381" i="8"/>
  <c r="A381" i="8"/>
  <c r="H380" i="8"/>
  <c r="G380" i="8"/>
  <c r="A380" i="8"/>
  <c r="H379" i="8"/>
  <c r="G379" i="8"/>
  <c r="A379" i="8"/>
  <c r="H378" i="8"/>
  <c r="G378" i="8"/>
  <c r="A378" i="8"/>
  <c r="H377" i="8"/>
  <c r="G377" i="8"/>
  <c r="A377" i="8"/>
  <c r="H376" i="8"/>
  <c r="G376" i="8"/>
  <c r="A376" i="8"/>
  <c r="H375" i="8"/>
  <c r="G375" i="8"/>
  <c r="A375" i="8"/>
  <c r="H374" i="8"/>
  <c r="G374" i="8"/>
  <c r="A374" i="8"/>
  <c r="H373" i="8"/>
  <c r="G373" i="8"/>
  <c r="A373" i="8"/>
  <c r="H372" i="8"/>
  <c r="G372" i="8"/>
  <c r="A372" i="8"/>
  <c r="H371" i="8"/>
  <c r="G371" i="8"/>
  <c r="A371" i="8"/>
  <c r="H370" i="8"/>
  <c r="G370" i="8"/>
  <c r="A370" i="8"/>
  <c r="H369" i="8"/>
  <c r="G369" i="8"/>
  <c r="A369" i="8"/>
  <c r="H368" i="8"/>
  <c r="G368" i="8"/>
  <c r="A368" i="8"/>
  <c r="H367" i="8"/>
  <c r="G367" i="8"/>
  <c r="A367" i="8"/>
  <c r="H366" i="8"/>
  <c r="G366" i="8"/>
  <c r="A366" i="8"/>
  <c r="H365" i="8"/>
  <c r="G365" i="8"/>
  <c r="A365" i="8"/>
  <c r="H364" i="8"/>
  <c r="G364" i="8"/>
  <c r="A364" i="8"/>
  <c r="H363" i="8"/>
  <c r="G363" i="8"/>
  <c r="A363" i="8"/>
  <c r="H362" i="8"/>
  <c r="G362" i="8"/>
  <c r="A362" i="8"/>
  <c r="H361" i="8"/>
  <c r="G361" i="8"/>
  <c r="A361" i="8"/>
  <c r="H360" i="8"/>
  <c r="G360" i="8"/>
  <c r="A360" i="8"/>
  <c r="H359" i="8"/>
  <c r="G359" i="8"/>
  <c r="A359" i="8"/>
  <c r="H358" i="8"/>
  <c r="G358" i="8"/>
  <c r="A358" i="8"/>
  <c r="H357" i="8"/>
  <c r="G357" i="8"/>
  <c r="A357" i="8"/>
  <c r="H356" i="8"/>
  <c r="G356" i="8"/>
  <c r="A356" i="8"/>
  <c r="H355" i="8"/>
  <c r="G355" i="8"/>
  <c r="A355" i="8"/>
  <c r="H354" i="8"/>
  <c r="G354" i="8"/>
  <c r="A354" i="8"/>
  <c r="H353" i="8"/>
  <c r="G353" i="8"/>
  <c r="A353" i="8"/>
  <c r="H352" i="8"/>
  <c r="G352" i="8"/>
  <c r="A352" i="8"/>
  <c r="H351" i="8"/>
  <c r="G351" i="8"/>
  <c r="A351" i="8"/>
  <c r="H350" i="8"/>
  <c r="G350" i="8"/>
  <c r="A350" i="8"/>
  <c r="H349" i="8"/>
  <c r="G349" i="8"/>
  <c r="A349" i="8"/>
  <c r="H348" i="8"/>
  <c r="G348" i="8"/>
  <c r="A348" i="8"/>
  <c r="H347" i="8"/>
  <c r="G347" i="8"/>
  <c r="A347" i="8"/>
  <c r="H346" i="8"/>
  <c r="G346" i="8"/>
  <c r="A346" i="8"/>
  <c r="H345" i="8"/>
  <c r="G345" i="8"/>
  <c r="A345" i="8"/>
  <c r="H344" i="8"/>
  <c r="G344" i="8"/>
  <c r="A344" i="8"/>
  <c r="H343" i="8"/>
  <c r="G343" i="8"/>
  <c r="A343" i="8"/>
  <c r="H342" i="8"/>
  <c r="G342" i="8"/>
  <c r="A342" i="8"/>
  <c r="H341" i="8"/>
  <c r="G341" i="8"/>
  <c r="A341" i="8"/>
  <c r="H340" i="8"/>
  <c r="G340" i="8"/>
  <c r="A340" i="8"/>
  <c r="H339" i="8"/>
  <c r="G339" i="8"/>
  <c r="A339" i="8"/>
  <c r="H338" i="8"/>
  <c r="G338" i="8"/>
  <c r="A338" i="8"/>
  <c r="H337" i="8"/>
  <c r="G337" i="8"/>
  <c r="A337" i="8"/>
  <c r="H336" i="8"/>
  <c r="G336" i="8"/>
  <c r="A336" i="8"/>
  <c r="H335" i="8"/>
  <c r="G335" i="8"/>
  <c r="A335" i="8"/>
  <c r="H334" i="8"/>
  <c r="G334" i="8"/>
  <c r="A334" i="8"/>
  <c r="H333" i="8"/>
  <c r="G333" i="8"/>
  <c r="A333" i="8"/>
  <c r="H332" i="8"/>
  <c r="G332" i="8"/>
  <c r="A332" i="8"/>
  <c r="H331" i="8"/>
  <c r="G331" i="8"/>
  <c r="A331" i="8"/>
  <c r="H330" i="8"/>
  <c r="G330" i="8"/>
  <c r="A330" i="8"/>
  <c r="H329" i="8"/>
  <c r="G329" i="8"/>
  <c r="A329" i="8"/>
  <c r="H328" i="8"/>
  <c r="G328" i="8"/>
  <c r="A328" i="8"/>
  <c r="H327" i="8"/>
  <c r="G327" i="8"/>
  <c r="A327" i="8"/>
  <c r="H326" i="8"/>
  <c r="G326" i="8"/>
  <c r="A326" i="8"/>
  <c r="H325" i="8"/>
  <c r="G325" i="8"/>
  <c r="A325" i="8"/>
  <c r="H324" i="8"/>
  <c r="G324" i="8"/>
  <c r="A324" i="8"/>
  <c r="H323" i="8"/>
  <c r="G323" i="8"/>
  <c r="A323" i="8"/>
  <c r="H322" i="8"/>
  <c r="G322" i="8"/>
  <c r="A322" i="8"/>
  <c r="H321" i="8"/>
  <c r="G321" i="8"/>
  <c r="A321" i="8"/>
  <c r="H320" i="8"/>
  <c r="G320" i="8"/>
  <c r="A320" i="8"/>
  <c r="H319" i="8"/>
  <c r="G319" i="8"/>
  <c r="A319" i="8"/>
  <c r="H318" i="8"/>
  <c r="G318" i="8"/>
  <c r="A318" i="8"/>
  <c r="H317" i="8"/>
  <c r="G317" i="8"/>
  <c r="A317" i="8"/>
  <c r="H316" i="8"/>
  <c r="G316" i="8"/>
  <c r="A316" i="8"/>
  <c r="H315" i="8"/>
  <c r="G315" i="8"/>
  <c r="A315" i="8"/>
  <c r="H314" i="8"/>
  <c r="G314" i="8"/>
  <c r="A314" i="8"/>
  <c r="H313" i="8"/>
  <c r="G313" i="8"/>
  <c r="A313" i="8"/>
  <c r="H312" i="8"/>
  <c r="G312" i="8"/>
  <c r="A312" i="8"/>
  <c r="H311" i="8"/>
  <c r="G311" i="8"/>
  <c r="A311" i="8"/>
  <c r="H310" i="8"/>
  <c r="G310" i="8"/>
  <c r="A310" i="8"/>
  <c r="H309" i="8"/>
  <c r="G309" i="8"/>
  <c r="A309" i="8"/>
  <c r="H308" i="8"/>
  <c r="G308" i="8"/>
  <c r="A308" i="8"/>
  <c r="H307" i="8"/>
  <c r="G307" i="8"/>
  <c r="A307" i="8"/>
  <c r="H306" i="8"/>
  <c r="G306" i="8"/>
  <c r="A306" i="8"/>
  <c r="H305" i="8"/>
  <c r="G305" i="8"/>
  <c r="A305" i="8"/>
  <c r="H304" i="8"/>
  <c r="G304" i="8"/>
  <c r="A304" i="8"/>
  <c r="H303" i="8"/>
  <c r="G303" i="8"/>
  <c r="A303" i="8"/>
  <c r="H302" i="8"/>
  <c r="G302" i="8"/>
  <c r="A302" i="8"/>
  <c r="H301" i="8"/>
  <c r="G301" i="8"/>
  <c r="A301" i="8"/>
  <c r="H300" i="8"/>
  <c r="G300" i="8"/>
  <c r="A300" i="8"/>
  <c r="H299" i="8"/>
  <c r="G299" i="8"/>
  <c r="A299" i="8"/>
  <c r="H298" i="8"/>
  <c r="G298" i="8"/>
  <c r="A298" i="8"/>
  <c r="H297" i="8"/>
  <c r="G297" i="8"/>
  <c r="A297" i="8"/>
  <c r="H296" i="8"/>
  <c r="G296" i="8"/>
  <c r="A296" i="8"/>
  <c r="H295" i="8"/>
  <c r="G295" i="8"/>
  <c r="A295" i="8"/>
  <c r="H294" i="8"/>
  <c r="G294" i="8"/>
  <c r="A294" i="8"/>
  <c r="H293" i="8"/>
  <c r="G293" i="8"/>
  <c r="A293" i="8"/>
  <c r="H292" i="8"/>
  <c r="G292" i="8"/>
  <c r="A292" i="8"/>
  <c r="H291" i="8"/>
  <c r="G291" i="8"/>
  <c r="A291" i="8"/>
  <c r="H290" i="8"/>
  <c r="G290" i="8"/>
  <c r="A290" i="8"/>
  <c r="H289" i="8"/>
  <c r="G289" i="8"/>
  <c r="A289" i="8"/>
  <c r="H288" i="8"/>
  <c r="G288" i="8"/>
  <c r="A288" i="8"/>
  <c r="H287" i="8"/>
  <c r="G287" i="8"/>
  <c r="A287" i="8"/>
  <c r="H286" i="8"/>
  <c r="G286" i="8"/>
  <c r="A286" i="8"/>
  <c r="H285" i="8"/>
  <c r="G285" i="8"/>
  <c r="A285" i="8"/>
  <c r="H284" i="8"/>
  <c r="G284" i="8"/>
  <c r="A284" i="8"/>
  <c r="H283" i="8"/>
  <c r="G283" i="8"/>
  <c r="A283" i="8"/>
  <c r="H282" i="8"/>
  <c r="G282" i="8"/>
  <c r="A282" i="8"/>
  <c r="H281" i="8"/>
  <c r="G281" i="8"/>
  <c r="A281" i="8"/>
  <c r="H280" i="8"/>
  <c r="G280" i="8"/>
  <c r="A280" i="8"/>
  <c r="H279" i="8"/>
  <c r="G279" i="8"/>
  <c r="A279" i="8"/>
  <c r="H278" i="8"/>
  <c r="G278" i="8"/>
  <c r="A278" i="8"/>
  <c r="H277" i="8"/>
  <c r="G277" i="8"/>
  <c r="A277" i="8"/>
  <c r="H276" i="8"/>
  <c r="G276" i="8"/>
  <c r="A276" i="8"/>
  <c r="H275" i="8"/>
  <c r="G275" i="8"/>
  <c r="A275" i="8"/>
  <c r="H274" i="8"/>
  <c r="G274" i="8"/>
  <c r="A274" i="8"/>
  <c r="H273" i="8"/>
  <c r="G273" i="8"/>
  <c r="A273" i="8"/>
  <c r="H272" i="8"/>
  <c r="G272" i="8"/>
  <c r="A272" i="8"/>
  <c r="H271" i="8"/>
  <c r="G271" i="8"/>
  <c r="A271" i="8"/>
  <c r="H270" i="8"/>
  <c r="G270" i="8"/>
  <c r="A270" i="8"/>
  <c r="H269" i="8"/>
  <c r="G269" i="8"/>
  <c r="A269" i="8"/>
  <c r="H268" i="8"/>
  <c r="G268" i="8"/>
  <c r="A268" i="8"/>
  <c r="H267" i="8"/>
  <c r="G267" i="8"/>
  <c r="A267" i="8"/>
  <c r="H266" i="8"/>
  <c r="G266" i="8"/>
  <c r="A266" i="8"/>
  <c r="H265" i="8"/>
  <c r="G265" i="8"/>
  <c r="A265" i="8"/>
  <c r="H264" i="8"/>
  <c r="G264" i="8"/>
  <c r="A264" i="8"/>
  <c r="H263" i="8"/>
  <c r="G263" i="8"/>
  <c r="A263" i="8"/>
  <c r="H262" i="8"/>
  <c r="G262" i="8"/>
  <c r="A262" i="8"/>
  <c r="H261" i="8"/>
  <c r="G261" i="8"/>
  <c r="A261" i="8"/>
  <c r="H260" i="8"/>
  <c r="G260" i="8"/>
  <c r="A260" i="8"/>
  <c r="H259" i="8"/>
  <c r="G259" i="8"/>
  <c r="A259" i="8"/>
  <c r="H258" i="8"/>
  <c r="G258" i="8"/>
  <c r="A258" i="8"/>
  <c r="H257" i="8"/>
  <c r="G257" i="8"/>
  <c r="A257" i="8"/>
  <c r="H256" i="8"/>
  <c r="G256" i="8"/>
  <c r="A256" i="8"/>
  <c r="H255" i="8"/>
  <c r="G255" i="8"/>
  <c r="A255" i="8"/>
  <c r="H254" i="8"/>
  <c r="G254" i="8"/>
  <c r="A254" i="8"/>
  <c r="H253" i="8"/>
  <c r="G253" i="8"/>
  <c r="A253" i="8"/>
  <c r="H252" i="8"/>
  <c r="G252" i="8"/>
  <c r="A252" i="8"/>
  <c r="H251" i="8"/>
  <c r="G251" i="8"/>
  <c r="A251" i="8"/>
  <c r="H250" i="8"/>
  <c r="G250" i="8"/>
  <c r="A250" i="8"/>
  <c r="H249" i="8"/>
  <c r="G249" i="8"/>
  <c r="A249" i="8"/>
  <c r="H248" i="8"/>
  <c r="G248" i="8"/>
  <c r="A248" i="8"/>
  <c r="H247" i="8"/>
  <c r="G247" i="8"/>
  <c r="A247" i="8"/>
  <c r="H246" i="8"/>
  <c r="G246" i="8"/>
  <c r="A246" i="8"/>
  <c r="H245" i="8"/>
  <c r="G245" i="8"/>
  <c r="A245" i="8"/>
  <c r="H244" i="8"/>
  <c r="G244" i="8"/>
  <c r="A244" i="8"/>
  <c r="H243" i="8"/>
  <c r="G243" i="8"/>
  <c r="A243" i="8"/>
  <c r="H242" i="8"/>
  <c r="G242" i="8"/>
  <c r="A242" i="8"/>
  <c r="H241" i="8"/>
  <c r="G241" i="8"/>
  <c r="A241" i="8"/>
  <c r="H240" i="8"/>
  <c r="G240" i="8"/>
  <c r="A240" i="8"/>
  <c r="H239" i="8"/>
  <c r="G239" i="8"/>
  <c r="A239" i="8"/>
  <c r="H238" i="8"/>
  <c r="G238" i="8"/>
  <c r="A238" i="8"/>
  <c r="H237" i="8"/>
  <c r="G237" i="8"/>
  <c r="A237" i="8"/>
  <c r="H236" i="8"/>
  <c r="G236" i="8"/>
  <c r="A236" i="8"/>
  <c r="H235" i="8"/>
  <c r="G235" i="8"/>
  <c r="A235" i="8"/>
  <c r="H234" i="8"/>
  <c r="G234" i="8"/>
  <c r="A234" i="8"/>
  <c r="H233" i="8"/>
  <c r="G233" i="8"/>
  <c r="A233" i="8"/>
  <c r="H232" i="8"/>
  <c r="G232" i="8"/>
  <c r="A232" i="8"/>
  <c r="H231" i="8"/>
  <c r="G231" i="8"/>
  <c r="A231" i="8"/>
  <c r="H230" i="8"/>
  <c r="G230" i="8"/>
  <c r="A230" i="8"/>
  <c r="H229" i="8"/>
  <c r="G229" i="8"/>
  <c r="A229" i="8"/>
  <c r="H228" i="8"/>
  <c r="G228" i="8"/>
  <c r="A228" i="8"/>
  <c r="H227" i="8"/>
  <c r="G227" i="8"/>
  <c r="A227" i="8"/>
  <c r="H226" i="8"/>
  <c r="G226" i="8"/>
  <c r="A226" i="8"/>
  <c r="H225" i="8"/>
  <c r="G225" i="8"/>
  <c r="A225" i="8"/>
  <c r="H224" i="8"/>
  <c r="G224" i="8"/>
  <c r="A224" i="8"/>
  <c r="H223" i="8"/>
  <c r="G223" i="8"/>
  <c r="A223" i="8"/>
  <c r="H222" i="8"/>
  <c r="G222" i="8"/>
  <c r="A222" i="8"/>
  <c r="H221" i="8"/>
  <c r="G221" i="8"/>
  <c r="A221" i="8"/>
  <c r="H220" i="8"/>
  <c r="G220" i="8"/>
  <c r="A220" i="8"/>
  <c r="H219" i="8"/>
  <c r="G219" i="8"/>
  <c r="A219" i="8"/>
  <c r="H218" i="8"/>
  <c r="G218" i="8"/>
  <c r="A218" i="8"/>
  <c r="H217" i="8"/>
  <c r="G217" i="8"/>
  <c r="A217" i="8"/>
  <c r="H216" i="8"/>
  <c r="G216" i="8"/>
  <c r="A216" i="8"/>
  <c r="H215" i="8"/>
  <c r="G215" i="8"/>
  <c r="A215" i="8"/>
  <c r="H214" i="8"/>
  <c r="G214" i="8"/>
  <c r="A214" i="8"/>
  <c r="H213" i="8"/>
  <c r="G213" i="8"/>
  <c r="A213" i="8"/>
  <c r="H212" i="8"/>
  <c r="G212" i="8"/>
  <c r="A212" i="8"/>
  <c r="H211" i="8"/>
  <c r="G211" i="8"/>
  <c r="A211" i="8"/>
  <c r="H210" i="8"/>
  <c r="G210" i="8"/>
  <c r="A210" i="8"/>
  <c r="H209" i="8"/>
  <c r="G209" i="8"/>
  <c r="A209" i="8"/>
  <c r="H208" i="8"/>
  <c r="G208" i="8"/>
  <c r="A208" i="8"/>
  <c r="H207" i="8"/>
  <c r="G207" i="8"/>
  <c r="A207" i="8"/>
  <c r="H206" i="8"/>
  <c r="G206" i="8"/>
  <c r="A206" i="8"/>
  <c r="H205" i="8"/>
  <c r="G205" i="8"/>
  <c r="A205" i="8"/>
  <c r="H204" i="8"/>
  <c r="G204" i="8"/>
  <c r="A204" i="8"/>
  <c r="H203" i="8"/>
  <c r="G203" i="8"/>
  <c r="A203" i="8"/>
  <c r="H202" i="8"/>
  <c r="G202" i="8"/>
  <c r="A202" i="8"/>
  <c r="H201" i="8"/>
  <c r="G201" i="8"/>
  <c r="A201" i="8"/>
  <c r="H200" i="8"/>
  <c r="G200" i="8"/>
  <c r="A200" i="8"/>
  <c r="H199" i="8"/>
  <c r="G199" i="8"/>
  <c r="A199" i="8"/>
  <c r="H198" i="8"/>
  <c r="G198" i="8"/>
  <c r="A198" i="8"/>
  <c r="H197" i="8"/>
  <c r="G197" i="8"/>
  <c r="A197" i="8"/>
  <c r="H196" i="8"/>
  <c r="G196" i="8"/>
  <c r="A196" i="8"/>
  <c r="H195" i="8"/>
  <c r="G195" i="8"/>
  <c r="A195" i="8"/>
  <c r="H194" i="8"/>
  <c r="G194" i="8"/>
  <c r="A194" i="8"/>
  <c r="H193" i="8"/>
  <c r="G193" i="8"/>
  <c r="A193" i="8"/>
  <c r="H192" i="8"/>
  <c r="G192" i="8"/>
  <c r="A192" i="8"/>
  <c r="H191" i="8"/>
  <c r="G191" i="8"/>
  <c r="A191" i="8"/>
  <c r="H190" i="8"/>
  <c r="G190" i="8"/>
  <c r="A190" i="8"/>
  <c r="H189" i="8"/>
  <c r="G189" i="8"/>
  <c r="A189" i="8"/>
  <c r="H188" i="8"/>
  <c r="G188" i="8"/>
  <c r="A188" i="8"/>
  <c r="H187" i="8"/>
  <c r="G187" i="8"/>
  <c r="A187" i="8"/>
  <c r="H186" i="8"/>
  <c r="G186" i="8"/>
  <c r="A186" i="8"/>
  <c r="H185" i="8"/>
  <c r="G185" i="8"/>
  <c r="A185" i="8"/>
  <c r="H184" i="8"/>
  <c r="G184" i="8"/>
  <c r="A184" i="8"/>
  <c r="H183" i="8"/>
  <c r="G183" i="8"/>
  <c r="A183" i="8"/>
  <c r="H182" i="8"/>
  <c r="G182" i="8"/>
  <c r="A182" i="8"/>
  <c r="H181" i="8"/>
  <c r="G181" i="8"/>
  <c r="A181" i="8"/>
  <c r="H180" i="8"/>
  <c r="G180" i="8"/>
  <c r="A180" i="8"/>
  <c r="H179" i="8"/>
  <c r="G179" i="8"/>
  <c r="A179" i="8"/>
  <c r="H178" i="8"/>
  <c r="G178" i="8"/>
  <c r="A178" i="8"/>
  <c r="H177" i="8"/>
  <c r="G177" i="8"/>
  <c r="A177" i="8"/>
  <c r="H176" i="8"/>
  <c r="G176" i="8"/>
  <c r="A176" i="8"/>
  <c r="H175" i="8"/>
  <c r="G175" i="8"/>
  <c r="A175" i="8"/>
  <c r="H174" i="8"/>
  <c r="G174" i="8"/>
  <c r="A174" i="8"/>
  <c r="H173" i="8"/>
  <c r="G173" i="8"/>
  <c r="A173" i="8"/>
  <c r="H172" i="8"/>
  <c r="G172" i="8"/>
  <c r="A172" i="8"/>
  <c r="H171" i="8"/>
  <c r="G171" i="8"/>
  <c r="A171" i="8"/>
  <c r="H170" i="8"/>
  <c r="G170" i="8"/>
  <c r="A170" i="8"/>
  <c r="H169" i="8"/>
  <c r="G169" i="8"/>
  <c r="A169" i="8"/>
  <c r="H168" i="8"/>
  <c r="G168" i="8"/>
  <c r="A168" i="8"/>
  <c r="H167" i="8"/>
  <c r="G167" i="8"/>
  <c r="A167" i="8"/>
  <c r="H166" i="8"/>
  <c r="G166" i="8"/>
  <c r="A166" i="8"/>
  <c r="H165" i="8"/>
  <c r="G165" i="8"/>
  <c r="A165" i="8"/>
  <c r="H164" i="8"/>
  <c r="G164" i="8"/>
  <c r="A164" i="8"/>
  <c r="H163" i="8"/>
  <c r="G163" i="8"/>
  <c r="A163" i="8"/>
  <c r="H162" i="8"/>
  <c r="G162" i="8"/>
  <c r="A162" i="8"/>
  <c r="H161" i="8"/>
  <c r="G161" i="8"/>
  <c r="A161" i="8"/>
  <c r="H160" i="8"/>
  <c r="G160" i="8"/>
  <c r="A160" i="8"/>
  <c r="H159" i="8"/>
  <c r="G159" i="8"/>
  <c r="A159" i="8"/>
  <c r="H158" i="8"/>
  <c r="G158" i="8"/>
  <c r="A158" i="8"/>
  <c r="H157" i="8"/>
  <c r="G157" i="8"/>
  <c r="A157" i="8"/>
  <c r="H156" i="8"/>
  <c r="G156" i="8"/>
  <c r="A156" i="8"/>
  <c r="H155" i="8"/>
  <c r="G155" i="8"/>
  <c r="A155" i="8"/>
  <c r="H154" i="8"/>
  <c r="G154" i="8"/>
  <c r="A154" i="8"/>
  <c r="H153" i="8"/>
  <c r="G153" i="8"/>
  <c r="A153" i="8"/>
  <c r="H152" i="8"/>
  <c r="G152" i="8"/>
  <c r="A152" i="8"/>
  <c r="H151" i="8"/>
  <c r="G151" i="8"/>
  <c r="A151" i="8"/>
  <c r="H150" i="8"/>
  <c r="G150" i="8"/>
  <c r="A150" i="8"/>
  <c r="H149" i="8"/>
  <c r="G149" i="8"/>
  <c r="A149" i="8"/>
  <c r="H148" i="8"/>
  <c r="G148" i="8"/>
  <c r="A148" i="8"/>
  <c r="H147" i="8"/>
  <c r="G147" i="8"/>
  <c r="A147" i="8"/>
  <c r="H146" i="8"/>
  <c r="G146" i="8"/>
  <c r="A146" i="8"/>
  <c r="H145" i="8"/>
  <c r="G145" i="8"/>
  <c r="A145" i="8"/>
  <c r="H144" i="8"/>
  <c r="G144" i="8"/>
  <c r="A144" i="8"/>
  <c r="H143" i="8"/>
  <c r="G143" i="8"/>
  <c r="A143" i="8"/>
  <c r="H142" i="8"/>
  <c r="G142" i="8"/>
  <c r="A142" i="8"/>
  <c r="H141" i="8"/>
  <c r="G141" i="8"/>
  <c r="A141" i="8"/>
  <c r="H140" i="8"/>
  <c r="G140" i="8"/>
  <c r="A140" i="8"/>
  <c r="H139" i="8"/>
  <c r="G139" i="8"/>
  <c r="A139" i="8"/>
  <c r="H138" i="8"/>
  <c r="G138" i="8"/>
  <c r="A138" i="8"/>
  <c r="H137" i="8"/>
  <c r="G137" i="8"/>
  <c r="A137" i="8"/>
  <c r="H136" i="8"/>
  <c r="G136" i="8"/>
  <c r="A136" i="8"/>
  <c r="H135" i="8"/>
  <c r="G135" i="8"/>
  <c r="A135" i="8"/>
  <c r="H134" i="8"/>
  <c r="G134" i="8"/>
  <c r="A134" i="8"/>
  <c r="H133" i="8"/>
  <c r="G133" i="8"/>
  <c r="A133" i="8"/>
  <c r="H132" i="8"/>
  <c r="G132" i="8"/>
  <c r="A132" i="8"/>
  <c r="H131" i="8"/>
  <c r="G131" i="8"/>
  <c r="A131" i="8"/>
  <c r="H130" i="8"/>
  <c r="G130" i="8"/>
  <c r="A130" i="8"/>
  <c r="H129" i="8"/>
  <c r="G129" i="8"/>
  <c r="A129" i="8"/>
  <c r="H128" i="8"/>
  <c r="G128" i="8"/>
  <c r="A128" i="8"/>
  <c r="H127" i="8"/>
  <c r="G127" i="8"/>
  <c r="A127" i="8"/>
  <c r="H126" i="8"/>
  <c r="G126" i="8"/>
  <c r="A126" i="8"/>
  <c r="H125" i="8"/>
  <c r="G125" i="8"/>
  <c r="A125" i="8"/>
  <c r="H124" i="8"/>
  <c r="G124" i="8"/>
  <c r="A124" i="8"/>
  <c r="H123" i="8"/>
  <c r="G123" i="8"/>
  <c r="A123" i="8"/>
  <c r="H122" i="8"/>
  <c r="G122" i="8"/>
  <c r="A122" i="8"/>
  <c r="H121" i="8"/>
  <c r="G121" i="8"/>
  <c r="A121" i="8"/>
  <c r="H120" i="8"/>
  <c r="G120" i="8"/>
  <c r="A120" i="8"/>
  <c r="H119" i="8"/>
  <c r="G119" i="8"/>
  <c r="A119" i="8"/>
  <c r="H118" i="8"/>
  <c r="G118" i="8"/>
  <c r="A118" i="8"/>
  <c r="H117" i="8"/>
  <c r="G117" i="8"/>
  <c r="A117" i="8"/>
  <c r="H116" i="8"/>
  <c r="G116" i="8"/>
  <c r="A116" i="8"/>
  <c r="H115" i="8"/>
  <c r="G115" i="8"/>
  <c r="A115" i="8"/>
  <c r="H114" i="8"/>
  <c r="G114" i="8"/>
  <c r="A114" i="8"/>
  <c r="H113" i="8"/>
  <c r="G113" i="8"/>
  <c r="A113" i="8"/>
  <c r="H112" i="8"/>
  <c r="G112" i="8"/>
  <c r="A112" i="8"/>
  <c r="H111" i="8"/>
  <c r="G111" i="8"/>
  <c r="A111" i="8"/>
  <c r="H110" i="8"/>
  <c r="G110" i="8"/>
  <c r="A110" i="8"/>
  <c r="H109" i="8"/>
  <c r="G109" i="8"/>
  <c r="A109" i="8"/>
  <c r="H108" i="8"/>
  <c r="G108" i="8"/>
  <c r="A108" i="8"/>
  <c r="H107" i="8"/>
  <c r="G107" i="8"/>
  <c r="A107" i="8"/>
  <c r="H106" i="8"/>
  <c r="G106" i="8"/>
  <c r="A106" i="8"/>
  <c r="H105" i="8"/>
  <c r="G105" i="8"/>
  <c r="A105" i="8"/>
  <c r="H104" i="8"/>
  <c r="G104" i="8"/>
  <c r="A104" i="8"/>
  <c r="H103" i="8"/>
  <c r="G103" i="8"/>
  <c r="A103" i="8"/>
  <c r="H102" i="8"/>
  <c r="G102" i="8"/>
  <c r="A102" i="8"/>
  <c r="H101" i="8"/>
  <c r="G101" i="8"/>
  <c r="A101" i="8"/>
  <c r="H100" i="8"/>
  <c r="G100" i="8"/>
  <c r="A100" i="8"/>
  <c r="H99" i="8"/>
  <c r="G99" i="8"/>
  <c r="A99" i="8"/>
  <c r="H98" i="8"/>
  <c r="G98" i="8"/>
  <c r="A98" i="8"/>
  <c r="H97" i="8"/>
  <c r="G97" i="8"/>
  <c r="A97" i="8"/>
  <c r="H96" i="8"/>
  <c r="G96" i="8"/>
  <c r="A96" i="8"/>
  <c r="H95" i="8"/>
  <c r="G95" i="8"/>
  <c r="A95" i="8"/>
  <c r="H94" i="8"/>
  <c r="G94" i="8"/>
  <c r="A94" i="8"/>
  <c r="H93" i="8"/>
  <c r="G93" i="8"/>
  <c r="A93" i="8"/>
  <c r="H92" i="8"/>
  <c r="G92" i="8"/>
  <c r="A92" i="8"/>
  <c r="H91" i="8"/>
  <c r="G91" i="8"/>
  <c r="A91" i="8"/>
  <c r="H90" i="8"/>
  <c r="G90" i="8"/>
  <c r="A90" i="8"/>
  <c r="H89" i="8"/>
  <c r="G89" i="8"/>
  <c r="A89" i="8"/>
  <c r="H88" i="8"/>
  <c r="G88" i="8"/>
  <c r="A88" i="8"/>
  <c r="H87" i="8"/>
  <c r="G87" i="8"/>
  <c r="A87" i="8"/>
  <c r="H86" i="8"/>
  <c r="G86" i="8"/>
  <c r="A86" i="8"/>
  <c r="H85" i="8"/>
  <c r="G85" i="8"/>
  <c r="A85" i="8"/>
  <c r="H84" i="8"/>
  <c r="G84" i="8"/>
  <c r="A84" i="8"/>
  <c r="H83" i="8"/>
  <c r="G83" i="8"/>
  <c r="A83" i="8"/>
  <c r="K82" i="8"/>
  <c r="H82" i="8"/>
  <c r="G82" i="8"/>
  <c r="A82" i="8"/>
  <c r="K81" i="8"/>
  <c r="H81" i="8"/>
  <c r="G81" i="8"/>
  <c r="A81" i="8"/>
  <c r="H80" i="8"/>
  <c r="G80" i="8"/>
  <c r="A80" i="8"/>
  <c r="K79" i="8"/>
  <c r="H79" i="8"/>
  <c r="G79" i="8"/>
  <c r="A79" i="8"/>
  <c r="K78" i="8"/>
  <c r="H78" i="8"/>
  <c r="G78" i="8"/>
  <c r="A78" i="8"/>
  <c r="K77" i="8"/>
  <c r="H77" i="8"/>
  <c r="G77" i="8"/>
  <c r="A77" i="8"/>
  <c r="H76" i="8"/>
  <c r="G76" i="8"/>
  <c r="A76" i="8"/>
  <c r="K75" i="8"/>
  <c r="H75" i="8"/>
  <c r="G75" i="8"/>
  <c r="A75" i="8"/>
  <c r="K74" i="8"/>
  <c r="H74" i="8"/>
  <c r="G74" i="8"/>
  <c r="A74" i="8"/>
  <c r="K73" i="8"/>
  <c r="H73" i="8"/>
  <c r="G73" i="8"/>
  <c r="A73" i="8"/>
  <c r="H72" i="8"/>
  <c r="G72" i="8"/>
  <c r="A72" i="8"/>
  <c r="H71" i="8"/>
  <c r="G71" i="8"/>
  <c r="A71" i="8"/>
  <c r="H70" i="8"/>
  <c r="G70" i="8"/>
  <c r="A70" i="8"/>
  <c r="H69" i="8"/>
  <c r="G69" i="8"/>
  <c r="A69" i="8"/>
  <c r="H68" i="8"/>
  <c r="G68" i="8"/>
  <c r="A68" i="8"/>
  <c r="H67" i="8"/>
  <c r="G67" i="8"/>
  <c r="A67" i="8"/>
  <c r="K66" i="8"/>
  <c r="H66" i="8"/>
  <c r="G66" i="8"/>
  <c r="A66" i="8"/>
  <c r="H65" i="8"/>
  <c r="G65" i="8"/>
  <c r="A65" i="8"/>
  <c r="H64" i="8"/>
  <c r="G64" i="8"/>
  <c r="A64" i="8"/>
  <c r="H63" i="8"/>
  <c r="G63" i="8"/>
  <c r="A63" i="8"/>
  <c r="K62" i="8"/>
  <c r="H62" i="8"/>
  <c r="G62" i="8"/>
  <c r="A62" i="8"/>
  <c r="H61" i="8"/>
  <c r="G61" i="8"/>
  <c r="A61" i="8"/>
  <c r="H60" i="8"/>
  <c r="G60" i="8"/>
  <c r="A60" i="8"/>
  <c r="H59" i="8"/>
  <c r="G59" i="8"/>
  <c r="A59" i="8"/>
  <c r="K58" i="8"/>
  <c r="H58" i="8"/>
  <c r="G58" i="8"/>
  <c r="A58" i="8"/>
  <c r="K57" i="8"/>
  <c r="H57" i="8"/>
  <c r="G57" i="8"/>
  <c r="A57" i="8"/>
  <c r="H56" i="8"/>
  <c r="G56" i="8"/>
  <c r="A56" i="8"/>
  <c r="H55" i="8"/>
  <c r="G55" i="8"/>
  <c r="A55" i="8"/>
  <c r="H54" i="8"/>
  <c r="G54" i="8"/>
  <c r="A54" i="8"/>
  <c r="H53" i="8"/>
  <c r="G53" i="8"/>
  <c r="A53" i="8"/>
  <c r="H52" i="8"/>
  <c r="G52" i="8"/>
  <c r="A52" i="8"/>
  <c r="H51" i="8"/>
  <c r="G51" i="8"/>
  <c r="A51" i="8"/>
  <c r="K50" i="8"/>
  <c r="H50" i="8"/>
  <c r="G50" i="8"/>
  <c r="A50" i="8"/>
  <c r="K49" i="8"/>
  <c r="H49" i="8"/>
  <c r="G49" i="8"/>
  <c r="A49" i="8"/>
  <c r="H48" i="8"/>
  <c r="G48" i="8"/>
  <c r="A48" i="8"/>
  <c r="H47" i="8"/>
  <c r="G47" i="8"/>
  <c r="A47" i="8"/>
  <c r="K46" i="8"/>
  <c r="H46" i="8"/>
  <c r="G46" i="8"/>
  <c r="A46" i="8"/>
  <c r="K45" i="8"/>
  <c r="H45" i="8"/>
  <c r="G45" i="8"/>
  <c r="A45" i="8"/>
  <c r="K44" i="8"/>
  <c r="H44" i="8"/>
  <c r="G44" i="8"/>
  <c r="A44" i="8"/>
  <c r="H43" i="8"/>
  <c r="G43" i="8"/>
  <c r="A43" i="8"/>
  <c r="K42" i="8"/>
  <c r="H42" i="8"/>
  <c r="G42" i="8"/>
  <c r="A42" i="8"/>
  <c r="K41" i="8"/>
  <c r="H41" i="8"/>
  <c r="G41" i="8"/>
  <c r="A41" i="8"/>
  <c r="H40" i="8"/>
  <c r="G40" i="8"/>
  <c r="A40" i="8"/>
  <c r="H39" i="8"/>
  <c r="G39" i="8"/>
  <c r="A39" i="8"/>
  <c r="H38" i="8"/>
  <c r="G38" i="8"/>
  <c r="A38" i="8"/>
  <c r="K37" i="8"/>
  <c r="H37" i="8"/>
  <c r="G37" i="8"/>
  <c r="A37" i="8"/>
  <c r="K36" i="8"/>
  <c r="H36" i="8"/>
  <c r="G36" i="8"/>
  <c r="A36" i="8"/>
  <c r="H35" i="8"/>
  <c r="G35" i="8"/>
  <c r="A35" i="8"/>
  <c r="K34" i="8"/>
  <c r="H34" i="8"/>
  <c r="G34" i="8"/>
  <c r="A34" i="8"/>
  <c r="K33" i="8"/>
  <c r="H33" i="8"/>
  <c r="G33" i="8"/>
  <c r="A33" i="8"/>
  <c r="H32" i="8"/>
  <c r="G32" i="8"/>
  <c r="A32" i="8"/>
  <c r="K31" i="8"/>
  <c r="H31" i="8"/>
  <c r="G31" i="8"/>
  <c r="A31" i="8"/>
  <c r="H30" i="8"/>
  <c r="G30" i="8"/>
  <c r="A30" i="8"/>
  <c r="K29" i="8"/>
  <c r="H29" i="8"/>
  <c r="G29" i="8"/>
  <c r="A29" i="8"/>
  <c r="K28" i="8"/>
  <c r="H28" i="8"/>
  <c r="G28" i="8"/>
  <c r="A28" i="8"/>
  <c r="K27" i="8"/>
  <c r="H27" i="8"/>
  <c r="G27" i="8"/>
  <c r="A27" i="8"/>
  <c r="K26" i="8"/>
  <c r="H26" i="8"/>
  <c r="G26" i="8"/>
  <c r="A26" i="8"/>
  <c r="K25" i="8"/>
  <c r="H25" i="8"/>
  <c r="G25" i="8"/>
  <c r="A25" i="8"/>
  <c r="K24" i="8"/>
  <c r="H24" i="8"/>
  <c r="G24" i="8"/>
  <c r="A24" i="8"/>
  <c r="K23" i="8"/>
  <c r="H23" i="8"/>
  <c r="G23" i="8"/>
  <c r="A23" i="8"/>
  <c r="H22" i="8"/>
  <c r="G22" i="8"/>
  <c r="A22" i="8"/>
  <c r="K21" i="8"/>
  <c r="H21" i="8"/>
  <c r="G21" i="8"/>
  <c r="A21" i="8"/>
  <c r="K20" i="8"/>
  <c r="H20" i="8"/>
  <c r="G20" i="8"/>
  <c r="A20" i="8"/>
  <c r="K19" i="8"/>
  <c r="H19" i="8"/>
  <c r="G19" i="8"/>
  <c r="A19" i="8"/>
  <c r="K18" i="8"/>
  <c r="H18" i="8"/>
  <c r="G18" i="8"/>
  <c r="A18" i="8"/>
  <c r="K17" i="8"/>
  <c r="H17" i="8"/>
  <c r="G17" i="8"/>
  <c r="A17" i="8"/>
  <c r="H16" i="8"/>
  <c r="G16" i="8"/>
  <c r="A16" i="8"/>
  <c r="K15" i="8"/>
  <c r="H15" i="8"/>
  <c r="G15" i="8"/>
  <c r="A15" i="8"/>
  <c r="K14" i="8"/>
  <c r="H14" i="8"/>
  <c r="G14" i="8"/>
  <c r="A14" i="8"/>
  <c r="H13" i="8"/>
  <c r="G13" i="8"/>
  <c r="A13" i="8"/>
  <c r="H12" i="8"/>
  <c r="G12" i="8"/>
  <c r="A12" i="8"/>
  <c r="H11" i="8"/>
  <c r="G11" i="8"/>
  <c r="A11" i="8"/>
  <c r="K10" i="8"/>
  <c r="H10" i="8"/>
  <c r="G10" i="8"/>
  <c r="A10" i="8"/>
  <c r="K9" i="8"/>
  <c r="H9" i="8"/>
  <c r="G9" i="8"/>
  <c r="A9" i="8"/>
  <c r="I8" i="8"/>
  <c r="K8" i="8" s="1"/>
  <c r="H8" i="8"/>
  <c r="G8" i="8"/>
  <c r="A8" i="8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H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H5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2" i="3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H5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2" i="7"/>
  <c r="AH43" i="6"/>
  <c r="AH42" i="6"/>
  <c r="AH41" i="6"/>
  <c r="AH40" i="6"/>
  <c r="AH39" i="6"/>
  <c r="AH38" i="6"/>
  <c r="AH37" i="6"/>
  <c r="AH36" i="6"/>
  <c r="AH35" i="6"/>
  <c r="AH34" i="6"/>
  <c r="AH33" i="6"/>
  <c r="AH32" i="6"/>
  <c r="AH31" i="6"/>
  <c r="AH30" i="6"/>
  <c r="AH29" i="6"/>
  <c r="AH28" i="6"/>
  <c r="AH27" i="6"/>
  <c r="AH26" i="6"/>
  <c r="AH25" i="6"/>
  <c r="AH24" i="6"/>
  <c r="AH23" i="6"/>
  <c r="AH22" i="6"/>
  <c r="AH21" i="6"/>
  <c r="AH20" i="6"/>
  <c r="AH19" i="6"/>
  <c r="AH18" i="6"/>
  <c r="AH17" i="6"/>
  <c r="AH16" i="6"/>
  <c r="AH15" i="6"/>
  <c r="AH14" i="6"/>
  <c r="AH13" i="6"/>
  <c r="AH12" i="6"/>
  <c r="AH11" i="6"/>
  <c r="AH10" i="6"/>
  <c r="AH9" i="6"/>
  <c r="AH8" i="6"/>
  <c r="AH7" i="6"/>
  <c r="AH6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H5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2" i="6"/>
  <c r="AH43" i="5"/>
  <c r="AH42" i="5"/>
  <c r="AH41" i="5"/>
  <c r="AH40" i="5"/>
  <c r="AH39" i="5"/>
  <c r="AH38" i="5"/>
  <c r="AH37" i="5"/>
  <c r="AH36" i="5"/>
  <c r="AH35" i="5"/>
  <c r="AH34" i="5"/>
  <c r="AH33" i="5"/>
  <c r="AH32" i="5"/>
  <c r="AH31" i="5"/>
  <c r="AH30" i="5"/>
  <c r="AH29" i="5"/>
  <c r="AH28" i="5"/>
  <c r="AH27" i="5"/>
  <c r="AH26" i="5"/>
  <c r="AH25" i="5"/>
  <c r="AH24" i="5"/>
  <c r="AH23" i="5"/>
  <c r="AH22" i="5"/>
  <c r="AH21" i="5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AH7" i="5"/>
  <c r="AH6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H5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2" i="5"/>
  <c r="A28" i="4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J48" i="8" l="1"/>
  <c r="J41" i="8"/>
  <c r="J81" i="8"/>
  <c r="J53" i="8"/>
  <c r="J24" i="8"/>
  <c r="J58" i="8"/>
  <c r="J85" i="8"/>
  <c r="J8" i="8"/>
  <c r="J77" i="8"/>
  <c r="J31" i="8"/>
  <c r="J21" i="8"/>
  <c r="J34" i="8"/>
  <c r="J56" i="8"/>
  <c r="J35" i="8"/>
  <c r="J15" i="8"/>
  <c r="J66" i="8"/>
  <c r="J75" i="8"/>
  <c r="J84" i="8"/>
  <c r="J33" i="8"/>
  <c r="J50" i="8"/>
  <c r="J13" i="8"/>
  <c r="J42" i="8"/>
  <c r="J51" i="8"/>
  <c r="J39" i="8"/>
  <c r="J36" i="8"/>
  <c r="J79" i="8"/>
  <c r="J71" i="8"/>
  <c r="J62" i="8"/>
  <c r="J28" i="8"/>
  <c r="J49" i="8"/>
  <c r="J45" i="8"/>
  <c r="J80" i="8"/>
  <c r="J17" i="8"/>
  <c r="J37" i="8"/>
  <c r="J59" i="8"/>
  <c r="J27" i="8"/>
  <c r="J19" i="8"/>
  <c r="J26" i="8"/>
  <c r="J73" i="8"/>
  <c r="J86" i="8"/>
  <c r="J43" i="8"/>
  <c r="J69" i="8"/>
  <c r="J10" i="8"/>
  <c r="J60" i="8"/>
  <c r="J82" i="8"/>
  <c r="J74" i="8"/>
  <c r="J64" i="8"/>
  <c r="J72" i="8"/>
  <c r="J76" i="8"/>
  <c r="J57" i="8"/>
  <c r="J38" i="8"/>
  <c r="J61" i="8"/>
  <c r="J12" i="8"/>
  <c r="J16" i="8"/>
  <c r="J70" i="8"/>
  <c r="J78" i="8"/>
  <c r="J20" i="8"/>
  <c r="J46" i="8"/>
  <c r="J54" i="8"/>
  <c r="J9" i="8"/>
  <c r="J32" i="8"/>
  <c r="J40" i="8"/>
  <c r="J18" i="8"/>
  <c r="J29" i="8"/>
  <c r="J44" i="8"/>
  <c r="J23" i="8"/>
  <c r="J25" i="8"/>
  <c r="J14" i="8"/>
  <c r="J68" i="8"/>
  <c r="I3" i="4"/>
  <c r="AH34" i="4"/>
  <c r="AH35" i="4"/>
  <c r="AH36" i="4"/>
  <c r="AH37" i="4"/>
  <c r="AH38" i="4"/>
  <c r="AH39" i="4"/>
  <c r="AH40" i="4"/>
  <c r="AH41" i="4"/>
  <c r="AH42" i="4"/>
  <c r="AH43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H5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H3" i="4"/>
  <c r="G3" i="4"/>
  <c r="F3" i="4"/>
  <c r="E3" i="4"/>
  <c r="D3" i="4"/>
  <c r="C3" i="4"/>
  <c r="B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tc={347ED60C-3BF3-4C70-8639-CD1C4DB86B05}</author>
    <author>tc={8EB28CD5-18C3-481A-A167-A4201D764B09}</author>
    <author>tc={8A24DB30-B2AF-4189-BA8D-E427E8564041}</author>
  </authors>
  <commentList>
    <comment ref="B6" authorId="0" shapeId="0" xr:uid="{347ED60C-3BF3-4C70-8639-CD1C4DB86B05}">
      <text>
        <r>
          <rPr>
            <sz val="11"/>
            <color theme="1"/>
            <rFont val="Arial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6 5 ..
</t>
        </r>
      </text>
    </comment>
    <comment ref="B22" authorId="1" shapeId="0" xr:uid="{8EB28CD5-18C3-481A-A167-A4201D764B09}">
      <text>
        <r>
          <rPr>
            <sz val="11"/>
            <color theme="1"/>
            <rFont val="Arial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7 ...
</t>
        </r>
      </text>
    </comment>
    <comment ref="B38" authorId="2" shapeId="0" xr:uid="{8A24DB30-B2AF-4189-BA8D-E427E8564041}">
      <text>
        <r>
          <rPr>
            <sz val="11"/>
            <color theme="1"/>
            <rFont val="Arial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6       25        0</t>
        </r>
      </text>
    </comment>
  </commentList>
</comments>
</file>

<file path=xl/sharedStrings.xml><?xml version="1.0" encoding="utf-8"?>
<sst xmlns="http://schemas.openxmlformats.org/spreadsheetml/2006/main" count="1219" uniqueCount="187">
  <si>
    <t xml:space="preserve">غياب </t>
  </si>
  <si>
    <t>سلف</t>
  </si>
  <si>
    <t xml:space="preserve">كشف مرتبات </t>
  </si>
  <si>
    <t>م</t>
  </si>
  <si>
    <t>الاســـــــــــــــــم</t>
  </si>
  <si>
    <t>صافي الاجر</t>
  </si>
  <si>
    <t>الاساسي</t>
  </si>
  <si>
    <t>اجر اليوم</t>
  </si>
  <si>
    <t>حوافز</t>
  </si>
  <si>
    <t>اجمالى تأمينات</t>
  </si>
  <si>
    <t>تأمينات اجتماعية حصة العامل</t>
  </si>
  <si>
    <t xml:space="preserve">تأخير </t>
  </si>
  <si>
    <t xml:space="preserve">جزاءات </t>
  </si>
  <si>
    <t>يخصم شهرى</t>
  </si>
  <si>
    <t>مديونية سابقة تخصم شهرياً</t>
  </si>
  <si>
    <t>غياب عقوبة</t>
  </si>
  <si>
    <t>غياب بإذن</t>
  </si>
  <si>
    <t>غياب بدون إذن</t>
  </si>
  <si>
    <t>اذونات بالساعة</t>
  </si>
  <si>
    <t>رصيد الاجازات</t>
  </si>
  <si>
    <t xml:space="preserve">        ملاحظات</t>
  </si>
  <si>
    <t>تامينات</t>
  </si>
  <si>
    <t>رصيد الاجازات المرحل</t>
  </si>
  <si>
    <t>قيمة غياب عقوبة</t>
  </si>
  <si>
    <t>الغياب المخصوم</t>
  </si>
  <si>
    <t>عدم غياب</t>
  </si>
  <si>
    <t>قيمة الغياب</t>
  </si>
  <si>
    <t>اساسى</t>
  </si>
  <si>
    <t>00:00</t>
  </si>
  <si>
    <t>بهاء انور</t>
  </si>
  <si>
    <t xml:space="preserve"> يخصم 500ج من4700 مشتريات</t>
  </si>
  <si>
    <t>محمود غباشى</t>
  </si>
  <si>
    <t>عماد عبدالله</t>
  </si>
  <si>
    <t>على ابو النبايل</t>
  </si>
  <si>
    <t>السيد محمود</t>
  </si>
  <si>
    <t>محمد اشرف</t>
  </si>
  <si>
    <t>سلفة تخصم  1000ج شهرى ( مشتريات 9512 ومحمود مجدى 830ج</t>
  </si>
  <si>
    <t>محمد سعيد</t>
  </si>
  <si>
    <t>عاطف الطويل</t>
  </si>
  <si>
    <t>محمد فوده</t>
  </si>
  <si>
    <t>عماد فتحى</t>
  </si>
  <si>
    <t>05:00</t>
  </si>
  <si>
    <t>ابراهيم بكر</t>
  </si>
  <si>
    <t>ابراهيم محمد</t>
  </si>
  <si>
    <t>شريف سعد</t>
  </si>
  <si>
    <t>ابراهيم ابو ليله</t>
  </si>
  <si>
    <t>رمضان السباعى</t>
  </si>
  <si>
    <t>ابراهيم صابر</t>
  </si>
  <si>
    <t xml:space="preserve">باقى مشتريات 2000ج  يخصم 500ج  </t>
  </si>
  <si>
    <t>صابر سواق جامبو</t>
  </si>
  <si>
    <t xml:space="preserve"> سلفة 7000 يخصم الف  .</t>
  </si>
  <si>
    <t>حسين صابر</t>
  </si>
  <si>
    <t>احمد حلمى سيراميك</t>
  </si>
  <si>
    <t>محمد شوقى</t>
  </si>
  <si>
    <t>صادق سيراميك</t>
  </si>
  <si>
    <t>سلفة 2000 تخصم فى 7 و8</t>
  </si>
  <si>
    <t>رجب زيادة سيراميك</t>
  </si>
  <si>
    <t>سلفة 1000 يخصم 500ج</t>
  </si>
  <si>
    <t>ثابت سيراميك</t>
  </si>
  <si>
    <t>جابر سيراميك</t>
  </si>
  <si>
    <t>عماد دياب</t>
  </si>
  <si>
    <t>احمد دياب - غفير</t>
  </si>
  <si>
    <t>حسن - غفير</t>
  </si>
  <si>
    <t>اشرف سيد - غفير</t>
  </si>
  <si>
    <t>عبد الخالق</t>
  </si>
  <si>
    <t>محمد مصطفى</t>
  </si>
  <si>
    <t>خالد شوقى بكر</t>
  </si>
  <si>
    <t>هادى ماهر</t>
  </si>
  <si>
    <t xml:space="preserve">اسلام احمد </t>
  </si>
  <si>
    <t>مصطفى المحراث</t>
  </si>
  <si>
    <t>محمد سرور</t>
  </si>
  <si>
    <t>يخصم 500ج من مشتريات 6580</t>
  </si>
  <si>
    <t>محمد السيد إبراهيم</t>
  </si>
  <si>
    <t xml:space="preserve">عمر النجار </t>
  </si>
  <si>
    <t>ايمن سعيد</t>
  </si>
  <si>
    <t xml:space="preserve">محمد سعداوى </t>
  </si>
  <si>
    <t>مصطفى النبوى</t>
  </si>
  <si>
    <t xml:space="preserve"> خصم 500ج من سلفة 2500) </t>
  </si>
  <si>
    <t>غ</t>
  </si>
  <si>
    <t>#</t>
  </si>
  <si>
    <t>الاسم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</si>
  <si>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</si>
  <si>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</si>
  <si>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</si>
  <si>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</si>
  <si>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</si>
  <si>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</si>
  <si>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</si>
  <si>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</si>
  <si>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</si>
  <si>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</si>
  <si>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</si>
  <si>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</si>
  <si>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</si>
  <si>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</si>
  <si>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</si>
  <si>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</si>
  <si>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</si>
  <si>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</si>
  <si>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</si>
  <si>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</si>
  <si>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</si>
  <si>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</si>
  <si>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</si>
  <si>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</si>
  <si>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</si>
  <si>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</si>
  <si>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</si>
  <si>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</si>
  <si>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</si>
  <si>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</si>
  <si>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</si>
  <si>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ح</t>
  </si>
  <si>
    <t>حاضر</t>
  </si>
  <si>
    <t>اجازة مرضية</t>
  </si>
  <si>
    <t>ز</t>
  </si>
  <si>
    <t>اجازة اسبوعية</t>
  </si>
  <si>
    <t>غائب</t>
  </si>
  <si>
    <t>ج</t>
  </si>
  <si>
    <t>اجازة سنوية</t>
  </si>
  <si>
    <t xml:space="preserve"> الغياب بإذن</t>
  </si>
  <si>
    <t>حضور</t>
  </si>
  <si>
    <t>مجـ . الغياب</t>
  </si>
  <si>
    <t xml:space="preserve">رجب زيادة </t>
  </si>
  <si>
    <t xml:space="preserve">احمد حلمى </t>
  </si>
  <si>
    <t>صابرالعربى</t>
  </si>
  <si>
    <t xml:space="preserve">ثابت </t>
  </si>
  <si>
    <t xml:space="preserve">صادق </t>
  </si>
  <si>
    <t>من</t>
  </si>
  <si>
    <t>إلى</t>
  </si>
  <si>
    <t>الغياب</t>
  </si>
  <si>
    <t>بدأ الدوام الساعة:</t>
  </si>
  <si>
    <t>نهاية الدوام:</t>
  </si>
  <si>
    <t xml:space="preserve">حضور </t>
  </si>
  <si>
    <t>خصم 10 -30-50-غياب</t>
  </si>
  <si>
    <t>غ بدون</t>
  </si>
  <si>
    <t>غياب بدون</t>
  </si>
  <si>
    <t>أجر الساعة:</t>
  </si>
  <si>
    <t>مدة السماح:</t>
  </si>
  <si>
    <t>غياب</t>
  </si>
  <si>
    <t>ر ا</t>
  </si>
  <si>
    <t>راحة اسبوعية</t>
  </si>
  <si>
    <t>مضاعف الإضافي:</t>
  </si>
  <si>
    <t>له( 0) وخصم (0) بحد 3 ايام فى الاسبوع</t>
  </si>
  <si>
    <t>ا ر</t>
  </si>
  <si>
    <t>اجازة رسمية</t>
  </si>
  <si>
    <t>له 5 ج</t>
  </si>
  <si>
    <t>عبدالخالق/الاحد</t>
  </si>
  <si>
    <t>احمد دياب/الاثنين</t>
  </si>
  <si>
    <t>اشرف/الثلاثاء</t>
  </si>
  <si>
    <t>حسن -الاربعاء</t>
  </si>
  <si>
    <t>اليوم</t>
  </si>
  <si>
    <t>التاريخ</t>
  </si>
  <si>
    <t>كود</t>
  </si>
  <si>
    <t>ساعة الحضور</t>
  </si>
  <si>
    <t>ساعة الانصراف</t>
  </si>
  <si>
    <t>تأخر عن العمل</t>
  </si>
  <si>
    <t>مغادرة مبكرة</t>
  </si>
  <si>
    <t>ساعات اضافية</t>
  </si>
  <si>
    <t>خصم التأخير</t>
  </si>
  <si>
    <t>بدل اضافي</t>
  </si>
  <si>
    <t>Abu omar</t>
  </si>
  <si>
    <t>ABU YARA</t>
  </si>
  <si>
    <t>A-DIAB</t>
  </si>
  <si>
    <t>Abd Elkhalek</t>
  </si>
  <si>
    <t>ALI</t>
  </si>
  <si>
    <t>ASHRAF.SAID</t>
  </si>
  <si>
    <t>ATTF</t>
  </si>
  <si>
    <t>BAHAA</t>
  </si>
  <si>
    <t>emad</t>
  </si>
  <si>
    <t>Emad ali</t>
  </si>
  <si>
    <t>HASN</t>
  </si>
  <si>
    <t>HESEN</t>
  </si>
  <si>
    <t>IB- AU LELA</t>
  </si>
  <si>
    <t>IB- BAKR</t>
  </si>
  <si>
    <t>IB- SABER</t>
  </si>
  <si>
    <t>IB-Mohamed</t>
  </si>
  <si>
    <t>M. ASHRAF</t>
  </si>
  <si>
    <t>M. GHOBASHY</t>
  </si>
  <si>
    <t>M. SAID</t>
  </si>
  <si>
    <t>sherif sad</t>
  </si>
  <si>
    <t>RAMADAN SEB.</t>
  </si>
  <si>
    <t>SABER</t>
  </si>
  <si>
    <t>moh. fouda</t>
  </si>
  <si>
    <t>Name</t>
  </si>
  <si>
    <t>Date/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</si>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</sst>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\ &quot;ج.م.‏&quot;_-;\-* #,##0\ &quot;ج.م.‏&quot;_-;_-* &quot;-&quot;\ &quot;ج.م.‏&quot;_-;_-@_-"/>
    <numFmt numFmtId="165" formatCode="mmmm\-yyyy"/>
    <numFmt numFmtId="166" formatCode="mmmm\ yyyy"/>
    <numFmt numFmtId="167" formatCode="_(* #,##0.00_);_(* \(#,##0.00\);_(* &quot;-&quot;??_);_(@_)"/>
    <numFmt numFmtId="168" formatCode="ddd"/>
    <numFmt numFmtId="169" formatCode="hh:mm:ss\ AM/PM"/>
    <numFmt numFmtId="170" formatCode="m/d/yyyy"/>
    <numFmt numFmtId="171" formatCode="h:mm:ss\ AM/PM"/>
  </numFmts>
  <fonts count="6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name val="Arial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6"/>
      <name val="Arial"/>
      <family val="2"/>
    </font>
    <font>
      <sz val="12"/>
      <color theme="1"/>
      <name val="Arial"/>
      <family val="2"/>
      <scheme val="minor"/>
    </font>
    <font>
      <sz val="10"/>
      <color indexed="8"/>
      <name val="Arial"/>
      <family val="2"/>
    </font>
    <font>
      <b/>
      <sz val="20"/>
      <color theme="1"/>
      <name val="Arial"/>
      <family val="2"/>
      <scheme val="minor"/>
    </font>
    <font>
      <b/>
      <sz val="16"/>
      <color theme="1"/>
      <name val="Yaser- meem"/>
      <charset val="178"/>
    </font>
    <font>
      <b/>
      <sz val="11"/>
      <color rgb="FF7030A0"/>
      <name val="Arial"/>
      <family val="2"/>
      <scheme val="minor"/>
    </font>
    <font>
      <sz val="10"/>
      <color rgb="FFFFCCFF"/>
      <name val="Arial"/>
      <family val="2"/>
      <scheme val="minor"/>
    </font>
    <font>
      <sz val="10"/>
      <color indexed="8"/>
      <name val="Arial"/>
      <family val="2"/>
    </font>
    <font>
      <sz val="24"/>
      <name val="Arial"/>
      <family val="2"/>
      <scheme val="minor"/>
    </font>
    <font>
      <sz val="14"/>
      <name val="Traditional Arabic"/>
      <family val="1"/>
    </font>
    <font>
      <sz val="18"/>
      <name val="Arial"/>
      <family val="2"/>
      <scheme val="minor"/>
    </font>
    <font>
      <sz val="10"/>
      <name val="Comic Sans MS"/>
      <family val="4"/>
    </font>
    <font>
      <sz val="11"/>
      <name val="Arial"/>
      <family val="2"/>
    </font>
    <font>
      <sz val="14"/>
      <name val="Arial"/>
      <family val="2"/>
      <scheme val="minor"/>
    </font>
    <font>
      <sz val="16"/>
      <name val="Arial"/>
      <family val="2"/>
      <scheme val="minor"/>
    </font>
    <font>
      <sz val="9"/>
      <color indexed="8"/>
      <name val="Comic Sans MS"/>
      <family val="4"/>
    </font>
    <font>
      <sz val="11"/>
      <name val="Arial"/>
      <family val="2"/>
      <scheme val="minor"/>
    </font>
    <font>
      <sz val="13"/>
      <name val="Traditional Arabic"/>
      <family val="1"/>
    </font>
    <font>
      <sz val="13"/>
      <color theme="1"/>
      <name val="Arial"/>
      <family val="2"/>
      <scheme val="minor"/>
    </font>
    <font>
      <sz val="16"/>
      <name val="Times New Roman"/>
      <family val="1"/>
      <scheme val="major"/>
    </font>
    <font>
      <b/>
      <sz val="11"/>
      <color rgb="FFFF0000"/>
      <name val="Arial"/>
      <family val="2"/>
    </font>
    <font>
      <b/>
      <sz val="11"/>
      <name val="Comic Sans MS"/>
      <family val="4"/>
    </font>
    <font>
      <sz val="12"/>
      <name val="Arial"/>
      <family val="2"/>
    </font>
    <font>
      <b/>
      <sz val="14"/>
      <color theme="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7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theme="7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25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4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5" fillId="0" borderId="0"/>
    <xf numFmtId="0" fontId="35" fillId="0" borderId="0"/>
  </cellStyleXfs>
  <cellXfs count="208">
    <xf numFmtId="0" fontId="0" fillId="0" borderId="0" xfId="0"/>
    <xf numFmtId="0" fontId="24" fillId="33" borderId="15" xfId="0" applyFont="1" applyFill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0" fillId="38" borderId="0" xfId="0" applyFill="1"/>
    <xf numFmtId="0" fontId="26" fillId="38" borderId="0" xfId="0" applyFont="1" applyFill="1" applyAlignment="1">
      <alignment horizontal="center"/>
    </xf>
    <xf numFmtId="3" fontId="24" fillId="33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20" fillId="0" borderId="17" xfId="0" applyNumberFormat="1" applyFont="1" applyBorder="1"/>
    <xf numFmtId="0" fontId="32" fillId="0" borderId="17" xfId="0" applyFont="1" applyBorder="1" applyAlignment="1">
      <alignment horizontal="center"/>
    </xf>
    <xf numFmtId="0" fontId="24" fillId="33" borderId="18" xfId="0" applyFont="1" applyFill="1" applyBorder="1" applyAlignment="1">
      <alignment horizontal="center" vertical="center" wrapText="1"/>
    </xf>
    <xf numFmtId="165" fontId="36" fillId="0" borderId="0" xfId="0" applyNumberFormat="1" applyFont="1" applyAlignment="1">
      <alignment vertical="center"/>
    </xf>
    <xf numFmtId="0" fontId="31" fillId="0" borderId="10" xfId="0" applyFont="1" applyBorder="1" applyAlignment="1">
      <alignment horizontal="center"/>
    </xf>
    <xf numFmtId="0" fontId="22" fillId="33" borderId="14" xfId="0" applyFont="1" applyFill="1" applyBorder="1" applyAlignment="1">
      <alignment horizontal="center" vertical="center" wrapText="1"/>
    </xf>
    <xf numFmtId="4" fontId="26" fillId="33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4" fillId="33" borderId="10" xfId="0" applyFont="1" applyFill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0" fontId="3" fillId="0" borderId="17" xfId="0" applyFont="1" applyBorder="1"/>
    <xf numFmtId="3" fontId="26" fillId="33" borderId="14" xfId="0" applyNumberFormat="1" applyFont="1" applyFill="1" applyBorder="1" applyAlignment="1">
      <alignment horizontal="center" vertical="center" wrapText="1"/>
    </xf>
    <xf numFmtId="3" fontId="24" fillId="33" borderId="10" xfId="0" applyNumberFormat="1" applyFont="1" applyFill="1" applyBorder="1" applyAlignment="1">
      <alignment horizontal="center" vertical="center" wrapText="1"/>
    </xf>
    <xf numFmtId="3" fontId="24" fillId="33" borderId="10" xfId="0" applyNumberFormat="1" applyFont="1" applyFill="1" applyBorder="1" applyAlignment="1">
      <alignment horizontal="center" vertical="top" wrapText="1"/>
    </xf>
    <xf numFmtId="0" fontId="3" fillId="33" borderId="11" xfId="0" applyFont="1" applyFill="1" applyBorder="1" applyAlignment="1">
      <alignment horizontal="center" vertical="center"/>
    </xf>
    <xf numFmtId="3" fontId="20" fillId="33" borderId="12" xfId="0" applyNumberFormat="1" applyFont="1" applyFill="1" applyBorder="1" applyAlignment="1">
      <alignment horizontal="center" vertical="center" wrapText="1"/>
    </xf>
    <xf numFmtId="3" fontId="20" fillId="33" borderId="14" xfId="0" applyNumberFormat="1" applyFont="1" applyFill="1" applyBorder="1" applyAlignment="1">
      <alignment horizontal="center" vertical="center" wrapText="1"/>
    </xf>
    <xf numFmtId="3" fontId="24" fillId="33" borderId="14" xfId="0" applyNumberFormat="1" applyFont="1" applyFill="1" applyBorder="1" applyAlignment="1">
      <alignment horizontal="center" vertical="center" wrapText="1"/>
    </xf>
    <xf numFmtId="0" fontId="31" fillId="33" borderId="14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31" fillId="33" borderId="12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/>
    </xf>
    <xf numFmtId="4" fontId="27" fillId="33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 wrapText="1"/>
    </xf>
    <xf numFmtId="0" fontId="22" fillId="39" borderId="14" xfId="0" applyFont="1" applyFill="1" applyBorder="1" applyAlignment="1">
      <alignment horizontal="center" vertical="center" wrapText="1"/>
    </xf>
    <xf numFmtId="0" fontId="22" fillId="37" borderId="14" xfId="0" applyFont="1" applyFill="1" applyBorder="1" applyAlignment="1">
      <alignment horizontal="center" vertical="center" wrapText="1"/>
    </xf>
    <xf numFmtId="0" fontId="31" fillId="39" borderId="14" xfId="0" applyFont="1" applyFill="1" applyBorder="1" applyAlignment="1">
      <alignment horizontal="center" vertical="center" wrapText="1"/>
    </xf>
    <xf numFmtId="3" fontId="20" fillId="33" borderId="13" xfId="0" applyNumberFormat="1" applyFont="1" applyFill="1" applyBorder="1" applyAlignment="1">
      <alignment horizontal="center" vertical="center" wrapText="1"/>
    </xf>
    <xf numFmtId="3" fontId="24" fillId="33" borderId="12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6" fillId="33" borderId="12" xfId="0" applyFont="1" applyFill="1" applyBorder="1" applyAlignment="1">
      <alignment horizontal="center" vertical="center" wrapText="1"/>
    </xf>
    <xf numFmtId="0" fontId="34" fillId="33" borderId="14" xfId="0" applyFont="1" applyFill="1" applyBorder="1" applyAlignment="1">
      <alignment horizontal="center" vertical="center" wrapText="1"/>
    </xf>
    <xf numFmtId="3" fontId="20" fillId="33" borderId="17" xfId="0" applyNumberFormat="1" applyFont="1" applyFill="1" applyBorder="1"/>
    <xf numFmtId="3" fontId="39" fillId="33" borderId="12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right" vertical="center" wrapText="1" indent="1"/>
    </xf>
    <xf numFmtId="0" fontId="22" fillId="0" borderId="10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right" vertical="center" wrapText="1" indent="1"/>
    </xf>
    <xf numFmtId="0" fontId="21" fillId="33" borderId="12" xfId="0" applyFont="1" applyFill="1" applyBorder="1" applyAlignment="1">
      <alignment horizontal="right" vertical="center" wrapText="1"/>
    </xf>
    <xf numFmtId="0" fontId="21" fillId="36" borderId="12" xfId="0" applyFont="1" applyFill="1" applyBorder="1" applyAlignment="1">
      <alignment horizontal="right" vertical="center" wrapText="1" indent="1"/>
    </xf>
    <xf numFmtId="0" fontId="21" fillId="33" borderId="14" xfId="0" applyFont="1" applyFill="1" applyBorder="1" applyAlignment="1">
      <alignment horizontal="right" vertical="center" wrapText="1" indent="1"/>
    </xf>
    <xf numFmtId="0" fontId="21" fillId="33" borderId="19" xfId="0" applyFont="1" applyFill="1" applyBorder="1" applyAlignment="1">
      <alignment horizontal="right" vertical="center" wrapText="1" indent="1"/>
    </xf>
    <xf numFmtId="0" fontId="21" fillId="36" borderId="13" xfId="0" applyFont="1" applyFill="1" applyBorder="1" applyAlignment="1">
      <alignment horizontal="right" vertical="center" wrapText="1" indent="1"/>
    </xf>
    <xf numFmtId="0" fontId="21" fillId="34" borderId="12" xfId="0" applyFont="1" applyFill="1" applyBorder="1" applyAlignment="1">
      <alignment horizontal="right" vertical="center" wrapText="1" indent="1"/>
    </xf>
    <xf numFmtId="0" fontId="21" fillId="33" borderId="12" xfId="0" applyFont="1" applyFill="1" applyBorder="1" applyAlignment="1">
      <alignment horizontal="right" vertical="center"/>
    </xf>
    <xf numFmtId="0" fontId="42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left" vertical="center" indent="1"/>
    </xf>
    <xf numFmtId="0" fontId="46" fillId="0" borderId="20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4" fillId="0" borderId="22" xfId="0" applyFont="1" applyBorder="1" applyAlignment="1">
      <alignment horizontal="center" vertical="center"/>
    </xf>
    <xf numFmtId="0" fontId="47" fillId="0" borderId="23" xfId="0" applyFont="1" applyBorder="1" applyAlignment="1">
      <alignment horizontal="right" vertical="center" indent="1"/>
    </xf>
    <xf numFmtId="0" fontId="46" fillId="0" borderId="23" xfId="0" applyFont="1" applyBorder="1" applyAlignment="1">
      <alignment horizontal="center" vertical="center"/>
    </xf>
    <xf numFmtId="0" fontId="48" fillId="0" borderId="23" xfId="43" applyFont="1" applyBorder="1" applyAlignment="1">
      <alignment horizontal="center" vertical="center"/>
    </xf>
    <xf numFmtId="0" fontId="48" fillId="0" borderId="11" xfId="43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/>
    </xf>
    <xf numFmtId="0" fontId="46" fillId="0" borderId="24" xfId="77" applyNumberFormat="1" applyFont="1" applyFill="1" applyBorder="1" applyAlignment="1">
      <alignment horizontal="center" vertical="center"/>
    </xf>
    <xf numFmtId="0" fontId="46" fillId="0" borderId="24" xfId="43" applyFont="1" applyBorder="1" applyAlignment="1">
      <alignment horizontal="center" vertical="center"/>
    </xf>
    <xf numFmtId="0" fontId="48" fillId="0" borderId="24" xfId="43" applyFont="1" applyBorder="1" applyAlignment="1">
      <alignment horizontal="center" vertical="center"/>
    </xf>
    <xf numFmtId="0" fontId="48" fillId="0" borderId="25" xfId="43" applyFont="1" applyBorder="1" applyAlignment="1">
      <alignment horizontal="center" vertical="center"/>
    </xf>
    <xf numFmtId="0" fontId="46" fillId="0" borderId="23" xfId="77" applyNumberFormat="1" applyFont="1" applyFill="1" applyBorder="1" applyAlignment="1">
      <alignment horizontal="center" vertical="center"/>
    </xf>
    <xf numFmtId="0" fontId="46" fillId="0" borderId="23" xfId="43" applyFont="1" applyBorder="1" applyAlignment="1">
      <alignment horizontal="center" vertical="center"/>
    </xf>
    <xf numFmtId="0" fontId="49" fillId="0" borderId="0" xfId="0" applyFont="1" applyAlignment="1">
      <alignment horizontal="left" vertical="center" indent="1"/>
    </xf>
    <xf numFmtId="0" fontId="46" fillId="0" borderId="0" xfId="0" applyFont="1" applyAlignment="1">
      <alignment horizontal="center" vertical="center"/>
    </xf>
    <xf numFmtId="0" fontId="46" fillId="0" borderId="0" xfId="77" applyNumberFormat="1" applyFont="1" applyFill="1" applyBorder="1" applyAlignment="1">
      <alignment horizontal="center" vertical="center"/>
    </xf>
    <xf numFmtId="0" fontId="46" fillId="0" borderId="0" xfId="43" applyFont="1" applyAlignment="1">
      <alignment horizontal="center" vertical="center"/>
    </xf>
    <xf numFmtId="0" fontId="48" fillId="0" borderId="0" xfId="43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center" indent="1"/>
    </xf>
    <xf numFmtId="0" fontId="5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43" fontId="42" fillId="0" borderId="0" xfId="77" applyFont="1" applyFill="1" applyAlignment="1">
      <alignment vertical="center"/>
    </xf>
    <xf numFmtId="167" fontId="42" fillId="0" borderId="0" xfId="0" applyNumberFormat="1" applyFont="1" applyAlignment="1">
      <alignment vertical="center"/>
    </xf>
    <xf numFmtId="0" fontId="43" fillId="0" borderId="0" xfId="0" applyFont="1" applyAlignment="1">
      <alignment horizontal="centerContinuous" vertical="center"/>
    </xf>
    <xf numFmtId="0" fontId="41" fillId="0" borderId="0" xfId="0" applyFont="1" applyAlignment="1">
      <alignment horizontal="centerContinuous" vertical="center"/>
    </xf>
    <xf numFmtId="0" fontId="52" fillId="0" borderId="23" xfId="0" applyFont="1" applyBorder="1" applyAlignment="1">
      <alignment horizontal="right" vertical="center" indent="1"/>
    </xf>
    <xf numFmtId="0" fontId="48" fillId="0" borderId="22" xfId="43" applyFont="1" applyBorder="1" applyAlignment="1">
      <alignment horizontal="center" vertical="center"/>
    </xf>
    <xf numFmtId="0" fontId="46" fillId="49" borderId="24" xfId="77" applyNumberFormat="1" applyFont="1" applyFill="1" applyBorder="1" applyAlignment="1">
      <alignment horizontal="center" vertical="center"/>
    </xf>
    <xf numFmtId="171" fontId="35" fillId="0" borderId="0" xfId="124" applyNumberFormat="1"/>
    <xf numFmtId="170" fontId="35" fillId="0" borderId="0" xfId="124" applyNumberFormat="1"/>
    <xf numFmtId="0" fontId="44" fillId="49" borderId="21" xfId="0" applyFont="1" applyFill="1" applyBorder="1" applyAlignment="1">
      <alignment horizontal="center" vertical="center" wrapText="1"/>
    </xf>
    <xf numFmtId="0" fontId="46" fillId="49" borderId="23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53" fillId="49" borderId="23" xfId="0" applyFont="1" applyFill="1" applyBorder="1" applyAlignment="1">
      <alignment horizontal="center" vertical="center"/>
    </xf>
    <xf numFmtId="0" fontId="48" fillId="0" borderId="21" xfId="43" applyFont="1" applyBorder="1" applyAlignment="1">
      <alignment horizontal="center" vertical="center"/>
    </xf>
    <xf numFmtId="0" fontId="55" fillId="0" borderId="21" xfId="0" applyFont="1" applyBorder="1" applyAlignment="1">
      <alignment horizontal="center" vertical="center" wrapText="1"/>
    </xf>
    <xf numFmtId="0" fontId="46" fillId="49" borderId="23" xfId="77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28" xfId="0" applyFont="1" applyBorder="1" applyAlignment="1">
      <alignment horizontal="center" vertical="center" wrapText="1"/>
    </xf>
    <xf numFmtId="166" fontId="54" fillId="44" borderId="0" xfId="0" applyNumberFormat="1" applyFont="1" applyFill="1" applyAlignment="1">
      <alignment vertical="center"/>
    </xf>
    <xf numFmtId="0" fontId="31" fillId="0" borderId="0" xfId="0" applyFont="1" applyAlignment="1">
      <alignment horizontal="center"/>
    </xf>
    <xf numFmtId="0" fontId="23" fillId="0" borderId="21" xfId="0" applyFont="1" applyBorder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23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20" fontId="21" fillId="0" borderId="27" xfId="0" applyNumberFormat="1" applyFont="1" applyBorder="1" applyAlignment="1">
      <alignment horizontal="center"/>
    </xf>
    <xf numFmtId="20" fontId="21" fillId="46" borderId="0" xfId="0" applyNumberFormat="1" applyFont="1" applyFill="1" applyAlignment="1">
      <alignment horizontal="center"/>
    </xf>
    <xf numFmtId="4" fontId="21" fillId="42" borderId="23" xfId="0" applyNumberFormat="1" applyFont="1" applyFill="1" applyBorder="1"/>
    <xf numFmtId="0" fontId="21" fillId="42" borderId="23" xfId="0" applyFont="1" applyFill="1" applyBorder="1"/>
    <xf numFmtId="0" fontId="56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43" borderId="23" xfId="0" applyFont="1" applyFill="1" applyBorder="1"/>
    <xf numFmtId="0" fontId="31" fillId="45" borderId="23" xfId="0" applyFont="1" applyFill="1" applyBorder="1" applyAlignment="1">
      <alignment horizontal="center"/>
    </xf>
    <xf numFmtId="0" fontId="57" fillId="0" borderId="23" xfId="0" applyFont="1" applyBorder="1"/>
    <xf numFmtId="14" fontId="3" fillId="0" borderId="29" xfId="0" applyNumberFormat="1" applyFont="1" applyBorder="1" applyAlignment="1">
      <alignment horizontal="center"/>
    </xf>
    <xf numFmtId="19" fontId="3" fillId="0" borderId="23" xfId="0" applyNumberFormat="1" applyFont="1" applyBorder="1" applyAlignment="1">
      <alignment horizontal="center"/>
    </xf>
    <xf numFmtId="20" fontId="21" fillId="0" borderId="23" xfId="0" applyNumberFormat="1" applyFont="1" applyBorder="1" applyAlignment="1">
      <alignment horizontal="center"/>
    </xf>
    <xf numFmtId="0" fontId="21" fillId="0" borderId="23" xfId="0" applyFont="1" applyBorder="1"/>
    <xf numFmtId="0" fontId="3" fillId="0" borderId="30" xfId="0" applyFont="1" applyBorder="1" applyAlignment="1">
      <alignment horizontal="center"/>
    </xf>
    <xf numFmtId="0" fontId="21" fillId="0" borderId="23" xfId="0" applyFont="1" applyBorder="1" applyAlignment="1">
      <alignment horizontal="right"/>
    </xf>
    <xf numFmtId="2" fontId="21" fillId="0" borderId="0" xfId="0" applyNumberFormat="1" applyFont="1"/>
    <xf numFmtId="0" fontId="3" fillId="0" borderId="32" xfId="0" applyFont="1" applyBorder="1"/>
    <xf numFmtId="14" fontId="3" fillId="0" borderId="31" xfId="0" applyNumberFormat="1" applyFont="1" applyBorder="1" applyAlignment="1">
      <alignment horizontal="center"/>
    </xf>
    <xf numFmtId="19" fontId="3" fillId="0" borderId="0" xfId="0" applyNumberFormat="1" applyFont="1"/>
    <xf numFmtId="19" fontId="34" fillId="0" borderId="23" xfId="0" applyNumberFormat="1" applyFont="1" applyBorder="1" applyAlignment="1">
      <alignment horizontal="center"/>
    </xf>
    <xf numFmtId="0" fontId="34" fillId="0" borderId="23" xfId="0" applyFont="1" applyBorder="1"/>
    <xf numFmtId="0" fontId="0" fillId="47" borderId="30" xfId="0" applyFill="1" applyBorder="1" applyAlignment="1">
      <alignment horizontal="center"/>
    </xf>
    <xf numFmtId="0" fontId="1" fillId="48" borderId="32" xfId="102" applyFill="1" applyBorder="1"/>
    <xf numFmtId="14" fontId="0" fillId="0" borderId="31" xfId="0" applyNumberFormat="1" applyBorder="1" applyAlignment="1">
      <alignment horizontal="center"/>
    </xf>
    <xf numFmtId="0" fontId="0" fillId="0" borderId="32" xfId="0" applyBorder="1"/>
    <xf numFmtId="0" fontId="0" fillId="0" borderId="30" xfId="0" applyBorder="1" applyAlignment="1">
      <alignment horizontal="center"/>
    </xf>
    <xf numFmtId="164" fontId="35" fillId="0" borderId="0" xfId="78" applyFont="1"/>
    <xf numFmtId="14" fontId="35" fillId="0" borderId="0" xfId="78" applyNumberFormat="1" applyFont="1"/>
    <xf numFmtId="19" fontId="35" fillId="0" borderId="0" xfId="78" applyNumberFormat="1" applyFont="1"/>
    <xf numFmtId="164" fontId="35" fillId="0" borderId="32" xfId="78" applyFont="1" applyBorder="1"/>
    <xf numFmtId="19" fontId="35" fillId="0" borderId="36" xfId="78" applyNumberFormat="1" applyFont="1" applyBorder="1"/>
    <xf numFmtId="14" fontId="0" fillId="0" borderId="29" xfId="0" applyNumberFormat="1" applyBorder="1" applyAlignment="1">
      <alignment horizontal="center"/>
    </xf>
    <xf numFmtId="168" fontId="57" fillId="0" borderId="23" xfId="0" applyNumberFormat="1" applyFont="1" applyBorder="1"/>
    <xf numFmtId="164" fontId="35" fillId="0" borderId="0" xfId="78" applyFont="1" applyBorder="1"/>
    <xf numFmtId="0" fontId="3" fillId="0" borderId="29" xfId="0" applyFont="1" applyBorder="1" applyAlignment="1">
      <alignment horizontal="center"/>
    </xf>
    <xf numFmtId="0" fontId="26" fillId="45" borderId="23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14" fontId="58" fillId="41" borderId="34" xfId="78" applyNumberFormat="1" applyFont="1" applyFill="1" applyBorder="1" applyAlignment="1">
      <alignment horizontal="center"/>
    </xf>
    <xf numFmtId="164" fontId="58" fillId="41" borderId="33" xfId="78" applyFont="1" applyFill="1" applyBorder="1" applyAlignment="1">
      <alignment horizontal="center"/>
    </xf>
    <xf numFmtId="164" fontId="58" fillId="41" borderId="35" xfId="78" applyFont="1" applyFill="1" applyBorder="1" applyAlignment="1">
      <alignment horizontal="center"/>
    </xf>
    <xf numFmtId="164" fontId="58" fillId="41" borderId="32" xfId="78" applyFont="1" applyFill="1" applyBorder="1" applyAlignment="1">
      <alignment horizontal="center"/>
    </xf>
    <xf numFmtId="14" fontId="58" fillId="41" borderId="37" xfId="78" applyNumberFormat="1" applyFont="1" applyFill="1" applyBorder="1" applyAlignment="1">
      <alignment horizontal="center"/>
    </xf>
    <xf numFmtId="164" fontId="58" fillId="41" borderId="36" xfId="78" applyFont="1" applyFill="1" applyBorder="1" applyAlignment="1">
      <alignment horizontal="center"/>
    </xf>
    <xf numFmtId="0" fontId="26" fillId="43" borderId="23" xfId="0" applyFont="1" applyFill="1" applyBorder="1"/>
    <xf numFmtId="0" fontId="35" fillId="0" borderId="0" xfId="69"/>
    <xf numFmtId="19" fontId="35" fillId="0" borderId="0" xfId="69" applyNumberFormat="1"/>
    <xf numFmtId="14" fontId="35" fillId="0" borderId="0" xfId="69" applyNumberFormat="1"/>
    <xf numFmtId="0" fontId="35" fillId="0" borderId="0" xfId="124"/>
    <xf numFmtId="19" fontId="35" fillId="0" borderId="0" xfId="124" applyNumberFormat="1"/>
    <xf numFmtId="14" fontId="35" fillId="0" borderId="0" xfId="124" applyNumberFormat="1"/>
    <xf numFmtId="169" fontId="35" fillId="0" borderId="0" xfId="124" applyNumberFormat="1"/>
    <xf numFmtId="0" fontId="59" fillId="48" borderId="32" xfId="124" applyFont="1" applyFill="1" applyBorder="1"/>
    <xf numFmtId="14" fontId="59" fillId="48" borderId="37" xfId="124" applyNumberFormat="1" applyFont="1" applyFill="1" applyBorder="1"/>
    <xf numFmtId="19" fontId="59" fillId="48" borderId="36" xfId="124" applyNumberFormat="1" applyFont="1" applyFill="1" applyBorder="1"/>
    <xf numFmtId="0" fontId="59" fillId="0" borderId="32" xfId="124" applyFont="1" applyBorder="1"/>
    <xf numFmtId="14" fontId="59" fillId="0" borderId="37" xfId="124" applyNumberFormat="1" applyFont="1" applyBorder="1"/>
    <xf numFmtId="19" fontId="59" fillId="0" borderId="36" xfId="124" applyNumberFormat="1" applyFont="1" applyBorder="1"/>
    <xf numFmtId="0" fontId="58" fillId="0" borderId="0" xfId="124" applyFont="1" applyAlignment="1">
      <alignment horizontal="center"/>
    </xf>
    <xf numFmtId="14" fontId="58" fillId="0" borderId="0" xfId="124" applyNumberFormat="1" applyFont="1" applyAlignment="1">
      <alignment horizontal="center"/>
    </xf>
    <xf numFmtId="0" fontId="60" fillId="41" borderId="32" xfId="124" applyFont="1" applyFill="1" applyBorder="1" applyAlignment="1">
      <alignment horizontal="center"/>
    </xf>
    <xf numFmtId="14" fontId="58" fillId="41" borderId="37" xfId="124" applyNumberFormat="1" applyFont="1" applyFill="1" applyBorder="1" applyAlignment="1">
      <alignment horizontal="center"/>
    </xf>
    <xf numFmtId="0" fontId="60" fillId="41" borderId="36" xfId="124" applyFont="1" applyFill="1" applyBorder="1" applyAlignment="1">
      <alignment horizontal="center"/>
    </xf>
    <xf numFmtId="0" fontId="60" fillId="41" borderId="33" xfId="124" applyFont="1" applyFill="1" applyBorder="1" applyAlignment="1">
      <alignment horizontal="center"/>
    </xf>
    <xf numFmtId="14" fontId="58" fillId="41" borderId="34" xfId="124" applyNumberFormat="1" applyFont="1" applyFill="1" applyBorder="1" applyAlignment="1">
      <alignment horizontal="center"/>
    </xf>
    <xf numFmtId="0" fontId="60" fillId="41" borderId="35" xfId="124" applyFont="1" applyFill="1" applyBorder="1" applyAlignment="1">
      <alignment horizontal="center"/>
    </xf>
    <xf numFmtId="0" fontId="60" fillId="41" borderId="39" xfId="124" applyFont="1" applyFill="1" applyBorder="1" applyAlignment="1">
      <alignment horizontal="center"/>
    </xf>
    <xf numFmtId="14" fontId="58" fillId="41" borderId="38" xfId="124" applyNumberFormat="1" applyFont="1" applyFill="1" applyBorder="1" applyAlignment="1">
      <alignment horizontal="center"/>
    </xf>
    <xf numFmtId="0" fontId="58" fillId="0" borderId="0" xfId="124" applyFont="1"/>
    <xf numFmtId="14" fontId="58" fillId="0" borderId="0" xfId="124" applyNumberFormat="1" applyFont="1"/>
    <xf numFmtId="0" fontId="60" fillId="41" borderId="40" xfId="124" applyFont="1" applyFill="1" applyBorder="1" applyAlignment="1">
      <alignment horizontal="center"/>
    </xf>
    <xf numFmtId="0" fontId="0" fillId="0" borderId="23" xfId="0" applyBorder="1"/>
    <xf numFmtId="0" fontId="31" fillId="45" borderId="11" xfId="0" applyFont="1" applyFill="1" applyBorder="1" applyAlignment="1">
      <alignment horizontal="center"/>
    </xf>
    <xf numFmtId="0" fontId="0" fillId="38" borderId="0" xfId="0" applyFill="1" applyAlignment="1">
      <alignment horizontal="center"/>
    </xf>
    <xf numFmtId="14" fontId="38" fillId="0" borderId="17" xfId="0" applyNumberFormat="1" applyFont="1" applyBorder="1" applyAlignment="1">
      <alignment horizontal="center" vertical="center"/>
    </xf>
    <xf numFmtId="165" fontId="30" fillId="0" borderId="17" xfId="0" applyNumberFormat="1" applyFont="1" applyBorder="1" applyAlignment="1">
      <alignment horizontal="center" vertical="center"/>
    </xf>
    <xf numFmtId="0" fontId="24" fillId="33" borderId="15" xfId="0" applyFont="1" applyFill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25" fillId="35" borderId="15" xfId="42" applyFont="1" applyFill="1" applyBorder="1" applyAlignment="1">
      <alignment horizontal="center" vertical="center"/>
    </xf>
    <xf numFmtId="0" fontId="25" fillId="35" borderId="16" xfId="42" applyFont="1" applyFill="1" applyBorder="1" applyAlignment="1">
      <alignment horizontal="center" vertical="center"/>
    </xf>
    <xf numFmtId="3" fontId="25" fillId="35" borderId="15" xfId="42" applyNumberFormat="1" applyFont="1" applyFill="1" applyBorder="1" applyAlignment="1">
      <alignment horizontal="center" vertical="distributed"/>
    </xf>
    <xf numFmtId="3" fontId="25" fillId="35" borderId="16" xfId="42" applyNumberFormat="1" applyFont="1" applyFill="1" applyBorder="1" applyAlignment="1">
      <alignment horizontal="center" vertical="distributed"/>
    </xf>
    <xf numFmtId="3" fontId="28" fillId="35" borderId="15" xfId="42" applyNumberFormat="1" applyFont="1" applyFill="1" applyBorder="1" applyAlignment="1">
      <alignment horizontal="center" vertical="distributed"/>
    </xf>
    <xf numFmtId="3" fontId="28" fillId="35" borderId="16" xfId="42" applyNumberFormat="1" applyFont="1" applyFill="1" applyBorder="1" applyAlignment="1">
      <alignment horizontal="center" vertical="distributed"/>
    </xf>
    <xf numFmtId="3" fontId="25" fillId="35" borderId="15" xfId="42" applyNumberFormat="1" applyFont="1" applyFill="1" applyBorder="1" applyAlignment="1">
      <alignment horizontal="center" vertical="justify"/>
    </xf>
    <xf numFmtId="3" fontId="25" fillId="35" borderId="16" xfId="42" applyNumberFormat="1" applyFont="1" applyFill="1" applyBorder="1" applyAlignment="1">
      <alignment horizontal="center" vertical="justify"/>
    </xf>
    <xf numFmtId="2" fontId="25" fillId="35" borderId="15" xfId="42" applyNumberFormat="1" applyFont="1" applyFill="1" applyBorder="1" applyAlignment="1">
      <alignment horizontal="center" vertical="center" wrapText="1"/>
    </xf>
    <xf numFmtId="2" fontId="25" fillId="35" borderId="16" xfId="42" applyNumberFormat="1" applyFont="1" applyFill="1" applyBorder="1" applyAlignment="1">
      <alignment horizontal="center" vertical="center" wrapText="1"/>
    </xf>
    <xf numFmtId="2" fontId="33" fillId="35" borderId="15" xfId="42" applyNumberFormat="1" applyFont="1" applyFill="1" applyBorder="1" applyAlignment="1">
      <alignment horizontal="center" vertical="center" wrapText="1"/>
    </xf>
    <xf numFmtId="2" fontId="33" fillId="35" borderId="16" xfId="42" applyNumberFormat="1" applyFont="1" applyFill="1" applyBorder="1" applyAlignment="1">
      <alignment horizontal="center" vertical="center" wrapText="1"/>
    </xf>
    <xf numFmtId="3" fontId="25" fillId="35" borderId="18" xfId="42" applyNumberFormat="1" applyFont="1" applyFill="1" applyBorder="1" applyAlignment="1">
      <alignment horizontal="center" vertical="distributed"/>
    </xf>
    <xf numFmtId="3" fontId="25" fillId="40" borderId="15" xfId="42" applyNumberFormat="1" applyFont="1" applyFill="1" applyBorder="1" applyAlignment="1">
      <alignment horizontal="center" vertical="distributed"/>
    </xf>
    <xf numFmtId="3" fontId="25" fillId="40" borderId="16" xfId="42" applyNumberFormat="1" applyFont="1" applyFill="1" applyBorder="1" applyAlignment="1">
      <alignment horizontal="center" vertical="distributed"/>
    </xf>
    <xf numFmtId="3" fontId="29" fillId="35" borderId="15" xfId="42" applyNumberFormat="1" applyFont="1" applyFill="1" applyBorder="1" applyAlignment="1">
      <alignment horizontal="left" vertical="distributed"/>
    </xf>
    <xf numFmtId="3" fontId="29" fillId="35" borderId="16" xfId="42" applyNumberFormat="1" applyFont="1" applyFill="1" applyBorder="1" applyAlignment="1">
      <alignment horizontal="left" vertical="distributed"/>
    </xf>
    <xf numFmtId="3" fontId="23" fillId="40" borderId="15" xfId="42" applyNumberFormat="1" applyFont="1" applyFill="1" applyBorder="1" applyAlignment="1">
      <alignment horizontal="center" vertical="distributed"/>
    </xf>
    <xf numFmtId="3" fontId="23" fillId="40" borderId="16" xfId="42" applyNumberFormat="1" applyFont="1" applyFill="1" applyBorder="1" applyAlignment="1">
      <alignment horizontal="center" vertical="distributed"/>
    </xf>
    <xf numFmtId="0" fontId="51" fillId="0" borderId="0" xfId="0" applyFont="1" applyAlignment="1">
      <alignment horizontal="right" vertical="center" indent="1"/>
    </xf>
  </cellXfs>
  <cellStyles count="125">
    <cellStyle name="20% - Accent1 2" xfId="49" xr:uid="{5871AF75-AF3C-483D-8AD8-76D8261849AF}"/>
    <cellStyle name="20% - Accent1 2 2" xfId="104" xr:uid="{1447E687-21E7-4CB8-A68A-AFF9443E5C4F}"/>
    <cellStyle name="20% - Accent1 3" xfId="82" xr:uid="{94306751-2BCD-4DF1-84D9-F67BB4AA1758}"/>
    <cellStyle name="20% - Accent2 2" xfId="52" xr:uid="{227ED461-59F4-43E3-98EE-8C6DD858B1D4}"/>
    <cellStyle name="20% - Accent2 2 2" xfId="107" xr:uid="{7B2400E9-B883-44E0-9F2F-A777CF7BCED1}"/>
    <cellStyle name="20% - Accent2 3" xfId="85" xr:uid="{CDCE53C5-7539-4481-9253-016779192330}"/>
    <cellStyle name="20% - Accent3 2" xfId="55" xr:uid="{52DB5D57-CD43-4174-9832-877756F73D04}"/>
    <cellStyle name="20% - Accent3 2 2" xfId="110" xr:uid="{11FF9913-D6D0-4DB8-9EBA-F94E53326CB2}"/>
    <cellStyle name="20% - Accent3 3" xfId="88" xr:uid="{7CD274AA-114F-4010-832C-22B9ABB32DA5}"/>
    <cellStyle name="20% - Accent4 2" xfId="58" xr:uid="{EE7DAEC2-5462-490F-B12F-951665FAD415}"/>
    <cellStyle name="20% - Accent4 2 2" xfId="113" xr:uid="{8B834D62-2E69-4CE6-BEEC-0EC6EEF3D0B1}"/>
    <cellStyle name="20% - Accent4 3" xfId="91" xr:uid="{B21BF5E8-C24F-4747-B2B9-9BAA45E6FFC4}"/>
    <cellStyle name="20% - Accent5 2" xfId="61" xr:uid="{8BE97BA0-0CEE-406A-98A7-326E3FA71848}"/>
    <cellStyle name="20% - Accent5 2 2" xfId="116" xr:uid="{4486D9D0-FE3F-4E5C-82CC-109129C77C0D}"/>
    <cellStyle name="20% - Accent5 3" xfId="94" xr:uid="{C189BD59-3E48-41C9-A4FE-4D60EC3E51E6}"/>
    <cellStyle name="20% - Accent6 2" xfId="64" xr:uid="{D2C09A7F-ACCF-41A4-8B0A-4706BBB0F1B5}"/>
    <cellStyle name="20% - Accent6 2 2" xfId="119" xr:uid="{5204BAB2-9B3B-4BFE-A3CE-D3ECC5BB969D}"/>
    <cellStyle name="20% - Accent6 3" xfId="97" xr:uid="{6DF0167F-4E3B-47B0-BD3C-5DCD056F356A}"/>
    <cellStyle name="20% - تمييز1" xfId="18" builtinId="30" customBuiltin="1"/>
    <cellStyle name="20% - تمييز2" xfId="22" builtinId="34" customBuiltin="1"/>
    <cellStyle name="20% - تمييز3" xfId="26" builtinId="38" customBuiltin="1"/>
    <cellStyle name="20% - تمييز4" xfId="30" builtinId="42" customBuiltin="1"/>
    <cellStyle name="20% - تمييز5" xfId="34" builtinId="46" customBuiltin="1"/>
    <cellStyle name="20% - تمييز6" xfId="38" builtinId="50" customBuiltin="1"/>
    <cellStyle name="40% - Accent1 2" xfId="50" xr:uid="{0141EF37-CE68-4944-8DE5-69DDE64309F1}"/>
    <cellStyle name="40% - Accent1 2 2" xfId="105" xr:uid="{CBD00B11-AD70-43AB-A6F7-89752F09F511}"/>
    <cellStyle name="40% - Accent1 3" xfId="83" xr:uid="{26330B84-885A-41C1-B802-A3F8494F4942}"/>
    <cellStyle name="40% - Accent2 2" xfId="53" xr:uid="{F5D260C8-A500-4EE2-92FF-525B36D805C8}"/>
    <cellStyle name="40% - Accent2 2 2" xfId="108" xr:uid="{1A8C227C-3C30-4217-9DC2-1E0FB0D50EB5}"/>
    <cellStyle name="40% - Accent2 3" xfId="86" xr:uid="{5F7C5F5B-61BD-4CB7-B619-EF50F70568B2}"/>
    <cellStyle name="40% - Accent3 2" xfId="56" xr:uid="{89429258-439F-4BD5-8BE8-389F5D64BF0D}"/>
    <cellStyle name="40% - Accent3 2 2" xfId="111" xr:uid="{D10C12F5-E809-4295-9318-20DB84FEE5AD}"/>
    <cellStyle name="40% - Accent3 3" xfId="89" xr:uid="{23C3A51F-5AC8-4AC5-8235-D2918BAFB31E}"/>
    <cellStyle name="40% - Accent4 2" xfId="59" xr:uid="{888FC112-747D-4F7A-9C65-EED2E2001B4B}"/>
    <cellStyle name="40% - Accent4 2 2" xfId="114" xr:uid="{EC1A085C-2021-49B0-92F1-E269F5F16C88}"/>
    <cellStyle name="40% - Accent4 3" xfId="92" xr:uid="{388B8AFA-45FB-40BD-9F6F-B7378FE1F76F}"/>
    <cellStyle name="40% - Accent5 2" xfId="62" xr:uid="{921617FD-C847-4444-BEB2-57465DE46234}"/>
    <cellStyle name="40% - Accent5 2 2" xfId="117" xr:uid="{79F34931-510D-4E06-A98E-B2C8E41584DF}"/>
    <cellStyle name="40% - Accent5 3" xfId="95" xr:uid="{7BC849A1-12A3-46DE-ADA7-EA6D9852C26B}"/>
    <cellStyle name="40% - Accent6 2" xfId="65" xr:uid="{2E26A2BB-0C68-4B01-A1D4-A935A14F24FA}"/>
    <cellStyle name="40% - Accent6 2 2" xfId="120" xr:uid="{85103E91-9E16-4B76-B28F-2263AC37499C}"/>
    <cellStyle name="40% - Accent6 3" xfId="98" xr:uid="{9638974E-6E96-4EE4-A1E3-854FD733A8D1}"/>
    <cellStyle name="40% - تمييز1" xfId="19" builtinId="31" customBuiltin="1"/>
    <cellStyle name="40% - تمييز2" xfId="23" builtinId="35" customBuiltin="1"/>
    <cellStyle name="40% - تمييز3" xfId="27" builtinId="39" customBuiltin="1"/>
    <cellStyle name="40% - تمييز4" xfId="31" builtinId="43" customBuiltin="1"/>
    <cellStyle name="40% - تمييز5" xfId="35" builtinId="47" customBuiltin="1"/>
    <cellStyle name="40% - تمييز6" xfId="39" builtinId="51" customBuiltin="1"/>
    <cellStyle name="60% - Accent1 2" xfId="51" xr:uid="{E5215F07-3F0B-4E34-9071-95154BC8630B}"/>
    <cellStyle name="60% - Accent1 2 2" xfId="106" xr:uid="{F259F645-8DA1-4626-BB24-17C62757C11F}"/>
    <cellStyle name="60% - Accent1 3" xfId="84" xr:uid="{A6688FDE-6DB6-4562-AE39-470066C59C40}"/>
    <cellStyle name="60% - Accent2 2" xfId="54" xr:uid="{AD423971-ADFD-46A2-B630-179FB4558C28}"/>
    <cellStyle name="60% - Accent2 2 2" xfId="109" xr:uid="{15CDC922-0872-4D09-9575-7BB2DD3DBD14}"/>
    <cellStyle name="60% - Accent2 3" xfId="87" xr:uid="{949BA7CB-29F2-467A-9478-2C67B649DC60}"/>
    <cellStyle name="60% - Accent3 2" xfId="57" xr:uid="{6D06B89F-D2EA-44F3-A0C7-6C245E388874}"/>
    <cellStyle name="60% - Accent3 2 2" xfId="112" xr:uid="{4C1A3A75-3529-41AE-9C43-B0BD4D34FEE0}"/>
    <cellStyle name="60% - Accent3 3" xfId="90" xr:uid="{C95E28FB-8049-4C22-BE65-23F3920E6B6E}"/>
    <cellStyle name="60% - Accent4 2" xfId="60" xr:uid="{43E4953F-C866-441E-9EDC-DA96DAB43D84}"/>
    <cellStyle name="60% - Accent4 2 2" xfId="115" xr:uid="{CE2D8C66-27B6-4961-B119-6BE43653E937}"/>
    <cellStyle name="60% - Accent4 3" xfId="93" xr:uid="{04390E05-9158-4828-8E36-03FFF83D8626}"/>
    <cellStyle name="60% - Accent5 2" xfId="63" xr:uid="{32FC1BA2-B779-4370-98EB-8EE851864DD2}"/>
    <cellStyle name="60% - Accent5 2 2" xfId="118" xr:uid="{AFD9FF3B-EC68-47B6-8DA3-2F2798B65D8F}"/>
    <cellStyle name="60% - Accent5 3" xfId="96" xr:uid="{62E9B9E8-2CDD-43BB-8D35-B88D262590CA}"/>
    <cellStyle name="60% - Accent6 2" xfId="66" xr:uid="{40F3EB7C-65C8-415C-B73B-203D0D78F3AD}"/>
    <cellStyle name="60% - Accent6 2 2" xfId="121" xr:uid="{3B5BBE27-31D8-4C2D-AB4A-357494B00535}"/>
    <cellStyle name="60% - Accent6 3" xfId="99" xr:uid="{7CF1ECB9-48AC-419D-836D-BCB5AFC03559}"/>
    <cellStyle name="60% - تمييز1" xfId="20" builtinId="32" customBuiltin="1"/>
    <cellStyle name="60% - تمييز2" xfId="24" builtinId="36" customBuiltin="1"/>
    <cellStyle name="60% - تمييز3" xfId="28" builtinId="40" customBuiltin="1"/>
    <cellStyle name="60% - تمييز4" xfId="32" builtinId="44" customBuiltin="1"/>
    <cellStyle name="60% - تمييز5" xfId="36" builtinId="48" customBuiltin="1"/>
    <cellStyle name="60% - تمييز6" xfId="40" builtinId="52" customBuiltin="1"/>
    <cellStyle name="Comma" xfId="77" builtinId="3"/>
    <cellStyle name="Comma 2" xfId="41" xr:uid="{FE74B2B0-7D7D-4F99-A857-F2591916222E}"/>
    <cellStyle name="Comma 3" xfId="79" xr:uid="{39FBED21-76CD-47B1-9C35-4CCC7B179D2B}"/>
    <cellStyle name="Currency [0]" xfId="78" builtinId="7"/>
    <cellStyle name="Currency [0] 2" xfId="69" xr:uid="{C766AB9D-7C47-4566-B4C6-75EEDEF3DAC9}"/>
    <cellStyle name="Currency [0] 3" xfId="71" xr:uid="{9DB41F67-D098-4C16-BBC3-DD56F7E980C4}"/>
    <cellStyle name="Currency [0] 4" xfId="74" xr:uid="{D809D534-BF64-4BBF-A15C-F9C228CE0D71}"/>
    <cellStyle name="Currency [0] 5" xfId="76" xr:uid="{1A1D3467-09E3-451E-B687-FCA89AEBF9B3}"/>
    <cellStyle name="Currency [0] 5 2" xfId="124" xr:uid="{0D65EA2B-84F9-4EE2-BD28-CAF9073A1870}"/>
    <cellStyle name="Normal 10" xfId="75" xr:uid="{E1FED92F-7B6E-483A-BC1F-C9F3BFD98721}"/>
    <cellStyle name="Normal 10 2" xfId="123" xr:uid="{088D827B-A97B-4A99-B4F9-84744B0A86B8}"/>
    <cellStyle name="Normal 2" xfId="44" xr:uid="{1B75A4D4-5DB1-4A07-862B-501B0C77B732}"/>
    <cellStyle name="Normal 2 2" xfId="42" xr:uid="{89DBCAB4-E176-43BC-AC6B-1C44EA689465}"/>
    <cellStyle name="Normal 2 2 2" xfId="80" xr:uid="{D73643C1-196B-4BEA-A0B6-4BBDBF1F9164}"/>
    <cellStyle name="Normal 2 3" xfId="81" xr:uid="{1381693C-7F34-4161-8C40-DBCDDD237D6E}"/>
    <cellStyle name="Normal 3" xfId="43" xr:uid="{48120273-5376-4897-8C8B-37D6CEB99DA2}"/>
    <cellStyle name="Normal 4" xfId="45" xr:uid="{934519FB-F79B-427A-9E97-DB031A6507A6}"/>
    <cellStyle name="Normal 4 2" xfId="100" xr:uid="{E79B5DEE-14B4-4D89-9FDF-9E52E44D3E3F}"/>
    <cellStyle name="Normal 5" xfId="47" xr:uid="{D6468E83-96EE-414C-8DF0-E299DE52D6C8}"/>
    <cellStyle name="Normal 5 2" xfId="102" xr:uid="{150E8064-D143-4CE1-94C7-E0F0938D4C3C}"/>
    <cellStyle name="Normal 6" xfId="67" xr:uid="{02F7F822-0B00-4092-BE75-1E5C67660FB1}"/>
    <cellStyle name="Normal 6 2" xfId="122" xr:uid="{E1E3066D-486A-4513-92BB-83C32ED5249F}"/>
    <cellStyle name="Normal 7" xfId="68" xr:uid="{3DD5E61C-77C6-4C2C-B32A-F4C85CE97872}"/>
    <cellStyle name="Normal 8" xfId="70" xr:uid="{9A6F27D2-AA7C-43CD-81D4-EAFEE73294D7}"/>
    <cellStyle name="Normal 9" xfId="72" xr:uid="{E249C739-31DF-4806-A27C-C69EC6370CCA}"/>
    <cellStyle name="Note 2" xfId="46" xr:uid="{D3AAB518-7B37-49EB-AAD0-7BBECEF1EAA9}"/>
    <cellStyle name="Note 2 2" xfId="101" xr:uid="{D67D56D4-4966-4865-B67C-1C5C2C8A85A8}"/>
    <cellStyle name="Note 3" xfId="48" xr:uid="{0BCCC0C1-FA9C-4922-9434-F8734FEFF9C4}"/>
    <cellStyle name="Note 3 2" xfId="103" xr:uid="{849BAA99-6F43-42A9-B6FA-6D9B5E6871DC}"/>
    <cellStyle name="Percent 2" xfId="73" xr:uid="{61630672-07A8-4BD8-BC0E-A34A30A228C6}"/>
    <cellStyle name="إخراج" xfId="10" builtinId="21" customBuiltin="1"/>
    <cellStyle name="إدخال" xfId="9" builtinId="20" customBuiltin="1"/>
    <cellStyle name="الإجمالي" xfId="16" builtinId="25" customBuiltin="1"/>
    <cellStyle name="تمييز1" xfId="17" builtinId="29" customBuiltin="1"/>
    <cellStyle name="تمييز2" xfId="21" builtinId="33" customBuiltin="1"/>
    <cellStyle name="تمييز3" xfId="25" builtinId="37" customBuiltin="1"/>
    <cellStyle name="تمييز4" xfId="29" builtinId="41" customBuiltin="1"/>
    <cellStyle name="تمييز5" xfId="33" builtinId="45" customBuiltin="1"/>
    <cellStyle name="تمييز6" xfId="37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نص تحذير" xfId="14" builtinId="11" customBuiltin="1"/>
    <cellStyle name="نص توضيحي" xfId="15" builtinId="53" customBuiltin="1"/>
  </cellStyles>
  <dxfs count="463"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  <color rgb="FFFF0000"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omic Sans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auto="1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75;&#1574;&#1605;&#1577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&#1575;&#1604;&#1602;&#1575;&#1574;&#1605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1143000</xdr:colOff>
      <xdr:row>2</xdr:row>
      <xdr:rowOff>200025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E5C68-F3D3-4791-8FAD-C83F5F22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774475" y="515034"/>
          <a:ext cx="1362075" cy="4469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1066800</xdr:colOff>
      <xdr:row>2</xdr:row>
      <xdr:rowOff>238125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997F9-1DED-4CE9-A849-6F6DCA35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003075" y="515034"/>
          <a:ext cx="1285875" cy="4850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952500</xdr:colOff>
      <xdr:row>2</xdr:row>
      <xdr:rowOff>161925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6AA32-4E12-4670-AF67-17AD8FA7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964975" y="515034"/>
          <a:ext cx="1171575" cy="4088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1066800</xdr:colOff>
      <xdr:row>2</xdr:row>
      <xdr:rowOff>171450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BE86A-648E-42C8-8B71-1AC41DDD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850675" y="515034"/>
          <a:ext cx="1285875" cy="4184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134034</xdr:rowOff>
    </xdr:from>
    <xdr:to>
      <xdr:col>1</xdr:col>
      <xdr:colOff>952500</xdr:colOff>
      <xdr:row>2</xdr:row>
      <xdr:rowOff>219075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32FC1-5008-4FE2-AF4E-2E9E275B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964975" y="515034"/>
          <a:ext cx="1171575" cy="4660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3</xdr:row>
      <xdr:rowOff>95250</xdr:rowOff>
    </xdr:from>
    <xdr:to>
      <xdr:col>7</xdr:col>
      <xdr:colOff>566122</xdr:colOff>
      <xdr:row>5</xdr:row>
      <xdr:rowOff>57150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53DF7-44B9-45F8-8DAC-8CC86FAF1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4188953" y="809625"/>
          <a:ext cx="1270972" cy="42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mad ali" id="{1783CA84-3718-4FE9-BCE8-F6B4ECD5F36F}" userId="S::emadali77@emadali77.onmicrosoft.com::bed697d2-eb6d-4777-afe8-d79f266eb37b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8D74872-F3DC-4FB8-AEC6-80ED68121D6C}" name="Ar_6" displayName="Ar_6" ref="A4:AK43" totalsRowShown="0" headerRowDxfId="462" dataDxfId="460" totalsRowDxfId="458" headerRowBorderDxfId="461" tableBorderDxfId="459" totalsRowBorderDxfId="457" dataCellStyle="Normal 3">
  <autoFilter ref="A4:AK43" xr:uid="{88D74872-F3DC-4FB8-AEC6-80ED68121D6C}"/>
  <tableColumns count="37">
    <tableColumn id="1" xr3:uid="{46C9E468-5581-43BD-B7A7-DBF0162128D1}" name="#" dataDxfId="456" totalsRowDxfId="455">
      <calculatedColumnFormula>+A4+1</calculatedColumnFormula>
    </tableColumn>
    <tableColumn id="6" xr3:uid="{D0B7A337-DC17-43E9-9211-E2B3FDB91755}" name="الاسم" dataDxfId="454"/>
    <tableColumn id="7" xr3:uid="{41D8E0A8-4EA3-45A7-B206-6236B678F82F}" name="1" dataDxfId="453" totalsRowDxfId="452"/>
    <tableColumn id="25" xr3:uid="{319C28C9-A0E4-4F25-BD79-B50DC0CABCDA}" name="2" dataDxfId="451" totalsRowDxfId="450"/>
    <tableColumn id="8" xr3:uid="{729AD932-10F1-4F9F-8703-B584BC00A5B6}" name="3" dataDxfId="449" totalsRowDxfId="448"/>
    <tableColumn id="9" xr3:uid="{0FA6292C-E795-4334-8A3B-F638C0C02B1E}" name="4" dataDxfId="447" totalsRowDxfId="446" dataCellStyle="Comma"/>
    <tableColumn id="10" xr3:uid="{AA42E299-B6D3-47E1-889C-CCF6C78222A7}" name="5" dataDxfId="445" totalsRowDxfId="444" dataCellStyle="Comma"/>
    <tableColumn id="11" xr3:uid="{C41B4CE3-5178-4DAD-9852-7910010B05BE}" name="6" dataDxfId="443" totalsRowDxfId="442" dataCellStyle="Comma"/>
    <tableColumn id="12" xr3:uid="{B8F17A6D-FA16-49FE-804E-29FC8E7CE18F}" name="7" dataDxfId="441" totalsRowDxfId="440" dataCellStyle="Comma"/>
    <tableColumn id="13" xr3:uid="{3D4377C9-D08F-4A33-A22B-7C44BC08BFB9}" name="8" dataDxfId="439" totalsRowDxfId="438" dataCellStyle="Comma"/>
    <tableColumn id="15" xr3:uid="{02C04844-E7D4-435B-ACAE-18ADF2715162}" name="9" dataDxfId="437" totalsRowDxfId="436"/>
    <tableColumn id="3" xr3:uid="{E9099E43-171D-41A5-9894-1BD819CB75FA}" name="10" dataDxfId="435" totalsRowDxfId="434" dataCellStyle="Normal 3"/>
    <tableColumn id="4" xr3:uid="{11F42EFE-F9D3-4C99-881C-8F72D49C810B}" name="11" dataDxfId="433" totalsRowDxfId="432" dataCellStyle="Normal 3"/>
    <tableColumn id="5" xr3:uid="{09908DD7-2D15-44F9-9447-6B26CB1083BE}" name="12" dataDxfId="431" totalsRowDxfId="430" dataCellStyle="Normal 3"/>
    <tableColumn id="14" xr3:uid="{E6AB2217-1FA2-4935-9495-F44A1BA26AE4}" name="13" dataDxfId="429" totalsRowDxfId="428" dataCellStyle="Normal 3"/>
    <tableColumn id="16" xr3:uid="{21654B6A-D128-4408-8FA9-402DE5258659}" name="14" dataDxfId="427" totalsRowDxfId="426" dataCellStyle="Comma"/>
    <tableColumn id="17" xr3:uid="{93FC421B-1CC0-4666-BF74-16AB336B3D47}" name="15" dataDxfId="425" totalsRowDxfId="424" dataCellStyle="Normal 3"/>
    <tableColumn id="18" xr3:uid="{F616A230-BB73-49CF-B270-E6C3B2DBB5B8}" name="16" dataDxfId="423" totalsRowDxfId="422" dataCellStyle="Normal 3"/>
    <tableColumn id="19" xr3:uid="{43223240-DFD8-4C1F-8FDD-552A7A203AD1}" name="17" dataDxfId="421" totalsRowDxfId="420" dataCellStyle="Normal 3"/>
    <tableColumn id="20" xr3:uid="{33E33840-F3AD-496A-8371-BB3EEDF47E08}" name="18" dataDxfId="419" totalsRowDxfId="418" dataCellStyle="Normal 3"/>
    <tableColumn id="21" xr3:uid="{B6D06598-9DA0-46E0-B30F-795299692983}" name="19" dataDxfId="417" totalsRowDxfId="416" dataCellStyle="Normal 3"/>
    <tableColumn id="22" xr3:uid="{DD863563-86B4-48A4-8722-17A122E5746B}" name="20" dataDxfId="415" totalsRowDxfId="414" dataCellStyle="Normal 3"/>
    <tableColumn id="23" xr3:uid="{2E922A50-BBCA-4D11-96BE-B7D2AC16432A}" name="21" dataDxfId="413" totalsRowDxfId="412" dataCellStyle="Comma"/>
    <tableColumn id="24" xr3:uid="{4DECB531-3495-4E10-B5CB-E57A6B36193D}" name="22" dataDxfId="411" totalsRowDxfId="410" dataCellStyle="Normal 3"/>
    <tableColumn id="26" xr3:uid="{3105973D-7648-440D-95D9-B679840C5D36}" name="23" dataDxfId="409" totalsRowDxfId="408" dataCellStyle="Normal 3"/>
    <tableColumn id="27" xr3:uid="{96726EEB-AF7E-45F5-9C6F-5EBDFD377132}" name="24" dataDxfId="407" totalsRowDxfId="406" dataCellStyle="Normal 3"/>
    <tableColumn id="28" xr3:uid="{B348DDB4-89FC-4233-9519-3509E0636FDB}" name="25" dataDxfId="405" totalsRowDxfId="404" dataCellStyle="Normal 3"/>
    <tableColumn id="29" xr3:uid="{449F2C91-C930-4238-A94A-D0FF3C06E171}" name="26" dataDxfId="403" totalsRowDxfId="402" dataCellStyle="Normal 3"/>
    <tableColumn id="30" xr3:uid="{2596534C-C2AB-446E-B60A-B265E61FD01F}" name="27" dataDxfId="401" totalsRowDxfId="400" dataCellStyle="Normal 3"/>
    <tableColumn id="31" xr3:uid="{A76941AD-E6AD-4D07-926E-D7D39C949843}" name="28" dataDxfId="399" totalsRowDxfId="398" dataCellStyle="Comma"/>
    <tableColumn id="32" xr3:uid="{14442462-58A1-407A-9B48-FF9F16B9191B}" name="29" dataDxfId="397" totalsRowDxfId="396" dataCellStyle="Normal 3"/>
    <tableColumn id="33" xr3:uid="{82AD2708-F19E-4803-A104-F61827C206BC}" name="30" dataDxfId="395" totalsRowDxfId="394" dataCellStyle="Normal 3"/>
    <tableColumn id="34" xr3:uid="{A96C2F6D-B501-4839-9F51-9BB167A300F3}" name="31" dataDxfId="393" totalsRowDxfId="392" dataCellStyle="Normal 3"/>
    <tableColumn id="35" xr3:uid="{6B1E9A24-8009-4DA1-970E-BDE51A5725D4}" name=" الغياب بإذن" dataDxfId="391" totalsRowDxfId="390" dataCellStyle="Normal 3">
      <calculatedColumnFormula>IF((COUNTIFS(Ar_6[[#This Row],[1]:[31]],"&lt;&gt;T34",Ar_6[[#This Row],[1]:[31]],"&lt;&gt;")&lt;&gt;0),COUNTIFS(Ar_6[[#This Row],[1]:[31]],"&lt;&gt;T34",Ar_6[[#This Row],[1]:[31]],"&lt;&gt;"),"")</calculatedColumnFormula>
    </tableColumn>
    <tableColumn id="36" xr3:uid="{0FD98743-2DC3-4CB8-A10A-280266A5E5EB}" name="غياب بدون إذن" dataDxfId="389" totalsRowDxfId="388" dataCellStyle="Normal 3"/>
    <tableColumn id="2" xr3:uid="{BFD33F9B-7349-4E72-A58B-28AF83F37449}" name="حضور" dataDxfId="387" totalsRowDxfId="386" dataCellStyle="Normal 3"/>
    <tableColumn id="37" xr3:uid="{1DA37371-9F72-4C63-BF4F-96E5687EB7E3}" name="مجـ . الغياب" dataDxfId="385" totalsRowDxfId="384" dataCellStyle="Normal 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41D021-09F0-4D63-82DA-F33D8F2F7E0F}" name="Ar" displayName="Ar" ref="A4:AK43" totalsRowShown="0" headerRowDxfId="383" dataDxfId="381" totalsRowDxfId="379" headerRowBorderDxfId="382" tableBorderDxfId="380" totalsRowBorderDxfId="378" dataCellStyle="Normal 3">
  <autoFilter ref="A4:AK43" xr:uid="{5641D021-09F0-4D63-82DA-F33D8F2F7E0F}"/>
  <tableColumns count="37">
    <tableColumn id="1" xr3:uid="{9880DB50-6CED-430C-82A9-02068D9D48C5}" name="#" dataDxfId="377" totalsRowDxfId="376">
      <calculatedColumnFormula>+A4+1</calculatedColumnFormula>
    </tableColumn>
    <tableColumn id="6" xr3:uid="{E74E2372-7E48-40DD-9AC3-5083BF1C2315}" name="الاسم" dataDxfId="375"/>
    <tableColumn id="7" xr3:uid="{B9997532-7EB0-41C9-B222-5C831DDF362D}" name="1" dataDxfId="374" totalsRowDxfId="373"/>
    <tableColumn id="25" xr3:uid="{60839744-F52D-4EC7-92C8-5CFBAE169E20}" name="2" dataDxfId="372" totalsRowDxfId="371"/>
    <tableColumn id="8" xr3:uid="{66F0332C-1F0B-49F0-B28E-5800F0FF4767}" name="3" dataDxfId="370" totalsRowDxfId="369"/>
    <tableColumn id="9" xr3:uid="{82E66648-D380-43AA-8A8E-D588CD3096A7}" name="4" dataDxfId="368" totalsRowDxfId="367" dataCellStyle="Comma"/>
    <tableColumn id="10" xr3:uid="{317F757D-40AE-4921-93E4-E1EC9685D0D1}" name="5" dataDxfId="366" totalsRowDxfId="365" dataCellStyle="Comma"/>
    <tableColumn id="11" xr3:uid="{3F85853E-A9FB-44A7-B85B-1144C7553162}" name="6" dataDxfId="364" totalsRowDxfId="363" dataCellStyle="Comma"/>
    <tableColumn id="12" xr3:uid="{BCCC6EF9-291B-400D-8BE3-606FD1D5A45D}" name="7" dataDxfId="362" totalsRowDxfId="361" dataCellStyle="Comma"/>
    <tableColumn id="13" xr3:uid="{9402E337-E336-4402-923C-84536DB2EB2F}" name="8" dataDxfId="360" totalsRowDxfId="359" dataCellStyle="Comma"/>
    <tableColumn id="15" xr3:uid="{345ECF36-7A47-46D0-A7D5-B33FABFEE877}" name="9" dataDxfId="358" totalsRowDxfId="357"/>
    <tableColumn id="3" xr3:uid="{2050F113-E9B5-4981-9B19-4A63A872C634}" name="10" dataDxfId="356" totalsRowDxfId="355" dataCellStyle="Normal 3"/>
    <tableColumn id="4" xr3:uid="{DDF33038-91E0-4AD4-8718-22648B6441FB}" name="11" dataDxfId="354" totalsRowDxfId="353" dataCellStyle="Normal 3"/>
    <tableColumn id="5" xr3:uid="{2FD0B21F-A0C5-45CC-B06D-1C38A1040125}" name="12" dataDxfId="352" totalsRowDxfId="351" dataCellStyle="Normal 3"/>
    <tableColumn id="14" xr3:uid="{D5F65DD9-281D-48AA-AF9F-7026EB17B152}" name="13" dataDxfId="350" totalsRowDxfId="349" dataCellStyle="Normal 3"/>
    <tableColumn id="16" xr3:uid="{A417AB8F-69F0-43DA-B901-6F6864DE7A4E}" name="14" dataDxfId="348" totalsRowDxfId="347" dataCellStyle="Comma"/>
    <tableColumn id="17" xr3:uid="{0715C61E-9153-4DBC-B16B-2E9A19574A94}" name="15" dataDxfId="346" totalsRowDxfId="345" dataCellStyle="Normal 3"/>
    <tableColumn id="18" xr3:uid="{E7E1B94D-8794-42CC-835B-392570BC9875}" name="16" dataDxfId="344" totalsRowDxfId="343" dataCellStyle="Normal 3"/>
    <tableColumn id="19" xr3:uid="{0B64297D-99CB-48B0-B5DE-1356D7750F38}" name="17" dataDxfId="342" totalsRowDxfId="341" dataCellStyle="Normal 3"/>
    <tableColumn id="20" xr3:uid="{426C8404-B11D-4A2D-9F89-D47988D6AC0F}" name="18" dataDxfId="340" totalsRowDxfId="339" dataCellStyle="Normal 3"/>
    <tableColumn id="21" xr3:uid="{4D4C957F-A709-4FE1-A192-3CEDB41D5805}" name="19" dataDxfId="338" totalsRowDxfId="337" dataCellStyle="Normal 3"/>
    <tableColumn id="22" xr3:uid="{11E85431-8F9E-4708-AFB9-7E9F10A6C5EB}" name="20" dataDxfId="336" totalsRowDxfId="335" dataCellStyle="Normal 3"/>
    <tableColumn id="23" xr3:uid="{AC811804-4D1E-41A3-832C-B30F52E76566}" name="21" dataDxfId="334" totalsRowDxfId="333" dataCellStyle="Comma"/>
    <tableColumn id="24" xr3:uid="{AAA36D29-C1F6-4D60-ACCD-1851680A988A}" name="22" dataDxfId="332" totalsRowDxfId="331" dataCellStyle="Normal 3"/>
    <tableColumn id="26" xr3:uid="{5CDD4CF7-2938-47EE-815D-CCC6BF2B98E8}" name="23" dataDxfId="330" totalsRowDxfId="329" dataCellStyle="Normal 3"/>
    <tableColumn id="27" xr3:uid="{34B0CC59-6518-4BDF-9CA4-59706EC0A964}" name="24" dataDxfId="328" totalsRowDxfId="327" dataCellStyle="Normal 3"/>
    <tableColumn id="28" xr3:uid="{170EA2EE-4AC1-427F-BB43-7097C93046A9}" name="25" dataDxfId="326" totalsRowDxfId="325" dataCellStyle="Normal 3"/>
    <tableColumn id="29" xr3:uid="{A8D2198A-6D20-4BF0-AD19-62FD8047639D}" name="26" dataDxfId="324" totalsRowDxfId="323" dataCellStyle="Normal 3"/>
    <tableColumn id="30" xr3:uid="{F232CD41-E1BD-4866-8FEB-962768DA9787}" name="27" dataDxfId="322" totalsRowDxfId="321" dataCellStyle="Normal 3"/>
    <tableColumn id="31" xr3:uid="{739A9319-6B2D-4A6C-A1BB-B56FFBF2F8A1}" name="28" dataDxfId="320" totalsRowDxfId="319" dataCellStyle="Comma"/>
    <tableColumn id="32" xr3:uid="{B6EA961A-87DA-46ED-BB47-B2BF954E2683}" name="29" dataDxfId="318" totalsRowDxfId="317" dataCellStyle="Normal 3"/>
    <tableColumn id="33" xr3:uid="{51B00096-A19C-4B60-8EC7-8A0CEABC3BDB}" name="30" dataDxfId="316" totalsRowDxfId="315" dataCellStyle="Normal 3"/>
    <tableColumn id="34" xr3:uid="{1BC1EDF9-6927-44B0-BCD0-20CD5DC474EE}" name="31" dataDxfId="314" totalsRowDxfId="313" dataCellStyle="Normal 3"/>
    <tableColumn id="35" xr3:uid="{AF651EBC-55A8-4808-B551-66CAC0FD8E98}" name=" الغياب بإذن" dataDxfId="312" totalsRowDxfId="311" dataCellStyle="Normal 3">
      <calculatedColumnFormula>IF((COUNTIFS(Ar[[#This Row],[1]:[31]],"&lt;&gt;T34",Ar[[#This Row],[1]:[31]],"&lt;&gt;")&lt;&gt;0),COUNTIFS(Ar[[#This Row],[1]:[31]],"&lt;&gt;T34",Ar[[#This Row],[1]:[31]],"&lt;&gt;"),"")</calculatedColumnFormula>
    </tableColumn>
    <tableColumn id="36" xr3:uid="{F4BB2D80-02E1-498A-AE09-5E3A4314B44F}" name="غياب بدون إذن" dataDxfId="310" totalsRowDxfId="309" dataCellStyle="Normal 3"/>
    <tableColumn id="2" xr3:uid="{72C443D3-ED41-4F7C-96BA-B2C38D529E44}" name="حضور" dataDxfId="308" totalsRowDxfId="307" dataCellStyle="Normal 3"/>
    <tableColumn id="37" xr3:uid="{CC947875-2094-4817-953C-50DD0011512C}" name="مجـ . الغياب" dataDxfId="306" totalsRowDxfId="305" dataCellStyle="Normal 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4728CD-0870-42DA-B9EA-609227379CBB}" name="Ar_3" displayName="Ar_3" ref="A4:AK43" totalsRowShown="0" headerRowDxfId="304" dataDxfId="302" totalsRowDxfId="300" headerRowBorderDxfId="303" tableBorderDxfId="301" totalsRowBorderDxfId="299" dataCellStyle="Normal 3">
  <autoFilter ref="A4:AK43" xr:uid="{C14728CD-0870-42DA-B9EA-609227379CBB}"/>
  <tableColumns count="37">
    <tableColumn id="1" xr3:uid="{12AB74EB-ACA3-4528-9947-0B4F1FFFEBAC}" name="#" dataDxfId="298" totalsRowDxfId="297">
      <calculatedColumnFormula>+A4+1</calculatedColumnFormula>
    </tableColumn>
    <tableColumn id="6" xr3:uid="{5249F203-1179-4FED-BDF4-24B82F5B816B}" name="الاسم" dataDxfId="296"/>
    <tableColumn id="7" xr3:uid="{5CB4ECA5-F8BC-4F63-9FB6-25846E202283}" name="1" dataDxfId="295" totalsRowDxfId="294"/>
    <tableColumn id="25" xr3:uid="{133247A5-F218-486B-93B1-A4C65F0175ED}" name="2" dataDxfId="293" totalsRowDxfId="292"/>
    <tableColumn id="8" xr3:uid="{4F3AEAE6-E48F-4A6B-9D32-A68C7B51627A}" name="3" dataDxfId="291" totalsRowDxfId="290"/>
    <tableColumn id="9" xr3:uid="{B18CCDA2-81E3-468F-ADB7-500F4B835756}" name="4" dataDxfId="289" totalsRowDxfId="288" dataCellStyle="Comma"/>
    <tableColumn id="10" xr3:uid="{4598EBEA-74B6-48F0-B0CC-32E5EBA08A4A}" name="5" dataDxfId="287" totalsRowDxfId="286" dataCellStyle="Comma"/>
    <tableColumn id="11" xr3:uid="{2A1804E0-5D89-4D3A-90D4-534A639DEC9A}" name="6" dataDxfId="285" totalsRowDxfId="284" dataCellStyle="Comma"/>
    <tableColumn id="12" xr3:uid="{9D850654-C7BD-4D1A-A402-1B3EE046A01C}" name="7" dataDxfId="283" totalsRowDxfId="282" dataCellStyle="Comma"/>
    <tableColumn id="13" xr3:uid="{C10A5595-4100-4568-B4D9-5711E8828297}" name="8" dataDxfId="281" totalsRowDxfId="280" dataCellStyle="Comma"/>
    <tableColumn id="15" xr3:uid="{D7C05451-0A07-447C-8E42-4BD864B2F62B}" name="9" dataDxfId="279" totalsRowDxfId="278"/>
    <tableColumn id="3" xr3:uid="{077CAC6E-7432-4E74-AA16-3522C6667988}" name="10" dataDxfId="277" totalsRowDxfId="276" dataCellStyle="Normal 3"/>
    <tableColumn id="4" xr3:uid="{181E825A-B36E-459C-9F5E-49437B32C561}" name="11" dataDxfId="275" totalsRowDxfId="274" dataCellStyle="Normal 3"/>
    <tableColumn id="5" xr3:uid="{8D27A6B3-FCDD-4D57-B403-D093FE758138}" name="12" dataDxfId="273" totalsRowDxfId="272" dataCellStyle="Normal 3"/>
    <tableColumn id="14" xr3:uid="{646ABE37-F9BE-4E18-BFC3-1E5AB6D14286}" name="13" dataDxfId="271" totalsRowDxfId="270" dataCellStyle="Normal 3"/>
    <tableColumn id="16" xr3:uid="{AE58BE92-335C-48BE-B111-3AE6FBF93AC4}" name="14" dataDxfId="269" totalsRowDxfId="268" dataCellStyle="Comma"/>
    <tableColumn id="17" xr3:uid="{33D5DB60-3ED6-4E63-82AA-409AC6B3EF48}" name="15" dataDxfId="267" totalsRowDxfId="266" dataCellStyle="Normal 3"/>
    <tableColumn id="18" xr3:uid="{DBCEEB82-2E27-4D84-B2BA-D5D70CD715E0}" name="16" dataDxfId="265" totalsRowDxfId="264" dataCellStyle="Normal 3"/>
    <tableColumn id="19" xr3:uid="{6320E2CB-0347-4E43-835C-870320CEE831}" name="17" dataDxfId="263" totalsRowDxfId="262" dataCellStyle="Normal 3"/>
    <tableColumn id="20" xr3:uid="{95DA6AEF-BAFE-4426-A7B4-3BD53C192552}" name="18" dataDxfId="261" totalsRowDxfId="260" dataCellStyle="Normal 3"/>
    <tableColumn id="21" xr3:uid="{5792BD07-6476-4FE1-911C-568BC2BCDE1E}" name="19" dataDxfId="259" totalsRowDxfId="258" dataCellStyle="Normal 3"/>
    <tableColumn id="22" xr3:uid="{4976CA12-0460-4F53-AE22-871BEA1DD7FC}" name="20" dataDxfId="257" totalsRowDxfId="256" dataCellStyle="Normal 3"/>
    <tableColumn id="23" xr3:uid="{A1115043-C36B-4802-B720-74264678B517}" name="21" dataDxfId="255" totalsRowDxfId="254" dataCellStyle="Comma"/>
    <tableColumn id="24" xr3:uid="{D5A4CA30-B8DB-43C3-AAC3-358B3A9B45EF}" name="22" dataDxfId="253" totalsRowDxfId="252" dataCellStyle="Normal 3"/>
    <tableColumn id="26" xr3:uid="{E58DBF29-E197-4A58-AA0C-064591CDF8D3}" name="23" dataDxfId="251" totalsRowDxfId="250" dataCellStyle="Normal 3"/>
    <tableColumn id="27" xr3:uid="{D7AE5A6A-E476-4797-8467-64BAB3C5EA2A}" name="24" dataDxfId="249" totalsRowDxfId="248" dataCellStyle="Normal 3"/>
    <tableColumn id="28" xr3:uid="{F231F6A6-8E43-4178-82F3-37F24BC3AE1C}" name="25" dataDxfId="247" totalsRowDxfId="246" dataCellStyle="Normal 3"/>
    <tableColumn id="29" xr3:uid="{853DD196-C185-405D-91FA-CC962ACCB4BB}" name="26" dataDxfId="245" totalsRowDxfId="244" dataCellStyle="Normal 3"/>
    <tableColumn id="30" xr3:uid="{F077BA44-EF3C-4684-94A4-7151FFA14FF0}" name="27" dataDxfId="243" totalsRowDxfId="242" dataCellStyle="Normal 3"/>
    <tableColumn id="31" xr3:uid="{711BA4FC-0D2B-4DCD-8E8D-09516D03FF0C}" name="28" dataDxfId="241" totalsRowDxfId="240" dataCellStyle="Comma"/>
    <tableColumn id="32" xr3:uid="{DCF194AC-8D6C-44AB-B51E-A91DD962190B}" name="29" dataDxfId="239" totalsRowDxfId="238" dataCellStyle="Normal 3"/>
    <tableColumn id="33" xr3:uid="{B6837F3F-393F-4284-BE93-ACE2FC6999CA}" name="30" dataDxfId="237" totalsRowDxfId="236" dataCellStyle="Normal 3"/>
    <tableColumn id="34" xr3:uid="{EAA8D031-876B-45DD-AB02-1E71E7DE5BCC}" name="31" dataDxfId="235" totalsRowDxfId="234" dataCellStyle="Normal 3"/>
    <tableColumn id="35" xr3:uid="{A5843339-2D67-4CA3-9F73-B53EE3EE912E}" name=" الغياب بإذن" dataDxfId="233" totalsRowDxfId="232" dataCellStyle="Normal 3">
      <calculatedColumnFormula>IF((COUNTIFS(Ar_3[[#This Row],[1]:[31]],"&lt;&gt;T34",Ar_3[[#This Row],[1]:[31]],"&lt;&gt;")&lt;&gt;0),COUNTIFS(Ar_3[[#This Row],[1]:[31]],"&lt;&gt;T34",Ar_3[[#This Row],[1]:[31]],"&lt;&gt;"),"")</calculatedColumnFormula>
    </tableColumn>
    <tableColumn id="36" xr3:uid="{2DC2C005-F925-4F0D-B761-C099E9640958}" name="غياب بدون إذن" dataDxfId="231" totalsRowDxfId="230" dataCellStyle="Normal 3"/>
    <tableColumn id="2" xr3:uid="{A42760B9-2AC6-434A-8DDB-64770EB55851}" name="حضور" dataDxfId="229" totalsRowDxfId="228" dataCellStyle="Normal 3"/>
    <tableColumn id="37" xr3:uid="{1D23B722-CE08-4A9D-BFE9-315B2AB6225A}" name="مجـ . الغياب" dataDxfId="227" totalsRowDxfId="226" dataCellStyle="Normal 3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2A811B-BDAE-45C7-A313-988ED008677A}" name="Ar_4" displayName="Ar_4" ref="A4:AK43" totalsRowShown="0" headerRowDxfId="225" dataDxfId="223" totalsRowDxfId="221" headerRowBorderDxfId="224" tableBorderDxfId="222" totalsRowBorderDxfId="220" dataCellStyle="Normal 3">
  <autoFilter ref="A4:AK43" xr:uid="{852A811B-BDAE-45C7-A313-988ED008677A}"/>
  <tableColumns count="37">
    <tableColumn id="1" xr3:uid="{71795CE5-8351-4C84-80E9-7BF6E96C4A47}" name="#" dataDxfId="219" totalsRowDxfId="218">
      <calculatedColumnFormula>+A4+1</calculatedColumnFormula>
    </tableColumn>
    <tableColumn id="6" xr3:uid="{F53AB53F-37BC-4D84-986B-0E1FE38A6CF0}" name="الاسم" dataDxfId="217"/>
    <tableColumn id="7" xr3:uid="{431742FB-3B4D-4FD5-A26F-D26AC8527868}" name="1" dataDxfId="216" totalsRowDxfId="215"/>
    <tableColumn id="25" xr3:uid="{2CFB5FFA-34F3-453B-9BFB-824C6076164B}" name="2" dataDxfId="214" totalsRowDxfId="213"/>
    <tableColumn id="8" xr3:uid="{B1F05067-33ED-4F10-8256-574D8FFCF257}" name="3" dataDxfId="212" totalsRowDxfId="211"/>
    <tableColumn id="9" xr3:uid="{917B4D09-5265-4F59-A34E-957F44C600B1}" name="4" dataDxfId="210" totalsRowDxfId="209" dataCellStyle="Comma"/>
    <tableColumn id="10" xr3:uid="{2D91E4AF-B2F6-4A30-B143-DE0575878369}" name="5" dataDxfId="208" totalsRowDxfId="207" dataCellStyle="Comma"/>
    <tableColumn id="11" xr3:uid="{F33F5847-E0CE-4397-BF02-E3663DFDC2D6}" name="6" dataDxfId="206" totalsRowDxfId="205" dataCellStyle="Comma"/>
    <tableColumn id="12" xr3:uid="{E33BC9C2-C25E-4C9B-878C-5003E72B97F8}" name="7" dataDxfId="204" totalsRowDxfId="203" dataCellStyle="Comma"/>
    <tableColumn id="13" xr3:uid="{8DE21AD5-FC0D-4E94-ACE5-D6E8B45BDA56}" name="8" dataDxfId="202" totalsRowDxfId="201" dataCellStyle="Comma"/>
    <tableColumn id="15" xr3:uid="{0FCD6847-44BF-4C13-B88F-39A79E96F386}" name="9" dataDxfId="200" totalsRowDxfId="199"/>
    <tableColumn id="3" xr3:uid="{8314CCF9-B566-4081-A254-D2BEA789D2DD}" name="10" dataDxfId="198" totalsRowDxfId="197" dataCellStyle="Normal 3"/>
    <tableColumn id="4" xr3:uid="{557A1A95-122B-49AA-8EAD-C074BA1D238A}" name="11" dataDxfId="196" totalsRowDxfId="195" dataCellStyle="Normal 3"/>
    <tableColumn id="5" xr3:uid="{1ECC9D16-047B-4D51-AD26-A5CF8C646CF5}" name="12" dataDxfId="194" totalsRowDxfId="193" dataCellStyle="Normal 3"/>
    <tableColumn id="14" xr3:uid="{F50222B7-FE63-48B2-A93D-684CB87DF0CD}" name="13" dataDxfId="192" totalsRowDxfId="191" dataCellStyle="Normal 3"/>
    <tableColumn id="16" xr3:uid="{17C86AF8-AC12-4ABE-96CE-9BF9AEA665B5}" name="14" dataDxfId="190" totalsRowDxfId="189" dataCellStyle="Comma"/>
    <tableColumn id="17" xr3:uid="{5CFD93EE-199E-4360-9DFD-D479297ADDC2}" name="15" dataDxfId="188" totalsRowDxfId="187" dataCellStyle="Normal 3"/>
    <tableColumn id="18" xr3:uid="{2DA36588-71D4-4251-AD72-3620D4EF450F}" name="16" dataDxfId="186" totalsRowDxfId="185" dataCellStyle="Normal 3"/>
    <tableColumn id="19" xr3:uid="{F9477DF3-45D6-4487-ACD5-8D5C4E6C660C}" name="17" dataDxfId="184" totalsRowDxfId="183" dataCellStyle="Normal 3"/>
    <tableColumn id="20" xr3:uid="{E32C1E30-2877-49A0-8B2D-FA949A85502C}" name="18" dataDxfId="182" totalsRowDxfId="181" dataCellStyle="Normal 3"/>
    <tableColumn id="21" xr3:uid="{2AC217E0-6733-44D0-BD4D-29F0CC9F1BBD}" name="19" dataDxfId="180" totalsRowDxfId="179" dataCellStyle="Normal 3"/>
    <tableColumn id="22" xr3:uid="{EA3E8DA2-C4F2-4300-840D-75FD6C11ABF8}" name="20" dataDxfId="178" totalsRowDxfId="177" dataCellStyle="Normal 3"/>
    <tableColumn id="23" xr3:uid="{28CCF388-A4B2-430F-94EF-F35078ADB158}" name="21" dataDxfId="176" totalsRowDxfId="175" dataCellStyle="Comma"/>
    <tableColumn id="24" xr3:uid="{5B6DB6BB-D938-42BF-850C-CD4F820BE7ED}" name="22" dataDxfId="174" totalsRowDxfId="173" dataCellStyle="Normal 3"/>
    <tableColumn id="26" xr3:uid="{F6C54E23-DBE1-45A3-B482-618CD346B80E}" name="23" dataDxfId="172" totalsRowDxfId="171" dataCellStyle="Normal 3"/>
    <tableColumn id="27" xr3:uid="{DAED064D-3FDC-461E-BE83-882B7B718680}" name="24" dataDxfId="170" totalsRowDxfId="169" dataCellStyle="Normal 3"/>
    <tableColumn id="28" xr3:uid="{6729C6E5-1E47-42E5-8A70-86105CDE32F8}" name="25" dataDxfId="168" totalsRowDxfId="167" dataCellStyle="Normal 3"/>
    <tableColumn id="29" xr3:uid="{E9A7CE83-B0C4-407E-BAD3-9E2647DDE6AD}" name="26" dataDxfId="166" totalsRowDxfId="165" dataCellStyle="Normal 3"/>
    <tableColumn id="30" xr3:uid="{08965E19-4CAC-4936-83F9-C849A51507AB}" name="27" dataDxfId="164" totalsRowDxfId="163" dataCellStyle="Normal 3"/>
    <tableColumn id="31" xr3:uid="{6D6A79AA-9E3C-4D78-9CA5-2555BBEC8918}" name="28" dataDxfId="162" totalsRowDxfId="161" dataCellStyle="Comma"/>
    <tableColumn id="32" xr3:uid="{E49D44B8-1EF9-46B9-BB18-B13FAA910F23}" name="29" dataDxfId="160" totalsRowDxfId="159" dataCellStyle="Normal 3"/>
    <tableColumn id="33" xr3:uid="{3DD0396B-4A1C-4871-B4B4-0BD0A4704028}" name="30" dataDxfId="158" totalsRowDxfId="157" dataCellStyle="Normal 3"/>
    <tableColumn id="34" xr3:uid="{F69A325C-8C81-467A-82CE-164953DD1D9C}" name="31" dataDxfId="156" totalsRowDxfId="155" dataCellStyle="Normal 3"/>
    <tableColumn id="35" xr3:uid="{F6117A7F-A5DE-43AF-AC4E-E45B5EA56861}" name=" الغياب بإذن" dataDxfId="154" totalsRowDxfId="153" dataCellStyle="Normal 3">
      <calculatedColumnFormula>IF((COUNTIFS(Ar_4[[#This Row],[1]:[31]],"&lt;&gt;T34",Ar_4[[#This Row],[1]:[31]],"&lt;&gt;")&lt;&gt;0),COUNTIFS(Ar_4[[#This Row],[1]:[31]],"&lt;&gt;T34",Ar_4[[#This Row],[1]:[31]],"&lt;&gt;"),"")</calculatedColumnFormula>
    </tableColumn>
    <tableColumn id="36" xr3:uid="{8B260AFC-1954-4A4F-A32F-6D4F7DA29E6A}" name="غياب بدون إذن" dataDxfId="152" totalsRowDxfId="151" dataCellStyle="Normal 3"/>
    <tableColumn id="2" xr3:uid="{61B0E0F4-C9F7-4141-AFF6-56C6094C641E}" name="حضور" dataDxfId="150" totalsRowDxfId="149" dataCellStyle="Normal 3"/>
    <tableColumn id="37" xr3:uid="{9C0EF586-0918-4C63-A242-E72808055462}" name="مجـ . الغياب" dataDxfId="148" totalsRowDxfId="147" dataCellStyle="Normal 3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E26ACC-7682-4E80-8E12-5668EDA7D9FE}" name="Ar_45" displayName="Ar_45" ref="A4:AK43" totalsRowShown="0" headerRowDxfId="146" dataDxfId="144" totalsRowDxfId="142" headerRowBorderDxfId="145" tableBorderDxfId="143" totalsRowBorderDxfId="141" dataCellStyle="Normal 3">
  <autoFilter ref="A4:AK43" xr:uid="{31E26ACC-7682-4E80-8E12-5668EDA7D9FE}"/>
  <tableColumns count="37">
    <tableColumn id="1" xr3:uid="{E22E307E-1544-4246-97A9-1FD4C07F88D9}" name="#" dataDxfId="140" totalsRowDxfId="139">
      <calculatedColumnFormula>+A4+1</calculatedColumnFormula>
    </tableColumn>
    <tableColumn id="6" xr3:uid="{5EF7FA20-4E33-4FEC-B812-C258EBB7706A}" name="الاسم" dataDxfId="138"/>
    <tableColumn id="7" xr3:uid="{CE9A3565-DC54-436B-A405-3F6F21D3FF33}" name="1" dataDxfId="137" totalsRowDxfId="136"/>
    <tableColumn id="25" xr3:uid="{F713E435-4611-426F-8CDC-A3EDA6FECA0C}" name="2" dataDxfId="135" totalsRowDxfId="134"/>
    <tableColumn id="8" xr3:uid="{0FD9E67B-B32D-4A11-B2B1-F44A72467D47}" name="3" dataDxfId="133" totalsRowDxfId="132"/>
    <tableColumn id="9" xr3:uid="{BA6F0B9E-BE4D-4151-9FDF-9F1BF3C5873C}" name="4" dataDxfId="131" totalsRowDxfId="130" dataCellStyle="Comma"/>
    <tableColumn id="10" xr3:uid="{85B1EA5A-1170-45A9-9968-C9054C3679DA}" name="5" dataDxfId="129" totalsRowDxfId="128" dataCellStyle="Comma"/>
    <tableColumn id="11" xr3:uid="{59DF9E78-9A22-4DEA-A23E-7E6C1D9E48CD}" name="6" dataDxfId="127" totalsRowDxfId="126" dataCellStyle="Comma"/>
    <tableColumn id="12" xr3:uid="{B7B26D05-9C46-4851-A533-B7AD25341B1C}" name="7" dataDxfId="125" totalsRowDxfId="124" dataCellStyle="Comma"/>
    <tableColumn id="13" xr3:uid="{9BB3D268-BF44-4B1D-AECC-7C4CE3969C59}" name="8" dataDxfId="123" totalsRowDxfId="122" dataCellStyle="Comma"/>
    <tableColumn id="15" xr3:uid="{0B28FCA8-5FE2-4E09-BF33-55B412D345B6}" name="9" dataDxfId="121" totalsRowDxfId="120"/>
    <tableColumn id="3" xr3:uid="{73E699EF-755C-444E-B796-EA710B475932}" name="10" dataDxfId="119" totalsRowDxfId="118" dataCellStyle="Normal 3"/>
    <tableColumn id="4" xr3:uid="{85F5249C-36D8-40BB-8EF8-D1FCE06BC30F}" name="11" dataDxfId="117" totalsRowDxfId="116" dataCellStyle="Normal 3"/>
    <tableColumn id="5" xr3:uid="{A6BDCEE0-7A4D-4F15-9AE8-6DD48510851A}" name="12" dataDxfId="115" totalsRowDxfId="114" dataCellStyle="Normal 3"/>
    <tableColumn id="14" xr3:uid="{992140E0-5E79-44CB-98EB-23BC4C00D7EF}" name="13" dataDxfId="113" totalsRowDxfId="112" dataCellStyle="Normal 3"/>
    <tableColumn id="16" xr3:uid="{59369D6A-2A1B-46A8-976A-E2A469F2109A}" name="14" dataDxfId="111" totalsRowDxfId="110" dataCellStyle="Comma"/>
    <tableColumn id="17" xr3:uid="{06628239-8AB9-4547-8DA3-F614EEA17488}" name="15" dataDxfId="109" totalsRowDxfId="108" dataCellStyle="Normal 3"/>
    <tableColumn id="18" xr3:uid="{02679623-79EA-4BD8-A9C8-A2B490DEF390}" name="16" dataDxfId="107" totalsRowDxfId="106" dataCellStyle="Normal 3"/>
    <tableColumn id="19" xr3:uid="{88ABBBEA-5CDF-4CFD-A1B2-B1FF223B6427}" name="17" dataDxfId="105" totalsRowDxfId="104" dataCellStyle="Normal 3"/>
    <tableColumn id="20" xr3:uid="{44F1DF80-85E5-4F7D-9E2D-C4484E2C2578}" name="18" dataDxfId="103" totalsRowDxfId="102" dataCellStyle="Normal 3"/>
    <tableColumn id="21" xr3:uid="{BA240AA7-DA6D-4EBA-96B7-33F65FAD6095}" name="19" dataDxfId="101" totalsRowDxfId="100" dataCellStyle="Normal 3"/>
    <tableColumn id="22" xr3:uid="{0670E9AD-9E78-4F87-9258-8DB5A21C6D0E}" name="20" dataDxfId="99" totalsRowDxfId="98" dataCellStyle="Normal 3"/>
    <tableColumn id="23" xr3:uid="{CB2B8D37-4FEC-4415-9E33-622CD6C11348}" name="21" dataDxfId="97" totalsRowDxfId="96" dataCellStyle="Comma"/>
    <tableColumn id="24" xr3:uid="{F1E8D70D-4B12-4BDA-8D12-FC262ED97FF2}" name="22" dataDxfId="95" totalsRowDxfId="94" dataCellStyle="Normal 3"/>
    <tableColumn id="26" xr3:uid="{A8581A1D-C41C-4F58-BC75-8BF70953DFA4}" name="23" dataDxfId="93" totalsRowDxfId="92" dataCellStyle="Normal 3"/>
    <tableColumn id="27" xr3:uid="{91CCB53D-D42B-435E-8759-DE65D16E8565}" name="24" dataDxfId="91" totalsRowDxfId="90" dataCellStyle="Normal 3"/>
    <tableColumn id="28" xr3:uid="{B7CB976B-CEC4-4E1B-BDF1-2C7AABD5587E}" name="25" dataDxfId="89" totalsRowDxfId="88" dataCellStyle="Normal 3"/>
    <tableColumn id="29" xr3:uid="{5BAD2661-49DD-4C89-91D0-69F835E360F3}" name="26" dataDxfId="87" totalsRowDxfId="86" dataCellStyle="Normal 3"/>
    <tableColumn id="30" xr3:uid="{87F82809-A7AB-4781-BFBA-36B15E1C312E}" name="27" dataDxfId="85" totalsRowDxfId="84" dataCellStyle="Normal 3"/>
    <tableColumn id="31" xr3:uid="{4AF7F393-369C-4CE5-9144-A57DD189F895}" name="28" dataDxfId="83" totalsRowDxfId="82" dataCellStyle="Comma"/>
    <tableColumn id="32" xr3:uid="{368A4F8B-E9DF-4A02-B526-3A2F3D5DF8EC}" name="29" dataDxfId="81" totalsRowDxfId="80" dataCellStyle="Normal 3"/>
    <tableColumn id="33" xr3:uid="{442E5641-1C53-46EB-BD5A-93ACD4967295}" name="30" dataDxfId="79" totalsRowDxfId="78" dataCellStyle="Normal 3"/>
    <tableColumn id="34" xr3:uid="{4807537C-3909-4BD2-8F9F-BD0FA3D9DB33}" name="31" dataDxfId="77" totalsRowDxfId="76" dataCellStyle="Normal 3"/>
    <tableColumn id="35" xr3:uid="{0D025369-3232-4A44-BFF6-203B6091F49F}" name=" الغياب بإذن" dataDxfId="75" totalsRowDxfId="74" dataCellStyle="Normal 3">
      <calculatedColumnFormula>IF((COUNTIFS(Ar_45[[#This Row],[1]:[31]],"&lt;&gt;T34",Ar_45[[#This Row],[1]:[31]],"&lt;&gt;")&lt;&gt;0),COUNTIFS(Ar_45[[#This Row],[1]:[31]],"&lt;&gt;T34",Ar_45[[#This Row],[1]:[31]],"&lt;&gt;"),"")</calculatedColumnFormula>
    </tableColumn>
    <tableColumn id="36" xr3:uid="{0111DC76-B994-4ED0-9F83-865DC3CD25DD}" name="غياب بدون إذن" dataDxfId="73" totalsRowDxfId="72" dataCellStyle="Normal 3"/>
    <tableColumn id="2" xr3:uid="{023D28AE-2AC4-435A-A610-F75DBFA2651A}" name="حضور" dataDxfId="71" totalsRowDxfId="70" dataCellStyle="Normal 3"/>
    <tableColumn id="37" xr3:uid="{CB7AA3BC-70A8-4BEF-8186-C89CF6168AE2}" name="مجـ . الغياب" dataDxfId="69" totalsRowDxfId="68" dataCellStyle="Normal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3-07-04T12:46:41.91" personId="{1783CA84-3718-4FE9-BCE8-F6B4ECD5F36F}" id="{347ED60C-3BF3-4C70-8639-CD1C4DB86B05}">
    <text xml:space="preserve">6 5 ..
</text>
  </threadedComment>
  <threadedComment ref="B22" dT="2023-07-04T12:45:52.92" personId="{1783CA84-3718-4FE9-BCE8-F6B4ECD5F36F}" id="{8EB28CD5-18C3-481A-A167-A4201D764B09}">
    <text xml:space="preserve">7 ...
</text>
  </threadedComment>
  <threadedComment ref="B38" dT="2023-07-04T12:45:10.85" personId="{1783CA84-3718-4FE9-BCE8-F6B4ECD5F36F}" id="{8A24DB30-B2AF-4189-BA8D-E427E8564041}">
    <text>6       25        0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rightToLeft="1" workbookViewId="0">
      <selection sqref="A1:H19"/>
    </sheetView>
  </sheetViews>
  <sheetFormatPr defaultRowHeight="14.25"/>
  <sheetData>
    <row r="1" spans="1:8">
      <c r="A1" s="3"/>
      <c r="B1" s="3"/>
      <c r="C1" s="3"/>
      <c r="D1" s="3"/>
      <c r="E1" s="3"/>
      <c r="F1" s="3"/>
      <c r="G1" s="3"/>
      <c r="H1" s="3"/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3"/>
      <c r="B3" s="3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183"/>
      <c r="E6" s="183"/>
      <c r="F6" s="3"/>
      <c r="G6" s="3"/>
      <c r="H6" s="3"/>
    </row>
    <row r="7" spans="1:8" ht="15.75">
      <c r="A7" s="3"/>
      <c r="B7" s="3"/>
      <c r="C7" s="3"/>
      <c r="D7" s="4" t="s">
        <v>0</v>
      </c>
      <c r="E7" s="4" t="s">
        <v>1</v>
      </c>
      <c r="F7" s="4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</sheetData>
  <mergeCells count="1">
    <mergeCell ref="D6:E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73642-9F20-4C0A-A56A-F7252202BC8F}">
  <dimension ref="A1"/>
  <sheetViews>
    <sheetView rightToLeft="1" workbookViewId="0">
      <selection activeCell="C1" sqref="C1:C1048576"/>
    </sheetView>
  </sheetViews>
  <sheetFormatPr defaultRowHeight="14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F734-CCC7-426A-8C09-67E32A9D95C3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1927-A181-474F-81EE-392FC77493D5}">
  <dimension ref="A1:Z57"/>
  <sheetViews>
    <sheetView rightToLeft="1" topLeftCell="A37" workbookViewId="0">
      <selection activeCell="L42" sqref="L42"/>
    </sheetView>
  </sheetViews>
  <sheetFormatPr defaultRowHeight="14.25"/>
  <cols>
    <col min="1" max="1" width="3.875" customWidth="1"/>
    <col min="2" max="2" width="16.25" customWidth="1"/>
    <col min="5" max="5" width="5.625" customWidth="1"/>
    <col min="6" max="6" width="6" customWidth="1"/>
    <col min="7" max="7" width="5.125" hidden="1" customWidth="1"/>
    <col min="8" max="9" width="0" hidden="1" customWidth="1"/>
    <col min="10" max="10" width="5.875" customWidth="1"/>
    <col min="11" max="11" width="6.375" customWidth="1"/>
    <col min="12" max="12" width="7.875" customWidth="1"/>
    <col min="13" max="13" width="8.125" customWidth="1"/>
    <col min="15" max="15" width="6" customWidth="1"/>
    <col min="16" max="16" width="6.375" customWidth="1"/>
    <col min="17" max="17" width="6.125" customWidth="1"/>
    <col min="18" max="18" width="7.75" customWidth="1"/>
    <col min="19" max="19" width="7.375" customWidth="1"/>
    <col min="20" max="20" width="5.75" customWidth="1"/>
    <col min="21" max="21" width="26.875" bestFit="1" customWidth="1"/>
    <col min="23" max="23" width="7.125" customWidth="1"/>
  </cols>
  <sheetData>
    <row r="1" spans="1:26" ht="27" thickBot="1">
      <c r="C1" s="15" t="s">
        <v>2</v>
      </c>
      <c r="D1" s="185">
        <v>45078</v>
      </c>
      <c r="E1" s="185"/>
      <c r="F1" s="185"/>
      <c r="G1" s="16"/>
      <c r="H1" s="16"/>
      <c r="I1" s="17"/>
      <c r="J1" s="18"/>
      <c r="K1" s="184">
        <v>45111</v>
      </c>
      <c r="L1" s="184"/>
      <c r="M1" s="6"/>
      <c r="N1" s="43">
        <v>38620</v>
      </c>
      <c r="O1" s="9"/>
      <c r="P1" s="9"/>
      <c r="Q1" s="7"/>
      <c r="R1" s="7"/>
      <c r="S1" s="19"/>
      <c r="U1" s="20"/>
      <c r="V1" s="9"/>
    </row>
    <row r="2" spans="1:26" ht="16.5" thickBot="1">
      <c r="A2" s="188" t="s">
        <v>3</v>
      </c>
      <c r="B2" s="188" t="s">
        <v>4</v>
      </c>
      <c r="C2" s="190" t="s">
        <v>5</v>
      </c>
      <c r="D2" s="192" t="s">
        <v>6</v>
      </c>
      <c r="E2" s="192" t="s">
        <v>7</v>
      </c>
      <c r="F2" s="21" t="s">
        <v>8</v>
      </c>
      <c r="G2" s="8"/>
      <c r="H2" s="186" t="s">
        <v>9</v>
      </c>
      <c r="I2" s="186" t="s">
        <v>10</v>
      </c>
      <c r="J2" s="200" t="s">
        <v>11</v>
      </c>
      <c r="K2" s="190" t="s">
        <v>12</v>
      </c>
      <c r="L2" s="198" t="s">
        <v>1</v>
      </c>
      <c r="M2" s="194" t="s">
        <v>13</v>
      </c>
      <c r="N2" s="194" t="s">
        <v>14</v>
      </c>
      <c r="O2" s="186" t="s">
        <v>15</v>
      </c>
      <c r="P2" s="1"/>
      <c r="Q2" s="196" t="s">
        <v>16</v>
      </c>
      <c r="R2" s="196" t="s">
        <v>17</v>
      </c>
      <c r="S2" s="194" t="s">
        <v>18</v>
      </c>
      <c r="T2" s="190" t="s">
        <v>19</v>
      </c>
      <c r="U2" s="203" t="s">
        <v>20</v>
      </c>
      <c r="V2" s="14" t="s">
        <v>21</v>
      </c>
      <c r="W2" s="190" t="s">
        <v>22</v>
      </c>
      <c r="X2" s="205" t="s">
        <v>23</v>
      </c>
      <c r="Y2" s="201" t="s">
        <v>24</v>
      </c>
      <c r="Z2" s="13"/>
    </row>
    <row r="3" spans="1:26" ht="30.75" thickBot="1">
      <c r="A3" s="189"/>
      <c r="B3" s="189"/>
      <c r="C3" s="191"/>
      <c r="D3" s="193"/>
      <c r="E3" s="193"/>
      <c r="F3" s="22" t="s">
        <v>25</v>
      </c>
      <c r="G3" s="2" t="s">
        <v>8</v>
      </c>
      <c r="H3" s="187"/>
      <c r="I3" s="187"/>
      <c r="J3" s="191"/>
      <c r="K3" s="191"/>
      <c r="L3" s="199"/>
      <c r="M3" s="195"/>
      <c r="N3" s="195"/>
      <c r="O3" s="187"/>
      <c r="P3" s="2" t="s">
        <v>26</v>
      </c>
      <c r="Q3" s="197"/>
      <c r="R3" s="197"/>
      <c r="S3" s="195"/>
      <c r="T3" s="191"/>
      <c r="U3" s="204"/>
      <c r="V3" s="10" t="s">
        <v>27</v>
      </c>
      <c r="W3" s="191"/>
      <c r="X3" s="206"/>
      <c r="Y3" s="202"/>
    </row>
    <row r="4" spans="1:26" ht="45.95" customHeight="1" thickBot="1">
      <c r="A4" s="23">
        <v>1</v>
      </c>
      <c r="B4" s="47" t="s">
        <v>29</v>
      </c>
      <c r="C4" s="44"/>
      <c r="D4" s="24">
        <v>5600</v>
      </c>
      <c r="E4" s="25">
        <v>186.66666666666666</v>
      </c>
      <c r="F4" s="26">
        <v>100</v>
      </c>
      <c r="G4" s="11"/>
      <c r="H4" s="12"/>
      <c r="I4" s="12"/>
      <c r="J4" s="20">
        <v>0</v>
      </c>
      <c r="K4" s="20">
        <v>0</v>
      </c>
      <c r="L4" s="28">
        <v>0</v>
      </c>
      <c r="M4" s="28"/>
      <c r="N4" s="20"/>
      <c r="O4" s="41"/>
      <c r="P4" s="28"/>
      <c r="Q4" s="30">
        <v>0</v>
      </c>
      <c r="R4" s="30">
        <v>0</v>
      </c>
      <c r="S4" s="31" t="s">
        <v>28</v>
      </c>
      <c r="T4" s="46">
        <v>5</v>
      </c>
      <c r="U4" s="5" t="s">
        <v>30</v>
      </c>
      <c r="V4" s="11">
        <v>1200</v>
      </c>
      <c r="W4" s="32"/>
    </row>
    <row r="5" spans="1:26" ht="45.95" customHeight="1" thickBot="1">
      <c r="A5" s="23">
        <v>2</v>
      </c>
      <c r="B5" s="47" t="s">
        <v>31</v>
      </c>
      <c r="C5" s="44"/>
      <c r="D5" s="24">
        <v>5200</v>
      </c>
      <c r="E5" s="25">
        <v>173.33333333333334</v>
      </c>
      <c r="F5" s="26">
        <v>100</v>
      </c>
      <c r="G5" s="11"/>
      <c r="H5" s="12"/>
      <c r="I5" s="12"/>
      <c r="J5" s="20">
        <v>0</v>
      </c>
      <c r="K5" s="20">
        <v>0</v>
      </c>
      <c r="L5" s="28">
        <v>0</v>
      </c>
      <c r="M5" s="28"/>
      <c r="N5" s="20"/>
      <c r="O5" s="33"/>
      <c r="P5" s="11"/>
      <c r="Q5" s="30">
        <v>0</v>
      </c>
      <c r="R5" s="30">
        <v>0</v>
      </c>
      <c r="S5" s="31" t="s">
        <v>28</v>
      </c>
      <c r="T5" s="46">
        <v>5</v>
      </c>
      <c r="U5" s="5"/>
      <c r="V5" s="11">
        <v>1200</v>
      </c>
      <c r="W5" s="32"/>
    </row>
    <row r="6" spans="1:26" ht="45.95" customHeight="1" thickBot="1">
      <c r="A6" s="23">
        <v>3</v>
      </c>
      <c r="B6" s="47" t="s">
        <v>32</v>
      </c>
      <c r="C6" s="44"/>
      <c r="D6" s="24">
        <v>6500</v>
      </c>
      <c r="E6" s="25">
        <v>216.66666666666666</v>
      </c>
      <c r="F6" s="26">
        <v>100</v>
      </c>
      <c r="G6" s="11"/>
      <c r="H6" s="12"/>
      <c r="I6" s="12"/>
      <c r="J6" s="20">
        <v>0</v>
      </c>
      <c r="K6" s="20">
        <v>0</v>
      </c>
      <c r="L6" s="28">
        <v>0</v>
      </c>
      <c r="M6" s="28"/>
      <c r="N6" s="20"/>
      <c r="O6" s="33"/>
      <c r="P6" s="11"/>
      <c r="Q6" s="30">
        <v>0</v>
      </c>
      <c r="R6" s="30">
        <v>0</v>
      </c>
      <c r="S6" s="31" t="s">
        <v>28</v>
      </c>
      <c r="T6" s="46">
        <v>5</v>
      </c>
      <c r="U6" s="5"/>
      <c r="V6" s="11">
        <v>1200</v>
      </c>
      <c r="W6" s="32"/>
    </row>
    <row r="7" spans="1:26" ht="45.95" customHeight="1" thickBot="1">
      <c r="A7" s="23">
        <v>4</v>
      </c>
      <c r="B7" s="47" t="s">
        <v>33</v>
      </c>
      <c r="C7" s="44"/>
      <c r="D7" s="24">
        <v>5200</v>
      </c>
      <c r="E7" s="25">
        <v>173.33333333333334</v>
      </c>
      <c r="F7" s="26">
        <v>100</v>
      </c>
      <c r="G7" s="11"/>
      <c r="H7" s="12"/>
      <c r="I7" s="12"/>
      <c r="J7" s="20">
        <v>0</v>
      </c>
      <c r="K7" s="20">
        <v>0</v>
      </c>
      <c r="L7" s="28">
        <v>0</v>
      </c>
      <c r="M7" s="28"/>
      <c r="N7" s="20"/>
      <c r="O7" s="33"/>
      <c r="P7" s="11"/>
      <c r="Q7" s="30">
        <v>0</v>
      </c>
      <c r="R7" s="30">
        <v>0</v>
      </c>
      <c r="S7" s="31" t="s">
        <v>28</v>
      </c>
      <c r="T7" s="46">
        <v>5</v>
      </c>
      <c r="U7" s="5"/>
      <c r="V7" s="11">
        <v>1200</v>
      </c>
      <c r="W7" s="32"/>
    </row>
    <row r="8" spans="1:26" ht="45.95" customHeight="1" thickBot="1">
      <c r="A8" s="23">
        <v>5</v>
      </c>
      <c r="B8" s="47" t="s">
        <v>34</v>
      </c>
      <c r="C8" s="44"/>
      <c r="D8" s="24">
        <v>4500</v>
      </c>
      <c r="E8" s="25">
        <v>150</v>
      </c>
      <c r="F8" s="26">
        <v>100</v>
      </c>
      <c r="G8" s="11"/>
      <c r="H8" s="12"/>
      <c r="I8" s="12"/>
      <c r="J8" s="20">
        <v>0</v>
      </c>
      <c r="K8" s="20">
        <v>0</v>
      </c>
      <c r="L8" s="28">
        <v>0</v>
      </c>
      <c r="M8" s="28"/>
      <c r="N8" s="20"/>
      <c r="O8" s="33"/>
      <c r="P8" s="11"/>
      <c r="Q8" s="30">
        <v>0</v>
      </c>
      <c r="R8" s="30">
        <v>0</v>
      </c>
      <c r="S8" s="31" t="s">
        <v>28</v>
      </c>
      <c r="T8" s="46">
        <v>5</v>
      </c>
      <c r="U8" s="5"/>
      <c r="V8" s="11">
        <v>1200</v>
      </c>
      <c r="W8" s="32"/>
    </row>
    <row r="9" spans="1:26" ht="45.95" customHeight="1" thickBot="1">
      <c r="A9" s="23">
        <v>6</v>
      </c>
      <c r="B9" s="47" t="s">
        <v>35</v>
      </c>
      <c r="C9" s="44"/>
      <c r="D9" s="24">
        <v>5200</v>
      </c>
      <c r="E9" s="25">
        <v>173.33333333333334</v>
      </c>
      <c r="F9" s="26">
        <v>100</v>
      </c>
      <c r="G9" s="11"/>
      <c r="H9" s="12"/>
      <c r="I9" s="12"/>
      <c r="J9" s="20">
        <v>0</v>
      </c>
      <c r="K9" s="20">
        <v>0</v>
      </c>
      <c r="L9" s="28">
        <v>0</v>
      </c>
      <c r="M9" s="28"/>
      <c r="N9" s="20"/>
      <c r="O9" s="41"/>
      <c r="P9" s="11"/>
      <c r="Q9" s="30">
        <v>0</v>
      </c>
      <c r="R9" s="30">
        <v>0</v>
      </c>
      <c r="S9" s="31" t="s">
        <v>28</v>
      </c>
      <c r="T9" s="46">
        <v>5</v>
      </c>
      <c r="U9" s="5" t="s">
        <v>36</v>
      </c>
      <c r="V9" s="11">
        <v>1200</v>
      </c>
      <c r="W9" s="32"/>
    </row>
    <row r="10" spans="1:26" ht="45.95" customHeight="1" thickBot="1">
      <c r="A10" s="23">
        <v>7</v>
      </c>
      <c r="B10" s="47" t="s">
        <v>37</v>
      </c>
      <c r="C10" s="44"/>
      <c r="D10" s="24">
        <v>5000</v>
      </c>
      <c r="E10" s="25">
        <v>166.66666666666666</v>
      </c>
      <c r="F10" s="26">
        <v>100</v>
      </c>
      <c r="G10" s="11"/>
      <c r="H10" s="12"/>
      <c r="I10" s="12"/>
      <c r="J10" s="20">
        <v>0</v>
      </c>
      <c r="K10" s="20">
        <v>0</v>
      </c>
      <c r="L10" s="28">
        <v>0</v>
      </c>
      <c r="M10" s="28"/>
      <c r="N10" s="20"/>
      <c r="O10" s="33"/>
      <c r="P10" s="11"/>
      <c r="Q10" s="30">
        <v>0</v>
      </c>
      <c r="R10" s="30">
        <v>0</v>
      </c>
      <c r="S10" s="31" t="s">
        <v>28</v>
      </c>
      <c r="T10" s="46">
        <v>5</v>
      </c>
      <c r="U10" s="5"/>
      <c r="V10" s="11">
        <v>1200</v>
      </c>
      <c r="W10" s="32"/>
    </row>
    <row r="11" spans="1:26" ht="45.95" customHeight="1" thickBot="1">
      <c r="A11" s="23">
        <v>8</v>
      </c>
      <c r="B11" s="47" t="s">
        <v>38</v>
      </c>
      <c r="C11" s="44"/>
      <c r="D11" s="24">
        <v>4000</v>
      </c>
      <c r="E11" s="25">
        <v>133.33333333333334</v>
      </c>
      <c r="F11" s="26">
        <v>100</v>
      </c>
      <c r="G11" s="11"/>
      <c r="H11" s="12"/>
      <c r="I11" s="12"/>
      <c r="J11" s="20">
        <v>0</v>
      </c>
      <c r="K11" s="20">
        <v>0</v>
      </c>
      <c r="L11" s="28">
        <v>0</v>
      </c>
      <c r="M11" s="28"/>
      <c r="N11" s="20"/>
      <c r="O11" s="33"/>
      <c r="P11" s="11"/>
      <c r="Q11" s="30">
        <v>0</v>
      </c>
      <c r="R11" s="30">
        <v>0</v>
      </c>
      <c r="S11" s="31" t="s">
        <v>28</v>
      </c>
      <c r="T11" s="46">
        <v>5</v>
      </c>
      <c r="U11" s="5"/>
      <c r="V11" s="34">
        <v>1200</v>
      </c>
      <c r="W11" s="32"/>
    </row>
    <row r="12" spans="1:26" ht="45.95" customHeight="1" thickBot="1">
      <c r="A12" s="23">
        <v>9</v>
      </c>
      <c r="B12" s="47" t="s">
        <v>39</v>
      </c>
      <c r="C12" s="44"/>
      <c r="D12" s="24">
        <v>3500</v>
      </c>
      <c r="E12" s="25">
        <v>116.66666666666667</v>
      </c>
      <c r="F12" s="26">
        <v>100</v>
      </c>
      <c r="G12" s="11"/>
      <c r="H12" s="12"/>
      <c r="I12" s="12"/>
      <c r="J12" s="20">
        <v>0</v>
      </c>
      <c r="K12" s="20">
        <v>0</v>
      </c>
      <c r="L12" s="42">
        <v>0</v>
      </c>
      <c r="M12" s="28"/>
      <c r="N12" s="20"/>
      <c r="O12" s="33"/>
      <c r="P12" s="11"/>
      <c r="Q12" s="30">
        <v>0</v>
      </c>
      <c r="R12" s="30">
        <v>0</v>
      </c>
      <c r="S12" s="31" t="s">
        <v>28</v>
      </c>
      <c r="T12" s="46">
        <v>5</v>
      </c>
      <c r="U12" s="5"/>
      <c r="V12" s="11">
        <v>1200</v>
      </c>
      <c r="W12" s="32"/>
    </row>
    <row r="13" spans="1:26" ht="45.95" customHeight="1" thickBot="1">
      <c r="A13" s="23">
        <v>10</v>
      </c>
      <c r="B13" s="47" t="s">
        <v>40</v>
      </c>
      <c r="C13" s="44"/>
      <c r="D13" s="24">
        <v>0</v>
      </c>
      <c r="E13" s="25">
        <v>0</v>
      </c>
      <c r="F13" s="26">
        <v>100</v>
      </c>
      <c r="G13" s="11"/>
      <c r="H13" s="12"/>
      <c r="I13" s="12"/>
      <c r="J13" s="20">
        <v>0</v>
      </c>
      <c r="K13" s="20">
        <v>0</v>
      </c>
      <c r="L13" s="42">
        <v>0</v>
      </c>
      <c r="M13" s="28"/>
      <c r="N13" s="20"/>
      <c r="O13" s="33"/>
      <c r="P13" s="11"/>
      <c r="Q13" s="30">
        <v>0</v>
      </c>
      <c r="R13" s="30">
        <v>0</v>
      </c>
      <c r="S13" s="31" t="s">
        <v>41</v>
      </c>
      <c r="T13" s="46">
        <v>5</v>
      </c>
      <c r="U13" s="5"/>
      <c r="V13" s="11">
        <v>1200</v>
      </c>
      <c r="W13" s="32"/>
    </row>
    <row r="14" spans="1:26" ht="45.95" customHeight="1" thickBot="1">
      <c r="A14" s="23">
        <v>11</v>
      </c>
      <c r="B14" s="47" t="s">
        <v>42</v>
      </c>
      <c r="C14" s="44"/>
      <c r="D14" s="24">
        <v>4000</v>
      </c>
      <c r="E14" s="25">
        <v>133.33333333333334</v>
      </c>
      <c r="F14" s="26">
        <v>100</v>
      </c>
      <c r="G14" s="11"/>
      <c r="H14" s="12"/>
      <c r="I14" s="12"/>
      <c r="J14" s="20">
        <v>0</v>
      </c>
      <c r="K14" s="20">
        <v>0</v>
      </c>
      <c r="L14" s="42">
        <v>0</v>
      </c>
      <c r="M14" s="28"/>
      <c r="N14" s="20"/>
      <c r="O14" s="33"/>
      <c r="P14" s="11"/>
      <c r="Q14" s="30">
        <v>0</v>
      </c>
      <c r="R14" s="30">
        <v>0</v>
      </c>
      <c r="S14" s="31" t="s">
        <v>28</v>
      </c>
      <c r="T14" s="46">
        <v>5</v>
      </c>
      <c r="U14" s="5"/>
      <c r="V14" s="11">
        <v>1200</v>
      </c>
      <c r="W14" s="32"/>
    </row>
    <row r="15" spans="1:26" ht="45.95" customHeight="1" thickBot="1">
      <c r="A15" s="23">
        <v>12</v>
      </c>
      <c r="B15" s="47" t="s">
        <v>43</v>
      </c>
      <c r="C15" s="44"/>
      <c r="D15" s="24">
        <v>4000</v>
      </c>
      <c r="E15" s="25">
        <v>133.33333333333334</v>
      </c>
      <c r="F15" s="26">
        <v>100</v>
      </c>
      <c r="G15" s="11"/>
      <c r="H15" s="12"/>
      <c r="I15" s="12"/>
      <c r="J15" s="20">
        <v>0</v>
      </c>
      <c r="K15" s="20">
        <v>0</v>
      </c>
      <c r="L15" s="42">
        <v>0</v>
      </c>
      <c r="M15" s="28"/>
      <c r="N15" s="20"/>
      <c r="O15" s="33"/>
      <c r="P15" s="11"/>
      <c r="Q15" s="30">
        <v>0</v>
      </c>
      <c r="R15" s="30">
        <v>0</v>
      </c>
      <c r="S15" s="31" t="s">
        <v>28</v>
      </c>
      <c r="T15" s="46">
        <v>5</v>
      </c>
      <c r="U15" s="5"/>
      <c r="V15" s="11">
        <v>1200</v>
      </c>
      <c r="W15" s="32"/>
    </row>
    <row r="16" spans="1:26" ht="45.95" customHeight="1" thickBot="1">
      <c r="A16" s="23">
        <v>13</v>
      </c>
      <c r="B16" s="51" t="s">
        <v>44</v>
      </c>
      <c r="C16" s="44"/>
      <c r="D16" s="24">
        <v>3750</v>
      </c>
      <c r="E16" s="25">
        <v>125</v>
      </c>
      <c r="F16" s="26">
        <v>100</v>
      </c>
      <c r="G16" s="11"/>
      <c r="H16" s="12"/>
      <c r="I16" s="12"/>
      <c r="J16" s="20">
        <v>0</v>
      </c>
      <c r="K16" s="20">
        <v>0</v>
      </c>
      <c r="L16" s="42">
        <v>0</v>
      </c>
      <c r="M16" s="28"/>
      <c r="N16" s="20"/>
      <c r="O16" s="33"/>
      <c r="P16" s="11"/>
      <c r="Q16" s="30">
        <v>0</v>
      </c>
      <c r="R16" s="30">
        <v>0</v>
      </c>
      <c r="S16" s="31" t="s">
        <v>28</v>
      </c>
      <c r="T16" s="46">
        <v>5</v>
      </c>
      <c r="U16" s="5"/>
      <c r="V16" s="11">
        <v>1200</v>
      </c>
      <c r="W16" s="32"/>
    </row>
    <row r="17" spans="1:23" ht="45.95" customHeight="1" thickBot="1">
      <c r="A17" s="23">
        <v>14</v>
      </c>
      <c r="B17" s="50" t="s">
        <v>45</v>
      </c>
      <c r="C17" s="44"/>
      <c r="D17" s="24">
        <v>4700</v>
      </c>
      <c r="E17" s="25">
        <v>156.66666666666666</v>
      </c>
      <c r="F17" s="26">
        <v>100</v>
      </c>
      <c r="G17" s="11"/>
      <c r="H17" s="12"/>
      <c r="I17" s="12"/>
      <c r="J17" s="20">
        <v>0</v>
      </c>
      <c r="K17" s="20">
        <v>0</v>
      </c>
      <c r="L17" s="28">
        <v>0</v>
      </c>
      <c r="M17" s="28"/>
      <c r="N17" s="20"/>
      <c r="O17" s="33"/>
      <c r="P17" s="11">
        <v>0</v>
      </c>
      <c r="Q17" s="30">
        <v>0</v>
      </c>
      <c r="R17" s="30">
        <v>0</v>
      </c>
      <c r="S17" s="31" t="s">
        <v>28</v>
      </c>
      <c r="T17" s="46">
        <v>5</v>
      </c>
      <c r="U17" s="5"/>
      <c r="V17" s="35">
        <v>1380</v>
      </c>
      <c r="W17" s="32"/>
    </row>
    <row r="18" spans="1:23" ht="45.95" customHeight="1" thickBot="1">
      <c r="A18" s="23">
        <v>15</v>
      </c>
      <c r="B18" s="47" t="s">
        <v>46</v>
      </c>
      <c r="C18" s="44"/>
      <c r="D18" s="24">
        <v>4500</v>
      </c>
      <c r="E18" s="25">
        <v>150</v>
      </c>
      <c r="F18" s="26">
        <v>100</v>
      </c>
      <c r="G18" s="11"/>
      <c r="H18" s="12"/>
      <c r="I18" s="12"/>
      <c r="J18" s="20">
        <v>0</v>
      </c>
      <c r="K18" s="20">
        <v>0</v>
      </c>
      <c r="L18" s="28">
        <v>0</v>
      </c>
      <c r="M18" s="28"/>
      <c r="N18" s="20"/>
      <c r="O18" s="33"/>
      <c r="P18" s="11"/>
      <c r="Q18" s="30">
        <v>0</v>
      </c>
      <c r="R18" s="30">
        <v>0</v>
      </c>
      <c r="S18" s="31" t="s">
        <v>28</v>
      </c>
      <c r="T18" s="46">
        <v>5</v>
      </c>
      <c r="U18" s="5"/>
      <c r="V18" s="35">
        <v>1380</v>
      </c>
      <c r="W18" s="32"/>
    </row>
    <row r="19" spans="1:23" ht="45.95" customHeight="1" thickBot="1">
      <c r="A19" s="23">
        <v>16</v>
      </c>
      <c r="B19" s="47" t="s">
        <v>47</v>
      </c>
      <c r="C19" s="44"/>
      <c r="D19" s="24">
        <v>4000</v>
      </c>
      <c r="E19" s="25">
        <v>133.33333333333334</v>
      </c>
      <c r="F19" s="26">
        <v>100</v>
      </c>
      <c r="G19" s="11"/>
      <c r="H19" s="12"/>
      <c r="I19" s="12"/>
      <c r="J19" s="20">
        <v>0</v>
      </c>
      <c r="K19" s="20">
        <v>0</v>
      </c>
      <c r="L19" s="28">
        <v>0</v>
      </c>
      <c r="M19" s="28"/>
      <c r="N19" s="20"/>
      <c r="O19" s="33"/>
      <c r="P19" s="11"/>
      <c r="Q19" s="30">
        <v>0</v>
      </c>
      <c r="R19" s="30">
        <v>0</v>
      </c>
      <c r="S19" s="31" t="s">
        <v>28</v>
      </c>
      <c r="T19" s="46">
        <v>5</v>
      </c>
      <c r="U19" s="5" t="s">
        <v>48</v>
      </c>
      <c r="V19" s="35">
        <v>1380</v>
      </c>
      <c r="W19" s="32"/>
    </row>
    <row r="20" spans="1:23" ht="45.95" customHeight="1" thickBot="1">
      <c r="A20" s="23">
        <v>17</v>
      </c>
      <c r="B20" s="47" t="s">
        <v>49</v>
      </c>
      <c r="C20" s="44"/>
      <c r="D20" s="24">
        <v>4000</v>
      </c>
      <c r="E20" s="25">
        <v>133.33333333333334</v>
      </c>
      <c r="F20" s="26">
        <v>100</v>
      </c>
      <c r="G20" s="11"/>
      <c r="H20" s="12"/>
      <c r="I20" s="12"/>
      <c r="J20" s="20">
        <v>0</v>
      </c>
      <c r="K20" s="20">
        <v>0</v>
      </c>
      <c r="L20" s="28">
        <v>0</v>
      </c>
      <c r="M20" s="28"/>
      <c r="N20" s="20"/>
      <c r="O20" s="33"/>
      <c r="P20" s="11"/>
      <c r="Q20" s="30">
        <v>0</v>
      </c>
      <c r="R20" s="30">
        <v>0</v>
      </c>
      <c r="S20" s="31" t="s">
        <v>28</v>
      </c>
      <c r="T20" s="46">
        <v>5</v>
      </c>
      <c r="U20" s="5" t="s">
        <v>50</v>
      </c>
      <c r="V20" s="35">
        <v>1320</v>
      </c>
      <c r="W20" s="32"/>
    </row>
    <row r="21" spans="1:23" ht="45.95" customHeight="1" thickBot="1">
      <c r="A21" s="23">
        <v>18</v>
      </c>
      <c r="B21" s="47" t="s">
        <v>51</v>
      </c>
      <c r="C21" s="44"/>
      <c r="D21" s="24">
        <v>4000</v>
      </c>
      <c r="E21" s="25">
        <v>133.33333333333334</v>
      </c>
      <c r="F21" s="26">
        <v>100</v>
      </c>
      <c r="G21" s="11"/>
      <c r="H21" s="12"/>
      <c r="I21" s="12"/>
      <c r="J21" s="20">
        <v>0</v>
      </c>
      <c r="K21" s="20">
        <v>0</v>
      </c>
      <c r="L21" s="28">
        <v>0</v>
      </c>
      <c r="M21" s="28"/>
      <c r="N21" s="20"/>
      <c r="O21" s="33"/>
      <c r="P21" s="11"/>
      <c r="Q21" s="30">
        <v>0</v>
      </c>
      <c r="R21" s="30">
        <v>0</v>
      </c>
      <c r="S21" s="31" t="s">
        <v>28</v>
      </c>
      <c r="T21" s="46">
        <v>5</v>
      </c>
      <c r="U21" s="5"/>
      <c r="V21" s="35">
        <v>1380</v>
      </c>
      <c r="W21" s="32"/>
    </row>
    <row r="22" spans="1:23" ht="45.95" customHeight="1" thickBot="1">
      <c r="A22" s="23">
        <v>19</v>
      </c>
      <c r="B22" s="50" t="s">
        <v>52</v>
      </c>
      <c r="C22" s="44"/>
      <c r="D22" s="25">
        <v>7000</v>
      </c>
      <c r="E22" s="25">
        <v>233.33333333333334</v>
      </c>
      <c r="F22" s="26">
        <v>100</v>
      </c>
      <c r="G22" s="11"/>
      <c r="H22" s="12"/>
      <c r="I22" s="12"/>
      <c r="J22" s="20">
        <v>0</v>
      </c>
      <c r="K22" s="20">
        <v>0</v>
      </c>
      <c r="L22" s="28">
        <v>0</v>
      </c>
      <c r="M22" s="28"/>
      <c r="N22" s="20"/>
      <c r="O22" s="33"/>
      <c r="P22" s="11"/>
      <c r="Q22" s="30">
        <v>0</v>
      </c>
      <c r="R22" s="30">
        <v>0</v>
      </c>
      <c r="S22" s="31">
        <v>0</v>
      </c>
      <c r="T22" s="46">
        <v>5</v>
      </c>
      <c r="U22" s="5"/>
      <c r="V22" s="11">
        <v>1200</v>
      </c>
      <c r="W22" s="32"/>
    </row>
    <row r="23" spans="1:23" ht="45.95" customHeight="1" thickBot="1">
      <c r="A23" s="23">
        <v>20</v>
      </c>
      <c r="B23" s="47" t="s">
        <v>53</v>
      </c>
      <c r="C23" s="44"/>
      <c r="D23" s="24">
        <v>4700</v>
      </c>
      <c r="E23" s="25">
        <v>156.66666666666666</v>
      </c>
      <c r="F23" s="26">
        <v>100</v>
      </c>
      <c r="G23" s="11"/>
      <c r="H23" s="12"/>
      <c r="I23" s="12"/>
      <c r="J23" s="20">
        <v>0</v>
      </c>
      <c r="K23" s="20">
        <v>0</v>
      </c>
      <c r="L23" s="28">
        <v>0</v>
      </c>
      <c r="M23" s="28"/>
      <c r="N23" s="20"/>
      <c r="O23" s="33"/>
      <c r="P23" s="11"/>
      <c r="Q23" s="30">
        <v>0</v>
      </c>
      <c r="R23" s="30">
        <v>0</v>
      </c>
      <c r="S23" s="31" t="s">
        <v>28</v>
      </c>
      <c r="T23" s="46">
        <v>5</v>
      </c>
      <c r="U23" s="5"/>
      <c r="V23" s="11">
        <v>1200</v>
      </c>
      <c r="W23" s="32"/>
    </row>
    <row r="24" spans="1:23" ht="45.95" customHeight="1" thickBot="1">
      <c r="A24" s="23">
        <v>21</v>
      </c>
      <c r="B24" s="47" t="s">
        <v>54</v>
      </c>
      <c r="C24" s="44"/>
      <c r="D24" s="24">
        <v>5000</v>
      </c>
      <c r="E24" s="25">
        <v>166.66666666666666</v>
      </c>
      <c r="F24" s="26">
        <v>100</v>
      </c>
      <c r="G24" s="11"/>
      <c r="H24" s="12"/>
      <c r="I24" s="12"/>
      <c r="J24" s="20">
        <v>0</v>
      </c>
      <c r="K24" s="20">
        <v>0</v>
      </c>
      <c r="L24" s="28">
        <v>0</v>
      </c>
      <c r="M24" s="28"/>
      <c r="N24" s="20"/>
      <c r="O24" s="33"/>
      <c r="P24" s="11"/>
      <c r="Q24" s="30">
        <v>0</v>
      </c>
      <c r="R24" s="30">
        <v>0</v>
      </c>
      <c r="S24" s="31" t="s">
        <v>28</v>
      </c>
      <c r="T24" s="46">
        <v>5</v>
      </c>
      <c r="U24" s="5" t="s">
        <v>55</v>
      </c>
      <c r="V24" s="11">
        <v>0</v>
      </c>
      <c r="W24" s="32"/>
    </row>
    <row r="25" spans="1:23" ht="45.95" customHeight="1" thickBot="1">
      <c r="A25" s="23">
        <v>22</v>
      </c>
      <c r="B25" s="47" t="s">
        <v>56</v>
      </c>
      <c r="C25" s="44"/>
      <c r="D25" s="24">
        <v>4000</v>
      </c>
      <c r="E25" s="25">
        <v>133.33333333333334</v>
      </c>
      <c r="F25" s="26">
        <v>100</v>
      </c>
      <c r="G25" s="27"/>
      <c r="H25" s="12"/>
      <c r="I25" s="12"/>
      <c r="J25" s="20">
        <v>0</v>
      </c>
      <c r="K25" s="20">
        <v>0</v>
      </c>
      <c r="L25" s="28">
        <v>0</v>
      </c>
      <c r="M25" s="28"/>
      <c r="N25" s="20"/>
      <c r="O25" s="29"/>
      <c r="P25" s="42"/>
      <c r="Q25" s="30">
        <v>0</v>
      </c>
      <c r="R25" s="30">
        <v>0</v>
      </c>
      <c r="S25" s="31" t="s">
        <v>28</v>
      </c>
      <c r="T25" s="46">
        <v>5</v>
      </c>
      <c r="U25" s="5" t="s">
        <v>57</v>
      </c>
      <c r="V25" s="36">
        <v>0</v>
      </c>
      <c r="W25" s="32"/>
    </row>
    <row r="26" spans="1:23" ht="45.95" customHeight="1" thickBot="1">
      <c r="A26" s="23">
        <v>23</v>
      </c>
      <c r="B26" s="47" t="s">
        <v>58</v>
      </c>
      <c r="C26" s="44"/>
      <c r="D26" s="24">
        <v>4000</v>
      </c>
      <c r="E26" s="25">
        <v>133.33333333333334</v>
      </c>
      <c r="F26" s="26">
        <v>100</v>
      </c>
      <c r="G26" s="11"/>
      <c r="H26" s="12"/>
      <c r="I26" s="12"/>
      <c r="J26" s="20">
        <v>0</v>
      </c>
      <c r="K26" s="20">
        <v>0</v>
      </c>
      <c r="L26" s="28">
        <v>0</v>
      </c>
      <c r="M26" s="28"/>
      <c r="N26" s="20"/>
      <c r="O26" s="33"/>
      <c r="P26" s="11"/>
      <c r="Q26" s="30">
        <v>0</v>
      </c>
      <c r="R26" s="30">
        <v>0</v>
      </c>
      <c r="S26" s="31" t="s">
        <v>28</v>
      </c>
      <c r="T26" s="46">
        <v>5</v>
      </c>
      <c r="U26" s="5"/>
      <c r="V26" s="11">
        <v>1200</v>
      </c>
      <c r="W26" s="32"/>
    </row>
    <row r="27" spans="1:23" ht="45.95" customHeight="1" thickBot="1">
      <c r="A27" s="23">
        <v>24</v>
      </c>
      <c r="B27" s="47" t="s">
        <v>59</v>
      </c>
      <c r="C27" s="44"/>
      <c r="D27" s="24">
        <v>3300</v>
      </c>
      <c r="E27" s="25">
        <v>110</v>
      </c>
      <c r="F27" s="26">
        <v>100</v>
      </c>
      <c r="G27" s="11"/>
      <c r="H27" s="12"/>
      <c r="I27" s="12"/>
      <c r="J27" s="20">
        <v>0</v>
      </c>
      <c r="K27" s="20">
        <v>0</v>
      </c>
      <c r="L27" s="28">
        <v>0</v>
      </c>
      <c r="M27" s="28"/>
      <c r="N27" s="20"/>
      <c r="O27" s="33"/>
      <c r="P27" s="11"/>
      <c r="Q27" s="30">
        <v>0</v>
      </c>
      <c r="R27" s="30">
        <v>0</v>
      </c>
      <c r="S27" s="31" t="s">
        <v>28</v>
      </c>
      <c r="T27" s="46">
        <v>5</v>
      </c>
      <c r="U27" s="5"/>
      <c r="V27" s="11">
        <v>1200</v>
      </c>
      <c r="W27" s="32"/>
    </row>
    <row r="28" spans="1:23" ht="45.95" customHeight="1" thickBot="1">
      <c r="A28" s="23">
        <v>25</v>
      </c>
      <c r="B28" s="47" t="s">
        <v>60</v>
      </c>
      <c r="C28" s="44"/>
      <c r="D28" s="24">
        <v>3700</v>
      </c>
      <c r="E28" s="25">
        <v>123.33333333333333</v>
      </c>
      <c r="F28" s="26"/>
      <c r="G28" s="11"/>
      <c r="H28" s="12"/>
      <c r="I28" s="12"/>
      <c r="J28" s="20">
        <v>0</v>
      </c>
      <c r="K28" s="20">
        <v>0</v>
      </c>
      <c r="L28" s="28">
        <v>0</v>
      </c>
      <c r="M28" s="28"/>
      <c r="N28" s="20"/>
      <c r="O28" s="33"/>
      <c r="P28" s="11"/>
      <c r="Q28" s="30">
        <v>0</v>
      </c>
      <c r="R28" s="30">
        <v>0</v>
      </c>
      <c r="S28" s="31" t="s">
        <v>28</v>
      </c>
      <c r="T28" s="46"/>
      <c r="U28" s="5"/>
      <c r="V28" s="11">
        <v>0</v>
      </c>
      <c r="W28" s="32"/>
    </row>
    <row r="29" spans="1:23" ht="45.95" customHeight="1" thickBot="1">
      <c r="A29" s="23">
        <v>26</v>
      </c>
      <c r="B29" s="49" t="s">
        <v>61</v>
      </c>
      <c r="C29" s="44"/>
      <c r="D29" s="37">
        <v>3700</v>
      </c>
      <c r="E29" s="25">
        <v>123.33333333333333</v>
      </c>
      <c r="F29" s="26"/>
      <c r="G29" s="11"/>
      <c r="H29" s="12"/>
      <c r="I29" s="12"/>
      <c r="J29" s="20">
        <v>0</v>
      </c>
      <c r="K29" s="20">
        <v>0</v>
      </c>
      <c r="L29" s="28">
        <v>0</v>
      </c>
      <c r="M29" s="28"/>
      <c r="N29" s="20"/>
      <c r="O29" s="33"/>
      <c r="P29" s="11"/>
      <c r="Q29" s="30">
        <v>0</v>
      </c>
      <c r="R29" s="30">
        <v>0</v>
      </c>
      <c r="S29" s="31" t="s">
        <v>28</v>
      </c>
      <c r="T29" s="46"/>
      <c r="U29" s="5"/>
      <c r="V29" s="34">
        <v>1200</v>
      </c>
      <c r="W29" s="32"/>
    </row>
    <row r="30" spans="1:23" ht="45.95" customHeight="1" thickBot="1">
      <c r="A30" s="23">
        <v>27</v>
      </c>
      <c r="B30" s="52" t="s">
        <v>62</v>
      </c>
      <c r="C30" s="44"/>
      <c r="D30" s="24">
        <v>3300</v>
      </c>
      <c r="E30" s="25">
        <v>110</v>
      </c>
      <c r="F30" s="26"/>
      <c r="G30" s="11"/>
      <c r="H30" s="12"/>
      <c r="I30" s="12"/>
      <c r="J30" s="20">
        <v>0</v>
      </c>
      <c r="K30" s="20">
        <v>0</v>
      </c>
      <c r="L30" s="28">
        <v>0</v>
      </c>
      <c r="M30" s="28"/>
      <c r="N30" s="20"/>
      <c r="O30" s="33"/>
      <c r="P30" s="11"/>
      <c r="Q30" s="30">
        <v>0</v>
      </c>
      <c r="R30" s="30">
        <v>0</v>
      </c>
      <c r="S30" s="31" t="s">
        <v>28</v>
      </c>
      <c r="T30" s="46"/>
      <c r="U30" s="5"/>
      <c r="V30" s="11">
        <v>0</v>
      </c>
      <c r="W30" s="32"/>
    </row>
    <row r="31" spans="1:23" ht="45.95" customHeight="1" thickBot="1">
      <c r="A31" s="23">
        <v>28</v>
      </c>
      <c r="B31" s="49" t="s">
        <v>63</v>
      </c>
      <c r="C31" s="44"/>
      <c r="D31" s="24">
        <v>3600</v>
      </c>
      <c r="E31" s="25">
        <v>120</v>
      </c>
      <c r="F31" s="26"/>
      <c r="G31" s="11"/>
      <c r="H31" s="12"/>
      <c r="I31" s="12"/>
      <c r="J31" s="20">
        <v>0</v>
      </c>
      <c r="K31" s="20">
        <v>0</v>
      </c>
      <c r="L31" s="28">
        <v>0</v>
      </c>
      <c r="M31" s="28"/>
      <c r="N31" s="20"/>
      <c r="O31" s="33"/>
      <c r="P31" s="11"/>
      <c r="Q31" s="30">
        <v>0</v>
      </c>
      <c r="R31" s="30">
        <v>0</v>
      </c>
      <c r="S31" s="31" t="s">
        <v>28</v>
      </c>
      <c r="T31" s="46"/>
      <c r="U31" s="5"/>
      <c r="V31" s="11">
        <v>0</v>
      </c>
      <c r="W31" s="32"/>
    </row>
    <row r="32" spans="1:23" ht="45.95" customHeight="1" thickBot="1">
      <c r="A32" s="23">
        <v>29</v>
      </c>
      <c r="B32" s="49" t="s">
        <v>64</v>
      </c>
      <c r="C32" s="44"/>
      <c r="D32" s="24">
        <v>4000</v>
      </c>
      <c r="E32" s="25">
        <v>133.33333333333334</v>
      </c>
      <c r="F32" s="26">
        <v>100</v>
      </c>
      <c r="G32" s="11"/>
      <c r="H32" s="12"/>
      <c r="I32" s="12"/>
      <c r="J32" s="20">
        <v>0</v>
      </c>
      <c r="K32" s="20">
        <v>0</v>
      </c>
      <c r="L32" s="28">
        <v>0</v>
      </c>
      <c r="M32" s="28"/>
      <c r="N32" s="20"/>
      <c r="O32" s="33"/>
      <c r="P32" s="11"/>
      <c r="Q32" s="30">
        <v>0</v>
      </c>
      <c r="R32" s="30">
        <v>0</v>
      </c>
      <c r="S32" s="31" t="s">
        <v>28</v>
      </c>
      <c r="T32" s="46">
        <v>5</v>
      </c>
      <c r="U32" s="5"/>
      <c r="V32" s="11">
        <v>1200</v>
      </c>
      <c r="W32" s="32"/>
    </row>
    <row r="33" spans="1:23" ht="45.95" customHeight="1" thickBot="1">
      <c r="A33" s="23">
        <v>30</v>
      </c>
      <c r="B33" s="47" t="s">
        <v>65</v>
      </c>
      <c r="C33" s="44"/>
      <c r="D33" s="24">
        <v>7600</v>
      </c>
      <c r="E33" s="25">
        <v>253.33333333333334</v>
      </c>
      <c r="F33" s="26">
        <v>100</v>
      </c>
      <c r="G33" s="11"/>
      <c r="H33" s="12"/>
      <c r="I33" s="12"/>
      <c r="J33" s="20">
        <v>0</v>
      </c>
      <c r="K33" s="20">
        <v>0</v>
      </c>
      <c r="L33" s="28">
        <v>0</v>
      </c>
      <c r="M33" s="28"/>
      <c r="N33" s="20"/>
      <c r="O33" s="33"/>
      <c r="P33" s="11"/>
      <c r="Q33" s="30">
        <v>0</v>
      </c>
      <c r="R33" s="30">
        <v>0</v>
      </c>
      <c r="S33" s="31" t="s">
        <v>28</v>
      </c>
      <c r="T33" s="46">
        <v>5</v>
      </c>
      <c r="U33" s="5"/>
      <c r="V33" s="11">
        <v>1200</v>
      </c>
      <c r="W33" s="32"/>
    </row>
    <row r="34" spans="1:23" ht="45.95" customHeight="1" thickBot="1">
      <c r="A34" s="23">
        <v>31</v>
      </c>
      <c r="B34" s="53" t="s">
        <v>66</v>
      </c>
      <c r="C34" s="44"/>
      <c r="D34" s="24">
        <v>5400</v>
      </c>
      <c r="E34" s="25">
        <v>180</v>
      </c>
      <c r="F34" s="26">
        <v>100</v>
      </c>
      <c r="G34" s="27"/>
      <c r="H34" s="12"/>
      <c r="I34" s="12"/>
      <c r="J34" s="20">
        <v>0</v>
      </c>
      <c r="K34" s="20">
        <v>0</v>
      </c>
      <c r="L34" s="28">
        <v>0</v>
      </c>
      <c r="M34" s="28"/>
      <c r="N34" s="20"/>
      <c r="O34" s="29"/>
      <c r="P34" s="27"/>
      <c r="Q34" s="30">
        <v>0</v>
      </c>
      <c r="R34" s="30">
        <v>0</v>
      </c>
      <c r="S34" s="31" t="s">
        <v>28</v>
      </c>
      <c r="T34" s="46">
        <v>5</v>
      </c>
      <c r="U34" s="5"/>
      <c r="V34" s="11">
        <v>1200</v>
      </c>
      <c r="W34" s="32"/>
    </row>
    <row r="35" spans="1:23" ht="45.95" customHeight="1" thickBot="1">
      <c r="A35" s="23">
        <v>32</v>
      </c>
      <c r="B35" s="47" t="s">
        <v>67</v>
      </c>
      <c r="C35" s="44"/>
      <c r="D35" s="24">
        <v>4500</v>
      </c>
      <c r="E35" s="25">
        <v>150</v>
      </c>
      <c r="F35" s="38">
        <v>100</v>
      </c>
      <c r="G35" s="11"/>
      <c r="H35" s="12"/>
      <c r="I35" s="12"/>
      <c r="J35" s="20">
        <v>0</v>
      </c>
      <c r="K35" s="20">
        <v>0</v>
      </c>
      <c r="L35" s="28">
        <v>0</v>
      </c>
      <c r="M35" s="28"/>
      <c r="N35" s="20"/>
      <c r="O35" s="33"/>
      <c r="P35" s="11"/>
      <c r="Q35" s="30">
        <v>0</v>
      </c>
      <c r="R35" s="30">
        <v>0</v>
      </c>
      <c r="S35" s="31">
        <v>0</v>
      </c>
      <c r="T35" s="46">
        <v>5</v>
      </c>
      <c r="U35" s="5"/>
      <c r="V35" s="11"/>
      <c r="W35" s="32"/>
    </row>
    <row r="36" spans="1:23" ht="45.95" customHeight="1" thickBot="1">
      <c r="A36" s="23">
        <v>33</v>
      </c>
      <c r="B36" s="48" t="s">
        <v>68</v>
      </c>
      <c r="C36" s="44"/>
      <c r="D36" s="24">
        <v>12000</v>
      </c>
      <c r="E36" s="25">
        <v>400</v>
      </c>
      <c r="F36" s="38">
        <v>100</v>
      </c>
      <c r="G36" s="11"/>
      <c r="H36" s="12"/>
      <c r="I36" s="12"/>
      <c r="J36" s="20">
        <v>0</v>
      </c>
      <c r="K36" s="20">
        <v>0</v>
      </c>
      <c r="L36" s="28">
        <v>0</v>
      </c>
      <c r="M36" s="28"/>
      <c r="N36" s="20"/>
      <c r="O36" s="33"/>
      <c r="P36" s="11"/>
      <c r="Q36" s="30">
        <v>0</v>
      </c>
      <c r="R36" s="30">
        <v>0</v>
      </c>
      <c r="S36" s="31" t="s">
        <v>28</v>
      </c>
      <c r="T36" s="46">
        <v>5</v>
      </c>
      <c r="U36" s="5"/>
      <c r="V36" s="11">
        <v>0</v>
      </c>
      <c r="W36" s="32"/>
    </row>
    <row r="37" spans="1:23" ht="45.95" customHeight="1" thickBot="1">
      <c r="A37" s="23">
        <v>34</v>
      </c>
      <c r="B37" s="47" t="s">
        <v>69</v>
      </c>
      <c r="C37" s="44"/>
      <c r="D37" s="24">
        <v>6250</v>
      </c>
      <c r="E37" s="25">
        <v>208.33333333333334</v>
      </c>
      <c r="F37" s="38">
        <v>100</v>
      </c>
      <c r="G37" s="11"/>
      <c r="H37" s="12"/>
      <c r="I37" s="12"/>
      <c r="J37" s="20">
        <v>0</v>
      </c>
      <c r="K37" s="20">
        <v>0</v>
      </c>
      <c r="L37" s="28">
        <v>0</v>
      </c>
      <c r="M37" s="28"/>
      <c r="N37" s="20"/>
      <c r="O37" s="33"/>
      <c r="P37" s="11"/>
      <c r="Q37" s="30">
        <v>0</v>
      </c>
      <c r="R37" s="30">
        <v>0</v>
      </c>
      <c r="S37" s="31" t="s">
        <v>28</v>
      </c>
      <c r="T37" s="46">
        <v>5</v>
      </c>
      <c r="U37" s="5" t="s">
        <v>71</v>
      </c>
      <c r="V37" s="11">
        <v>1200</v>
      </c>
      <c r="W37" s="32"/>
    </row>
    <row r="38" spans="1:23" ht="45.95" customHeight="1" thickBot="1">
      <c r="A38" s="23">
        <v>35</v>
      </c>
      <c r="B38" s="47" t="s">
        <v>70</v>
      </c>
      <c r="C38" s="44"/>
      <c r="D38" s="24">
        <v>4600</v>
      </c>
      <c r="E38" s="25">
        <v>153.33333333333334</v>
      </c>
      <c r="F38" s="38">
        <v>100</v>
      </c>
      <c r="G38" s="11"/>
      <c r="H38" s="12"/>
      <c r="I38" s="12"/>
      <c r="J38" s="20">
        <v>0</v>
      </c>
      <c r="K38" s="20">
        <v>0</v>
      </c>
      <c r="L38" s="28">
        <v>0</v>
      </c>
      <c r="M38" s="28"/>
      <c r="N38" s="20"/>
      <c r="O38" s="33"/>
      <c r="P38" s="11"/>
      <c r="Q38" s="30">
        <v>0</v>
      </c>
      <c r="R38" s="30">
        <v>0</v>
      </c>
      <c r="S38" s="31" t="s">
        <v>28</v>
      </c>
      <c r="T38" s="46">
        <v>5</v>
      </c>
      <c r="U38" s="5"/>
      <c r="V38" s="11">
        <v>1200</v>
      </c>
      <c r="W38" s="32"/>
    </row>
    <row r="39" spans="1:23" ht="45.95" customHeight="1" thickBot="1">
      <c r="A39" s="23">
        <v>36</v>
      </c>
      <c r="B39" s="47" t="s">
        <v>72</v>
      </c>
      <c r="C39" s="44"/>
      <c r="D39" s="24">
        <v>2800</v>
      </c>
      <c r="E39" s="25">
        <v>93.333333333333329</v>
      </c>
      <c r="F39" s="38">
        <v>100</v>
      </c>
      <c r="G39" s="11"/>
      <c r="H39" s="12"/>
      <c r="I39" s="12"/>
      <c r="J39" s="20">
        <v>0</v>
      </c>
      <c r="K39" s="20">
        <v>0</v>
      </c>
      <c r="L39" s="28">
        <v>0</v>
      </c>
      <c r="M39" s="28"/>
      <c r="N39" s="20"/>
      <c r="O39" s="33"/>
      <c r="P39" s="11"/>
      <c r="Q39" s="30">
        <v>0</v>
      </c>
      <c r="R39" s="30">
        <v>0</v>
      </c>
      <c r="S39" s="31" t="s">
        <v>28</v>
      </c>
      <c r="T39" s="46">
        <v>5</v>
      </c>
      <c r="U39" s="5"/>
      <c r="V39" s="11">
        <v>1200</v>
      </c>
      <c r="W39" s="32"/>
    </row>
    <row r="40" spans="1:23" ht="45.95" customHeight="1" thickBot="1">
      <c r="A40" s="23">
        <v>37</v>
      </c>
      <c r="B40" s="47" t="s">
        <v>73</v>
      </c>
      <c r="C40" s="44"/>
      <c r="D40" s="24">
        <v>3500</v>
      </c>
      <c r="E40" s="25">
        <v>116.66666666666667</v>
      </c>
      <c r="F40" s="38">
        <v>100</v>
      </c>
      <c r="G40" s="11"/>
      <c r="H40" s="12"/>
      <c r="I40" s="12"/>
      <c r="J40" s="20">
        <v>0</v>
      </c>
      <c r="K40" s="20">
        <v>0</v>
      </c>
      <c r="L40" s="28">
        <v>0</v>
      </c>
      <c r="M40" s="28"/>
      <c r="N40" s="20"/>
      <c r="O40" s="33"/>
      <c r="P40" s="11"/>
      <c r="Q40" s="30">
        <v>0</v>
      </c>
      <c r="R40" s="30">
        <v>0</v>
      </c>
      <c r="S40" s="31" t="s">
        <v>28</v>
      </c>
      <c r="T40" s="46">
        <v>5</v>
      </c>
      <c r="U40" s="5"/>
      <c r="V40" s="11">
        <v>1200</v>
      </c>
      <c r="W40" s="32"/>
    </row>
    <row r="41" spans="1:23" ht="45.95" customHeight="1" thickBot="1">
      <c r="A41" s="23">
        <v>38</v>
      </c>
      <c r="B41" s="47" t="s">
        <v>74</v>
      </c>
      <c r="C41" s="44"/>
      <c r="D41" s="24">
        <v>3500</v>
      </c>
      <c r="E41" s="25">
        <v>116.66666666666667</v>
      </c>
      <c r="F41" s="38">
        <v>100</v>
      </c>
      <c r="G41" s="11"/>
      <c r="H41" s="12"/>
      <c r="I41" s="12"/>
      <c r="J41" s="20">
        <v>0</v>
      </c>
      <c r="K41" s="20"/>
      <c r="L41" s="28">
        <v>0</v>
      </c>
      <c r="M41" s="28"/>
      <c r="N41" s="20"/>
      <c r="O41" s="33"/>
      <c r="P41" s="11"/>
      <c r="Q41" s="30">
        <v>0</v>
      </c>
      <c r="R41" s="30">
        <v>0</v>
      </c>
      <c r="S41" s="31" t="s">
        <v>28</v>
      </c>
      <c r="T41" s="46">
        <v>5</v>
      </c>
      <c r="U41" s="5"/>
      <c r="V41" s="11">
        <v>1200</v>
      </c>
      <c r="W41" s="32"/>
    </row>
    <row r="42" spans="1:23" ht="45.95" customHeight="1" thickBot="1">
      <c r="A42" s="23">
        <v>39</v>
      </c>
      <c r="B42" s="54" t="s">
        <v>75</v>
      </c>
      <c r="C42" s="44"/>
      <c r="D42" s="24">
        <v>4200</v>
      </c>
      <c r="E42" s="25">
        <v>140</v>
      </c>
      <c r="F42" s="38">
        <v>100</v>
      </c>
      <c r="G42" s="11"/>
      <c r="H42" s="12"/>
      <c r="I42" s="12"/>
      <c r="J42" s="20">
        <v>0</v>
      </c>
      <c r="K42" s="20">
        <v>0</v>
      </c>
      <c r="L42" s="28">
        <v>0</v>
      </c>
      <c r="M42" s="28"/>
      <c r="N42" s="20"/>
      <c r="O42" s="33"/>
      <c r="P42" s="11"/>
      <c r="Q42" s="30">
        <v>0</v>
      </c>
      <c r="R42" s="30">
        <v>0</v>
      </c>
      <c r="S42" s="31" t="s">
        <v>28</v>
      </c>
      <c r="T42" s="46">
        <v>5</v>
      </c>
      <c r="U42" s="5" t="s">
        <v>77</v>
      </c>
      <c r="V42" s="11">
        <v>1200</v>
      </c>
      <c r="W42" s="32"/>
    </row>
    <row r="43" spans="1:23" ht="45.95" customHeight="1" thickBot="1">
      <c r="A43" s="23"/>
      <c r="B43" s="54" t="s">
        <v>76</v>
      </c>
      <c r="C43" s="44"/>
      <c r="D43" s="24">
        <v>182000</v>
      </c>
      <c r="E43" s="25"/>
      <c r="F43" s="38"/>
      <c r="G43" s="11"/>
      <c r="H43" s="12"/>
      <c r="I43" s="12"/>
      <c r="J43" s="20"/>
      <c r="K43" s="20"/>
      <c r="L43" s="28"/>
      <c r="M43" s="28"/>
      <c r="N43" s="20"/>
      <c r="O43" s="33"/>
      <c r="P43" s="11"/>
      <c r="Q43" s="30"/>
      <c r="R43" s="30"/>
      <c r="S43" s="31"/>
      <c r="T43" s="46"/>
      <c r="U43" s="5"/>
      <c r="V43" s="11"/>
      <c r="W43" s="32"/>
    </row>
    <row r="44" spans="1:23" ht="18">
      <c r="B44" s="45"/>
    </row>
    <row r="45" spans="1:23" ht="15" thickBot="1">
      <c r="B45" s="19"/>
      <c r="C45" s="39"/>
      <c r="D45" s="39"/>
      <c r="E45" s="39"/>
      <c r="F45" s="39"/>
      <c r="G45" s="40"/>
      <c r="H45" s="40"/>
      <c r="I45" s="40"/>
      <c r="J45" s="39"/>
      <c r="K45" s="39"/>
      <c r="L45" s="40"/>
      <c r="M45" s="40"/>
      <c r="N45" s="19"/>
      <c r="O45" s="40"/>
      <c r="P45" s="40"/>
      <c r="Q45" s="40"/>
      <c r="R45" s="40"/>
      <c r="S45" s="19"/>
      <c r="T45" s="40"/>
      <c r="U45" s="19"/>
      <c r="V45" s="40"/>
    </row>
    <row r="47" spans="1:23" ht="15" thickBot="1">
      <c r="B47" s="19"/>
      <c r="C47" s="39"/>
      <c r="D47" s="39"/>
      <c r="E47" s="39"/>
      <c r="F47" s="39"/>
      <c r="G47" s="40"/>
      <c r="H47" s="40"/>
      <c r="I47" s="40"/>
      <c r="J47" s="39"/>
      <c r="K47" s="39"/>
      <c r="L47" s="40"/>
      <c r="M47" s="40"/>
      <c r="N47" s="19"/>
      <c r="O47" s="40"/>
      <c r="P47" s="40"/>
      <c r="Q47" s="40"/>
      <c r="R47" s="40"/>
      <c r="S47" s="19"/>
      <c r="T47" s="40"/>
      <c r="U47" s="19"/>
      <c r="V47" s="40"/>
    </row>
    <row r="49" spans="2:22" ht="15" thickBot="1">
      <c r="B49" s="19"/>
      <c r="C49" s="39"/>
      <c r="D49" s="39"/>
      <c r="E49" s="39"/>
      <c r="F49" s="39"/>
      <c r="G49" s="40"/>
      <c r="H49" s="40"/>
      <c r="I49" s="40"/>
      <c r="J49" s="39"/>
      <c r="K49" s="39"/>
      <c r="L49" s="40"/>
      <c r="M49" s="40"/>
      <c r="N49" s="19"/>
      <c r="O49" s="40"/>
      <c r="P49" s="40"/>
      <c r="Q49" s="40"/>
      <c r="R49" s="40"/>
      <c r="S49" s="19"/>
      <c r="T49" s="40"/>
      <c r="U49" s="19"/>
      <c r="V49" s="40"/>
    </row>
    <row r="51" spans="2:22" ht="15" thickBot="1">
      <c r="B51" s="19"/>
      <c r="C51" s="39"/>
      <c r="D51" s="39"/>
      <c r="E51" s="39"/>
      <c r="F51" s="39"/>
      <c r="G51" s="40"/>
      <c r="H51" s="40"/>
      <c r="I51" s="40"/>
      <c r="J51" s="39"/>
      <c r="K51" s="39"/>
      <c r="L51" s="40"/>
      <c r="M51" s="40"/>
      <c r="N51" s="19"/>
      <c r="O51" s="40"/>
      <c r="P51" s="40"/>
      <c r="Q51" s="40"/>
      <c r="R51" s="40"/>
      <c r="S51" s="19"/>
      <c r="T51" s="40"/>
      <c r="U51" s="19"/>
      <c r="V51" s="40"/>
    </row>
    <row r="53" spans="2:22" ht="15" thickBot="1">
      <c r="B53" s="19"/>
      <c r="C53" s="39"/>
      <c r="D53" s="39"/>
      <c r="E53" s="39"/>
      <c r="F53" s="39"/>
      <c r="G53" s="40"/>
      <c r="H53" s="40"/>
      <c r="I53" s="40"/>
      <c r="J53" s="39"/>
      <c r="K53" s="39"/>
      <c r="L53" s="40"/>
      <c r="M53" s="40"/>
      <c r="N53" s="19"/>
      <c r="O53" s="40"/>
      <c r="P53" s="40"/>
      <c r="Q53" s="40"/>
      <c r="R53" s="40"/>
      <c r="S53" s="19"/>
      <c r="T53" s="40"/>
      <c r="U53" s="19"/>
      <c r="V53" s="40"/>
    </row>
    <row r="55" spans="2:22" ht="15" thickBot="1">
      <c r="B55" s="19"/>
      <c r="C55" s="39"/>
      <c r="D55" s="39"/>
      <c r="E55" s="39"/>
      <c r="F55" s="39"/>
      <c r="G55" s="40"/>
      <c r="H55" s="40"/>
      <c r="I55" s="40"/>
      <c r="J55" s="39"/>
      <c r="K55" s="39"/>
      <c r="L55" s="40"/>
      <c r="M55" s="40"/>
      <c r="N55" s="19"/>
      <c r="O55" s="40"/>
      <c r="P55" s="40"/>
      <c r="Q55" s="40"/>
      <c r="R55" s="40"/>
      <c r="S55" s="19"/>
      <c r="T55" s="40"/>
      <c r="U55" s="19"/>
      <c r="V55" s="40"/>
    </row>
    <row r="57" spans="2:22" ht="15" thickBot="1">
      <c r="B57" s="19"/>
      <c r="C57" s="39"/>
      <c r="D57" s="39"/>
      <c r="E57" s="39"/>
      <c r="F57" s="39"/>
      <c r="G57" s="40"/>
      <c r="H57" s="40"/>
      <c r="I57" s="40"/>
      <c r="J57" s="39"/>
      <c r="K57" s="39"/>
      <c r="L57" s="40"/>
      <c r="M57" s="40"/>
      <c r="N57" s="19"/>
      <c r="O57" s="40"/>
      <c r="P57" s="40"/>
      <c r="Q57" s="40"/>
      <c r="R57" s="40"/>
      <c r="S57" s="19"/>
      <c r="T57" s="40"/>
      <c r="U57" s="19"/>
      <c r="V57" s="40"/>
    </row>
  </sheetData>
  <mergeCells count="23">
    <mergeCell ref="Y2:Y3"/>
    <mergeCell ref="S2:S3"/>
    <mergeCell ref="T2:T3"/>
    <mergeCell ref="U2:U3"/>
    <mergeCell ref="W2:W3"/>
    <mergeCell ref="X2:X3"/>
    <mergeCell ref="M2:M3"/>
    <mergeCell ref="Q2:Q3"/>
    <mergeCell ref="R2:R3"/>
    <mergeCell ref="I2:I3"/>
    <mergeCell ref="K2:K3"/>
    <mergeCell ref="N2:N3"/>
    <mergeCell ref="O2:O3"/>
    <mergeCell ref="L2:L3"/>
    <mergeCell ref="J2:J3"/>
    <mergeCell ref="K1:L1"/>
    <mergeCell ref="D1:F1"/>
    <mergeCell ref="H2:H3"/>
    <mergeCell ref="A2:A3"/>
    <mergeCell ref="B2:B3"/>
    <mergeCell ref="C2:C3"/>
    <mergeCell ref="D2:D3"/>
    <mergeCell ref="E2:E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0FC1-3265-4065-A709-9E78ED540E10}">
  <dimension ref="A1:AK45"/>
  <sheetViews>
    <sheetView rightToLeft="1" workbookViewId="0">
      <selection activeCell="F2" sqref="F2"/>
    </sheetView>
  </sheetViews>
  <sheetFormatPr defaultRowHeight="25.5"/>
  <cols>
    <col min="1" max="1" width="4.5" style="82" customWidth="1"/>
    <col min="2" max="2" width="18" style="55" customWidth="1"/>
    <col min="3" max="3" width="5.25" style="55" customWidth="1"/>
    <col min="4" max="5" width="5.25" style="82" customWidth="1"/>
    <col min="6" max="10" width="5.25" style="83" customWidth="1"/>
    <col min="11" max="11" width="5.25" style="84" customWidth="1"/>
    <col min="12" max="33" width="5.25" style="55" customWidth="1"/>
    <col min="34" max="34" width="6.875" style="55" customWidth="1"/>
    <col min="35" max="35" width="7.375" style="55" customWidth="1"/>
    <col min="36" max="36" width="7.875" style="55" customWidth="1"/>
    <col min="37" max="16384" width="9" style="55"/>
  </cols>
  <sheetData>
    <row r="1" spans="1:37" ht="30" customHeight="1">
      <c r="B1" s="101">
        <v>45108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7" ht="30" customHeight="1">
      <c r="A2" s="55"/>
      <c r="B2" s="85" t="str">
        <f>TEXT("تقرير الحضور والغياب - ",)&amp;TEXT(B1,"[$-0401]mmm yyyy")</f>
        <v>تقرير الحضور والغياب - يوليو 2023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</row>
    <row r="3" spans="1:37" ht="22.5" customHeight="1" thickBot="1">
      <c r="A3" s="56"/>
      <c r="B3" s="57"/>
      <c r="C3" s="94" t="str">
        <f>TEXT(($B$1-DAY($B$1)+Ar_6[[#Headers],[1]]),"[$-0401]ddd")</f>
        <v>السبت</v>
      </c>
      <c r="D3" s="94" t="str">
        <f>TEXT(($B$1-DAY($B$1)+Ar_6[[#Headers],[2]]),"[$-0401]ddd")</f>
        <v>الأحد</v>
      </c>
      <c r="E3" s="94" t="str">
        <f>TEXT(($B$1-DAY($B$1)+Ar_6[[#Headers],[3]]),"[$-0401]ddd")</f>
        <v>الإثنين</v>
      </c>
      <c r="F3" s="94" t="str">
        <f>TEXT(($B$1-DAY($B$1)+Ar_6[[#Headers],[4]]),"[$-0401]ddd")</f>
        <v>الثلاثاء</v>
      </c>
      <c r="G3" s="94" t="str">
        <f>TEXT(($B$1-DAY($B$1)+Ar_6[[#Headers],[5]]),"[$-0401]ddd")</f>
        <v>الأربعاء</v>
      </c>
      <c r="H3" s="94" t="str">
        <f>TEXT(($B$1-DAY($B$1)+Ar_6[[#Headers],[6]]),"[$-0401]ddd")</f>
        <v>الخميس</v>
      </c>
      <c r="I3" s="95" t="str">
        <f>TEXT(($B$1-DAY($B$1)+Ar_6[[#Headers],[7]]),"[$-0401]ddd")</f>
        <v>الجمعة</v>
      </c>
      <c r="J3" s="94" t="str">
        <f>TEXT(($B$1-DAY($B$1)+Ar_6[[#Headers],[8]]),"[$-0401]ddd")</f>
        <v>السبت</v>
      </c>
      <c r="K3" s="94" t="str">
        <f>TEXT(($B$1-DAY($B$1)+Ar_6[[#Headers],[9]]),"[$-0401]ddd")</f>
        <v>الأحد</v>
      </c>
      <c r="L3" s="94" t="str">
        <f>TEXT(($B$1-DAY($B$1)+Ar_6[[#Headers],[10]]),"[$-0401]ddd")</f>
        <v>الإثنين</v>
      </c>
      <c r="M3" s="94" t="str">
        <f>TEXT(($B$1-DAY($B$1)+Ar_6[[#Headers],[11]]),"[$-0401]ddd")</f>
        <v>الثلاثاء</v>
      </c>
      <c r="N3" s="94" t="str">
        <f>TEXT(($B$1-DAY($B$1)+Ar_6[[#Headers],[12]]),"[$-0401]ddd")</f>
        <v>الأربعاء</v>
      </c>
      <c r="O3" s="94" t="str">
        <f>TEXT(($B$1-DAY($B$1)+Ar_6[[#Headers],[13]]),"[$-0401]ddd")</f>
        <v>الخميس</v>
      </c>
      <c r="P3" s="95" t="str">
        <f>TEXT(($B$1-DAY($B$1)+Ar_6[[#Headers],[14]]),"[$-0401]ddd")</f>
        <v>الجمعة</v>
      </c>
      <c r="Q3" s="94" t="str">
        <f>TEXT(($B$1-DAY($B$1)+Ar_6[[#Headers],[15]]),"[$-0401]ddd")</f>
        <v>السبت</v>
      </c>
      <c r="R3" s="94" t="str">
        <f>TEXT(($B$1-DAY($B$1)+Ar_6[[#Headers],[16]]),"[$-0401]ddd")</f>
        <v>الأحد</v>
      </c>
      <c r="S3" s="94" t="str">
        <f>TEXT(($B$1-DAY($B$1)+Ar_6[[#Headers],[17]]),"[$-0401]ddd")</f>
        <v>الإثنين</v>
      </c>
      <c r="T3" s="94" t="str">
        <f>TEXT(($B$1-DAY($B$1)+Ar_6[[#Headers],[18]]),"[$-0401]ddd")</f>
        <v>الثلاثاء</v>
      </c>
      <c r="U3" s="94" t="str">
        <f>TEXT(($B$1-DAY($B$1)+Ar_6[[#Headers],[19]]),"[$-0401]ddd")</f>
        <v>الأربعاء</v>
      </c>
      <c r="V3" s="94" t="str">
        <f>TEXT(($B$1-DAY($B$1)+Ar_6[[#Headers],[20]]),"[$-0401]ddd")</f>
        <v>الخميس</v>
      </c>
      <c r="W3" s="95" t="str">
        <f>TEXT(($B$1-DAY($B$1)+Ar_6[[#Headers],[21]]),"[$-0401]ddd")</f>
        <v>الجمعة</v>
      </c>
      <c r="X3" s="94" t="str">
        <f>TEXT(($B$1-DAY($B$1)+Ar_6[[#Headers],[22]]),"[$-0401]ddd")</f>
        <v>السبت</v>
      </c>
      <c r="Y3" s="94" t="str">
        <f>TEXT(($B$1-DAY($B$1)+Ar_6[[#Headers],[23]]),"[$-0401]ddd")</f>
        <v>الأحد</v>
      </c>
      <c r="Z3" s="94" t="str">
        <f>TEXT(($B$1-DAY($B$1)+Ar_6[[#Headers],[24]]),"[$-0401]ddd")</f>
        <v>الإثنين</v>
      </c>
      <c r="AA3" s="94" t="str">
        <f>TEXT(($B$1-DAY($B$1)+Ar_6[[#Headers],[25]]),"[$-0401]ddd")</f>
        <v>الثلاثاء</v>
      </c>
      <c r="AB3" s="94" t="str">
        <f>TEXT(($B$1-DAY($B$1)+Ar_6[[#Headers],[26]]),"[$-0401]ddd")</f>
        <v>الأربعاء</v>
      </c>
      <c r="AC3" s="94" t="str">
        <f>TEXT(($B$1-DAY($B$1)+Ar_6[[#Headers],[27]]),"[$-0401]ddd")</f>
        <v>الخميس</v>
      </c>
      <c r="AD3" s="95" t="str">
        <f>TEXT(($B$1-DAY($B$1)+Ar_6[[#Headers],[28]]),"[$-0401]ddd")</f>
        <v>الجمعة</v>
      </c>
      <c r="AE3" s="94" t="str">
        <f>TEXT(($B$1-DAY($B$1)+Ar_6[[#Headers],[29]]),"[$-0401]ddd")</f>
        <v>السبت</v>
      </c>
      <c r="AF3" s="94" t="str">
        <f>TEXT(($B$1-DAY($B$1)+Ar_6[[#Headers],[30]]),"[$-0401]ddd")</f>
        <v>الأحد</v>
      </c>
      <c r="AG3" s="94" t="str">
        <f>TEXT(($B$1-DAY($B$1)+Ar_6[[#Headers],[31]]),"[$-0401]ddd")</f>
        <v>الإثنين</v>
      </c>
    </row>
    <row r="4" spans="1:37" s="61" customFormat="1" ht="36" customHeight="1">
      <c r="A4" s="58" t="s">
        <v>79</v>
      </c>
      <c r="B4" s="59" t="s">
        <v>80</v>
      </c>
      <c r="C4" s="60" t="s">
        <v>81</v>
      </c>
      <c r="D4" s="60" t="s">
        <v>82</v>
      </c>
      <c r="E4" s="60" t="s">
        <v>83</v>
      </c>
      <c r="F4" s="60" t="s">
        <v>84</v>
      </c>
      <c r="G4" s="60" t="s">
        <v>85</v>
      </c>
      <c r="H4" s="60" t="s">
        <v>86</v>
      </c>
      <c r="I4" s="92" t="s">
        <v>87</v>
      </c>
      <c r="J4" s="60" t="s">
        <v>88</v>
      </c>
      <c r="K4" s="60" t="s">
        <v>89</v>
      </c>
      <c r="L4" s="60" t="s">
        <v>90</v>
      </c>
      <c r="M4" s="60" t="s">
        <v>91</v>
      </c>
      <c r="N4" s="60" t="s">
        <v>92</v>
      </c>
      <c r="O4" s="60" t="s">
        <v>93</v>
      </c>
      <c r="P4" s="92" t="s">
        <v>94</v>
      </c>
      <c r="Q4" s="60" t="s">
        <v>95</v>
      </c>
      <c r="R4" s="60" t="s">
        <v>96</v>
      </c>
      <c r="S4" s="60" t="s">
        <v>97</v>
      </c>
      <c r="T4" s="60" t="s">
        <v>98</v>
      </c>
      <c r="U4" s="60" t="s">
        <v>99</v>
      </c>
      <c r="V4" s="60" t="s">
        <v>100</v>
      </c>
      <c r="W4" s="92" t="s">
        <v>101</v>
      </c>
      <c r="X4" s="60" t="s">
        <v>102</v>
      </c>
      <c r="Y4" s="60" t="s">
        <v>103</v>
      </c>
      <c r="Z4" s="60" t="s">
        <v>104</v>
      </c>
      <c r="AA4" s="60" t="s">
        <v>105</v>
      </c>
      <c r="AB4" s="60" t="s">
        <v>106</v>
      </c>
      <c r="AC4" s="60" t="s">
        <v>107</v>
      </c>
      <c r="AD4" s="92" t="s">
        <v>108</v>
      </c>
      <c r="AE4" s="60" t="s">
        <v>109</v>
      </c>
      <c r="AF4" s="60" t="s">
        <v>110</v>
      </c>
      <c r="AG4" s="60" t="s">
        <v>111</v>
      </c>
      <c r="AH4" s="100" t="s">
        <v>120</v>
      </c>
      <c r="AI4" s="103" t="s">
        <v>17</v>
      </c>
      <c r="AJ4" s="97" t="s">
        <v>121</v>
      </c>
      <c r="AK4" s="97" t="s">
        <v>122</v>
      </c>
    </row>
    <row r="5" spans="1:37" ht="30" customHeight="1">
      <c r="A5" s="62">
        <v>1</v>
      </c>
      <c r="B5" s="63" t="s">
        <v>29</v>
      </c>
      <c r="C5" s="64"/>
      <c r="D5" s="64"/>
      <c r="E5" s="64"/>
      <c r="F5" s="64"/>
      <c r="G5" s="64"/>
      <c r="H5" s="64"/>
      <c r="I5" s="93"/>
      <c r="J5" s="64"/>
      <c r="K5" s="64"/>
      <c r="L5" s="64"/>
      <c r="M5" s="64"/>
      <c r="N5" s="64"/>
      <c r="O5" s="64"/>
      <c r="P5" s="93"/>
      <c r="Q5" s="64"/>
      <c r="R5" s="64"/>
      <c r="S5" s="64"/>
      <c r="T5" s="64"/>
      <c r="U5" s="64"/>
      <c r="V5" s="64"/>
      <c r="W5" s="93"/>
      <c r="X5" s="64"/>
      <c r="Y5" s="64"/>
      <c r="Z5" s="64"/>
      <c r="AA5" s="64"/>
      <c r="AB5" s="64"/>
      <c r="AC5" s="64"/>
      <c r="AD5" s="93"/>
      <c r="AE5" s="64"/>
      <c r="AF5" s="64"/>
      <c r="AG5" s="64"/>
      <c r="AH5" s="65" t="str">
        <f>IF((COUNTIFS(Ar_6[[#This Row],[1]:[31]],"&lt;&gt;T34",Ar_6[[#This Row],[1]:[31]],"&lt;&gt;")&lt;&gt;0),COUNTIFS(Ar_6[[#This Row],[1]:[31]],"&lt;&gt;T34",Ar_6[[#This Row],[1]:[31]],"&lt;&gt;"),"")</f>
        <v/>
      </c>
      <c r="AI5" s="66"/>
      <c r="AJ5" s="96"/>
      <c r="AK5" s="96"/>
    </row>
    <row r="6" spans="1:37" ht="30" customHeight="1">
      <c r="A6" s="62">
        <f t="shared" ref="A6:A43" si="0">+A5+1</f>
        <v>2</v>
      </c>
      <c r="B6" s="63" t="s">
        <v>31</v>
      </c>
      <c r="C6" s="64"/>
      <c r="D6" s="64"/>
      <c r="E6" s="64"/>
      <c r="F6" s="64"/>
      <c r="G6" s="64"/>
      <c r="H6" s="64"/>
      <c r="I6" s="93"/>
      <c r="J6" s="64"/>
      <c r="K6" s="64"/>
      <c r="L6" s="64"/>
      <c r="M6" s="64"/>
      <c r="N6" s="64"/>
      <c r="O6" s="64"/>
      <c r="P6" s="93"/>
      <c r="Q6" s="64"/>
      <c r="R6" s="64"/>
      <c r="S6" s="64"/>
      <c r="T6" s="64"/>
      <c r="U6" s="64"/>
      <c r="V6" s="64"/>
      <c r="W6" s="93"/>
      <c r="X6" s="64"/>
      <c r="Y6" s="64"/>
      <c r="Z6" s="64"/>
      <c r="AA6" s="64"/>
      <c r="AB6" s="64"/>
      <c r="AC6" s="64"/>
      <c r="AD6" s="93"/>
      <c r="AE6" s="64"/>
      <c r="AF6" s="64"/>
      <c r="AG6" s="64"/>
      <c r="AH6" s="65" t="str">
        <f>IF((COUNTIFS(Ar_6[[#This Row],[1]:[31]],"&lt;&gt;T34",Ar_6[[#This Row],[1]:[31]],"&lt;&gt;")&lt;&gt;0),COUNTIFS(Ar_6[[#This Row],[1]:[31]],"&lt;&gt;T34",Ar_6[[#This Row],[1]:[31]],"&lt;&gt;"),"")</f>
        <v/>
      </c>
      <c r="AI6" s="66"/>
      <c r="AJ6" s="65"/>
      <c r="AK6" s="65"/>
    </row>
    <row r="7" spans="1:37" ht="30" customHeight="1">
      <c r="A7" s="62">
        <f t="shared" si="0"/>
        <v>3</v>
      </c>
      <c r="B7" s="63" t="s">
        <v>32</v>
      </c>
      <c r="C7" s="64"/>
      <c r="D7" s="64"/>
      <c r="E7" s="64"/>
      <c r="F7" s="64"/>
      <c r="G7" s="64"/>
      <c r="H7" s="64"/>
      <c r="I7" s="93"/>
      <c r="J7" s="64"/>
      <c r="K7" s="64"/>
      <c r="L7" s="64"/>
      <c r="M7" s="64"/>
      <c r="N7" s="64"/>
      <c r="O7" s="64"/>
      <c r="P7" s="93"/>
      <c r="Q7" s="64"/>
      <c r="R7" s="64"/>
      <c r="S7" s="64"/>
      <c r="T7" s="64"/>
      <c r="U7" s="64"/>
      <c r="V7" s="64"/>
      <c r="W7" s="93"/>
      <c r="X7" s="64"/>
      <c r="Y7" s="64"/>
      <c r="Z7" s="64"/>
      <c r="AA7" s="64"/>
      <c r="AB7" s="64"/>
      <c r="AC7" s="64"/>
      <c r="AD7" s="93"/>
      <c r="AE7" s="64"/>
      <c r="AF7" s="64"/>
      <c r="AG7" s="64"/>
      <c r="AH7" s="65" t="str">
        <f>IF((COUNTIFS(Ar_6[[#This Row],[1]:[31]],"&lt;&gt;T34",Ar_6[[#This Row],[1]:[31]],"&lt;&gt;")&lt;&gt;0),COUNTIFS(Ar_6[[#This Row],[1]:[31]],"&lt;&gt;T34",Ar_6[[#This Row],[1]:[31]],"&lt;&gt;"),"")</f>
        <v/>
      </c>
      <c r="AI7" s="66"/>
      <c r="AJ7" s="65"/>
      <c r="AK7" s="65"/>
    </row>
    <row r="8" spans="1:37" ht="30" customHeight="1">
      <c r="A8" s="62">
        <f t="shared" si="0"/>
        <v>4</v>
      </c>
      <c r="B8" s="63" t="s">
        <v>33</v>
      </c>
      <c r="C8" s="64"/>
      <c r="D8" s="64"/>
      <c r="E8" s="64"/>
      <c r="F8" s="64"/>
      <c r="G8" s="64"/>
      <c r="H8" s="64"/>
      <c r="I8" s="93"/>
      <c r="J8" s="64"/>
      <c r="K8" s="64"/>
      <c r="L8" s="64"/>
      <c r="M8" s="64"/>
      <c r="N8" s="64"/>
      <c r="O8" s="64"/>
      <c r="P8" s="93"/>
      <c r="Q8" s="64"/>
      <c r="R8" s="64"/>
      <c r="S8" s="64"/>
      <c r="T8" s="64"/>
      <c r="U8" s="64"/>
      <c r="V8" s="64"/>
      <c r="W8" s="93"/>
      <c r="X8" s="64"/>
      <c r="Y8" s="64"/>
      <c r="Z8" s="64"/>
      <c r="AA8" s="64"/>
      <c r="AB8" s="64"/>
      <c r="AC8" s="64"/>
      <c r="AD8" s="93"/>
      <c r="AE8" s="64"/>
      <c r="AF8" s="64"/>
      <c r="AG8" s="64"/>
      <c r="AH8" s="65" t="str">
        <f>IF((COUNTIFS(Ar_6[[#This Row],[1]:[31]],"&lt;&gt;T34",Ar_6[[#This Row],[1]:[31]],"&lt;&gt;")&lt;&gt;0),COUNTIFS(Ar_6[[#This Row],[1]:[31]],"&lt;&gt;T34",Ar_6[[#This Row],[1]:[31]],"&lt;&gt;"),"")</f>
        <v/>
      </c>
      <c r="AI8" s="66"/>
      <c r="AJ8" s="65"/>
      <c r="AK8" s="65"/>
    </row>
    <row r="9" spans="1:37" ht="30" customHeight="1">
      <c r="A9" s="62">
        <f t="shared" si="0"/>
        <v>5</v>
      </c>
      <c r="B9" s="63" t="s">
        <v>34</v>
      </c>
      <c r="C9" s="64"/>
      <c r="D9" s="64"/>
      <c r="E9" s="64"/>
      <c r="F9" s="64"/>
      <c r="G9" s="64"/>
      <c r="H9" s="64"/>
      <c r="I9" s="93"/>
      <c r="J9" s="64"/>
      <c r="K9" s="64"/>
      <c r="L9" s="64"/>
      <c r="M9" s="64"/>
      <c r="N9" s="64"/>
      <c r="O9" s="64"/>
      <c r="P9" s="93"/>
      <c r="Q9" s="64"/>
      <c r="R9" s="64"/>
      <c r="S9" s="64"/>
      <c r="T9" s="64"/>
      <c r="U9" s="64"/>
      <c r="V9" s="64"/>
      <c r="W9" s="93"/>
      <c r="X9" s="64"/>
      <c r="Y9" s="64"/>
      <c r="Z9" s="64"/>
      <c r="AA9" s="64"/>
      <c r="AB9" s="64"/>
      <c r="AC9" s="64"/>
      <c r="AD9" s="93"/>
      <c r="AE9" s="64"/>
      <c r="AF9" s="64"/>
      <c r="AG9" s="64"/>
      <c r="AH9" s="65" t="str">
        <f>IF((COUNTIFS(Ar_6[[#This Row],[1]:[31]],"&lt;&gt;T34",Ar_6[[#This Row],[1]:[31]],"&lt;&gt;")&lt;&gt;0),COUNTIFS(Ar_6[[#This Row],[1]:[31]],"&lt;&gt;T34",Ar_6[[#This Row],[1]:[31]],"&lt;&gt;"),"")</f>
        <v/>
      </c>
      <c r="AI9" s="66"/>
      <c r="AJ9" s="65"/>
      <c r="AK9" s="65"/>
    </row>
    <row r="10" spans="1:37" ht="30" customHeight="1">
      <c r="A10" s="62">
        <f t="shared" si="0"/>
        <v>6</v>
      </c>
      <c r="B10" s="63" t="s">
        <v>35</v>
      </c>
      <c r="C10" s="64"/>
      <c r="D10" s="64"/>
      <c r="E10" s="64"/>
      <c r="F10" s="64"/>
      <c r="G10" s="64"/>
      <c r="H10" s="64"/>
      <c r="I10" s="93"/>
      <c r="J10" s="64"/>
      <c r="K10" s="64"/>
      <c r="L10" s="64"/>
      <c r="M10" s="64"/>
      <c r="N10" s="64"/>
      <c r="O10" s="64"/>
      <c r="P10" s="93"/>
      <c r="Q10" s="64"/>
      <c r="R10" s="64"/>
      <c r="S10" s="64"/>
      <c r="T10" s="64"/>
      <c r="U10" s="64"/>
      <c r="V10" s="64"/>
      <c r="W10" s="93"/>
      <c r="X10" s="64"/>
      <c r="Y10" s="64"/>
      <c r="Z10" s="64"/>
      <c r="AA10" s="64"/>
      <c r="AB10" s="64"/>
      <c r="AC10" s="64"/>
      <c r="AD10" s="93"/>
      <c r="AE10" s="64"/>
      <c r="AF10" s="64"/>
      <c r="AG10" s="64"/>
      <c r="AH10" s="65" t="str">
        <f>IF((COUNTIFS(Ar_6[[#This Row],[1]:[31]],"&lt;&gt;T34",Ar_6[[#This Row],[1]:[31]],"&lt;&gt;")&lt;&gt;0),COUNTIFS(Ar_6[[#This Row],[1]:[31]],"&lt;&gt;T34",Ar_6[[#This Row],[1]:[31]],"&lt;&gt;"),"")</f>
        <v/>
      </c>
      <c r="AI10" s="66"/>
      <c r="AJ10" s="65"/>
      <c r="AK10" s="65"/>
    </row>
    <row r="11" spans="1:37" ht="30" customHeight="1">
      <c r="A11" s="62">
        <f t="shared" si="0"/>
        <v>7</v>
      </c>
      <c r="B11" s="63" t="s">
        <v>37</v>
      </c>
      <c r="C11" s="64"/>
      <c r="D11" s="64"/>
      <c r="E11" s="64"/>
      <c r="F11" s="64"/>
      <c r="G11" s="64"/>
      <c r="H11" s="64"/>
      <c r="I11" s="93"/>
      <c r="J11" s="64"/>
      <c r="K11" s="64"/>
      <c r="L11" s="64"/>
      <c r="M11" s="64"/>
      <c r="N11" s="64"/>
      <c r="O11" s="64"/>
      <c r="P11" s="93"/>
      <c r="Q11" s="64"/>
      <c r="R11" s="64"/>
      <c r="S11" s="64"/>
      <c r="T11" s="64"/>
      <c r="U11" s="64"/>
      <c r="V11" s="64"/>
      <c r="W11" s="93"/>
      <c r="X11" s="64"/>
      <c r="Y11" s="64"/>
      <c r="Z11" s="64"/>
      <c r="AA11" s="64"/>
      <c r="AB11" s="64"/>
      <c r="AC11" s="64"/>
      <c r="AD11" s="93"/>
      <c r="AE11" s="64"/>
      <c r="AF11" s="64"/>
      <c r="AG11" s="64"/>
      <c r="AH11" s="65" t="str">
        <f>IF((COUNTIFS(Ar_6[[#This Row],[1]:[31]],"&lt;&gt;T34",Ar_6[[#This Row],[1]:[31]],"&lt;&gt;")&lt;&gt;0),COUNTIFS(Ar_6[[#This Row],[1]:[31]],"&lt;&gt;T34",Ar_6[[#This Row],[1]:[31]],"&lt;&gt;"),"")</f>
        <v/>
      </c>
      <c r="AI11" s="66"/>
      <c r="AJ11" s="65"/>
      <c r="AK11" s="65"/>
    </row>
    <row r="12" spans="1:37" ht="30" customHeight="1">
      <c r="A12" s="62">
        <f t="shared" si="0"/>
        <v>8</v>
      </c>
      <c r="B12" s="63" t="s">
        <v>38</v>
      </c>
      <c r="C12" s="64"/>
      <c r="D12" s="64"/>
      <c r="E12" s="64"/>
      <c r="F12" s="64"/>
      <c r="G12" s="64"/>
      <c r="H12" s="64"/>
      <c r="I12" s="93"/>
      <c r="J12" s="64"/>
      <c r="K12" s="64"/>
      <c r="L12" s="64"/>
      <c r="M12" s="64"/>
      <c r="N12" s="64"/>
      <c r="O12" s="64"/>
      <c r="P12" s="93"/>
      <c r="Q12" s="64"/>
      <c r="R12" s="64"/>
      <c r="S12" s="64"/>
      <c r="T12" s="64"/>
      <c r="U12" s="64"/>
      <c r="V12" s="64"/>
      <c r="W12" s="93"/>
      <c r="X12" s="64"/>
      <c r="Y12" s="64"/>
      <c r="Z12" s="64"/>
      <c r="AA12" s="64"/>
      <c r="AB12" s="64"/>
      <c r="AC12" s="64"/>
      <c r="AD12" s="93"/>
      <c r="AE12" s="64"/>
      <c r="AF12" s="64"/>
      <c r="AG12" s="64"/>
      <c r="AH12" s="65" t="str">
        <f>IF((COUNTIFS(Ar_6[[#This Row],[1]:[31]],"&lt;&gt;T34",Ar_6[[#This Row],[1]:[31]],"&lt;&gt;")&lt;&gt;0),COUNTIFS(Ar_6[[#This Row],[1]:[31]],"&lt;&gt;T34",Ar_6[[#This Row],[1]:[31]],"&lt;&gt;"),"")</f>
        <v/>
      </c>
      <c r="AI12" s="66"/>
      <c r="AJ12" s="65"/>
      <c r="AK12" s="65"/>
    </row>
    <row r="13" spans="1:37" ht="30" customHeight="1">
      <c r="A13" s="62">
        <f t="shared" si="0"/>
        <v>9</v>
      </c>
      <c r="B13" s="63" t="s">
        <v>39</v>
      </c>
      <c r="C13" s="64"/>
      <c r="D13" s="64"/>
      <c r="E13" s="64"/>
      <c r="F13" s="64"/>
      <c r="G13" s="64"/>
      <c r="H13" s="64"/>
      <c r="I13" s="93"/>
      <c r="J13" s="64"/>
      <c r="K13" s="64"/>
      <c r="L13" s="64"/>
      <c r="M13" s="64"/>
      <c r="N13" s="64"/>
      <c r="O13" s="64"/>
      <c r="P13" s="93"/>
      <c r="Q13" s="64"/>
      <c r="R13" s="64"/>
      <c r="S13" s="64"/>
      <c r="T13" s="64"/>
      <c r="U13" s="64"/>
      <c r="V13" s="64"/>
      <c r="W13" s="93"/>
      <c r="X13" s="64"/>
      <c r="Y13" s="64"/>
      <c r="Z13" s="64"/>
      <c r="AA13" s="64"/>
      <c r="AB13" s="64"/>
      <c r="AC13" s="64"/>
      <c r="AD13" s="93"/>
      <c r="AE13" s="64"/>
      <c r="AF13" s="64"/>
      <c r="AG13" s="64"/>
      <c r="AH13" s="65" t="str">
        <f>IF((COUNTIFS(Ar_6[[#This Row],[1]:[31]],"&lt;&gt;T34",Ar_6[[#This Row],[1]:[31]],"&lt;&gt;")&lt;&gt;0),COUNTIFS(Ar_6[[#This Row],[1]:[31]],"&lt;&gt;T34",Ar_6[[#This Row],[1]:[31]],"&lt;&gt;"),"")</f>
        <v/>
      </c>
      <c r="AI13" s="66"/>
      <c r="AJ13" s="65"/>
      <c r="AK13" s="65"/>
    </row>
    <row r="14" spans="1:37" ht="30" customHeight="1">
      <c r="A14" s="62">
        <f t="shared" si="0"/>
        <v>10</v>
      </c>
      <c r="B14" s="63" t="s">
        <v>40</v>
      </c>
      <c r="C14" s="64"/>
      <c r="D14" s="64"/>
      <c r="E14" s="64"/>
      <c r="F14" s="64"/>
      <c r="G14" s="64"/>
      <c r="H14" s="64"/>
      <c r="I14" s="93"/>
      <c r="J14" s="64"/>
      <c r="K14" s="64"/>
      <c r="L14" s="64"/>
      <c r="M14" s="64"/>
      <c r="N14" s="64"/>
      <c r="O14" s="64"/>
      <c r="P14" s="93"/>
      <c r="Q14" s="64"/>
      <c r="R14" s="64"/>
      <c r="S14" s="64"/>
      <c r="T14" s="64"/>
      <c r="U14" s="64"/>
      <c r="V14" s="64"/>
      <c r="W14" s="93"/>
      <c r="X14" s="64"/>
      <c r="Y14" s="64"/>
      <c r="Z14" s="64"/>
      <c r="AA14" s="64"/>
      <c r="AB14" s="64"/>
      <c r="AC14" s="64"/>
      <c r="AD14" s="93"/>
      <c r="AE14" s="64"/>
      <c r="AF14" s="64"/>
      <c r="AG14" s="64"/>
      <c r="AH14" s="65" t="str">
        <f>IF((COUNTIFS(Ar_6[[#This Row],[1]:[31]],"&lt;&gt;T34",Ar_6[[#This Row],[1]:[31]],"&lt;&gt;")&lt;&gt;0),COUNTIFS(Ar_6[[#This Row],[1]:[31]],"&lt;&gt;T34",Ar_6[[#This Row],[1]:[31]],"&lt;&gt;"),"")</f>
        <v/>
      </c>
      <c r="AI14" s="66"/>
      <c r="AJ14" s="65"/>
      <c r="AK14" s="65"/>
    </row>
    <row r="15" spans="1:37" ht="30" customHeight="1">
      <c r="A15" s="62">
        <f t="shared" si="0"/>
        <v>11</v>
      </c>
      <c r="B15" s="63" t="s">
        <v>42</v>
      </c>
      <c r="C15" s="64"/>
      <c r="D15" s="64"/>
      <c r="E15" s="64"/>
      <c r="F15" s="64"/>
      <c r="G15" s="64"/>
      <c r="H15" s="64"/>
      <c r="I15" s="93"/>
      <c r="J15" s="64"/>
      <c r="K15" s="64"/>
      <c r="L15" s="64"/>
      <c r="M15" s="64"/>
      <c r="N15" s="64"/>
      <c r="O15" s="64"/>
      <c r="P15" s="93"/>
      <c r="Q15" s="64"/>
      <c r="R15" s="64"/>
      <c r="S15" s="64"/>
      <c r="T15" s="64"/>
      <c r="U15" s="64"/>
      <c r="V15" s="64"/>
      <c r="W15" s="93"/>
      <c r="X15" s="64"/>
      <c r="Y15" s="64"/>
      <c r="Z15" s="64"/>
      <c r="AA15" s="64"/>
      <c r="AB15" s="64"/>
      <c r="AC15" s="64"/>
      <c r="AD15" s="93"/>
      <c r="AE15" s="64"/>
      <c r="AF15" s="64"/>
      <c r="AG15" s="64"/>
      <c r="AH15" s="65" t="str">
        <f>IF((COUNTIFS(Ar_6[[#This Row],[1]:[31]],"&lt;&gt;T34",Ar_6[[#This Row],[1]:[31]],"&lt;&gt;")&lt;&gt;0),COUNTIFS(Ar_6[[#This Row],[1]:[31]],"&lt;&gt;T34",Ar_6[[#This Row],[1]:[31]],"&lt;&gt;"),"")</f>
        <v/>
      </c>
      <c r="AI15" s="66"/>
      <c r="AJ15" s="65"/>
      <c r="AK15" s="65"/>
    </row>
    <row r="16" spans="1:37" ht="30" customHeight="1">
      <c r="A16" s="62">
        <f t="shared" si="0"/>
        <v>12</v>
      </c>
      <c r="B16" s="63" t="s">
        <v>43</v>
      </c>
      <c r="C16" s="64"/>
      <c r="D16" s="64"/>
      <c r="E16" s="64"/>
      <c r="F16" s="64"/>
      <c r="G16" s="64"/>
      <c r="H16" s="64"/>
      <c r="I16" s="93"/>
      <c r="J16" s="64"/>
      <c r="K16" s="64"/>
      <c r="L16" s="64"/>
      <c r="M16" s="64"/>
      <c r="N16" s="64"/>
      <c r="O16" s="64"/>
      <c r="P16" s="93"/>
      <c r="Q16" s="64"/>
      <c r="R16" s="64"/>
      <c r="S16" s="64"/>
      <c r="T16" s="64"/>
      <c r="U16" s="64"/>
      <c r="V16" s="64"/>
      <c r="W16" s="93"/>
      <c r="X16" s="64"/>
      <c r="Y16" s="64"/>
      <c r="Z16" s="64"/>
      <c r="AA16" s="64"/>
      <c r="AB16" s="64"/>
      <c r="AC16" s="64"/>
      <c r="AD16" s="93"/>
      <c r="AE16" s="64"/>
      <c r="AF16" s="64"/>
      <c r="AG16" s="64"/>
      <c r="AH16" s="65" t="str">
        <f>IF((COUNTIFS(Ar_6[[#This Row],[1]:[31]],"&lt;&gt;T34",Ar_6[[#This Row],[1]:[31]],"&lt;&gt;")&lt;&gt;0),COUNTIFS(Ar_6[[#This Row],[1]:[31]],"&lt;&gt;T34",Ar_6[[#This Row],[1]:[31]],"&lt;&gt;"),"")</f>
        <v/>
      </c>
      <c r="AI16" s="66"/>
      <c r="AJ16" s="65"/>
      <c r="AK16" s="65"/>
    </row>
    <row r="17" spans="1:37" ht="30" customHeight="1">
      <c r="A17" s="62">
        <f t="shared" si="0"/>
        <v>13</v>
      </c>
      <c r="B17" s="63" t="s">
        <v>44</v>
      </c>
      <c r="C17" s="64"/>
      <c r="D17" s="64"/>
      <c r="E17" s="64"/>
      <c r="F17" s="64"/>
      <c r="G17" s="64"/>
      <c r="H17" s="64"/>
      <c r="I17" s="93"/>
      <c r="J17" s="64"/>
      <c r="K17" s="64"/>
      <c r="L17" s="64"/>
      <c r="M17" s="64"/>
      <c r="N17" s="64"/>
      <c r="O17" s="64"/>
      <c r="P17" s="93"/>
      <c r="Q17" s="64"/>
      <c r="R17" s="64"/>
      <c r="S17" s="64"/>
      <c r="T17" s="64"/>
      <c r="U17" s="64"/>
      <c r="V17" s="64"/>
      <c r="W17" s="93"/>
      <c r="X17" s="64"/>
      <c r="Y17" s="64"/>
      <c r="Z17" s="64"/>
      <c r="AA17" s="64"/>
      <c r="AB17" s="64"/>
      <c r="AC17" s="64"/>
      <c r="AD17" s="93"/>
      <c r="AE17" s="64"/>
      <c r="AF17" s="64"/>
      <c r="AG17" s="64"/>
      <c r="AH17" s="65" t="str">
        <f>IF((COUNTIFS(Ar_6[[#This Row],[1]:[31]],"&lt;&gt;T34",Ar_6[[#This Row],[1]:[31]],"&lt;&gt;")&lt;&gt;0),COUNTIFS(Ar_6[[#This Row],[1]:[31]],"&lt;&gt;T34",Ar_6[[#This Row],[1]:[31]],"&lt;&gt;"),"")</f>
        <v/>
      </c>
      <c r="AI17" s="66"/>
      <c r="AJ17" s="65"/>
      <c r="AK17" s="65"/>
    </row>
    <row r="18" spans="1:37" ht="30" customHeight="1">
      <c r="A18" s="62">
        <f t="shared" si="0"/>
        <v>14</v>
      </c>
      <c r="B18" s="63" t="s">
        <v>45</v>
      </c>
      <c r="C18" s="64"/>
      <c r="D18" s="64"/>
      <c r="E18" s="64"/>
      <c r="F18" s="64"/>
      <c r="G18" s="64"/>
      <c r="H18" s="64"/>
      <c r="I18" s="93"/>
      <c r="J18" s="64"/>
      <c r="K18" s="64"/>
      <c r="L18" s="64"/>
      <c r="M18" s="64"/>
      <c r="N18" s="64"/>
      <c r="O18" s="64"/>
      <c r="P18" s="93"/>
      <c r="Q18" s="64"/>
      <c r="R18" s="64"/>
      <c r="S18" s="64"/>
      <c r="T18" s="64"/>
      <c r="U18" s="64"/>
      <c r="V18" s="64"/>
      <c r="W18" s="93"/>
      <c r="X18" s="64"/>
      <c r="Y18" s="64"/>
      <c r="Z18" s="64"/>
      <c r="AA18" s="64"/>
      <c r="AB18" s="64"/>
      <c r="AC18" s="64"/>
      <c r="AD18" s="93"/>
      <c r="AE18" s="64"/>
      <c r="AF18" s="64"/>
      <c r="AG18" s="64"/>
      <c r="AH18" s="65" t="str">
        <f>IF((COUNTIFS(Ar_6[[#This Row],[1]:[31]],"&lt;&gt;T34",Ar_6[[#This Row],[1]:[31]],"&lt;&gt;")&lt;&gt;0),COUNTIFS(Ar_6[[#This Row],[1]:[31]],"&lt;&gt;T34",Ar_6[[#This Row],[1]:[31]],"&lt;&gt;"),"")</f>
        <v/>
      </c>
      <c r="AI18" s="66"/>
      <c r="AJ18" s="65"/>
      <c r="AK18" s="65"/>
    </row>
    <row r="19" spans="1:37" ht="30" customHeight="1">
      <c r="A19" s="62">
        <f t="shared" si="0"/>
        <v>15</v>
      </c>
      <c r="B19" s="63" t="s">
        <v>46</v>
      </c>
      <c r="C19" s="64"/>
      <c r="D19" s="64"/>
      <c r="E19" s="64"/>
      <c r="F19" s="64"/>
      <c r="G19" s="64"/>
      <c r="H19" s="64"/>
      <c r="I19" s="93"/>
      <c r="J19" s="64"/>
      <c r="K19" s="64"/>
      <c r="L19" s="64"/>
      <c r="M19" s="64"/>
      <c r="N19" s="64"/>
      <c r="O19" s="64"/>
      <c r="P19" s="93"/>
      <c r="Q19" s="64"/>
      <c r="R19" s="64"/>
      <c r="S19" s="64"/>
      <c r="T19" s="64"/>
      <c r="U19" s="64"/>
      <c r="V19" s="64"/>
      <c r="W19" s="93"/>
      <c r="X19" s="64"/>
      <c r="Y19" s="64"/>
      <c r="Z19" s="64"/>
      <c r="AA19" s="64"/>
      <c r="AB19" s="64"/>
      <c r="AC19" s="64"/>
      <c r="AD19" s="93"/>
      <c r="AE19" s="64"/>
      <c r="AF19" s="64"/>
      <c r="AG19" s="64"/>
      <c r="AH19" s="65" t="str">
        <f>IF((COUNTIFS(Ar_6[[#This Row],[1]:[31]],"&lt;&gt;T34",Ar_6[[#This Row],[1]:[31]],"&lt;&gt;")&lt;&gt;0),COUNTIFS(Ar_6[[#This Row],[1]:[31]],"&lt;&gt;T34",Ar_6[[#This Row],[1]:[31]],"&lt;&gt;"),"")</f>
        <v/>
      </c>
      <c r="AI19" s="66"/>
      <c r="AJ19" s="65"/>
      <c r="AK19" s="65"/>
    </row>
    <row r="20" spans="1:37" ht="30" customHeight="1">
      <c r="A20" s="62">
        <f t="shared" si="0"/>
        <v>16</v>
      </c>
      <c r="B20" s="63" t="s">
        <v>47</v>
      </c>
      <c r="C20" s="64"/>
      <c r="D20" s="64"/>
      <c r="E20" s="64"/>
      <c r="F20" s="64"/>
      <c r="G20" s="64"/>
      <c r="H20" s="64"/>
      <c r="I20" s="93"/>
      <c r="J20" s="64"/>
      <c r="K20" s="64"/>
      <c r="L20" s="64"/>
      <c r="M20" s="64"/>
      <c r="N20" s="64"/>
      <c r="O20" s="64"/>
      <c r="P20" s="93"/>
      <c r="Q20" s="64"/>
      <c r="R20" s="64"/>
      <c r="S20" s="64"/>
      <c r="T20" s="64"/>
      <c r="U20" s="64"/>
      <c r="V20" s="64"/>
      <c r="W20" s="93"/>
      <c r="X20" s="64"/>
      <c r="Y20" s="64"/>
      <c r="Z20" s="64"/>
      <c r="AA20" s="64"/>
      <c r="AB20" s="64"/>
      <c r="AC20" s="64"/>
      <c r="AD20" s="93"/>
      <c r="AE20" s="64"/>
      <c r="AF20" s="64"/>
      <c r="AG20" s="64"/>
      <c r="AH20" s="65" t="str">
        <f>IF((COUNTIFS(Ar_6[[#This Row],[1]:[31]],"&lt;&gt;T34",Ar_6[[#This Row],[1]:[31]],"&lt;&gt;")&lt;&gt;0),COUNTIFS(Ar_6[[#This Row],[1]:[31]],"&lt;&gt;T34",Ar_6[[#This Row],[1]:[31]],"&lt;&gt;"),"")</f>
        <v/>
      </c>
      <c r="AI20" s="66"/>
      <c r="AJ20" s="65"/>
      <c r="AK20" s="65"/>
    </row>
    <row r="21" spans="1:37" ht="30" customHeight="1">
      <c r="A21" s="62">
        <f t="shared" si="0"/>
        <v>17</v>
      </c>
      <c r="B21" s="63" t="s">
        <v>125</v>
      </c>
      <c r="C21" s="64"/>
      <c r="D21" s="64"/>
      <c r="E21" s="64"/>
      <c r="F21" s="64"/>
      <c r="G21" s="64"/>
      <c r="H21" s="64"/>
      <c r="I21" s="93"/>
      <c r="J21" s="64"/>
      <c r="K21" s="64"/>
      <c r="L21" s="64"/>
      <c r="M21" s="64"/>
      <c r="N21" s="64"/>
      <c r="O21" s="64"/>
      <c r="P21" s="93"/>
      <c r="Q21" s="64"/>
      <c r="R21" s="64"/>
      <c r="S21" s="64"/>
      <c r="T21" s="64"/>
      <c r="U21" s="64"/>
      <c r="V21" s="64"/>
      <c r="W21" s="93"/>
      <c r="X21" s="64"/>
      <c r="Y21" s="64"/>
      <c r="Z21" s="64"/>
      <c r="AA21" s="64"/>
      <c r="AB21" s="64"/>
      <c r="AC21" s="64"/>
      <c r="AD21" s="93"/>
      <c r="AE21" s="64"/>
      <c r="AF21" s="64"/>
      <c r="AG21" s="64"/>
      <c r="AH21" s="65" t="str">
        <f>IF((COUNTIFS(Ar_6[[#This Row],[1]:[31]],"&lt;&gt;T34",Ar_6[[#This Row],[1]:[31]],"&lt;&gt;")&lt;&gt;0),COUNTIFS(Ar_6[[#This Row],[1]:[31]],"&lt;&gt;T34",Ar_6[[#This Row],[1]:[31]],"&lt;&gt;"),"")</f>
        <v/>
      </c>
      <c r="AI21" s="66"/>
      <c r="AJ21" s="65"/>
      <c r="AK21" s="65"/>
    </row>
    <row r="22" spans="1:37" ht="30" customHeight="1">
      <c r="A22" s="62">
        <f t="shared" si="0"/>
        <v>18</v>
      </c>
      <c r="B22" s="63" t="s">
        <v>51</v>
      </c>
      <c r="C22" s="64"/>
      <c r="D22" s="64"/>
      <c r="E22" s="64"/>
      <c r="F22" s="64"/>
      <c r="G22" s="64"/>
      <c r="H22" s="64"/>
      <c r="I22" s="93"/>
      <c r="J22" s="64"/>
      <c r="K22" s="64"/>
      <c r="L22" s="64"/>
      <c r="M22" s="64"/>
      <c r="N22" s="64"/>
      <c r="O22" s="64"/>
      <c r="P22" s="93"/>
      <c r="Q22" s="64"/>
      <c r="R22" s="64"/>
      <c r="S22" s="64"/>
      <c r="T22" s="64"/>
      <c r="U22" s="64"/>
      <c r="V22" s="64"/>
      <c r="W22" s="93"/>
      <c r="X22" s="64"/>
      <c r="Y22" s="64"/>
      <c r="Z22" s="64"/>
      <c r="AA22" s="64"/>
      <c r="AB22" s="64"/>
      <c r="AC22" s="64"/>
      <c r="AD22" s="93"/>
      <c r="AE22" s="64"/>
      <c r="AF22" s="64"/>
      <c r="AG22" s="64"/>
      <c r="AH22" s="65" t="str">
        <f>IF((COUNTIFS(Ar_6[[#This Row],[1]:[31]],"&lt;&gt;T34",Ar_6[[#This Row],[1]:[31]],"&lt;&gt;")&lt;&gt;0),COUNTIFS(Ar_6[[#This Row],[1]:[31]],"&lt;&gt;T34",Ar_6[[#This Row],[1]:[31]],"&lt;&gt;"),"")</f>
        <v/>
      </c>
      <c r="AI22" s="66"/>
      <c r="AJ22" s="65"/>
      <c r="AK22" s="65"/>
    </row>
    <row r="23" spans="1:37" ht="30" customHeight="1">
      <c r="A23" s="62">
        <f t="shared" si="0"/>
        <v>19</v>
      </c>
      <c r="B23" s="63" t="s">
        <v>124</v>
      </c>
      <c r="C23" s="64"/>
      <c r="D23" s="64"/>
      <c r="E23" s="64"/>
      <c r="F23" s="64"/>
      <c r="G23" s="64"/>
      <c r="H23" s="64"/>
      <c r="I23" s="93"/>
      <c r="J23" s="64"/>
      <c r="K23" s="64"/>
      <c r="L23" s="64"/>
      <c r="M23" s="64"/>
      <c r="N23" s="64"/>
      <c r="O23" s="64"/>
      <c r="P23" s="93"/>
      <c r="Q23" s="64"/>
      <c r="R23" s="64"/>
      <c r="S23" s="64"/>
      <c r="T23" s="64"/>
      <c r="U23" s="64"/>
      <c r="V23" s="64"/>
      <c r="W23" s="93"/>
      <c r="X23" s="64"/>
      <c r="Y23" s="64"/>
      <c r="Z23" s="64"/>
      <c r="AA23" s="64"/>
      <c r="AB23" s="64"/>
      <c r="AC23" s="64"/>
      <c r="AD23" s="93"/>
      <c r="AE23" s="64"/>
      <c r="AF23" s="64"/>
      <c r="AG23" s="64"/>
      <c r="AH23" s="65" t="str">
        <f>IF((COUNTIFS(Ar_6[[#This Row],[1]:[31]],"&lt;&gt;T34",Ar_6[[#This Row],[1]:[31]],"&lt;&gt;")&lt;&gt;0),COUNTIFS(Ar_6[[#This Row],[1]:[31]],"&lt;&gt;T34",Ar_6[[#This Row],[1]:[31]],"&lt;&gt;"),"")</f>
        <v/>
      </c>
      <c r="AI23" s="66"/>
      <c r="AJ23" s="65"/>
      <c r="AK23" s="65"/>
    </row>
    <row r="24" spans="1:37" ht="30" customHeight="1">
      <c r="A24" s="62">
        <f t="shared" si="0"/>
        <v>20</v>
      </c>
      <c r="B24" s="63" t="s">
        <v>53</v>
      </c>
      <c r="C24" s="64"/>
      <c r="D24" s="64"/>
      <c r="E24" s="64"/>
      <c r="F24" s="64"/>
      <c r="G24" s="64"/>
      <c r="H24" s="64"/>
      <c r="I24" s="93"/>
      <c r="J24" s="64"/>
      <c r="K24" s="64"/>
      <c r="L24" s="64"/>
      <c r="M24" s="64"/>
      <c r="N24" s="64"/>
      <c r="O24" s="64"/>
      <c r="P24" s="93"/>
      <c r="Q24" s="64"/>
      <c r="R24" s="64"/>
      <c r="S24" s="64"/>
      <c r="T24" s="64"/>
      <c r="U24" s="64"/>
      <c r="V24" s="64"/>
      <c r="W24" s="93"/>
      <c r="X24" s="64"/>
      <c r="Y24" s="64"/>
      <c r="Z24" s="64"/>
      <c r="AA24" s="64"/>
      <c r="AB24" s="64"/>
      <c r="AC24" s="64"/>
      <c r="AD24" s="93"/>
      <c r="AE24" s="64"/>
      <c r="AF24" s="64"/>
      <c r="AG24" s="64"/>
      <c r="AH24" s="65" t="str">
        <f>IF((COUNTIFS(Ar_6[[#This Row],[1]:[31]],"&lt;&gt;T34",Ar_6[[#This Row],[1]:[31]],"&lt;&gt;")&lt;&gt;0),COUNTIFS(Ar_6[[#This Row],[1]:[31]],"&lt;&gt;T34",Ar_6[[#This Row],[1]:[31]],"&lt;&gt;"),"")</f>
        <v/>
      </c>
      <c r="AI24" s="66"/>
      <c r="AJ24" s="65"/>
      <c r="AK24" s="65"/>
    </row>
    <row r="25" spans="1:37" ht="30" customHeight="1">
      <c r="A25" s="62">
        <f t="shared" si="0"/>
        <v>21</v>
      </c>
      <c r="B25" s="63" t="s">
        <v>127</v>
      </c>
      <c r="C25" s="64"/>
      <c r="D25" s="64"/>
      <c r="E25" s="64"/>
      <c r="F25" s="64"/>
      <c r="G25" s="64"/>
      <c r="H25" s="64"/>
      <c r="I25" s="93"/>
      <c r="J25" s="64"/>
      <c r="K25" s="64"/>
      <c r="L25" s="64"/>
      <c r="M25" s="64"/>
      <c r="N25" s="64"/>
      <c r="O25" s="64"/>
      <c r="P25" s="93"/>
      <c r="Q25" s="64"/>
      <c r="R25" s="64"/>
      <c r="S25" s="64"/>
      <c r="T25" s="64"/>
      <c r="U25" s="64"/>
      <c r="V25" s="64"/>
      <c r="W25" s="93"/>
      <c r="X25" s="64"/>
      <c r="Y25" s="64"/>
      <c r="Z25" s="64"/>
      <c r="AA25" s="64"/>
      <c r="AB25" s="64"/>
      <c r="AC25" s="64"/>
      <c r="AD25" s="93"/>
      <c r="AE25" s="64"/>
      <c r="AF25" s="64"/>
      <c r="AG25" s="64"/>
      <c r="AH25" s="65" t="str">
        <f>IF((COUNTIFS(Ar_6[[#This Row],[1]:[31]],"&lt;&gt;T34",Ar_6[[#This Row],[1]:[31]],"&lt;&gt;")&lt;&gt;0),COUNTIFS(Ar_6[[#This Row],[1]:[31]],"&lt;&gt;T34",Ar_6[[#This Row],[1]:[31]],"&lt;&gt;"),"")</f>
        <v/>
      </c>
      <c r="AI25" s="66"/>
      <c r="AJ25" s="65"/>
      <c r="AK25" s="65"/>
    </row>
    <row r="26" spans="1:37" ht="30" customHeight="1">
      <c r="A26" s="62">
        <f t="shared" si="0"/>
        <v>22</v>
      </c>
      <c r="B26" s="63" t="s">
        <v>123</v>
      </c>
      <c r="C26" s="64"/>
      <c r="D26" s="64"/>
      <c r="E26" s="64"/>
      <c r="F26" s="64"/>
      <c r="G26" s="64"/>
      <c r="H26" s="64"/>
      <c r="I26" s="93"/>
      <c r="J26" s="64"/>
      <c r="K26" s="64"/>
      <c r="L26" s="64"/>
      <c r="M26" s="64"/>
      <c r="N26" s="64"/>
      <c r="O26" s="64"/>
      <c r="P26" s="93"/>
      <c r="Q26" s="64"/>
      <c r="R26" s="64"/>
      <c r="S26" s="64"/>
      <c r="T26" s="64"/>
      <c r="U26" s="64"/>
      <c r="V26" s="64"/>
      <c r="W26" s="93"/>
      <c r="X26" s="64"/>
      <c r="Y26" s="64"/>
      <c r="Z26" s="64"/>
      <c r="AA26" s="64"/>
      <c r="AB26" s="64"/>
      <c r="AC26" s="64"/>
      <c r="AD26" s="93"/>
      <c r="AE26" s="64"/>
      <c r="AF26" s="64"/>
      <c r="AG26" s="64"/>
      <c r="AH26" s="65" t="str">
        <f>IF((COUNTIFS(Ar_6[[#This Row],[1]:[31]],"&lt;&gt;T34",Ar_6[[#This Row],[1]:[31]],"&lt;&gt;")&lt;&gt;0),COUNTIFS(Ar_6[[#This Row],[1]:[31]],"&lt;&gt;T34",Ar_6[[#This Row],[1]:[31]],"&lt;&gt;"),"")</f>
        <v/>
      </c>
      <c r="AI26" s="66"/>
      <c r="AJ26" s="65"/>
      <c r="AK26" s="65"/>
    </row>
    <row r="27" spans="1:37" ht="30" customHeight="1">
      <c r="A27" s="62">
        <f t="shared" si="0"/>
        <v>23</v>
      </c>
      <c r="B27" s="63" t="s">
        <v>126</v>
      </c>
      <c r="C27" s="64"/>
      <c r="D27" s="64"/>
      <c r="E27" s="64"/>
      <c r="F27" s="64"/>
      <c r="G27" s="64"/>
      <c r="H27" s="64"/>
      <c r="I27" s="93"/>
      <c r="J27" s="64"/>
      <c r="K27" s="64"/>
      <c r="L27" s="64"/>
      <c r="M27" s="64"/>
      <c r="N27" s="64"/>
      <c r="O27" s="64"/>
      <c r="P27" s="93"/>
      <c r="Q27" s="64"/>
      <c r="R27" s="64"/>
      <c r="S27" s="64"/>
      <c r="T27" s="64"/>
      <c r="U27" s="64"/>
      <c r="V27" s="64"/>
      <c r="W27" s="93"/>
      <c r="X27" s="64"/>
      <c r="Y27" s="64"/>
      <c r="Z27" s="64"/>
      <c r="AA27" s="64"/>
      <c r="AB27" s="64"/>
      <c r="AC27" s="64"/>
      <c r="AD27" s="93"/>
      <c r="AE27" s="64"/>
      <c r="AF27" s="64"/>
      <c r="AG27" s="64"/>
      <c r="AH27" s="65" t="str">
        <f>IF((COUNTIFS(Ar_6[[#This Row],[1]:[31]],"&lt;&gt;T34",Ar_6[[#This Row],[1]:[31]],"&lt;&gt;")&lt;&gt;0),COUNTIFS(Ar_6[[#This Row],[1]:[31]],"&lt;&gt;T34",Ar_6[[#This Row],[1]:[31]],"&lt;&gt;"),"")</f>
        <v/>
      </c>
      <c r="AI27" s="66"/>
      <c r="AJ27" s="65"/>
      <c r="AK27" s="65"/>
    </row>
    <row r="28" spans="1:37" ht="30" customHeight="1">
      <c r="A28" s="62">
        <f t="shared" si="0"/>
        <v>24</v>
      </c>
      <c r="B28" s="63" t="s">
        <v>60</v>
      </c>
      <c r="C28" s="64"/>
      <c r="D28" s="64"/>
      <c r="E28" s="64"/>
      <c r="F28" s="64"/>
      <c r="G28" s="64"/>
      <c r="H28" s="64"/>
      <c r="I28" s="93"/>
      <c r="J28" s="64"/>
      <c r="K28" s="64"/>
      <c r="L28" s="64"/>
      <c r="M28" s="64"/>
      <c r="N28" s="64"/>
      <c r="O28" s="64"/>
      <c r="P28" s="93"/>
      <c r="Q28" s="64"/>
      <c r="R28" s="64"/>
      <c r="S28" s="64"/>
      <c r="T28" s="64"/>
      <c r="U28" s="64"/>
      <c r="V28" s="64"/>
      <c r="W28" s="93"/>
      <c r="X28" s="64"/>
      <c r="Y28" s="64"/>
      <c r="Z28" s="64"/>
      <c r="AA28" s="64"/>
      <c r="AB28" s="64"/>
      <c r="AC28" s="64"/>
      <c r="AD28" s="93"/>
      <c r="AE28" s="64"/>
      <c r="AF28" s="64"/>
      <c r="AG28" s="64"/>
      <c r="AH28" s="65" t="str">
        <f>IF((COUNTIFS(Ar_6[[#This Row],[1]:[31]],"&lt;&gt;T34",Ar_6[[#This Row],[1]:[31]],"&lt;&gt;")&lt;&gt;0),COUNTIFS(Ar_6[[#This Row],[1]:[31]],"&lt;&gt;T34",Ar_6[[#This Row],[1]:[31]],"&lt;&gt;"),"")</f>
        <v/>
      </c>
      <c r="AI28" s="66"/>
      <c r="AJ28" s="65"/>
      <c r="AK28" s="65"/>
    </row>
    <row r="29" spans="1:37" ht="30" customHeight="1">
      <c r="A29" s="62">
        <f t="shared" si="0"/>
        <v>25</v>
      </c>
      <c r="B29" s="63" t="s">
        <v>61</v>
      </c>
      <c r="C29" s="64"/>
      <c r="D29" s="64"/>
      <c r="E29" s="64"/>
      <c r="F29" s="64"/>
      <c r="G29" s="64"/>
      <c r="H29" s="64"/>
      <c r="I29" s="93"/>
      <c r="J29" s="64"/>
      <c r="K29" s="64"/>
      <c r="L29" s="64"/>
      <c r="M29" s="64"/>
      <c r="N29" s="64"/>
      <c r="O29" s="64"/>
      <c r="P29" s="93"/>
      <c r="Q29" s="64"/>
      <c r="R29" s="64"/>
      <c r="S29" s="64"/>
      <c r="T29" s="64"/>
      <c r="U29" s="64"/>
      <c r="V29" s="64"/>
      <c r="W29" s="93"/>
      <c r="X29" s="64"/>
      <c r="Y29" s="64"/>
      <c r="Z29" s="64"/>
      <c r="AA29" s="64"/>
      <c r="AB29" s="64"/>
      <c r="AC29" s="64"/>
      <c r="AD29" s="93"/>
      <c r="AE29" s="64"/>
      <c r="AF29" s="64"/>
      <c r="AG29" s="64"/>
      <c r="AH29" s="65" t="str">
        <f>IF((COUNTIFS(Ar_6[[#This Row],[1]:[31]],"&lt;&gt;T34",Ar_6[[#This Row],[1]:[31]],"&lt;&gt;")&lt;&gt;0),COUNTIFS(Ar_6[[#This Row],[1]:[31]],"&lt;&gt;T34",Ar_6[[#This Row],[1]:[31]],"&lt;&gt;"),"")</f>
        <v/>
      </c>
      <c r="AI29" s="66"/>
      <c r="AJ29" s="65"/>
      <c r="AK29" s="65"/>
    </row>
    <row r="30" spans="1:37" ht="30" customHeight="1">
      <c r="A30" s="62">
        <f t="shared" si="0"/>
        <v>26</v>
      </c>
      <c r="B30" s="63" t="s">
        <v>62</v>
      </c>
      <c r="C30" s="64"/>
      <c r="D30" s="64"/>
      <c r="E30" s="64"/>
      <c r="F30" s="64"/>
      <c r="G30" s="64"/>
      <c r="H30" s="64"/>
      <c r="I30" s="93"/>
      <c r="J30" s="64"/>
      <c r="K30" s="64"/>
      <c r="L30" s="64"/>
      <c r="M30" s="64"/>
      <c r="N30" s="64"/>
      <c r="O30" s="64"/>
      <c r="P30" s="93"/>
      <c r="Q30" s="64"/>
      <c r="R30" s="64"/>
      <c r="S30" s="64"/>
      <c r="T30" s="64"/>
      <c r="U30" s="64"/>
      <c r="V30" s="64"/>
      <c r="W30" s="93"/>
      <c r="X30" s="64"/>
      <c r="Y30" s="64"/>
      <c r="Z30" s="64"/>
      <c r="AA30" s="64"/>
      <c r="AB30" s="64"/>
      <c r="AC30" s="64"/>
      <c r="AD30" s="93"/>
      <c r="AE30" s="64"/>
      <c r="AF30" s="64"/>
      <c r="AG30" s="64"/>
      <c r="AH30" s="65" t="str">
        <f>IF((COUNTIFS(Ar_6[[#This Row],[1]:[31]],"&lt;&gt;T34",Ar_6[[#This Row],[1]:[31]],"&lt;&gt;")&lt;&gt;0),COUNTIFS(Ar_6[[#This Row],[1]:[31]],"&lt;&gt;T34",Ar_6[[#This Row],[1]:[31]],"&lt;&gt;"),"")</f>
        <v/>
      </c>
      <c r="AI30" s="66"/>
      <c r="AJ30" s="65"/>
      <c r="AK30" s="65"/>
    </row>
    <row r="31" spans="1:37" ht="30" customHeight="1">
      <c r="A31" s="62">
        <f t="shared" si="0"/>
        <v>27</v>
      </c>
      <c r="B31" s="63" t="s">
        <v>63</v>
      </c>
      <c r="C31" s="64"/>
      <c r="D31" s="64"/>
      <c r="E31" s="64"/>
      <c r="F31" s="64"/>
      <c r="G31" s="64"/>
      <c r="H31" s="64"/>
      <c r="I31" s="93"/>
      <c r="J31" s="64"/>
      <c r="K31" s="64"/>
      <c r="L31" s="64"/>
      <c r="M31" s="64"/>
      <c r="N31" s="64"/>
      <c r="O31" s="64"/>
      <c r="P31" s="93"/>
      <c r="Q31" s="64"/>
      <c r="R31" s="64"/>
      <c r="S31" s="64"/>
      <c r="T31" s="64"/>
      <c r="U31" s="64"/>
      <c r="V31" s="64"/>
      <c r="W31" s="93"/>
      <c r="X31" s="64"/>
      <c r="Y31" s="64"/>
      <c r="Z31" s="64"/>
      <c r="AA31" s="64"/>
      <c r="AB31" s="64"/>
      <c r="AC31" s="64"/>
      <c r="AD31" s="93"/>
      <c r="AE31" s="64"/>
      <c r="AF31" s="64"/>
      <c r="AG31" s="64"/>
      <c r="AH31" s="65" t="str">
        <f>IF((COUNTIFS(Ar_6[[#This Row],[1]:[31]],"&lt;&gt;T34",Ar_6[[#This Row],[1]:[31]],"&lt;&gt;")&lt;&gt;0),COUNTIFS(Ar_6[[#This Row],[1]:[31]],"&lt;&gt;T34",Ar_6[[#This Row],[1]:[31]],"&lt;&gt;"),"")</f>
        <v/>
      </c>
      <c r="AI31" s="66"/>
      <c r="AJ31" s="65"/>
      <c r="AK31" s="65"/>
    </row>
    <row r="32" spans="1:37">
      <c r="A32" s="62">
        <f t="shared" si="0"/>
        <v>28</v>
      </c>
      <c r="B32" s="63" t="s">
        <v>64</v>
      </c>
      <c r="C32" s="67"/>
      <c r="D32" s="67"/>
      <c r="E32" s="67"/>
      <c r="F32" s="68"/>
      <c r="G32" s="68"/>
      <c r="H32" s="68"/>
      <c r="I32" s="89"/>
      <c r="J32" s="68"/>
      <c r="K32" s="67"/>
      <c r="L32" s="69"/>
      <c r="M32" s="69"/>
      <c r="N32" s="69"/>
      <c r="O32" s="69"/>
      <c r="P32" s="89"/>
      <c r="Q32" s="69"/>
      <c r="R32" s="69"/>
      <c r="S32" s="69"/>
      <c r="T32" s="69"/>
      <c r="U32" s="69"/>
      <c r="V32" s="69"/>
      <c r="W32" s="89"/>
      <c r="X32" s="69"/>
      <c r="Y32" s="69"/>
      <c r="Z32" s="69"/>
      <c r="AA32" s="69"/>
      <c r="AB32" s="69"/>
      <c r="AC32" s="69"/>
      <c r="AD32" s="89"/>
      <c r="AE32" s="69"/>
      <c r="AF32" s="69"/>
      <c r="AG32" s="69"/>
      <c r="AH32" s="70" t="str">
        <f>IF((COUNTIFS(Ar_6[[#This Row],[1]:[31]],"&lt;&gt;T34",Ar_6[[#This Row],[1]:[31]],"&lt;&gt;")&lt;&gt;0),COUNTIFS(Ar_6[[#This Row],[1]:[31]],"&lt;&gt;T34",Ar_6[[#This Row],[1]:[31]],"&lt;&gt;"),"")</f>
        <v/>
      </c>
      <c r="AI32" s="71"/>
      <c r="AJ32" s="65"/>
      <c r="AK32" s="65"/>
    </row>
    <row r="33" spans="1:37">
      <c r="A33" s="62">
        <f t="shared" si="0"/>
        <v>29</v>
      </c>
      <c r="B33" s="63" t="s">
        <v>65</v>
      </c>
      <c r="C33" s="64"/>
      <c r="D33" s="64"/>
      <c r="E33" s="64"/>
      <c r="F33" s="72"/>
      <c r="G33" s="72"/>
      <c r="H33" s="72"/>
      <c r="I33" s="98"/>
      <c r="J33" s="72"/>
      <c r="K33" s="64"/>
      <c r="L33" s="73"/>
      <c r="M33" s="73"/>
      <c r="N33" s="73"/>
      <c r="O33" s="73"/>
      <c r="P33" s="98"/>
      <c r="Q33" s="73"/>
      <c r="R33" s="73"/>
      <c r="S33" s="73"/>
      <c r="T33" s="73"/>
      <c r="U33" s="73"/>
      <c r="V33" s="73"/>
      <c r="W33" s="98"/>
      <c r="X33" s="73"/>
      <c r="Y33" s="73"/>
      <c r="Z33" s="73"/>
      <c r="AA33" s="73"/>
      <c r="AB33" s="73"/>
      <c r="AC33" s="73"/>
      <c r="AD33" s="98"/>
      <c r="AE33" s="73"/>
      <c r="AF33" s="73"/>
      <c r="AG33" s="73"/>
      <c r="AH33" s="65" t="str">
        <f>IF((COUNTIFS(Ar_6[[#This Row],[1]:[31]],"&lt;&gt;T34",Ar_6[[#This Row],[1]:[31]],"&lt;&gt;")&lt;&gt;0),COUNTIFS(Ar_6[[#This Row],[1]:[31]],"&lt;&gt;T34",Ar_6[[#This Row],[1]:[31]],"&lt;&gt;"),"")</f>
        <v/>
      </c>
      <c r="AI33" s="66"/>
      <c r="AJ33" s="65"/>
      <c r="AK33" s="65"/>
    </row>
    <row r="34" spans="1:37">
      <c r="A34" s="62">
        <f t="shared" si="0"/>
        <v>30</v>
      </c>
      <c r="B34" s="87" t="s">
        <v>66</v>
      </c>
      <c r="C34" s="64"/>
      <c r="D34" s="64"/>
      <c r="E34" s="64"/>
      <c r="F34" s="72"/>
      <c r="G34" s="72"/>
      <c r="H34" s="72"/>
      <c r="I34" s="98"/>
      <c r="J34" s="72"/>
      <c r="K34" s="64"/>
      <c r="L34" s="73"/>
      <c r="M34" s="73"/>
      <c r="N34" s="73"/>
      <c r="O34" s="73"/>
      <c r="P34" s="98"/>
      <c r="Q34" s="73"/>
      <c r="R34" s="73"/>
      <c r="S34" s="73"/>
      <c r="T34" s="73"/>
      <c r="U34" s="73"/>
      <c r="V34" s="73"/>
      <c r="W34" s="98"/>
      <c r="X34" s="73"/>
      <c r="Y34" s="73"/>
      <c r="Z34" s="73"/>
      <c r="AA34" s="73"/>
      <c r="AB34" s="73"/>
      <c r="AC34" s="73"/>
      <c r="AD34" s="98"/>
      <c r="AE34" s="73"/>
      <c r="AF34" s="73"/>
      <c r="AG34" s="73"/>
      <c r="AH34" s="65" t="str">
        <f>IF((COUNTIFS(Ar_6[[#This Row],[1]:[31]],"&lt;&gt;T34",Ar_6[[#This Row],[1]:[31]],"&lt;&gt;")&lt;&gt;0),COUNTIFS(Ar_6[[#This Row],[1]:[31]],"&lt;&gt;T34",Ar_6[[#This Row],[1]:[31]],"&lt;&gt;"),"")</f>
        <v/>
      </c>
      <c r="AI34" s="88"/>
      <c r="AJ34" s="65"/>
      <c r="AK34" s="65"/>
    </row>
    <row r="35" spans="1:37">
      <c r="A35" s="62">
        <f t="shared" si="0"/>
        <v>31</v>
      </c>
      <c r="B35" s="87" t="s">
        <v>67</v>
      </c>
      <c r="C35" s="64"/>
      <c r="D35" s="64"/>
      <c r="E35" s="64"/>
      <c r="F35" s="72"/>
      <c r="G35" s="72"/>
      <c r="H35" s="72"/>
      <c r="I35" s="98"/>
      <c r="J35" s="72"/>
      <c r="K35" s="64"/>
      <c r="L35" s="73"/>
      <c r="M35" s="73"/>
      <c r="N35" s="73"/>
      <c r="O35" s="73"/>
      <c r="P35" s="98"/>
      <c r="Q35" s="73"/>
      <c r="R35" s="73"/>
      <c r="S35" s="73"/>
      <c r="T35" s="73"/>
      <c r="U35" s="73"/>
      <c r="V35" s="73"/>
      <c r="W35" s="98"/>
      <c r="X35" s="73"/>
      <c r="Y35" s="73"/>
      <c r="Z35" s="73"/>
      <c r="AA35" s="73"/>
      <c r="AB35" s="73"/>
      <c r="AC35" s="73"/>
      <c r="AD35" s="98"/>
      <c r="AE35" s="73"/>
      <c r="AF35" s="73"/>
      <c r="AG35" s="73"/>
      <c r="AH35" s="65" t="str">
        <f>IF((COUNTIFS(Ar_6[[#This Row],[1]:[31]],"&lt;&gt;T34",Ar_6[[#This Row],[1]:[31]],"&lt;&gt;")&lt;&gt;0),COUNTIFS(Ar_6[[#This Row],[1]:[31]],"&lt;&gt;T34",Ar_6[[#This Row],[1]:[31]],"&lt;&gt;"),"")</f>
        <v/>
      </c>
      <c r="AI35" s="88"/>
      <c r="AJ35" s="65"/>
      <c r="AK35" s="65"/>
    </row>
    <row r="36" spans="1:37">
      <c r="A36" s="62">
        <f t="shared" si="0"/>
        <v>32</v>
      </c>
      <c r="B36" s="87" t="s">
        <v>68</v>
      </c>
      <c r="C36" s="64"/>
      <c r="D36" s="64"/>
      <c r="E36" s="64"/>
      <c r="F36" s="72"/>
      <c r="G36" s="72"/>
      <c r="H36" s="72"/>
      <c r="I36" s="98"/>
      <c r="J36" s="72"/>
      <c r="K36" s="64"/>
      <c r="L36" s="73"/>
      <c r="M36" s="73"/>
      <c r="N36" s="73"/>
      <c r="O36" s="73"/>
      <c r="P36" s="98"/>
      <c r="Q36" s="73"/>
      <c r="R36" s="73"/>
      <c r="S36" s="73"/>
      <c r="T36" s="73"/>
      <c r="U36" s="73"/>
      <c r="V36" s="73"/>
      <c r="W36" s="98"/>
      <c r="X36" s="73"/>
      <c r="Y36" s="73"/>
      <c r="Z36" s="73"/>
      <c r="AA36" s="73"/>
      <c r="AB36" s="73"/>
      <c r="AC36" s="73"/>
      <c r="AD36" s="98"/>
      <c r="AE36" s="73"/>
      <c r="AF36" s="73"/>
      <c r="AG36" s="73"/>
      <c r="AH36" s="65" t="str">
        <f>IF((COUNTIFS(Ar_6[[#This Row],[1]:[31]],"&lt;&gt;T34",Ar_6[[#This Row],[1]:[31]],"&lt;&gt;")&lt;&gt;0),COUNTIFS(Ar_6[[#This Row],[1]:[31]],"&lt;&gt;T34",Ar_6[[#This Row],[1]:[31]],"&lt;&gt;"),"")</f>
        <v/>
      </c>
      <c r="AI36" s="88"/>
      <c r="AJ36" s="65"/>
      <c r="AK36" s="65"/>
    </row>
    <row r="37" spans="1:37">
      <c r="A37" s="62">
        <f t="shared" si="0"/>
        <v>33</v>
      </c>
      <c r="B37" s="87" t="s">
        <v>69</v>
      </c>
      <c r="C37" s="64"/>
      <c r="D37" s="64"/>
      <c r="E37" s="64"/>
      <c r="F37" s="72"/>
      <c r="G37" s="72"/>
      <c r="H37" s="72"/>
      <c r="I37" s="98"/>
      <c r="J37" s="72"/>
      <c r="K37" s="64"/>
      <c r="L37" s="73"/>
      <c r="M37" s="73"/>
      <c r="N37" s="73"/>
      <c r="O37" s="73"/>
      <c r="P37" s="98"/>
      <c r="Q37" s="73"/>
      <c r="R37" s="73"/>
      <c r="S37" s="73"/>
      <c r="T37" s="73"/>
      <c r="U37" s="73"/>
      <c r="V37" s="73"/>
      <c r="W37" s="98"/>
      <c r="X37" s="73"/>
      <c r="Y37" s="73"/>
      <c r="Z37" s="73"/>
      <c r="AA37" s="73"/>
      <c r="AB37" s="73"/>
      <c r="AC37" s="73"/>
      <c r="AD37" s="98"/>
      <c r="AE37" s="73"/>
      <c r="AF37" s="73"/>
      <c r="AG37" s="73"/>
      <c r="AH37" s="65" t="str">
        <f>IF((COUNTIFS(Ar_6[[#This Row],[1]:[31]],"&lt;&gt;T34",Ar_6[[#This Row],[1]:[31]],"&lt;&gt;")&lt;&gt;0),COUNTIFS(Ar_6[[#This Row],[1]:[31]],"&lt;&gt;T34",Ar_6[[#This Row],[1]:[31]],"&lt;&gt;"),"")</f>
        <v/>
      </c>
      <c r="AI37" s="88"/>
      <c r="AJ37" s="65"/>
      <c r="AK37" s="65"/>
    </row>
    <row r="38" spans="1:37">
      <c r="A38" s="62">
        <f t="shared" si="0"/>
        <v>34</v>
      </c>
      <c r="B38" s="87" t="s">
        <v>70</v>
      </c>
      <c r="C38" s="64"/>
      <c r="D38" s="64"/>
      <c r="E38" s="64"/>
      <c r="F38" s="72"/>
      <c r="G38" s="72"/>
      <c r="H38" s="72"/>
      <c r="I38" s="98"/>
      <c r="J38" s="72"/>
      <c r="K38" s="64"/>
      <c r="L38" s="73"/>
      <c r="M38" s="73"/>
      <c r="N38" s="73"/>
      <c r="O38" s="73"/>
      <c r="P38" s="98"/>
      <c r="Q38" s="73"/>
      <c r="R38" s="73"/>
      <c r="S38" s="73"/>
      <c r="T38" s="73"/>
      <c r="U38" s="73"/>
      <c r="V38" s="73"/>
      <c r="W38" s="98"/>
      <c r="X38" s="73"/>
      <c r="Y38" s="73"/>
      <c r="Z38" s="73"/>
      <c r="AA38" s="73"/>
      <c r="AB38" s="73"/>
      <c r="AC38" s="73"/>
      <c r="AD38" s="98"/>
      <c r="AE38" s="73"/>
      <c r="AF38" s="73"/>
      <c r="AG38" s="73"/>
      <c r="AH38" s="65" t="str">
        <f>IF((COUNTIFS(Ar_6[[#This Row],[1]:[31]],"&lt;&gt;T34",Ar_6[[#This Row],[1]:[31]],"&lt;&gt;")&lt;&gt;0),COUNTIFS(Ar_6[[#This Row],[1]:[31]],"&lt;&gt;T34",Ar_6[[#This Row],[1]:[31]],"&lt;&gt;"),"")</f>
        <v/>
      </c>
      <c r="AI38" s="88"/>
      <c r="AJ38" s="65"/>
      <c r="AK38" s="65"/>
    </row>
    <row r="39" spans="1:37">
      <c r="A39" s="62">
        <f t="shared" si="0"/>
        <v>35</v>
      </c>
      <c r="B39" s="87" t="s">
        <v>72</v>
      </c>
      <c r="C39" s="64"/>
      <c r="D39" s="64"/>
      <c r="E39" s="64"/>
      <c r="F39" s="72"/>
      <c r="G39" s="72"/>
      <c r="H39" s="72"/>
      <c r="I39" s="98"/>
      <c r="J39" s="72"/>
      <c r="K39" s="64"/>
      <c r="L39" s="73"/>
      <c r="M39" s="73"/>
      <c r="N39" s="73"/>
      <c r="O39" s="73"/>
      <c r="P39" s="98"/>
      <c r="Q39" s="73"/>
      <c r="R39" s="73"/>
      <c r="S39" s="73"/>
      <c r="T39" s="73"/>
      <c r="U39" s="73"/>
      <c r="V39" s="73"/>
      <c r="W39" s="98"/>
      <c r="X39" s="73"/>
      <c r="Y39" s="73"/>
      <c r="Z39" s="73"/>
      <c r="AA39" s="73"/>
      <c r="AB39" s="73"/>
      <c r="AC39" s="73"/>
      <c r="AD39" s="98"/>
      <c r="AE39" s="73"/>
      <c r="AF39" s="73"/>
      <c r="AG39" s="73"/>
      <c r="AH39" s="65" t="str">
        <f>IF((COUNTIFS(Ar_6[[#This Row],[1]:[31]],"&lt;&gt;T34",Ar_6[[#This Row],[1]:[31]],"&lt;&gt;")&lt;&gt;0),COUNTIFS(Ar_6[[#This Row],[1]:[31]],"&lt;&gt;T34",Ar_6[[#This Row],[1]:[31]],"&lt;&gt;"),"")</f>
        <v/>
      </c>
      <c r="AI39" s="88"/>
      <c r="AJ39" s="65"/>
      <c r="AK39" s="65"/>
    </row>
    <row r="40" spans="1:37">
      <c r="A40" s="62">
        <f t="shared" si="0"/>
        <v>36</v>
      </c>
      <c r="B40" s="87" t="s">
        <v>73</v>
      </c>
      <c r="C40" s="64"/>
      <c r="D40" s="64"/>
      <c r="E40" s="64"/>
      <c r="F40" s="72"/>
      <c r="G40" s="72"/>
      <c r="H40" s="72"/>
      <c r="I40" s="98"/>
      <c r="J40" s="72"/>
      <c r="K40" s="64"/>
      <c r="L40" s="73"/>
      <c r="M40" s="73"/>
      <c r="N40" s="73"/>
      <c r="O40" s="73"/>
      <c r="P40" s="98"/>
      <c r="Q40" s="73"/>
      <c r="R40" s="73"/>
      <c r="S40" s="73"/>
      <c r="T40" s="73"/>
      <c r="U40" s="73"/>
      <c r="V40" s="73"/>
      <c r="W40" s="98"/>
      <c r="X40" s="73"/>
      <c r="Y40" s="73"/>
      <c r="Z40" s="73"/>
      <c r="AA40" s="73"/>
      <c r="AB40" s="73"/>
      <c r="AC40" s="73"/>
      <c r="AD40" s="98"/>
      <c r="AE40" s="73"/>
      <c r="AF40" s="73"/>
      <c r="AG40" s="73"/>
      <c r="AH40" s="65" t="str">
        <f>IF((COUNTIFS(Ar_6[[#This Row],[1]:[31]],"&lt;&gt;T34",Ar_6[[#This Row],[1]:[31]],"&lt;&gt;")&lt;&gt;0),COUNTIFS(Ar_6[[#This Row],[1]:[31]],"&lt;&gt;T34",Ar_6[[#This Row],[1]:[31]],"&lt;&gt;"),"")</f>
        <v/>
      </c>
      <c r="AI40" s="88"/>
      <c r="AJ40" s="65"/>
      <c r="AK40" s="65"/>
    </row>
    <row r="41" spans="1:37">
      <c r="A41" s="62">
        <f t="shared" si="0"/>
        <v>37</v>
      </c>
      <c r="B41" s="87" t="s">
        <v>74</v>
      </c>
      <c r="C41" s="64"/>
      <c r="D41" s="64"/>
      <c r="E41" s="64"/>
      <c r="F41" s="72"/>
      <c r="G41" s="72"/>
      <c r="H41" s="72"/>
      <c r="I41" s="98"/>
      <c r="J41" s="72"/>
      <c r="K41" s="64"/>
      <c r="L41" s="73"/>
      <c r="M41" s="73"/>
      <c r="N41" s="73"/>
      <c r="O41" s="73"/>
      <c r="P41" s="98"/>
      <c r="Q41" s="73"/>
      <c r="R41" s="73"/>
      <c r="S41" s="73"/>
      <c r="T41" s="73"/>
      <c r="U41" s="73"/>
      <c r="V41" s="73"/>
      <c r="W41" s="98"/>
      <c r="X41" s="73"/>
      <c r="Y41" s="73"/>
      <c r="Z41" s="73"/>
      <c r="AA41" s="73"/>
      <c r="AB41" s="73"/>
      <c r="AC41" s="73"/>
      <c r="AD41" s="98"/>
      <c r="AE41" s="73"/>
      <c r="AF41" s="73"/>
      <c r="AG41" s="73"/>
      <c r="AH41" s="65" t="str">
        <f>IF((COUNTIFS(Ar_6[[#This Row],[1]:[31]],"&lt;&gt;T34",Ar_6[[#This Row],[1]:[31]],"&lt;&gt;")&lt;&gt;0),COUNTIFS(Ar_6[[#This Row],[1]:[31]],"&lt;&gt;T34",Ar_6[[#This Row],[1]:[31]],"&lt;&gt;"),"")</f>
        <v/>
      </c>
      <c r="AI41" s="88"/>
      <c r="AJ41" s="65"/>
      <c r="AK41" s="65"/>
    </row>
    <row r="42" spans="1:37">
      <c r="A42" s="62">
        <f t="shared" si="0"/>
        <v>38</v>
      </c>
      <c r="B42" s="87" t="s">
        <v>75</v>
      </c>
      <c r="C42" s="64"/>
      <c r="D42" s="64"/>
      <c r="E42" s="64"/>
      <c r="F42" s="72"/>
      <c r="G42" s="72"/>
      <c r="H42" s="72"/>
      <c r="I42" s="98"/>
      <c r="J42" s="72"/>
      <c r="K42" s="64"/>
      <c r="L42" s="73"/>
      <c r="M42" s="73"/>
      <c r="N42" s="73"/>
      <c r="O42" s="73"/>
      <c r="P42" s="98"/>
      <c r="Q42" s="73"/>
      <c r="R42" s="73"/>
      <c r="S42" s="73"/>
      <c r="T42" s="73"/>
      <c r="U42" s="73"/>
      <c r="V42" s="73"/>
      <c r="W42" s="98"/>
      <c r="X42" s="73"/>
      <c r="Y42" s="73"/>
      <c r="Z42" s="73"/>
      <c r="AA42" s="73"/>
      <c r="AB42" s="73"/>
      <c r="AC42" s="73"/>
      <c r="AD42" s="98"/>
      <c r="AE42" s="73"/>
      <c r="AF42" s="73"/>
      <c r="AG42" s="73"/>
      <c r="AH42" s="65" t="str">
        <f>IF((COUNTIFS(Ar_6[[#This Row],[1]:[31]],"&lt;&gt;T34",Ar_6[[#This Row],[1]:[31]],"&lt;&gt;")&lt;&gt;0),COUNTIFS(Ar_6[[#This Row],[1]:[31]],"&lt;&gt;T34",Ar_6[[#This Row],[1]:[31]],"&lt;&gt;"),"")</f>
        <v/>
      </c>
      <c r="AI42" s="88"/>
      <c r="AJ42" s="65"/>
      <c r="AK42" s="65"/>
    </row>
    <row r="43" spans="1:37">
      <c r="A43" s="62">
        <f t="shared" si="0"/>
        <v>39</v>
      </c>
      <c r="B43" s="87" t="s">
        <v>76</v>
      </c>
      <c r="C43" s="64"/>
      <c r="D43" s="64"/>
      <c r="E43" s="64"/>
      <c r="F43" s="72"/>
      <c r="G43" s="72"/>
      <c r="H43" s="72"/>
      <c r="I43" s="98"/>
      <c r="J43" s="72"/>
      <c r="K43" s="64"/>
      <c r="L43" s="73"/>
      <c r="M43" s="73"/>
      <c r="N43" s="73"/>
      <c r="O43" s="73"/>
      <c r="P43" s="98"/>
      <c r="Q43" s="73"/>
      <c r="R43" s="73"/>
      <c r="S43" s="73"/>
      <c r="T43" s="73"/>
      <c r="U43" s="73"/>
      <c r="V43" s="73"/>
      <c r="W43" s="98"/>
      <c r="X43" s="73"/>
      <c r="Y43" s="73"/>
      <c r="Z43" s="73"/>
      <c r="AA43" s="73"/>
      <c r="AB43" s="73"/>
      <c r="AC43" s="73"/>
      <c r="AD43" s="98"/>
      <c r="AE43" s="73"/>
      <c r="AF43" s="73"/>
      <c r="AG43" s="73"/>
      <c r="AH43" s="65" t="str">
        <f>IF((COUNTIFS(Ar_6[[#This Row],[1]:[31]],"&lt;&gt;T34",Ar_6[[#This Row],[1]:[31]],"&lt;&gt;")&lt;&gt;0),COUNTIFS(Ar_6[[#This Row],[1]:[31]],"&lt;&gt;T34",Ar_6[[#This Row],[1]:[31]],"&lt;&gt;"),"")</f>
        <v/>
      </c>
      <c r="AI43" s="88"/>
      <c r="AJ43" s="70"/>
      <c r="AK43" s="70"/>
    </row>
    <row r="44" spans="1:37">
      <c r="A44" s="56"/>
      <c r="B44" s="74"/>
      <c r="C44" s="75"/>
      <c r="D44" s="75"/>
      <c r="E44" s="75"/>
      <c r="F44" s="76"/>
      <c r="G44" s="76"/>
      <c r="H44" s="76"/>
      <c r="I44" s="76"/>
      <c r="J44" s="76"/>
      <c r="K44" s="75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/>
      <c r="AI44" s="78"/>
    </row>
    <row r="45" spans="1:37">
      <c r="A45" s="79"/>
      <c r="B45" s="80"/>
      <c r="C45" s="81" t="s">
        <v>112</v>
      </c>
      <c r="D45" s="207" t="s">
        <v>113</v>
      </c>
      <c r="E45" s="207"/>
      <c r="F45" s="207"/>
      <c r="G45" s="81" t="s">
        <v>3</v>
      </c>
      <c r="H45" s="207" t="s">
        <v>114</v>
      </c>
      <c r="I45" s="207"/>
      <c r="J45" s="207"/>
      <c r="K45" s="81" t="s">
        <v>115</v>
      </c>
      <c r="L45" s="207" t="s">
        <v>116</v>
      </c>
      <c r="M45" s="207"/>
      <c r="N45" s="207"/>
      <c r="O45" s="81" t="s">
        <v>78</v>
      </c>
      <c r="P45" s="207" t="s">
        <v>117</v>
      </c>
      <c r="Q45" s="207"/>
      <c r="R45" s="207"/>
      <c r="S45" s="80" t="s">
        <v>118</v>
      </c>
      <c r="T45" s="207" t="s">
        <v>119</v>
      </c>
      <c r="U45" s="207"/>
      <c r="V45" s="207"/>
      <c r="AH45" s="80"/>
      <c r="AI45" s="80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67" priority="1" operator="equal">
      <formula>$K$45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012E-A416-4356-B232-33A1ACDFBFD5}">
  <dimension ref="A1:AK45"/>
  <sheetViews>
    <sheetView rightToLeft="1" workbookViewId="0">
      <pane xSplit="2" ySplit="4" topLeftCell="H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RowHeight="25.5"/>
  <cols>
    <col min="1" max="1" width="4.5" style="82" customWidth="1"/>
    <col min="2" max="2" width="18" style="55" customWidth="1"/>
    <col min="3" max="3" width="5.25" style="55" customWidth="1"/>
    <col min="4" max="5" width="5.25" style="82" customWidth="1"/>
    <col min="6" max="10" width="5.25" style="83" customWidth="1"/>
    <col min="11" max="11" width="5.25" style="84" customWidth="1"/>
    <col min="12" max="33" width="5.25" style="55" customWidth="1"/>
    <col min="34" max="34" width="6.875" style="55" customWidth="1"/>
    <col min="35" max="35" width="7.375" style="55" customWidth="1"/>
    <col min="36" max="36" width="7.875" style="55" customWidth="1"/>
    <col min="37" max="16384" width="9" style="55"/>
  </cols>
  <sheetData>
    <row r="1" spans="1:37" ht="30" customHeight="1">
      <c r="B1" s="101">
        <v>45108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7" ht="30" customHeight="1">
      <c r="A2" s="55"/>
      <c r="B2" s="85" t="str">
        <f>TEXT("تقرير الحضور والغياب - ",)&amp;TEXT(B1,"[$-0401]mmm yyyy")</f>
        <v>تقرير الحضور والغياب - يوليو 2023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</row>
    <row r="3" spans="1:37" ht="22.5" customHeight="1" thickBot="1">
      <c r="A3" s="56"/>
      <c r="B3" s="57"/>
      <c r="C3" s="94" t="str">
        <f>TEXT(($B$1-DAY($B$1)+Ar[[#Headers],[1]]),"[$-0401]ddd")</f>
        <v>السبت</v>
      </c>
      <c r="D3" s="94" t="str">
        <f>TEXT(($B$1-DAY($B$1)+Ar[[#Headers],[2]]),"[$-0401]ddd")</f>
        <v>الأحد</v>
      </c>
      <c r="E3" s="94" t="str">
        <f>TEXT(($B$1-DAY($B$1)+Ar[[#Headers],[3]]),"[$-0401]ddd")</f>
        <v>الإثنين</v>
      </c>
      <c r="F3" s="94" t="str">
        <f>TEXT(($B$1-DAY($B$1)+Ar[[#Headers],[4]]),"[$-0401]ddd")</f>
        <v>الثلاثاء</v>
      </c>
      <c r="G3" s="94" t="str">
        <f>TEXT(($B$1-DAY($B$1)+Ar[[#Headers],[5]]),"[$-0401]ddd")</f>
        <v>الأربعاء</v>
      </c>
      <c r="H3" s="94" t="str">
        <f>TEXT(($B$1-DAY($B$1)+Ar[[#Headers],[6]]),"[$-0401]ddd")</f>
        <v>الخميس</v>
      </c>
      <c r="I3" s="95" t="str">
        <f>TEXT(($B$1-DAY($B$1)+Ar[[#Headers],[7]]),"[$-0401]ddd")</f>
        <v>الجمعة</v>
      </c>
      <c r="J3" s="94" t="str">
        <f>TEXT(($B$1-DAY($B$1)+Ar[[#Headers],[8]]),"[$-0401]ddd")</f>
        <v>السبت</v>
      </c>
      <c r="K3" s="94" t="str">
        <f>TEXT(($B$1-DAY($B$1)+Ar[[#Headers],[9]]),"[$-0401]ddd")</f>
        <v>الأحد</v>
      </c>
      <c r="L3" s="94" t="str">
        <f>TEXT(($B$1-DAY($B$1)+Ar[[#Headers],[10]]),"[$-0401]ddd")</f>
        <v>الإثنين</v>
      </c>
      <c r="M3" s="94" t="str">
        <f>TEXT(($B$1-DAY($B$1)+Ar[[#Headers],[11]]),"[$-0401]ddd")</f>
        <v>الثلاثاء</v>
      </c>
      <c r="N3" s="94" t="str">
        <f>TEXT(($B$1-DAY($B$1)+Ar[[#Headers],[12]]),"[$-0401]ddd")</f>
        <v>الأربعاء</v>
      </c>
      <c r="O3" s="94" t="str">
        <f>TEXT(($B$1-DAY($B$1)+Ar[[#Headers],[13]]),"[$-0401]ddd")</f>
        <v>الخميس</v>
      </c>
      <c r="P3" s="95" t="str">
        <f>TEXT(($B$1-DAY($B$1)+Ar[[#Headers],[14]]),"[$-0401]ddd")</f>
        <v>الجمعة</v>
      </c>
      <c r="Q3" s="94" t="str">
        <f>TEXT(($B$1-DAY($B$1)+Ar[[#Headers],[15]]),"[$-0401]ddd")</f>
        <v>السبت</v>
      </c>
      <c r="R3" s="94" t="str">
        <f>TEXT(($B$1-DAY($B$1)+Ar[[#Headers],[16]]),"[$-0401]ddd")</f>
        <v>الأحد</v>
      </c>
      <c r="S3" s="94" t="str">
        <f>TEXT(($B$1-DAY($B$1)+Ar[[#Headers],[17]]),"[$-0401]ddd")</f>
        <v>الإثنين</v>
      </c>
      <c r="T3" s="94" t="str">
        <f>TEXT(($B$1-DAY($B$1)+Ar[[#Headers],[18]]),"[$-0401]ddd")</f>
        <v>الثلاثاء</v>
      </c>
      <c r="U3" s="94" t="str">
        <f>TEXT(($B$1-DAY($B$1)+Ar[[#Headers],[19]]),"[$-0401]ddd")</f>
        <v>الأربعاء</v>
      </c>
      <c r="V3" s="94" t="str">
        <f>TEXT(($B$1-DAY($B$1)+Ar[[#Headers],[20]]),"[$-0401]ddd")</f>
        <v>الخميس</v>
      </c>
      <c r="W3" s="95" t="str">
        <f>TEXT(($B$1-DAY($B$1)+Ar[[#Headers],[21]]),"[$-0401]ddd")</f>
        <v>الجمعة</v>
      </c>
      <c r="X3" s="94" t="str">
        <f>TEXT(($B$1-DAY($B$1)+Ar[[#Headers],[22]]),"[$-0401]ddd")</f>
        <v>السبت</v>
      </c>
      <c r="Y3" s="94" t="str">
        <f>TEXT(($B$1-DAY($B$1)+Ar[[#Headers],[23]]),"[$-0401]ddd")</f>
        <v>الأحد</v>
      </c>
      <c r="Z3" s="94" t="str">
        <f>TEXT(($B$1-DAY($B$1)+Ar[[#Headers],[24]]),"[$-0401]ddd")</f>
        <v>الإثنين</v>
      </c>
      <c r="AA3" s="94" t="str">
        <f>TEXT(($B$1-DAY($B$1)+Ar[[#Headers],[25]]),"[$-0401]ddd")</f>
        <v>الثلاثاء</v>
      </c>
      <c r="AB3" s="94" t="str">
        <f>TEXT(($B$1-DAY($B$1)+Ar[[#Headers],[26]]),"[$-0401]ddd")</f>
        <v>الأربعاء</v>
      </c>
      <c r="AC3" s="94" t="str">
        <f>TEXT(($B$1-DAY($B$1)+Ar[[#Headers],[27]]),"[$-0401]ddd")</f>
        <v>الخميس</v>
      </c>
      <c r="AD3" s="95" t="str">
        <f>TEXT(($B$1-DAY($B$1)+Ar[[#Headers],[28]]),"[$-0401]ddd")</f>
        <v>الجمعة</v>
      </c>
      <c r="AE3" s="94" t="str">
        <f>TEXT(($B$1-DAY($B$1)+Ar[[#Headers],[29]]),"[$-0401]ddd")</f>
        <v>السبت</v>
      </c>
      <c r="AF3" s="94" t="str">
        <f>TEXT(($B$1-DAY($B$1)+Ar[[#Headers],[30]]),"[$-0401]ddd")</f>
        <v>الأحد</v>
      </c>
      <c r="AG3" s="94" t="str">
        <f>TEXT(($B$1-DAY($B$1)+Ar[[#Headers],[31]]),"[$-0401]ddd")</f>
        <v>الإثنين</v>
      </c>
    </row>
    <row r="4" spans="1:37" s="61" customFormat="1" ht="36" customHeight="1">
      <c r="A4" s="58" t="s">
        <v>79</v>
      </c>
      <c r="B4" s="59" t="s">
        <v>80</v>
      </c>
      <c r="C4" s="60" t="s">
        <v>81</v>
      </c>
      <c r="D4" s="60" t="s">
        <v>82</v>
      </c>
      <c r="E4" s="60" t="s">
        <v>83</v>
      </c>
      <c r="F4" s="60" t="s">
        <v>84</v>
      </c>
      <c r="G4" s="60" t="s">
        <v>85</v>
      </c>
      <c r="H4" s="60" t="s">
        <v>86</v>
      </c>
      <c r="I4" s="92" t="s">
        <v>87</v>
      </c>
      <c r="J4" s="60" t="s">
        <v>88</v>
      </c>
      <c r="K4" s="60" t="s">
        <v>89</v>
      </c>
      <c r="L4" s="60" t="s">
        <v>90</v>
      </c>
      <c r="M4" s="60" t="s">
        <v>91</v>
      </c>
      <c r="N4" s="60" t="s">
        <v>92</v>
      </c>
      <c r="O4" s="60" t="s">
        <v>93</v>
      </c>
      <c r="P4" s="92" t="s">
        <v>94</v>
      </c>
      <c r="Q4" s="60" t="s">
        <v>95</v>
      </c>
      <c r="R4" s="60" t="s">
        <v>96</v>
      </c>
      <c r="S4" s="60" t="s">
        <v>97</v>
      </c>
      <c r="T4" s="60" t="s">
        <v>98</v>
      </c>
      <c r="U4" s="60" t="s">
        <v>99</v>
      </c>
      <c r="V4" s="60" t="s">
        <v>100</v>
      </c>
      <c r="W4" s="92" t="s">
        <v>101</v>
      </c>
      <c r="X4" s="60" t="s">
        <v>102</v>
      </c>
      <c r="Y4" s="60" t="s">
        <v>103</v>
      </c>
      <c r="Z4" s="60" t="s">
        <v>104</v>
      </c>
      <c r="AA4" s="60" t="s">
        <v>105</v>
      </c>
      <c r="AB4" s="60" t="s">
        <v>106</v>
      </c>
      <c r="AC4" s="60" t="s">
        <v>107</v>
      </c>
      <c r="AD4" s="92" t="s">
        <v>108</v>
      </c>
      <c r="AE4" s="60" t="s">
        <v>109</v>
      </c>
      <c r="AF4" s="60" t="s">
        <v>110</v>
      </c>
      <c r="AG4" s="60" t="s">
        <v>111</v>
      </c>
      <c r="AH4" s="100" t="s">
        <v>120</v>
      </c>
      <c r="AI4" s="103" t="s">
        <v>17</v>
      </c>
      <c r="AJ4" s="97" t="s">
        <v>121</v>
      </c>
      <c r="AK4" s="97" t="s">
        <v>122</v>
      </c>
    </row>
    <row r="5" spans="1:37" ht="30" customHeight="1">
      <c r="A5" s="62">
        <v>1</v>
      </c>
      <c r="B5" s="63" t="s">
        <v>29</v>
      </c>
      <c r="C5" s="64"/>
      <c r="D5" s="64"/>
      <c r="E5" s="64"/>
      <c r="F5" s="64"/>
      <c r="G5" s="64"/>
      <c r="H5" s="64"/>
      <c r="I5" s="93"/>
      <c r="J5" s="64"/>
      <c r="K5" s="64"/>
      <c r="L5" s="64"/>
      <c r="M5" s="64"/>
      <c r="N5" s="64"/>
      <c r="O5" s="64"/>
      <c r="P5" s="93"/>
      <c r="Q5" s="64"/>
      <c r="R5" s="64"/>
      <c r="S5" s="64"/>
      <c r="T5" s="64"/>
      <c r="U5" s="64"/>
      <c r="V5" s="64"/>
      <c r="W5" s="93"/>
      <c r="X5" s="64"/>
      <c r="Y5" s="64"/>
      <c r="Z5" s="64"/>
      <c r="AA5" s="64"/>
      <c r="AB5" s="64"/>
      <c r="AC5" s="64"/>
      <c r="AD5" s="93"/>
      <c r="AE5" s="64"/>
      <c r="AF5" s="64"/>
      <c r="AG5" s="64"/>
      <c r="AH5" s="65" t="str">
        <f>IF((COUNTIFS(Ar[[#This Row],[1]:[31]],"&lt;&gt;T34",Ar[[#This Row],[1]:[31]],"&lt;&gt;")&lt;&gt;0),COUNTIFS(Ar[[#This Row],[1]:[31]],"&lt;&gt;T34",Ar[[#This Row],[1]:[31]],"&lt;&gt;"),"")</f>
        <v/>
      </c>
      <c r="AI5" s="66"/>
      <c r="AJ5" s="96"/>
      <c r="AK5" s="96"/>
    </row>
    <row r="6" spans="1:37" ht="30" customHeight="1">
      <c r="A6" s="62">
        <f t="shared" ref="A6:A43" si="0">+A5+1</f>
        <v>2</v>
      </c>
      <c r="B6" s="63" t="s">
        <v>31</v>
      </c>
      <c r="C6" s="64"/>
      <c r="D6" s="64"/>
      <c r="E6" s="64"/>
      <c r="F6" s="64"/>
      <c r="G6" s="64"/>
      <c r="H6" s="64"/>
      <c r="I6" s="93"/>
      <c r="J6" s="64"/>
      <c r="K6" s="64"/>
      <c r="L6" s="64"/>
      <c r="M6" s="64"/>
      <c r="N6" s="64"/>
      <c r="O6" s="64"/>
      <c r="P6" s="93"/>
      <c r="Q6" s="64"/>
      <c r="R6" s="64"/>
      <c r="S6" s="64"/>
      <c r="T6" s="64"/>
      <c r="U6" s="64"/>
      <c r="V6" s="64"/>
      <c r="W6" s="93"/>
      <c r="X6" s="64"/>
      <c r="Y6" s="64"/>
      <c r="Z6" s="64"/>
      <c r="AA6" s="64"/>
      <c r="AB6" s="64"/>
      <c r="AC6" s="64"/>
      <c r="AD6" s="93"/>
      <c r="AE6" s="64"/>
      <c r="AF6" s="64"/>
      <c r="AG6" s="64"/>
      <c r="AH6" s="65" t="str">
        <f>IF((COUNTIFS(Ar[[#This Row],[1]:[31]],"&lt;&gt;T34",Ar[[#This Row],[1]:[31]],"&lt;&gt;")&lt;&gt;0),COUNTIFS(Ar[[#This Row],[1]:[31]],"&lt;&gt;T34",Ar[[#This Row],[1]:[31]],"&lt;&gt;"),"")</f>
        <v/>
      </c>
      <c r="AI6" s="66"/>
      <c r="AJ6" s="65"/>
      <c r="AK6" s="65"/>
    </row>
    <row r="7" spans="1:37" ht="30" customHeight="1">
      <c r="A7" s="62">
        <f t="shared" si="0"/>
        <v>3</v>
      </c>
      <c r="B7" s="63" t="s">
        <v>32</v>
      </c>
      <c r="C7" s="64"/>
      <c r="D7" s="64"/>
      <c r="E7" s="64"/>
      <c r="F7" s="64"/>
      <c r="G7" s="64"/>
      <c r="H7" s="64"/>
      <c r="I7" s="93"/>
      <c r="J7" s="64"/>
      <c r="K7" s="64"/>
      <c r="L7" s="64"/>
      <c r="M7" s="64"/>
      <c r="N7" s="64"/>
      <c r="O7" s="64"/>
      <c r="P7" s="93"/>
      <c r="Q7" s="64"/>
      <c r="R7" s="64"/>
      <c r="S7" s="64"/>
      <c r="T7" s="64"/>
      <c r="U7" s="64"/>
      <c r="V7" s="64"/>
      <c r="W7" s="93"/>
      <c r="X7" s="64"/>
      <c r="Y7" s="64"/>
      <c r="Z7" s="64"/>
      <c r="AA7" s="64"/>
      <c r="AB7" s="64"/>
      <c r="AC7" s="64"/>
      <c r="AD7" s="93"/>
      <c r="AE7" s="64"/>
      <c r="AF7" s="64"/>
      <c r="AG7" s="64"/>
      <c r="AH7" s="65" t="str">
        <f>IF((COUNTIFS(Ar[[#This Row],[1]:[31]],"&lt;&gt;T34",Ar[[#This Row],[1]:[31]],"&lt;&gt;")&lt;&gt;0),COUNTIFS(Ar[[#This Row],[1]:[31]],"&lt;&gt;T34",Ar[[#This Row],[1]:[31]],"&lt;&gt;"),"")</f>
        <v/>
      </c>
      <c r="AI7" s="66"/>
      <c r="AJ7" s="65"/>
      <c r="AK7" s="65"/>
    </row>
    <row r="8" spans="1:37" ht="30" customHeight="1">
      <c r="A8" s="62">
        <f t="shared" si="0"/>
        <v>4</v>
      </c>
      <c r="B8" s="63" t="s">
        <v>33</v>
      </c>
      <c r="C8" s="64"/>
      <c r="D8" s="64"/>
      <c r="E8" s="64"/>
      <c r="F8" s="64"/>
      <c r="G8" s="64"/>
      <c r="H8" s="64"/>
      <c r="I8" s="93"/>
      <c r="J8" s="64"/>
      <c r="K8" s="64"/>
      <c r="L8" s="64"/>
      <c r="M8" s="64"/>
      <c r="N8" s="64"/>
      <c r="O8" s="64"/>
      <c r="P8" s="93"/>
      <c r="Q8" s="64"/>
      <c r="R8" s="64"/>
      <c r="S8" s="64"/>
      <c r="T8" s="64"/>
      <c r="U8" s="64"/>
      <c r="V8" s="64"/>
      <c r="W8" s="93"/>
      <c r="X8" s="64"/>
      <c r="Y8" s="64"/>
      <c r="Z8" s="64"/>
      <c r="AA8" s="64"/>
      <c r="AB8" s="64"/>
      <c r="AC8" s="64"/>
      <c r="AD8" s="93"/>
      <c r="AE8" s="64"/>
      <c r="AF8" s="64"/>
      <c r="AG8" s="64"/>
      <c r="AH8" s="65" t="str">
        <f>IF((COUNTIFS(Ar[[#This Row],[1]:[31]],"&lt;&gt;T34",Ar[[#This Row],[1]:[31]],"&lt;&gt;")&lt;&gt;0),COUNTIFS(Ar[[#This Row],[1]:[31]],"&lt;&gt;T34",Ar[[#This Row],[1]:[31]],"&lt;&gt;"),"")</f>
        <v/>
      </c>
      <c r="AI8" s="66"/>
      <c r="AJ8" s="65"/>
      <c r="AK8" s="65"/>
    </row>
    <row r="9" spans="1:37" ht="30" customHeight="1">
      <c r="A9" s="62">
        <f t="shared" si="0"/>
        <v>5</v>
      </c>
      <c r="B9" s="63" t="s">
        <v>34</v>
      </c>
      <c r="C9" s="64"/>
      <c r="D9" s="64"/>
      <c r="E9" s="64"/>
      <c r="F9" s="64"/>
      <c r="G9" s="64"/>
      <c r="H9" s="64"/>
      <c r="I9" s="93"/>
      <c r="J9" s="64"/>
      <c r="K9" s="64"/>
      <c r="L9" s="64"/>
      <c r="M9" s="64"/>
      <c r="N9" s="64"/>
      <c r="O9" s="64"/>
      <c r="P9" s="93"/>
      <c r="Q9" s="64"/>
      <c r="R9" s="64"/>
      <c r="S9" s="64"/>
      <c r="T9" s="64"/>
      <c r="U9" s="64"/>
      <c r="V9" s="64"/>
      <c r="W9" s="93"/>
      <c r="X9" s="64"/>
      <c r="Y9" s="64"/>
      <c r="Z9" s="64"/>
      <c r="AA9" s="64"/>
      <c r="AB9" s="64"/>
      <c r="AC9" s="64"/>
      <c r="AD9" s="93"/>
      <c r="AE9" s="64"/>
      <c r="AF9" s="64"/>
      <c r="AG9" s="64"/>
      <c r="AH9" s="65" t="str">
        <f>IF((COUNTIFS(Ar[[#This Row],[1]:[31]],"&lt;&gt;T34",Ar[[#This Row],[1]:[31]],"&lt;&gt;")&lt;&gt;0),COUNTIFS(Ar[[#This Row],[1]:[31]],"&lt;&gt;T34",Ar[[#This Row],[1]:[31]],"&lt;&gt;"),"")</f>
        <v/>
      </c>
      <c r="AI9" s="66"/>
      <c r="AJ9" s="65"/>
      <c r="AK9" s="65"/>
    </row>
    <row r="10" spans="1:37" ht="30" customHeight="1">
      <c r="A10" s="62">
        <f t="shared" si="0"/>
        <v>6</v>
      </c>
      <c r="B10" s="63" t="s">
        <v>35</v>
      </c>
      <c r="C10" s="64"/>
      <c r="D10" s="64"/>
      <c r="E10" s="64"/>
      <c r="F10" s="64"/>
      <c r="G10" s="64"/>
      <c r="H10" s="64"/>
      <c r="I10" s="93"/>
      <c r="J10" s="64"/>
      <c r="K10" s="64"/>
      <c r="L10" s="64"/>
      <c r="M10" s="64"/>
      <c r="N10" s="64"/>
      <c r="O10" s="64"/>
      <c r="P10" s="93"/>
      <c r="Q10" s="64"/>
      <c r="R10" s="64"/>
      <c r="S10" s="64"/>
      <c r="T10" s="64"/>
      <c r="U10" s="64"/>
      <c r="V10" s="64"/>
      <c r="W10" s="93"/>
      <c r="X10" s="64"/>
      <c r="Y10" s="64"/>
      <c r="Z10" s="64"/>
      <c r="AA10" s="64"/>
      <c r="AB10" s="64"/>
      <c r="AC10" s="64"/>
      <c r="AD10" s="93"/>
      <c r="AE10" s="64"/>
      <c r="AF10" s="64"/>
      <c r="AG10" s="64"/>
      <c r="AH10" s="65" t="str">
        <f>IF((COUNTIFS(Ar[[#This Row],[1]:[31]],"&lt;&gt;T34",Ar[[#This Row],[1]:[31]],"&lt;&gt;")&lt;&gt;0),COUNTIFS(Ar[[#This Row],[1]:[31]],"&lt;&gt;T34",Ar[[#This Row],[1]:[31]],"&lt;&gt;"),"")</f>
        <v/>
      </c>
      <c r="AI10" s="66"/>
      <c r="AJ10" s="65"/>
      <c r="AK10" s="65"/>
    </row>
    <row r="11" spans="1:37" ht="30" customHeight="1">
      <c r="A11" s="62">
        <f t="shared" si="0"/>
        <v>7</v>
      </c>
      <c r="B11" s="63" t="s">
        <v>37</v>
      </c>
      <c r="C11" s="64"/>
      <c r="D11" s="64"/>
      <c r="E11" s="64"/>
      <c r="F11" s="64"/>
      <c r="G11" s="64"/>
      <c r="H11" s="64"/>
      <c r="I11" s="93"/>
      <c r="J11" s="64"/>
      <c r="K11" s="64"/>
      <c r="L11" s="64"/>
      <c r="M11" s="64"/>
      <c r="N11" s="64"/>
      <c r="O11" s="64"/>
      <c r="P11" s="93"/>
      <c r="Q11" s="64"/>
      <c r="R11" s="64"/>
      <c r="S11" s="64"/>
      <c r="T11" s="64"/>
      <c r="U11" s="64"/>
      <c r="V11" s="64"/>
      <c r="W11" s="93"/>
      <c r="X11" s="64"/>
      <c r="Y11" s="64"/>
      <c r="Z11" s="64"/>
      <c r="AA11" s="64"/>
      <c r="AB11" s="64"/>
      <c r="AC11" s="64"/>
      <c r="AD11" s="93"/>
      <c r="AE11" s="64"/>
      <c r="AF11" s="64"/>
      <c r="AG11" s="64"/>
      <c r="AH11" s="65" t="str">
        <f>IF((COUNTIFS(Ar[[#This Row],[1]:[31]],"&lt;&gt;T34",Ar[[#This Row],[1]:[31]],"&lt;&gt;")&lt;&gt;0),COUNTIFS(Ar[[#This Row],[1]:[31]],"&lt;&gt;T34",Ar[[#This Row],[1]:[31]],"&lt;&gt;"),"")</f>
        <v/>
      </c>
      <c r="AI11" s="66"/>
      <c r="AJ11" s="65"/>
      <c r="AK11" s="65"/>
    </row>
    <row r="12" spans="1:37" ht="30" customHeight="1">
      <c r="A12" s="62">
        <f t="shared" si="0"/>
        <v>8</v>
      </c>
      <c r="B12" s="63" t="s">
        <v>38</v>
      </c>
      <c r="C12" s="64"/>
      <c r="D12" s="64"/>
      <c r="E12" s="64"/>
      <c r="F12" s="64"/>
      <c r="G12" s="64"/>
      <c r="H12" s="64"/>
      <c r="I12" s="93"/>
      <c r="J12" s="64"/>
      <c r="K12" s="64"/>
      <c r="L12" s="64"/>
      <c r="M12" s="64"/>
      <c r="N12" s="64"/>
      <c r="O12" s="64"/>
      <c r="P12" s="93"/>
      <c r="Q12" s="64"/>
      <c r="R12" s="64"/>
      <c r="S12" s="64"/>
      <c r="T12" s="64"/>
      <c r="U12" s="64"/>
      <c r="V12" s="64"/>
      <c r="W12" s="93"/>
      <c r="X12" s="64"/>
      <c r="Y12" s="64"/>
      <c r="Z12" s="64"/>
      <c r="AA12" s="64"/>
      <c r="AB12" s="64"/>
      <c r="AC12" s="64"/>
      <c r="AD12" s="93"/>
      <c r="AE12" s="64"/>
      <c r="AF12" s="64"/>
      <c r="AG12" s="64"/>
      <c r="AH12" s="65" t="str">
        <f>IF((COUNTIFS(Ar[[#This Row],[1]:[31]],"&lt;&gt;T34",Ar[[#This Row],[1]:[31]],"&lt;&gt;")&lt;&gt;0),COUNTIFS(Ar[[#This Row],[1]:[31]],"&lt;&gt;T34",Ar[[#This Row],[1]:[31]],"&lt;&gt;"),"")</f>
        <v/>
      </c>
      <c r="AI12" s="66"/>
      <c r="AJ12" s="65"/>
      <c r="AK12" s="65"/>
    </row>
    <row r="13" spans="1:37" ht="30" customHeight="1">
      <c r="A13" s="62">
        <f t="shared" si="0"/>
        <v>9</v>
      </c>
      <c r="B13" s="63" t="s">
        <v>39</v>
      </c>
      <c r="C13" s="64"/>
      <c r="D13" s="64"/>
      <c r="E13" s="64"/>
      <c r="F13" s="64"/>
      <c r="G13" s="64"/>
      <c r="H13" s="64"/>
      <c r="I13" s="93"/>
      <c r="J13" s="64"/>
      <c r="K13" s="64"/>
      <c r="L13" s="64"/>
      <c r="M13" s="64"/>
      <c r="N13" s="64"/>
      <c r="O13" s="64"/>
      <c r="P13" s="93"/>
      <c r="Q13" s="64"/>
      <c r="R13" s="64"/>
      <c r="S13" s="64"/>
      <c r="T13" s="64"/>
      <c r="U13" s="64"/>
      <c r="V13" s="64"/>
      <c r="W13" s="93"/>
      <c r="X13" s="64"/>
      <c r="Y13" s="64"/>
      <c r="Z13" s="64"/>
      <c r="AA13" s="64"/>
      <c r="AB13" s="64"/>
      <c r="AC13" s="64"/>
      <c r="AD13" s="93"/>
      <c r="AE13" s="64"/>
      <c r="AF13" s="64"/>
      <c r="AG13" s="64"/>
      <c r="AH13" s="65" t="str">
        <f>IF((COUNTIFS(Ar[[#This Row],[1]:[31]],"&lt;&gt;T34",Ar[[#This Row],[1]:[31]],"&lt;&gt;")&lt;&gt;0),COUNTIFS(Ar[[#This Row],[1]:[31]],"&lt;&gt;T34",Ar[[#This Row],[1]:[31]],"&lt;&gt;"),"")</f>
        <v/>
      </c>
      <c r="AI13" s="66"/>
      <c r="AJ13" s="65"/>
      <c r="AK13" s="65"/>
    </row>
    <row r="14" spans="1:37" ht="30" customHeight="1">
      <c r="A14" s="62">
        <f t="shared" si="0"/>
        <v>10</v>
      </c>
      <c r="B14" s="63" t="s">
        <v>40</v>
      </c>
      <c r="C14" s="64"/>
      <c r="D14" s="64"/>
      <c r="E14" s="64"/>
      <c r="F14" s="64"/>
      <c r="G14" s="64"/>
      <c r="H14" s="64"/>
      <c r="I14" s="93"/>
      <c r="J14" s="64"/>
      <c r="K14" s="64"/>
      <c r="L14" s="64"/>
      <c r="M14" s="64"/>
      <c r="N14" s="64"/>
      <c r="O14" s="64"/>
      <c r="P14" s="93"/>
      <c r="Q14" s="64"/>
      <c r="R14" s="64"/>
      <c r="S14" s="64"/>
      <c r="T14" s="64"/>
      <c r="U14" s="64"/>
      <c r="V14" s="64"/>
      <c r="W14" s="93"/>
      <c r="X14" s="64"/>
      <c r="Y14" s="64"/>
      <c r="Z14" s="64"/>
      <c r="AA14" s="64"/>
      <c r="AB14" s="64"/>
      <c r="AC14" s="64"/>
      <c r="AD14" s="93"/>
      <c r="AE14" s="64"/>
      <c r="AF14" s="64"/>
      <c r="AG14" s="64"/>
      <c r="AH14" s="65" t="str">
        <f>IF((COUNTIFS(Ar[[#This Row],[1]:[31]],"&lt;&gt;T34",Ar[[#This Row],[1]:[31]],"&lt;&gt;")&lt;&gt;0),COUNTIFS(Ar[[#This Row],[1]:[31]],"&lt;&gt;T34",Ar[[#This Row],[1]:[31]],"&lt;&gt;"),"")</f>
        <v/>
      </c>
      <c r="AI14" s="66"/>
      <c r="AJ14" s="65"/>
      <c r="AK14" s="65"/>
    </row>
    <row r="15" spans="1:37" ht="30" customHeight="1">
      <c r="A15" s="62">
        <f t="shared" si="0"/>
        <v>11</v>
      </c>
      <c r="B15" s="63" t="s">
        <v>42</v>
      </c>
      <c r="C15" s="64"/>
      <c r="D15" s="64"/>
      <c r="E15" s="64"/>
      <c r="F15" s="64"/>
      <c r="G15" s="64"/>
      <c r="H15" s="64"/>
      <c r="I15" s="93"/>
      <c r="J15" s="64"/>
      <c r="K15" s="64"/>
      <c r="L15" s="64"/>
      <c r="M15" s="64"/>
      <c r="N15" s="64"/>
      <c r="O15" s="64"/>
      <c r="P15" s="93"/>
      <c r="Q15" s="64"/>
      <c r="R15" s="64"/>
      <c r="S15" s="64"/>
      <c r="T15" s="64"/>
      <c r="U15" s="64"/>
      <c r="V15" s="64"/>
      <c r="W15" s="93"/>
      <c r="X15" s="64"/>
      <c r="Y15" s="64"/>
      <c r="Z15" s="64"/>
      <c r="AA15" s="64"/>
      <c r="AB15" s="64"/>
      <c r="AC15" s="64"/>
      <c r="AD15" s="93"/>
      <c r="AE15" s="64"/>
      <c r="AF15" s="64"/>
      <c r="AG15" s="64"/>
      <c r="AH15" s="65" t="str">
        <f>IF((COUNTIFS(Ar[[#This Row],[1]:[31]],"&lt;&gt;T34",Ar[[#This Row],[1]:[31]],"&lt;&gt;")&lt;&gt;0),COUNTIFS(Ar[[#This Row],[1]:[31]],"&lt;&gt;T34",Ar[[#This Row],[1]:[31]],"&lt;&gt;"),"")</f>
        <v/>
      </c>
      <c r="AI15" s="66"/>
      <c r="AJ15" s="65"/>
      <c r="AK15" s="65"/>
    </row>
    <row r="16" spans="1:37" ht="30" customHeight="1">
      <c r="A16" s="62">
        <f t="shared" si="0"/>
        <v>12</v>
      </c>
      <c r="B16" s="63" t="s">
        <v>43</v>
      </c>
      <c r="C16" s="64"/>
      <c r="D16" s="64"/>
      <c r="E16" s="64"/>
      <c r="F16" s="64"/>
      <c r="G16" s="64"/>
      <c r="H16" s="64"/>
      <c r="I16" s="93"/>
      <c r="J16" s="64"/>
      <c r="K16" s="64"/>
      <c r="L16" s="64"/>
      <c r="M16" s="64"/>
      <c r="N16" s="64"/>
      <c r="O16" s="64"/>
      <c r="P16" s="93"/>
      <c r="Q16" s="64"/>
      <c r="R16" s="64"/>
      <c r="S16" s="64"/>
      <c r="T16" s="64"/>
      <c r="U16" s="64"/>
      <c r="V16" s="64"/>
      <c r="W16" s="93"/>
      <c r="X16" s="64"/>
      <c r="Y16" s="64"/>
      <c r="Z16" s="64"/>
      <c r="AA16" s="64"/>
      <c r="AB16" s="64"/>
      <c r="AC16" s="64"/>
      <c r="AD16" s="93"/>
      <c r="AE16" s="64"/>
      <c r="AF16" s="64"/>
      <c r="AG16" s="64"/>
      <c r="AH16" s="65" t="str">
        <f>IF((COUNTIFS(Ar[[#This Row],[1]:[31]],"&lt;&gt;T34",Ar[[#This Row],[1]:[31]],"&lt;&gt;")&lt;&gt;0),COUNTIFS(Ar[[#This Row],[1]:[31]],"&lt;&gt;T34",Ar[[#This Row],[1]:[31]],"&lt;&gt;"),"")</f>
        <v/>
      </c>
      <c r="AI16" s="66"/>
      <c r="AJ16" s="65"/>
      <c r="AK16" s="65"/>
    </row>
    <row r="17" spans="1:37" ht="30" customHeight="1">
      <c r="A17" s="62">
        <f t="shared" si="0"/>
        <v>13</v>
      </c>
      <c r="B17" s="63" t="s">
        <v>44</v>
      </c>
      <c r="C17" s="64"/>
      <c r="D17" s="64"/>
      <c r="E17" s="64"/>
      <c r="F17" s="64"/>
      <c r="G17" s="64"/>
      <c r="H17" s="64"/>
      <c r="I17" s="93"/>
      <c r="J17" s="64"/>
      <c r="K17" s="64"/>
      <c r="L17" s="64"/>
      <c r="M17" s="64"/>
      <c r="N17" s="64"/>
      <c r="O17" s="64"/>
      <c r="P17" s="93"/>
      <c r="Q17" s="64"/>
      <c r="R17" s="64"/>
      <c r="S17" s="64"/>
      <c r="T17" s="64"/>
      <c r="U17" s="64"/>
      <c r="V17" s="64"/>
      <c r="W17" s="93"/>
      <c r="X17" s="64"/>
      <c r="Y17" s="64"/>
      <c r="Z17" s="64"/>
      <c r="AA17" s="64"/>
      <c r="AB17" s="64"/>
      <c r="AC17" s="64"/>
      <c r="AD17" s="93"/>
      <c r="AE17" s="64"/>
      <c r="AF17" s="64"/>
      <c r="AG17" s="64"/>
      <c r="AH17" s="65" t="str">
        <f>IF((COUNTIFS(Ar[[#This Row],[1]:[31]],"&lt;&gt;T34",Ar[[#This Row],[1]:[31]],"&lt;&gt;")&lt;&gt;0),COUNTIFS(Ar[[#This Row],[1]:[31]],"&lt;&gt;T34",Ar[[#This Row],[1]:[31]],"&lt;&gt;"),"")</f>
        <v/>
      </c>
      <c r="AI17" s="66"/>
      <c r="AJ17" s="65"/>
      <c r="AK17" s="65"/>
    </row>
    <row r="18" spans="1:37" ht="30" customHeight="1">
      <c r="A18" s="62">
        <f t="shared" si="0"/>
        <v>14</v>
      </c>
      <c r="B18" s="63" t="s">
        <v>45</v>
      </c>
      <c r="C18" s="64"/>
      <c r="D18" s="64"/>
      <c r="E18" s="64"/>
      <c r="F18" s="64"/>
      <c r="G18" s="64"/>
      <c r="H18" s="64"/>
      <c r="I18" s="93"/>
      <c r="J18" s="64"/>
      <c r="K18" s="64"/>
      <c r="L18" s="64"/>
      <c r="M18" s="64"/>
      <c r="N18" s="64"/>
      <c r="O18" s="64"/>
      <c r="P18" s="93"/>
      <c r="Q18" s="64"/>
      <c r="R18" s="64"/>
      <c r="S18" s="64"/>
      <c r="T18" s="64"/>
      <c r="U18" s="64"/>
      <c r="V18" s="64"/>
      <c r="W18" s="93"/>
      <c r="X18" s="64"/>
      <c r="Y18" s="64"/>
      <c r="Z18" s="64"/>
      <c r="AA18" s="64"/>
      <c r="AB18" s="64"/>
      <c r="AC18" s="64"/>
      <c r="AD18" s="93"/>
      <c r="AE18" s="64"/>
      <c r="AF18" s="64"/>
      <c r="AG18" s="64"/>
      <c r="AH18" s="65" t="str">
        <f>IF((COUNTIFS(Ar[[#This Row],[1]:[31]],"&lt;&gt;T34",Ar[[#This Row],[1]:[31]],"&lt;&gt;")&lt;&gt;0),COUNTIFS(Ar[[#This Row],[1]:[31]],"&lt;&gt;T34",Ar[[#This Row],[1]:[31]],"&lt;&gt;"),"")</f>
        <v/>
      </c>
      <c r="AI18" s="66"/>
      <c r="AJ18" s="65"/>
      <c r="AK18" s="65"/>
    </row>
    <row r="19" spans="1:37" ht="30" customHeight="1">
      <c r="A19" s="62">
        <f t="shared" si="0"/>
        <v>15</v>
      </c>
      <c r="B19" s="63" t="s">
        <v>46</v>
      </c>
      <c r="C19" s="64"/>
      <c r="D19" s="64"/>
      <c r="E19" s="64"/>
      <c r="F19" s="64"/>
      <c r="G19" s="64"/>
      <c r="H19" s="64"/>
      <c r="I19" s="93"/>
      <c r="J19" s="64"/>
      <c r="K19" s="64"/>
      <c r="L19" s="64"/>
      <c r="M19" s="64"/>
      <c r="N19" s="64"/>
      <c r="O19" s="64"/>
      <c r="P19" s="93"/>
      <c r="Q19" s="64"/>
      <c r="R19" s="64"/>
      <c r="S19" s="64"/>
      <c r="T19" s="64"/>
      <c r="U19" s="64"/>
      <c r="V19" s="64"/>
      <c r="W19" s="93"/>
      <c r="X19" s="64"/>
      <c r="Y19" s="64"/>
      <c r="Z19" s="64"/>
      <c r="AA19" s="64"/>
      <c r="AB19" s="64"/>
      <c r="AC19" s="64"/>
      <c r="AD19" s="93"/>
      <c r="AE19" s="64"/>
      <c r="AF19" s="64"/>
      <c r="AG19" s="64"/>
      <c r="AH19" s="65" t="str">
        <f>IF((COUNTIFS(Ar[[#This Row],[1]:[31]],"&lt;&gt;T34",Ar[[#This Row],[1]:[31]],"&lt;&gt;")&lt;&gt;0),COUNTIFS(Ar[[#This Row],[1]:[31]],"&lt;&gt;T34",Ar[[#This Row],[1]:[31]],"&lt;&gt;"),"")</f>
        <v/>
      </c>
      <c r="AI19" s="66"/>
      <c r="AJ19" s="65"/>
      <c r="AK19" s="65"/>
    </row>
    <row r="20" spans="1:37" ht="30" customHeight="1">
      <c r="A20" s="62">
        <f t="shared" si="0"/>
        <v>16</v>
      </c>
      <c r="B20" s="63" t="s">
        <v>47</v>
      </c>
      <c r="C20" s="64"/>
      <c r="D20" s="64"/>
      <c r="E20" s="64"/>
      <c r="F20" s="64"/>
      <c r="G20" s="64"/>
      <c r="H20" s="64"/>
      <c r="I20" s="93"/>
      <c r="J20" s="64"/>
      <c r="K20" s="64"/>
      <c r="L20" s="64"/>
      <c r="M20" s="64"/>
      <c r="N20" s="64"/>
      <c r="O20" s="64"/>
      <c r="P20" s="93"/>
      <c r="Q20" s="64"/>
      <c r="R20" s="64"/>
      <c r="S20" s="64"/>
      <c r="T20" s="64"/>
      <c r="U20" s="64"/>
      <c r="V20" s="64"/>
      <c r="W20" s="93"/>
      <c r="X20" s="64"/>
      <c r="Y20" s="64"/>
      <c r="Z20" s="64"/>
      <c r="AA20" s="64"/>
      <c r="AB20" s="64"/>
      <c r="AC20" s="64"/>
      <c r="AD20" s="93"/>
      <c r="AE20" s="64"/>
      <c r="AF20" s="64"/>
      <c r="AG20" s="64"/>
      <c r="AH20" s="65" t="str">
        <f>IF((COUNTIFS(Ar[[#This Row],[1]:[31]],"&lt;&gt;T34",Ar[[#This Row],[1]:[31]],"&lt;&gt;")&lt;&gt;0),COUNTIFS(Ar[[#This Row],[1]:[31]],"&lt;&gt;T34",Ar[[#This Row],[1]:[31]],"&lt;&gt;"),"")</f>
        <v/>
      </c>
      <c r="AI20" s="66"/>
      <c r="AJ20" s="65"/>
      <c r="AK20" s="65"/>
    </row>
    <row r="21" spans="1:37" ht="30" customHeight="1">
      <c r="A21" s="62">
        <f t="shared" si="0"/>
        <v>17</v>
      </c>
      <c r="B21" s="63" t="s">
        <v>125</v>
      </c>
      <c r="C21" s="64"/>
      <c r="D21" s="64"/>
      <c r="E21" s="64"/>
      <c r="F21" s="64"/>
      <c r="G21" s="64"/>
      <c r="H21" s="64"/>
      <c r="I21" s="93"/>
      <c r="J21" s="64"/>
      <c r="K21" s="64"/>
      <c r="L21" s="64"/>
      <c r="M21" s="64"/>
      <c r="N21" s="64"/>
      <c r="O21" s="64"/>
      <c r="P21" s="93"/>
      <c r="Q21" s="64"/>
      <c r="R21" s="64"/>
      <c r="S21" s="64"/>
      <c r="T21" s="64"/>
      <c r="U21" s="64"/>
      <c r="V21" s="64"/>
      <c r="W21" s="93"/>
      <c r="X21" s="64"/>
      <c r="Y21" s="64"/>
      <c r="Z21" s="64"/>
      <c r="AA21" s="64"/>
      <c r="AB21" s="64"/>
      <c r="AC21" s="64"/>
      <c r="AD21" s="93"/>
      <c r="AE21" s="64"/>
      <c r="AF21" s="64"/>
      <c r="AG21" s="64"/>
      <c r="AH21" s="65" t="str">
        <f>IF((COUNTIFS(Ar[[#This Row],[1]:[31]],"&lt;&gt;T34",Ar[[#This Row],[1]:[31]],"&lt;&gt;")&lt;&gt;0),COUNTIFS(Ar[[#This Row],[1]:[31]],"&lt;&gt;T34",Ar[[#This Row],[1]:[31]],"&lt;&gt;"),"")</f>
        <v/>
      </c>
      <c r="AI21" s="66"/>
      <c r="AJ21" s="65"/>
      <c r="AK21" s="65"/>
    </row>
    <row r="22" spans="1:37" ht="30" customHeight="1">
      <c r="A22" s="62">
        <f t="shared" si="0"/>
        <v>18</v>
      </c>
      <c r="B22" s="63" t="s">
        <v>51</v>
      </c>
      <c r="C22" s="64"/>
      <c r="D22" s="64"/>
      <c r="E22" s="64"/>
      <c r="F22" s="64"/>
      <c r="G22" s="64"/>
      <c r="H22" s="64"/>
      <c r="I22" s="93"/>
      <c r="J22" s="64"/>
      <c r="K22" s="64"/>
      <c r="L22" s="64"/>
      <c r="M22" s="64"/>
      <c r="N22" s="64"/>
      <c r="O22" s="64"/>
      <c r="P22" s="93"/>
      <c r="Q22" s="64"/>
      <c r="R22" s="64"/>
      <c r="S22" s="64"/>
      <c r="T22" s="64"/>
      <c r="U22" s="64"/>
      <c r="V22" s="64"/>
      <c r="W22" s="93"/>
      <c r="X22" s="64"/>
      <c r="Y22" s="64"/>
      <c r="Z22" s="64"/>
      <c r="AA22" s="64"/>
      <c r="AB22" s="64"/>
      <c r="AC22" s="64"/>
      <c r="AD22" s="93"/>
      <c r="AE22" s="64"/>
      <c r="AF22" s="64"/>
      <c r="AG22" s="64"/>
      <c r="AH22" s="65" t="str">
        <f>IF((COUNTIFS(Ar[[#This Row],[1]:[31]],"&lt;&gt;T34",Ar[[#This Row],[1]:[31]],"&lt;&gt;")&lt;&gt;0),COUNTIFS(Ar[[#This Row],[1]:[31]],"&lt;&gt;T34",Ar[[#This Row],[1]:[31]],"&lt;&gt;"),"")</f>
        <v/>
      </c>
      <c r="AI22" s="66"/>
      <c r="AJ22" s="65"/>
      <c r="AK22" s="65"/>
    </row>
    <row r="23" spans="1:37" ht="30" customHeight="1">
      <c r="A23" s="62">
        <f t="shared" si="0"/>
        <v>19</v>
      </c>
      <c r="B23" s="63" t="s">
        <v>124</v>
      </c>
      <c r="C23" s="64"/>
      <c r="D23" s="64"/>
      <c r="E23" s="64"/>
      <c r="F23" s="64"/>
      <c r="G23" s="64"/>
      <c r="H23" s="64"/>
      <c r="I23" s="93"/>
      <c r="J23" s="64"/>
      <c r="K23" s="64"/>
      <c r="L23" s="64"/>
      <c r="M23" s="64"/>
      <c r="N23" s="64"/>
      <c r="O23" s="64"/>
      <c r="P23" s="93"/>
      <c r="Q23" s="64"/>
      <c r="R23" s="64"/>
      <c r="S23" s="64"/>
      <c r="T23" s="64"/>
      <c r="U23" s="64"/>
      <c r="V23" s="64"/>
      <c r="W23" s="93"/>
      <c r="X23" s="64"/>
      <c r="Y23" s="64"/>
      <c r="Z23" s="64"/>
      <c r="AA23" s="64"/>
      <c r="AB23" s="64"/>
      <c r="AC23" s="64"/>
      <c r="AD23" s="93"/>
      <c r="AE23" s="64"/>
      <c r="AF23" s="64"/>
      <c r="AG23" s="64"/>
      <c r="AH23" s="65" t="str">
        <f>IF((COUNTIFS(Ar[[#This Row],[1]:[31]],"&lt;&gt;T34",Ar[[#This Row],[1]:[31]],"&lt;&gt;")&lt;&gt;0),COUNTIFS(Ar[[#This Row],[1]:[31]],"&lt;&gt;T34",Ar[[#This Row],[1]:[31]],"&lt;&gt;"),"")</f>
        <v/>
      </c>
      <c r="AI23" s="66"/>
      <c r="AJ23" s="65"/>
      <c r="AK23" s="65"/>
    </row>
    <row r="24" spans="1:37" ht="30" customHeight="1">
      <c r="A24" s="62">
        <f t="shared" si="0"/>
        <v>20</v>
      </c>
      <c r="B24" s="63" t="s">
        <v>53</v>
      </c>
      <c r="C24" s="64"/>
      <c r="D24" s="64"/>
      <c r="E24" s="64"/>
      <c r="F24" s="64"/>
      <c r="G24" s="64"/>
      <c r="H24" s="64"/>
      <c r="I24" s="93"/>
      <c r="J24" s="64"/>
      <c r="K24" s="64"/>
      <c r="L24" s="64"/>
      <c r="M24" s="64"/>
      <c r="N24" s="64"/>
      <c r="O24" s="64"/>
      <c r="P24" s="93"/>
      <c r="Q24" s="64"/>
      <c r="R24" s="64"/>
      <c r="S24" s="64"/>
      <c r="T24" s="64"/>
      <c r="U24" s="64"/>
      <c r="V24" s="64"/>
      <c r="W24" s="93"/>
      <c r="X24" s="64"/>
      <c r="Y24" s="64"/>
      <c r="Z24" s="64"/>
      <c r="AA24" s="64"/>
      <c r="AB24" s="64"/>
      <c r="AC24" s="64"/>
      <c r="AD24" s="93"/>
      <c r="AE24" s="64"/>
      <c r="AF24" s="64"/>
      <c r="AG24" s="64"/>
      <c r="AH24" s="65" t="str">
        <f>IF((COUNTIFS(Ar[[#This Row],[1]:[31]],"&lt;&gt;T34",Ar[[#This Row],[1]:[31]],"&lt;&gt;")&lt;&gt;0),COUNTIFS(Ar[[#This Row],[1]:[31]],"&lt;&gt;T34",Ar[[#This Row],[1]:[31]],"&lt;&gt;"),"")</f>
        <v/>
      </c>
      <c r="AI24" s="66"/>
      <c r="AJ24" s="65"/>
      <c r="AK24" s="65"/>
    </row>
    <row r="25" spans="1:37" ht="30" customHeight="1">
      <c r="A25" s="62">
        <f t="shared" si="0"/>
        <v>21</v>
      </c>
      <c r="B25" s="63" t="s">
        <v>127</v>
      </c>
      <c r="C25" s="64"/>
      <c r="D25" s="64"/>
      <c r="E25" s="64"/>
      <c r="F25" s="64"/>
      <c r="G25" s="64"/>
      <c r="H25" s="64"/>
      <c r="I25" s="93"/>
      <c r="J25" s="64"/>
      <c r="K25" s="64"/>
      <c r="L25" s="64"/>
      <c r="M25" s="64"/>
      <c r="N25" s="64"/>
      <c r="O25" s="64"/>
      <c r="P25" s="93"/>
      <c r="Q25" s="64"/>
      <c r="R25" s="64"/>
      <c r="S25" s="64"/>
      <c r="T25" s="64"/>
      <c r="U25" s="64"/>
      <c r="V25" s="64"/>
      <c r="W25" s="93"/>
      <c r="X25" s="64"/>
      <c r="Y25" s="64"/>
      <c r="Z25" s="64"/>
      <c r="AA25" s="64"/>
      <c r="AB25" s="64"/>
      <c r="AC25" s="64"/>
      <c r="AD25" s="93"/>
      <c r="AE25" s="64"/>
      <c r="AF25" s="64"/>
      <c r="AG25" s="64"/>
      <c r="AH25" s="65" t="str">
        <f>IF((COUNTIFS(Ar[[#This Row],[1]:[31]],"&lt;&gt;T34",Ar[[#This Row],[1]:[31]],"&lt;&gt;")&lt;&gt;0),COUNTIFS(Ar[[#This Row],[1]:[31]],"&lt;&gt;T34",Ar[[#This Row],[1]:[31]],"&lt;&gt;"),"")</f>
        <v/>
      </c>
      <c r="AI25" s="66"/>
      <c r="AJ25" s="65"/>
      <c r="AK25" s="65"/>
    </row>
    <row r="26" spans="1:37" ht="30" customHeight="1">
      <c r="A26" s="62">
        <f t="shared" si="0"/>
        <v>22</v>
      </c>
      <c r="B26" s="63" t="s">
        <v>123</v>
      </c>
      <c r="C26" s="64"/>
      <c r="D26" s="64"/>
      <c r="E26" s="64"/>
      <c r="F26" s="64"/>
      <c r="G26" s="64"/>
      <c r="H26" s="64"/>
      <c r="I26" s="93"/>
      <c r="J26" s="64"/>
      <c r="K26" s="64"/>
      <c r="L26" s="64"/>
      <c r="M26" s="64"/>
      <c r="N26" s="64"/>
      <c r="O26" s="64"/>
      <c r="P26" s="93"/>
      <c r="Q26" s="64"/>
      <c r="R26" s="64"/>
      <c r="S26" s="64"/>
      <c r="T26" s="64"/>
      <c r="U26" s="64"/>
      <c r="V26" s="64"/>
      <c r="W26" s="93"/>
      <c r="X26" s="64"/>
      <c r="Y26" s="64"/>
      <c r="Z26" s="64"/>
      <c r="AA26" s="64"/>
      <c r="AB26" s="64"/>
      <c r="AC26" s="64"/>
      <c r="AD26" s="93"/>
      <c r="AE26" s="64"/>
      <c r="AF26" s="64"/>
      <c r="AG26" s="64"/>
      <c r="AH26" s="65" t="str">
        <f>IF((COUNTIFS(Ar[[#This Row],[1]:[31]],"&lt;&gt;T34",Ar[[#This Row],[1]:[31]],"&lt;&gt;")&lt;&gt;0),COUNTIFS(Ar[[#This Row],[1]:[31]],"&lt;&gt;T34",Ar[[#This Row],[1]:[31]],"&lt;&gt;"),"")</f>
        <v/>
      </c>
      <c r="AI26" s="66"/>
      <c r="AJ26" s="65"/>
      <c r="AK26" s="65"/>
    </row>
    <row r="27" spans="1:37" ht="30" customHeight="1">
      <c r="A27" s="62">
        <f t="shared" si="0"/>
        <v>23</v>
      </c>
      <c r="B27" s="63" t="s">
        <v>126</v>
      </c>
      <c r="C27" s="64"/>
      <c r="D27" s="64"/>
      <c r="E27" s="64"/>
      <c r="F27" s="64"/>
      <c r="G27" s="64"/>
      <c r="H27" s="64"/>
      <c r="I27" s="93"/>
      <c r="J27" s="64"/>
      <c r="K27" s="64"/>
      <c r="L27" s="64"/>
      <c r="M27" s="64"/>
      <c r="N27" s="64"/>
      <c r="O27" s="64"/>
      <c r="P27" s="93"/>
      <c r="Q27" s="64"/>
      <c r="R27" s="64"/>
      <c r="S27" s="64"/>
      <c r="T27" s="64"/>
      <c r="U27" s="64"/>
      <c r="V27" s="64"/>
      <c r="W27" s="93"/>
      <c r="X27" s="64"/>
      <c r="Y27" s="64"/>
      <c r="Z27" s="64"/>
      <c r="AA27" s="64"/>
      <c r="AB27" s="64"/>
      <c r="AC27" s="64"/>
      <c r="AD27" s="93"/>
      <c r="AE27" s="64"/>
      <c r="AF27" s="64"/>
      <c r="AG27" s="64"/>
      <c r="AH27" s="65" t="str">
        <f>IF((COUNTIFS(Ar[[#This Row],[1]:[31]],"&lt;&gt;T34",Ar[[#This Row],[1]:[31]],"&lt;&gt;")&lt;&gt;0),COUNTIFS(Ar[[#This Row],[1]:[31]],"&lt;&gt;T34",Ar[[#This Row],[1]:[31]],"&lt;&gt;"),"")</f>
        <v/>
      </c>
      <c r="AI27" s="66"/>
      <c r="AJ27" s="65"/>
      <c r="AK27" s="65"/>
    </row>
    <row r="28" spans="1:37" ht="30" customHeight="1">
      <c r="A28" s="62">
        <f t="shared" si="0"/>
        <v>24</v>
      </c>
      <c r="B28" s="63" t="s">
        <v>60</v>
      </c>
      <c r="C28" s="64"/>
      <c r="D28" s="64"/>
      <c r="E28" s="64"/>
      <c r="F28" s="64"/>
      <c r="G28" s="64"/>
      <c r="H28" s="64"/>
      <c r="I28" s="93"/>
      <c r="J28" s="64"/>
      <c r="K28" s="64"/>
      <c r="L28" s="64"/>
      <c r="M28" s="64"/>
      <c r="N28" s="64"/>
      <c r="O28" s="64"/>
      <c r="P28" s="93"/>
      <c r="Q28" s="64"/>
      <c r="R28" s="64"/>
      <c r="S28" s="64"/>
      <c r="T28" s="64"/>
      <c r="U28" s="64"/>
      <c r="V28" s="64"/>
      <c r="W28" s="93"/>
      <c r="X28" s="64"/>
      <c r="Y28" s="64"/>
      <c r="Z28" s="64"/>
      <c r="AA28" s="64"/>
      <c r="AB28" s="64"/>
      <c r="AC28" s="64"/>
      <c r="AD28" s="93"/>
      <c r="AE28" s="64"/>
      <c r="AF28" s="64"/>
      <c r="AG28" s="64"/>
      <c r="AH28" s="65" t="str">
        <f>IF((COUNTIFS(Ar[[#This Row],[1]:[31]],"&lt;&gt;T34",Ar[[#This Row],[1]:[31]],"&lt;&gt;")&lt;&gt;0),COUNTIFS(Ar[[#This Row],[1]:[31]],"&lt;&gt;T34",Ar[[#This Row],[1]:[31]],"&lt;&gt;"),"")</f>
        <v/>
      </c>
      <c r="AI28" s="66"/>
      <c r="AJ28" s="65"/>
      <c r="AK28" s="65"/>
    </row>
    <row r="29" spans="1:37" ht="30" customHeight="1">
      <c r="A29" s="62">
        <f t="shared" si="0"/>
        <v>25</v>
      </c>
      <c r="B29" s="63" t="s">
        <v>61</v>
      </c>
      <c r="C29" s="64"/>
      <c r="D29" s="64"/>
      <c r="E29" s="64"/>
      <c r="F29" s="64"/>
      <c r="G29" s="64"/>
      <c r="H29" s="64"/>
      <c r="I29" s="93"/>
      <c r="J29" s="64"/>
      <c r="K29" s="64"/>
      <c r="L29" s="64"/>
      <c r="M29" s="64"/>
      <c r="N29" s="64"/>
      <c r="O29" s="64"/>
      <c r="P29" s="93"/>
      <c r="Q29" s="64"/>
      <c r="R29" s="64"/>
      <c r="S29" s="64"/>
      <c r="T29" s="64"/>
      <c r="U29" s="64"/>
      <c r="V29" s="64"/>
      <c r="W29" s="93"/>
      <c r="X29" s="64"/>
      <c r="Y29" s="64"/>
      <c r="Z29" s="64"/>
      <c r="AA29" s="64"/>
      <c r="AB29" s="64"/>
      <c r="AC29" s="64"/>
      <c r="AD29" s="93"/>
      <c r="AE29" s="64"/>
      <c r="AF29" s="64"/>
      <c r="AG29" s="64"/>
      <c r="AH29" s="65" t="str">
        <f>IF((COUNTIFS(Ar[[#This Row],[1]:[31]],"&lt;&gt;T34",Ar[[#This Row],[1]:[31]],"&lt;&gt;")&lt;&gt;0),COUNTIFS(Ar[[#This Row],[1]:[31]],"&lt;&gt;T34",Ar[[#This Row],[1]:[31]],"&lt;&gt;"),"")</f>
        <v/>
      </c>
      <c r="AI29" s="66"/>
      <c r="AJ29" s="65"/>
      <c r="AK29" s="65"/>
    </row>
    <row r="30" spans="1:37" ht="30" customHeight="1">
      <c r="A30" s="62">
        <f t="shared" si="0"/>
        <v>26</v>
      </c>
      <c r="B30" s="63" t="s">
        <v>62</v>
      </c>
      <c r="C30" s="64"/>
      <c r="D30" s="64"/>
      <c r="E30" s="64"/>
      <c r="F30" s="64"/>
      <c r="G30" s="64"/>
      <c r="H30" s="64"/>
      <c r="I30" s="93"/>
      <c r="J30" s="64"/>
      <c r="K30" s="64"/>
      <c r="L30" s="64"/>
      <c r="M30" s="64"/>
      <c r="N30" s="64"/>
      <c r="O30" s="64"/>
      <c r="P30" s="93"/>
      <c r="Q30" s="64"/>
      <c r="R30" s="64"/>
      <c r="S30" s="64"/>
      <c r="T30" s="64"/>
      <c r="U30" s="64"/>
      <c r="V30" s="64"/>
      <c r="W30" s="93"/>
      <c r="X30" s="64"/>
      <c r="Y30" s="64"/>
      <c r="Z30" s="64"/>
      <c r="AA30" s="64"/>
      <c r="AB30" s="64"/>
      <c r="AC30" s="64"/>
      <c r="AD30" s="93"/>
      <c r="AE30" s="64"/>
      <c r="AF30" s="64"/>
      <c r="AG30" s="64"/>
      <c r="AH30" s="65" t="str">
        <f>IF((COUNTIFS(Ar[[#This Row],[1]:[31]],"&lt;&gt;T34",Ar[[#This Row],[1]:[31]],"&lt;&gt;")&lt;&gt;0),COUNTIFS(Ar[[#This Row],[1]:[31]],"&lt;&gt;T34",Ar[[#This Row],[1]:[31]],"&lt;&gt;"),"")</f>
        <v/>
      </c>
      <c r="AI30" s="66"/>
      <c r="AJ30" s="65"/>
      <c r="AK30" s="65"/>
    </row>
    <row r="31" spans="1:37" ht="30" customHeight="1">
      <c r="A31" s="62">
        <f t="shared" si="0"/>
        <v>27</v>
      </c>
      <c r="B31" s="63" t="s">
        <v>63</v>
      </c>
      <c r="C31" s="64"/>
      <c r="D31" s="64"/>
      <c r="E31" s="64"/>
      <c r="F31" s="64"/>
      <c r="G31" s="64"/>
      <c r="H31" s="64"/>
      <c r="I31" s="93"/>
      <c r="J31" s="64"/>
      <c r="K31" s="64"/>
      <c r="L31" s="64"/>
      <c r="M31" s="64"/>
      <c r="N31" s="64"/>
      <c r="O31" s="64"/>
      <c r="P31" s="93"/>
      <c r="Q31" s="64"/>
      <c r="R31" s="64"/>
      <c r="S31" s="64"/>
      <c r="T31" s="64"/>
      <c r="U31" s="64"/>
      <c r="V31" s="64"/>
      <c r="W31" s="93"/>
      <c r="X31" s="64"/>
      <c r="Y31" s="64"/>
      <c r="Z31" s="64"/>
      <c r="AA31" s="64"/>
      <c r="AB31" s="64"/>
      <c r="AC31" s="64"/>
      <c r="AD31" s="93"/>
      <c r="AE31" s="64"/>
      <c r="AF31" s="64"/>
      <c r="AG31" s="64"/>
      <c r="AH31" s="65" t="str">
        <f>IF((COUNTIFS(Ar[[#This Row],[1]:[31]],"&lt;&gt;T34",Ar[[#This Row],[1]:[31]],"&lt;&gt;")&lt;&gt;0),COUNTIFS(Ar[[#This Row],[1]:[31]],"&lt;&gt;T34",Ar[[#This Row],[1]:[31]],"&lt;&gt;"),"")</f>
        <v/>
      </c>
      <c r="AI31" s="66"/>
      <c r="AJ31" s="65"/>
      <c r="AK31" s="65"/>
    </row>
    <row r="32" spans="1:37">
      <c r="A32" s="62">
        <f t="shared" si="0"/>
        <v>28</v>
      </c>
      <c r="B32" s="63" t="s">
        <v>64</v>
      </c>
      <c r="C32" s="67"/>
      <c r="D32" s="67"/>
      <c r="E32" s="67"/>
      <c r="F32" s="68"/>
      <c r="G32" s="68"/>
      <c r="H32" s="68"/>
      <c r="I32" s="89"/>
      <c r="J32" s="68"/>
      <c r="K32" s="67"/>
      <c r="L32" s="69"/>
      <c r="M32" s="69"/>
      <c r="N32" s="69"/>
      <c r="O32" s="69"/>
      <c r="P32" s="89"/>
      <c r="Q32" s="69"/>
      <c r="R32" s="69"/>
      <c r="S32" s="69"/>
      <c r="T32" s="69"/>
      <c r="U32" s="69"/>
      <c r="V32" s="69"/>
      <c r="W32" s="89"/>
      <c r="X32" s="69"/>
      <c r="Y32" s="69"/>
      <c r="Z32" s="69"/>
      <c r="AA32" s="69"/>
      <c r="AB32" s="69"/>
      <c r="AC32" s="69"/>
      <c r="AD32" s="89"/>
      <c r="AE32" s="69"/>
      <c r="AF32" s="69"/>
      <c r="AG32" s="69"/>
      <c r="AH32" s="70" t="str">
        <f>IF((COUNTIFS(Ar[[#This Row],[1]:[31]],"&lt;&gt;T34",Ar[[#This Row],[1]:[31]],"&lt;&gt;")&lt;&gt;0),COUNTIFS(Ar[[#This Row],[1]:[31]],"&lt;&gt;T34",Ar[[#This Row],[1]:[31]],"&lt;&gt;"),"")</f>
        <v/>
      </c>
      <c r="AI32" s="71"/>
      <c r="AJ32" s="65"/>
      <c r="AK32" s="65"/>
    </row>
    <row r="33" spans="1:37">
      <c r="A33" s="62">
        <f t="shared" si="0"/>
        <v>29</v>
      </c>
      <c r="B33" s="63" t="s">
        <v>65</v>
      </c>
      <c r="C33" s="64"/>
      <c r="D33" s="64"/>
      <c r="E33" s="64"/>
      <c r="F33" s="72"/>
      <c r="G33" s="72"/>
      <c r="H33" s="72"/>
      <c r="I33" s="98"/>
      <c r="J33" s="72"/>
      <c r="K33" s="64"/>
      <c r="L33" s="73"/>
      <c r="M33" s="73"/>
      <c r="N33" s="73"/>
      <c r="O33" s="73"/>
      <c r="P33" s="98"/>
      <c r="Q33" s="73"/>
      <c r="R33" s="73"/>
      <c r="S33" s="73"/>
      <c r="T33" s="73"/>
      <c r="U33" s="73"/>
      <c r="V33" s="73"/>
      <c r="W33" s="98"/>
      <c r="X33" s="73"/>
      <c r="Y33" s="73"/>
      <c r="Z33" s="73"/>
      <c r="AA33" s="73"/>
      <c r="AB33" s="73"/>
      <c r="AC33" s="73"/>
      <c r="AD33" s="98"/>
      <c r="AE33" s="73"/>
      <c r="AF33" s="73"/>
      <c r="AG33" s="73"/>
      <c r="AH33" s="65" t="str">
        <f>IF((COUNTIFS(Ar[[#This Row],[1]:[31]],"&lt;&gt;T34",Ar[[#This Row],[1]:[31]],"&lt;&gt;")&lt;&gt;0),COUNTIFS(Ar[[#This Row],[1]:[31]],"&lt;&gt;T34",Ar[[#This Row],[1]:[31]],"&lt;&gt;"),"")</f>
        <v/>
      </c>
      <c r="AI33" s="66"/>
      <c r="AJ33" s="65"/>
      <c r="AK33" s="65"/>
    </row>
    <row r="34" spans="1:37">
      <c r="A34" s="62">
        <f t="shared" si="0"/>
        <v>30</v>
      </c>
      <c r="B34" s="87" t="s">
        <v>66</v>
      </c>
      <c r="C34" s="64"/>
      <c r="D34" s="64"/>
      <c r="E34" s="64"/>
      <c r="F34" s="72"/>
      <c r="G34" s="72"/>
      <c r="H34" s="72"/>
      <c r="I34" s="98"/>
      <c r="J34" s="72"/>
      <c r="K34" s="64"/>
      <c r="L34" s="73"/>
      <c r="M34" s="73"/>
      <c r="N34" s="73"/>
      <c r="O34" s="73"/>
      <c r="P34" s="98"/>
      <c r="Q34" s="73"/>
      <c r="R34" s="73"/>
      <c r="S34" s="73"/>
      <c r="T34" s="73"/>
      <c r="U34" s="73"/>
      <c r="V34" s="73"/>
      <c r="W34" s="98"/>
      <c r="X34" s="73"/>
      <c r="Y34" s="73"/>
      <c r="Z34" s="73"/>
      <c r="AA34" s="73"/>
      <c r="AB34" s="73"/>
      <c r="AC34" s="73"/>
      <c r="AD34" s="98"/>
      <c r="AE34" s="73"/>
      <c r="AF34" s="73"/>
      <c r="AG34" s="73"/>
      <c r="AH34" s="65" t="str">
        <f>IF((COUNTIFS(Ar[[#This Row],[1]:[31]],"&lt;&gt;T34",Ar[[#This Row],[1]:[31]],"&lt;&gt;")&lt;&gt;0),COUNTIFS(Ar[[#This Row],[1]:[31]],"&lt;&gt;T34",Ar[[#This Row],[1]:[31]],"&lt;&gt;"),"")</f>
        <v/>
      </c>
      <c r="AI34" s="88"/>
      <c r="AJ34" s="65"/>
      <c r="AK34" s="65"/>
    </row>
    <row r="35" spans="1:37">
      <c r="A35" s="62">
        <f t="shared" si="0"/>
        <v>31</v>
      </c>
      <c r="B35" s="87" t="s">
        <v>67</v>
      </c>
      <c r="C35" s="64"/>
      <c r="D35" s="64"/>
      <c r="E35" s="64"/>
      <c r="F35" s="72"/>
      <c r="G35" s="72"/>
      <c r="H35" s="72"/>
      <c r="I35" s="98"/>
      <c r="J35" s="72"/>
      <c r="K35" s="64"/>
      <c r="L35" s="73"/>
      <c r="M35" s="73"/>
      <c r="N35" s="73"/>
      <c r="O35" s="73"/>
      <c r="P35" s="98"/>
      <c r="Q35" s="73"/>
      <c r="R35" s="73"/>
      <c r="S35" s="73"/>
      <c r="T35" s="73"/>
      <c r="U35" s="73"/>
      <c r="V35" s="73"/>
      <c r="W35" s="98"/>
      <c r="X35" s="73"/>
      <c r="Y35" s="73"/>
      <c r="Z35" s="73"/>
      <c r="AA35" s="73"/>
      <c r="AB35" s="73"/>
      <c r="AC35" s="73"/>
      <c r="AD35" s="98"/>
      <c r="AE35" s="73"/>
      <c r="AF35" s="73"/>
      <c r="AG35" s="73"/>
      <c r="AH35" s="65" t="str">
        <f>IF((COUNTIFS(Ar[[#This Row],[1]:[31]],"&lt;&gt;T34",Ar[[#This Row],[1]:[31]],"&lt;&gt;")&lt;&gt;0),COUNTIFS(Ar[[#This Row],[1]:[31]],"&lt;&gt;T34",Ar[[#This Row],[1]:[31]],"&lt;&gt;"),"")</f>
        <v/>
      </c>
      <c r="AI35" s="88"/>
      <c r="AJ35" s="65"/>
      <c r="AK35" s="65"/>
    </row>
    <row r="36" spans="1:37">
      <c r="A36" s="62">
        <f t="shared" si="0"/>
        <v>32</v>
      </c>
      <c r="B36" s="87" t="s">
        <v>68</v>
      </c>
      <c r="C36" s="64"/>
      <c r="D36" s="64"/>
      <c r="E36" s="64"/>
      <c r="F36" s="72"/>
      <c r="G36" s="72"/>
      <c r="H36" s="72"/>
      <c r="I36" s="98"/>
      <c r="J36" s="72"/>
      <c r="K36" s="64"/>
      <c r="L36" s="73"/>
      <c r="M36" s="73"/>
      <c r="N36" s="73"/>
      <c r="O36" s="73"/>
      <c r="P36" s="98"/>
      <c r="Q36" s="73"/>
      <c r="R36" s="73"/>
      <c r="S36" s="73"/>
      <c r="T36" s="73"/>
      <c r="U36" s="73"/>
      <c r="V36" s="73"/>
      <c r="W36" s="98"/>
      <c r="X36" s="73"/>
      <c r="Y36" s="73"/>
      <c r="Z36" s="73"/>
      <c r="AA36" s="73"/>
      <c r="AB36" s="73"/>
      <c r="AC36" s="73"/>
      <c r="AD36" s="98"/>
      <c r="AE36" s="73"/>
      <c r="AF36" s="73"/>
      <c r="AG36" s="73"/>
      <c r="AH36" s="65" t="str">
        <f>IF((COUNTIFS(Ar[[#This Row],[1]:[31]],"&lt;&gt;T34",Ar[[#This Row],[1]:[31]],"&lt;&gt;")&lt;&gt;0),COUNTIFS(Ar[[#This Row],[1]:[31]],"&lt;&gt;T34",Ar[[#This Row],[1]:[31]],"&lt;&gt;"),"")</f>
        <v/>
      </c>
      <c r="AI36" s="88"/>
      <c r="AJ36" s="65"/>
      <c r="AK36" s="65"/>
    </row>
    <row r="37" spans="1:37">
      <c r="A37" s="62">
        <f t="shared" si="0"/>
        <v>33</v>
      </c>
      <c r="B37" s="87" t="s">
        <v>69</v>
      </c>
      <c r="C37" s="64"/>
      <c r="D37" s="64"/>
      <c r="E37" s="64"/>
      <c r="F37" s="72"/>
      <c r="G37" s="72"/>
      <c r="H37" s="72"/>
      <c r="I37" s="98"/>
      <c r="J37" s="72"/>
      <c r="K37" s="64"/>
      <c r="L37" s="73"/>
      <c r="M37" s="73"/>
      <c r="N37" s="73"/>
      <c r="O37" s="73"/>
      <c r="P37" s="98"/>
      <c r="Q37" s="73"/>
      <c r="R37" s="73"/>
      <c r="S37" s="73"/>
      <c r="T37" s="73"/>
      <c r="U37" s="73"/>
      <c r="V37" s="73"/>
      <c r="W37" s="98"/>
      <c r="X37" s="73"/>
      <c r="Y37" s="73"/>
      <c r="Z37" s="73"/>
      <c r="AA37" s="73"/>
      <c r="AB37" s="73"/>
      <c r="AC37" s="73"/>
      <c r="AD37" s="98"/>
      <c r="AE37" s="73"/>
      <c r="AF37" s="73"/>
      <c r="AG37" s="73"/>
      <c r="AH37" s="65" t="str">
        <f>IF((COUNTIFS(Ar[[#This Row],[1]:[31]],"&lt;&gt;T34",Ar[[#This Row],[1]:[31]],"&lt;&gt;")&lt;&gt;0),COUNTIFS(Ar[[#This Row],[1]:[31]],"&lt;&gt;T34",Ar[[#This Row],[1]:[31]],"&lt;&gt;"),"")</f>
        <v/>
      </c>
      <c r="AI37" s="88"/>
      <c r="AJ37" s="65"/>
      <c r="AK37" s="65"/>
    </row>
    <row r="38" spans="1:37">
      <c r="A38" s="62">
        <f t="shared" si="0"/>
        <v>34</v>
      </c>
      <c r="B38" s="87" t="s">
        <v>70</v>
      </c>
      <c r="C38" s="64"/>
      <c r="D38" s="64"/>
      <c r="E38" s="64"/>
      <c r="F38" s="72"/>
      <c r="G38" s="72"/>
      <c r="H38" s="72"/>
      <c r="I38" s="98"/>
      <c r="J38" s="72"/>
      <c r="K38" s="64"/>
      <c r="L38" s="73"/>
      <c r="M38" s="73"/>
      <c r="N38" s="73"/>
      <c r="O38" s="73"/>
      <c r="P38" s="98"/>
      <c r="Q38" s="73"/>
      <c r="R38" s="73"/>
      <c r="S38" s="73"/>
      <c r="T38" s="73"/>
      <c r="U38" s="73"/>
      <c r="V38" s="73"/>
      <c r="W38" s="98"/>
      <c r="X38" s="73"/>
      <c r="Y38" s="73"/>
      <c r="Z38" s="73"/>
      <c r="AA38" s="73"/>
      <c r="AB38" s="73"/>
      <c r="AC38" s="73"/>
      <c r="AD38" s="98"/>
      <c r="AE38" s="73"/>
      <c r="AF38" s="73"/>
      <c r="AG38" s="73"/>
      <c r="AH38" s="65" t="str">
        <f>IF((COUNTIFS(Ar[[#This Row],[1]:[31]],"&lt;&gt;T34",Ar[[#This Row],[1]:[31]],"&lt;&gt;")&lt;&gt;0),COUNTIFS(Ar[[#This Row],[1]:[31]],"&lt;&gt;T34",Ar[[#This Row],[1]:[31]],"&lt;&gt;"),"")</f>
        <v/>
      </c>
      <c r="AI38" s="88"/>
      <c r="AJ38" s="65"/>
      <c r="AK38" s="65"/>
    </row>
    <row r="39" spans="1:37">
      <c r="A39" s="62">
        <f t="shared" si="0"/>
        <v>35</v>
      </c>
      <c r="B39" s="87" t="s">
        <v>72</v>
      </c>
      <c r="C39" s="64"/>
      <c r="D39" s="64"/>
      <c r="E39" s="64"/>
      <c r="F39" s="72"/>
      <c r="G39" s="72"/>
      <c r="H39" s="72"/>
      <c r="I39" s="98"/>
      <c r="J39" s="72"/>
      <c r="K39" s="64"/>
      <c r="L39" s="73"/>
      <c r="M39" s="73"/>
      <c r="N39" s="73"/>
      <c r="O39" s="73"/>
      <c r="P39" s="98"/>
      <c r="Q39" s="73"/>
      <c r="R39" s="73"/>
      <c r="S39" s="73"/>
      <c r="T39" s="73"/>
      <c r="U39" s="73"/>
      <c r="V39" s="73"/>
      <c r="W39" s="98"/>
      <c r="X39" s="73"/>
      <c r="Y39" s="73"/>
      <c r="Z39" s="73"/>
      <c r="AA39" s="73"/>
      <c r="AB39" s="73"/>
      <c r="AC39" s="73"/>
      <c r="AD39" s="98"/>
      <c r="AE39" s="73"/>
      <c r="AF39" s="73"/>
      <c r="AG39" s="73"/>
      <c r="AH39" s="65" t="str">
        <f>IF((COUNTIFS(Ar[[#This Row],[1]:[31]],"&lt;&gt;T34",Ar[[#This Row],[1]:[31]],"&lt;&gt;")&lt;&gt;0),COUNTIFS(Ar[[#This Row],[1]:[31]],"&lt;&gt;T34",Ar[[#This Row],[1]:[31]],"&lt;&gt;"),"")</f>
        <v/>
      </c>
      <c r="AI39" s="88"/>
      <c r="AJ39" s="65"/>
      <c r="AK39" s="65"/>
    </row>
    <row r="40" spans="1:37">
      <c r="A40" s="62">
        <f t="shared" si="0"/>
        <v>36</v>
      </c>
      <c r="B40" s="87" t="s">
        <v>73</v>
      </c>
      <c r="C40" s="64"/>
      <c r="D40" s="64"/>
      <c r="E40" s="64"/>
      <c r="F40" s="72"/>
      <c r="G40" s="72"/>
      <c r="H40" s="72"/>
      <c r="I40" s="98"/>
      <c r="J40" s="72"/>
      <c r="K40" s="64"/>
      <c r="L40" s="73"/>
      <c r="M40" s="73"/>
      <c r="N40" s="73"/>
      <c r="O40" s="73"/>
      <c r="P40" s="98"/>
      <c r="Q40" s="73"/>
      <c r="R40" s="73"/>
      <c r="S40" s="73"/>
      <c r="T40" s="73"/>
      <c r="U40" s="73"/>
      <c r="V40" s="73"/>
      <c r="W40" s="98"/>
      <c r="X40" s="73"/>
      <c r="Y40" s="73"/>
      <c r="Z40" s="73"/>
      <c r="AA40" s="73"/>
      <c r="AB40" s="73"/>
      <c r="AC40" s="73"/>
      <c r="AD40" s="98"/>
      <c r="AE40" s="73"/>
      <c r="AF40" s="73"/>
      <c r="AG40" s="73"/>
      <c r="AH40" s="65" t="str">
        <f>IF((COUNTIFS(Ar[[#This Row],[1]:[31]],"&lt;&gt;T34",Ar[[#This Row],[1]:[31]],"&lt;&gt;")&lt;&gt;0),COUNTIFS(Ar[[#This Row],[1]:[31]],"&lt;&gt;T34",Ar[[#This Row],[1]:[31]],"&lt;&gt;"),"")</f>
        <v/>
      </c>
      <c r="AI40" s="88"/>
      <c r="AJ40" s="65"/>
      <c r="AK40" s="65"/>
    </row>
    <row r="41" spans="1:37">
      <c r="A41" s="62">
        <f t="shared" si="0"/>
        <v>37</v>
      </c>
      <c r="B41" s="87" t="s">
        <v>74</v>
      </c>
      <c r="C41" s="64"/>
      <c r="D41" s="64"/>
      <c r="E41" s="64"/>
      <c r="F41" s="72"/>
      <c r="G41" s="72"/>
      <c r="H41" s="72"/>
      <c r="I41" s="98"/>
      <c r="J41" s="72"/>
      <c r="K41" s="64"/>
      <c r="L41" s="73"/>
      <c r="M41" s="73"/>
      <c r="N41" s="73"/>
      <c r="O41" s="73"/>
      <c r="P41" s="98"/>
      <c r="Q41" s="73"/>
      <c r="R41" s="73"/>
      <c r="S41" s="73"/>
      <c r="T41" s="73"/>
      <c r="U41" s="73"/>
      <c r="V41" s="73"/>
      <c r="W41" s="98"/>
      <c r="X41" s="73"/>
      <c r="Y41" s="73"/>
      <c r="Z41" s="73"/>
      <c r="AA41" s="73"/>
      <c r="AB41" s="73"/>
      <c r="AC41" s="73"/>
      <c r="AD41" s="98"/>
      <c r="AE41" s="73"/>
      <c r="AF41" s="73"/>
      <c r="AG41" s="73"/>
      <c r="AH41" s="65" t="str">
        <f>IF((COUNTIFS(Ar[[#This Row],[1]:[31]],"&lt;&gt;T34",Ar[[#This Row],[1]:[31]],"&lt;&gt;")&lt;&gt;0),COUNTIFS(Ar[[#This Row],[1]:[31]],"&lt;&gt;T34",Ar[[#This Row],[1]:[31]],"&lt;&gt;"),"")</f>
        <v/>
      </c>
      <c r="AI41" s="88"/>
      <c r="AJ41" s="65"/>
      <c r="AK41" s="65"/>
    </row>
    <row r="42" spans="1:37">
      <c r="A42" s="62">
        <f t="shared" si="0"/>
        <v>38</v>
      </c>
      <c r="B42" s="87" t="s">
        <v>75</v>
      </c>
      <c r="C42" s="64"/>
      <c r="D42" s="64"/>
      <c r="E42" s="64"/>
      <c r="F42" s="72"/>
      <c r="G42" s="72"/>
      <c r="H42" s="72"/>
      <c r="I42" s="98"/>
      <c r="J42" s="72"/>
      <c r="K42" s="64"/>
      <c r="L42" s="73"/>
      <c r="M42" s="73"/>
      <c r="N42" s="73"/>
      <c r="O42" s="73"/>
      <c r="P42" s="98"/>
      <c r="Q42" s="73"/>
      <c r="R42" s="73"/>
      <c r="S42" s="73"/>
      <c r="T42" s="73"/>
      <c r="U42" s="73"/>
      <c r="V42" s="73"/>
      <c r="W42" s="98"/>
      <c r="X42" s="73"/>
      <c r="Y42" s="73"/>
      <c r="Z42" s="73"/>
      <c r="AA42" s="73"/>
      <c r="AB42" s="73"/>
      <c r="AC42" s="73"/>
      <c r="AD42" s="98"/>
      <c r="AE42" s="73"/>
      <c r="AF42" s="73"/>
      <c r="AG42" s="73"/>
      <c r="AH42" s="65" t="str">
        <f>IF((COUNTIFS(Ar[[#This Row],[1]:[31]],"&lt;&gt;T34",Ar[[#This Row],[1]:[31]],"&lt;&gt;")&lt;&gt;0),COUNTIFS(Ar[[#This Row],[1]:[31]],"&lt;&gt;T34",Ar[[#This Row],[1]:[31]],"&lt;&gt;"),"")</f>
        <v/>
      </c>
      <c r="AI42" s="88"/>
      <c r="AJ42" s="65"/>
      <c r="AK42" s="65"/>
    </row>
    <row r="43" spans="1:37">
      <c r="A43" s="62">
        <f t="shared" si="0"/>
        <v>39</v>
      </c>
      <c r="B43" s="87" t="s">
        <v>76</v>
      </c>
      <c r="C43" s="64"/>
      <c r="D43" s="64"/>
      <c r="E43" s="64"/>
      <c r="F43" s="72"/>
      <c r="G43" s="72"/>
      <c r="H43" s="72"/>
      <c r="I43" s="98"/>
      <c r="J43" s="72"/>
      <c r="K43" s="64"/>
      <c r="L43" s="73"/>
      <c r="M43" s="73"/>
      <c r="N43" s="73"/>
      <c r="O43" s="73"/>
      <c r="P43" s="98"/>
      <c r="Q43" s="73"/>
      <c r="R43" s="73"/>
      <c r="S43" s="73"/>
      <c r="T43" s="73"/>
      <c r="U43" s="73"/>
      <c r="V43" s="73"/>
      <c r="W43" s="98"/>
      <c r="X43" s="73"/>
      <c r="Y43" s="73"/>
      <c r="Z43" s="73"/>
      <c r="AA43" s="73"/>
      <c r="AB43" s="73"/>
      <c r="AC43" s="73"/>
      <c r="AD43" s="98"/>
      <c r="AE43" s="73"/>
      <c r="AF43" s="73"/>
      <c r="AG43" s="73"/>
      <c r="AH43" s="65" t="str">
        <f>IF((COUNTIFS(Ar[[#This Row],[1]:[31]],"&lt;&gt;T34",Ar[[#This Row],[1]:[31]],"&lt;&gt;")&lt;&gt;0),COUNTIFS(Ar[[#This Row],[1]:[31]],"&lt;&gt;T34",Ar[[#This Row],[1]:[31]],"&lt;&gt;"),"")</f>
        <v/>
      </c>
      <c r="AI43" s="88"/>
      <c r="AJ43" s="70"/>
      <c r="AK43" s="70"/>
    </row>
    <row r="44" spans="1:37">
      <c r="A44" s="56"/>
      <c r="B44" s="74"/>
      <c r="C44" s="75"/>
      <c r="D44" s="75"/>
      <c r="E44" s="75"/>
      <c r="F44" s="76"/>
      <c r="G44" s="76"/>
      <c r="H44" s="76"/>
      <c r="I44" s="76"/>
      <c r="J44" s="76"/>
      <c r="K44" s="75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/>
      <c r="AI44" s="78"/>
    </row>
    <row r="45" spans="1:37">
      <c r="A45" s="79"/>
      <c r="B45" s="80"/>
      <c r="C45" s="81" t="s">
        <v>112</v>
      </c>
      <c r="D45" s="207" t="s">
        <v>113</v>
      </c>
      <c r="E45" s="207"/>
      <c r="F45" s="207"/>
      <c r="G45" s="81" t="s">
        <v>3</v>
      </c>
      <c r="H45" s="207" t="s">
        <v>114</v>
      </c>
      <c r="I45" s="207"/>
      <c r="J45" s="207"/>
      <c r="K45" s="81" t="s">
        <v>115</v>
      </c>
      <c r="L45" s="207" t="s">
        <v>116</v>
      </c>
      <c r="M45" s="207"/>
      <c r="N45" s="207"/>
      <c r="O45" s="81" t="s">
        <v>78</v>
      </c>
      <c r="P45" s="207" t="s">
        <v>117</v>
      </c>
      <c r="Q45" s="207"/>
      <c r="R45" s="207"/>
      <c r="S45" s="80" t="s">
        <v>118</v>
      </c>
      <c r="T45" s="207" t="s">
        <v>119</v>
      </c>
      <c r="U45" s="207"/>
      <c r="V45" s="207"/>
      <c r="AH45" s="80"/>
      <c r="AI45" s="80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66" priority="3" operator="equal">
      <formula>$K$45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0AD8-D82A-4AC7-A2C6-DE80AF389971}">
  <dimension ref="A1:AK45"/>
  <sheetViews>
    <sheetView rightToLeft="1" workbookViewId="0">
      <selection activeCell="D7" sqref="D7"/>
    </sheetView>
  </sheetViews>
  <sheetFormatPr defaultRowHeight="25.5"/>
  <cols>
    <col min="1" max="1" width="4.5" style="82" customWidth="1"/>
    <col min="2" max="2" width="18" style="55" customWidth="1"/>
    <col min="3" max="3" width="5.25" style="55" customWidth="1"/>
    <col min="4" max="5" width="5.25" style="82" customWidth="1"/>
    <col min="6" max="10" width="5.25" style="83" customWidth="1"/>
    <col min="11" max="11" width="5.25" style="84" customWidth="1"/>
    <col min="12" max="33" width="5.25" style="55" customWidth="1"/>
    <col min="34" max="34" width="6.875" style="55" customWidth="1"/>
    <col min="35" max="35" width="7.375" style="55" customWidth="1"/>
    <col min="36" max="36" width="7.875" style="55" customWidth="1"/>
    <col min="37" max="16384" width="9" style="55"/>
  </cols>
  <sheetData>
    <row r="1" spans="1:37" ht="30" customHeight="1">
      <c r="B1" s="101">
        <v>45108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7" ht="30" customHeight="1">
      <c r="A2" s="55"/>
      <c r="B2" s="85" t="str">
        <f>TEXT("تقرير الحضور والغياب - ",)&amp;TEXT(B1,"[$-0401]mmm yyyy")</f>
        <v>تقرير الحضور والغياب - يوليو 2023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</row>
    <row r="3" spans="1:37" ht="22.5" customHeight="1" thickBot="1">
      <c r="A3" s="56"/>
      <c r="B3" s="57"/>
      <c r="C3" s="94" t="str">
        <f>TEXT(($B$1-DAY($B$1)+Ar_3[[#Headers],[1]]),"[$-0401]ddd")</f>
        <v>السبت</v>
      </c>
      <c r="D3" s="94" t="str">
        <f>TEXT(($B$1-DAY($B$1)+Ar_3[[#Headers],[2]]),"[$-0401]ddd")</f>
        <v>الأحد</v>
      </c>
      <c r="E3" s="94" t="str">
        <f>TEXT(($B$1-DAY($B$1)+Ar_3[[#Headers],[3]]),"[$-0401]ddd")</f>
        <v>الإثنين</v>
      </c>
      <c r="F3" s="94" t="str">
        <f>TEXT(($B$1-DAY($B$1)+Ar_3[[#Headers],[4]]),"[$-0401]ddd")</f>
        <v>الثلاثاء</v>
      </c>
      <c r="G3" s="94" t="str">
        <f>TEXT(($B$1-DAY($B$1)+Ar_3[[#Headers],[5]]),"[$-0401]ddd")</f>
        <v>الأربعاء</v>
      </c>
      <c r="H3" s="94" t="str">
        <f>TEXT(($B$1-DAY($B$1)+Ar_3[[#Headers],[6]]),"[$-0401]ddd")</f>
        <v>الخميس</v>
      </c>
      <c r="I3" s="95" t="str">
        <f>TEXT(($B$1-DAY($B$1)+Ar_3[[#Headers],[7]]),"[$-0401]ddd")</f>
        <v>الجمعة</v>
      </c>
      <c r="J3" s="94" t="str">
        <f>TEXT(($B$1-DAY($B$1)+Ar_3[[#Headers],[8]]),"[$-0401]ddd")</f>
        <v>السبت</v>
      </c>
      <c r="K3" s="94" t="str">
        <f>TEXT(($B$1-DAY($B$1)+Ar_3[[#Headers],[9]]),"[$-0401]ddd")</f>
        <v>الأحد</v>
      </c>
      <c r="L3" s="94" t="str">
        <f>TEXT(($B$1-DAY($B$1)+Ar_3[[#Headers],[10]]),"[$-0401]ddd")</f>
        <v>الإثنين</v>
      </c>
      <c r="M3" s="94" t="str">
        <f>TEXT(($B$1-DAY($B$1)+Ar_3[[#Headers],[11]]),"[$-0401]ddd")</f>
        <v>الثلاثاء</v>
      </c>
      <c r="N3" s="94" t="str">
        <f>TEXT(($B$1-DAY($B$1)+Ar_3[[#Headers],[12]]),"[$-0401]ddd")</f>
        <v>الأربعاء</v>
      </c>
      <c r="O3" s="94" t="str">
        <f>TEXT(($B$1-DAY($B$1)+Ar_3[[#Headers],[13]]),"[$-0401]ddd")</f>
        <v>الخميس</v>
      </c>
      <c r="P3" s="95" t="str">
        <f>TEXT(($B$1-DAY($B$1)+Ar_3[[#Headers],[14]]),"[$-0401]ddd")</f>
        <v>الجمعة</v>
      </c>
      <c r="Q3" s="94" t="str">
        <f>TEXT(($B$1-DAY($B$1)+Ar_3[[#Headers],[15]]),"[$-0401]ddd")</f>
        <v>السبت</v>
      </c>
      <c r="R3" s="94" t="str">
        <f>TEXT(($B$1-DAY($B$1)+Ar_3[[#Headers],[16]]),"[$-0401]ddd")</f>
        <v>الأحد</v>
      </c>
      <c r="S3" s="94" t="str">
        <f>TEXT(($B$1-DAY($B$1)+Ar_3[[#Headers],[17]]),"[$-0401]ddd")</f>
        <v>الإثنين</v>
      </c>
      <c r="T3" s="94" t="str">
        <f>TEXT(($B$1-DAY($B$1)+Ar_3[[#Headers],[18]]),"[$-0401]ddd")</f>
        <v>الثلاثاء</v>
      </c>
      <c r="U3" s="94" t="str">
        <f>TEXT(($B$1-DAY($B$1)+Ar_3[[#Headers],[19]]),"[$-0401]ddd")</f>
        <v>الأربعاء</v>
      </c>
      <c r="V3" s="94" t="str">
        <f>TEXT(($B$1-DAY($B$1)+Ar_3[[#Headers],[20]]),"[$-0401]ddd")</f>
        <v>الخميس</v>
      </c>
      <c r="W3" s="95" t="str">
        <f>TEXT(($B$1-DAY($B$1)+Ar_3[[#Headers],[21]]),"[$-0401]ddd")</f>
        <v>الجمعة</v>
      </c>
      <c r="X3" s="94" t="str">
        <f>TEXT(($B$1-DAY($B$1)+Ar_3[[#Headers],[22]]),"[$-0401]ddd")</f>
        <v>السبت</v>
      </c>
      <c r="Y3" s="94" t="str">
        <f>TEXT(($B$1-DAY($B$1)+Ar_3[[#Headers],[23]]),"[$-0401]ddd")</f>
        <v>الأحد</v>
      </c>
      <c r="Z3" s="94" t="str">
        <f>TEXT(($B$1-DAY($B$1)+Ar_3[[#Headers],[24]]),"[$-0401]ddd")</f>
        <v>الإثنين</v>
      </c>
      <c r="AA3" s="94" t="str">
        <f>TEXT(($B$1-DAY($B$1)+Ar_3[[#Headers],[25]]),"[$-0401]ddd")</f>
        <v>الثلاثاء</v>
      </c>
      <c r="AB3" s="94" t="str">
        <f>TEXT(($B$1-DAY($B$1)+Ar_3[[#Headers],[26]]),"[$-0401]ddd")</f>
        <v>الأربعاء</v>
      </c>
      <c r="AC3" s="94" t="str">
        <f>TEXT(($B$1-DAY($B$1)+Ar_3[[#Headers],[27]]),"[$-0401]ddd")</f>
        <v>الخميس</v>
      </c>
      <c r="AD3" s="95" t="str">
        <f>TEXT(($B$1-DAY($B$1)+Ar_3[[#Headers],[28]]),"[$-0401]ddd")</f>
        <v>الجمعة</v>
      </c>
      <c r="AE3" s="94" t="str">
        <f>TEXT(($B$1-DAY($B$1)+Ar_3[[#Headers],[29]]),"[$-0401]ddd")</f>
        <v>السبت</v>
      </c>
      <c r="AF3" s="94" t="str">
        <f>TEXT(($B$1-DAY($B$1)+Ar_3[[#Headers],[30]]),"[$-0401]ddd")</f>
        <v>الأحد</v>
      </c>
      <c r="AG3" s="94" t="str">
        <f>TEXT(($B$1-DAY($B$1)+Ar_3[[#Headers],[31]]),"[$-0401]ddd")</f>
        <v>الإثنين</v>
      </c>
    </row>
    <row r="4" spans="1:37" s="61" customFormat="1" ht="36" customHeight="1">
      <c r="A4" s="58" t="s">
        <v>79</v>
      </c>
      <c r="B4" s="59" t="s">
        <v>80</v>
      </c>
      <c r="C4" s="60" t="s">
        <v>81</v>
      </c>
      <c r="D4" s="60" t="s">
        <v>82</v>
      </c>
      <c r="E4" s="60" t="s">
        <v>83</v>
      </c>
      <c r="F4" s="60" t="s">
        <v>84</v>
      </c>
      <c r="G4" s="60" t="s">
        <v>85</v>
      </c>
      <c r="H4" s="60" t="s">
        <v>86</v>
      </c>
      <c r="I4" s="92" t="s">
        <v>87</v>
      </c>
      <c r="J4" s="60" t="s">
        <v>88</v>
      </c>
      <c r="K4" s="60" t="s">
        <v>89</v>
      </c>
      <c r="L4" s="60" t="s">
        <v>90</v>
      </c>
      <c r="M4" s="60" t="s">
        <v>91</v>
      </c>
      <c r="N4" s="60" t="s">
        <v>92</v>
      </c>
      <c r="O4" s="60" t="s">
        <v>93</v>
      </c>
      <c r="P4" s="92" t="s">
        <v>94</v>
      </c>
      <c r="Q4" s="60" t="s">
        <v>95</v>
      </c>
      <c r="R4" s="60" t="s">
        <v>96</v>
      </c>
      <c r="S4" s="60" t="s">
        <v>97</v>
      </c>
      <c r="T4" s="60" t="s">
        <v>98</v>
      </c>
      <c r="U4" s="60" t="s">
        <v>99</v>
      </c>
      <c r="V4" s="60" t="s">
        <v>100</v>
      </c>
      <c r="W4" s="92" t="s">
        <v>101</v>
      </c>
      <c r="X4" s="60" t="s">
        <v>102</v>
      </c>
      <c r="Y4" s="60" t="s">
        <v>103</v>
      </c>
      <c r="Z4" s="60" t="s">
        <v>104</v>
      </c>
      <c r="AA4" s="60" t="s">
        <v>105</v>
      </c>
      <c r="AB4" s="60" t="s">
        <v>106</v>
      </c>
      <c r="AC4" s="60" t="s">
        <v>107</v>
      </c>
      <c r="AD4" s="92" t="s">
        <v>108</v>
      </c>
      <c r="AE4" s="60" t="s">
        <v>109</v>
      </c>
      <c r="AF4" s="60" t="s">
        <v>110</v>
      </c>
      <c r="AG4" s="60" t="s">
        <v>111</v>
      </c>
      <c r="AH4" s="100" t="s">
        <v>120</v>
      </c>
      <c r="AI4" s="103" t="s">
        <v>17</v>
      </c>
      <c r="AJ4" s="97" t="s">
        <v>121</v>
      </c>
      <c r="AK4" s="97" t="s">
        <v>122</v>
      </c>
    </row>
    <row r="5" spans="1:37" ht="30" customHeight="1">
      <c r="A5" s="62">
        <v>1</v>
      </c>
      <c r="B5" s="63" t="s">
        <v>29</v>
      </c>
      <c r="C5" s="64"/>
      <c r="D5" s="64"/>
      <c r="E5" s="64"/>
      <c r="F5" s="64"/>
      <c r="G5" s="64"/>
      <c r="H5" s="64"/>
      <c r="I5" s="93"/>
      <c r="J5" s="64"/>
      <c r="K5" s="64"/>
      <c r="L5" s="64"/>
      <c r="M5" s="64"/>
      <c r="N5" s="64"/>
      <c r="O5" s="64"/>
      <c r="P5" s="93"/>
      <c r="Q5" s="64"/>
      <c r="R5" s="64"/>
      <c r="S5" s="64"/>
      <c r="T5" s="64"/>
      <c r="U5" s="64"/>
      <c r="V5" s="64"/>
      <c r="W5" s="93"/>
      <c r="X5" s="64"/>
      <c r="Y5" s="64"/>
      <c r="Z5" s="64"/>
      <c r="AA5" s="64"/>
      <c r="AB5" s="64"/>
      <c r="AC5" s="64"/>
      <c r="AD5" s="93"/>
      <c r="AE5" s="64"/>
      <c r="AF5" s="64"/>
      <c r="AG5" s="64"/>
      <c r="AH5" s="65" t="str">
        <f>IF((COUNTIFS(Ar_3[[#This Row],[1]:[31]],"&lt;&gt;T34",Ar_3[[#This Row],[1]:[31]],"&lt;&gt;")&lt;&gt;0),COUNTIFS(Ar_3[[#This Row],[1]:[31]],"&lt;&gt;T34",Ar_3[[#This Row],[1]:[31]],"&lt;&gt;"),"")</f>
        <v/>
      </c>
      <c r="AI5" s="66"/>
      <c r="AJ5" s="96"/>
      <c r="AK5" s="96"/>
    </row>
    <row r="6" spans="1:37" ht="30" customHeight="1">
      <c r="A6" s="62">
        <f t="shared" ref="A6:A43" si="0">+A5+1</f>
        <v>2</v>
      </c>
      <c r="B6" s="63" t="s">
        <v>31</v>
      </c>
      <c r="C6" s="64"/>
      <c r="D6" s="64"/>
      <c r="E6" s="64"/>
      <c r="F6" s="64"/>
      <c r="G6" s="64"/>
      <c r="H6" s="64"/>
      <c r="I6" s="93"/>
      <c r="J6" s="64"/>
      <c r="K6" s="64"/>
      <c r="L6" s="64"/>
      <c r="M6" s="64"/>
      <c r="N6" s="64"/>
      <c r="O6" s="64"/>
      <c r="P6" s="93"/>
      <c r="Q6" s="64"/>
      <c r="R6" s="64"/>
      <c r="S6" s="64"/>
      <c r="T6" s="64"/>
      <c r="U6" s="64"/>
      <c r="V6" s="64"/>
      <c r="W6" s="93"/>
      <c r="X6" s="64"/>
      <c r="Y6" s="64"/>
      <c r="Z6" s="64"/>
      <c r="AA6" s="64"/>
      <c r="AB6" s="64"/>
      <c r="AC6" s="64"/>
      <c r="AD6" s="93"/>
      <c r="AE6" s="64"/>
      <c r="AF6" s="64"/>
      <c r="AG6" s="64"/>
      <c r="AH6" s="65" t="str">
        <f>IF((COUNTIFS(Ar_3[[#This Row],[1]:[31]],"&lt;&gt;T34",Ar_3[[#This Row],[1]:[31]],"&lt;&gt;")&lt;&gt;0),COUNTIFS(Ar_3[[#This Row],[1]:[31]],"&lt;&gt;T34",Ar_3[[#This Row],[1]:[31]],"&lt;&gt;"),"")</f>
        <v/>
      </c>
      <c r="AI6" s="66"/>
      <c r="AJ6" s="65"/>
      <c r="AK6" s="65"/>
    </row>
    <row r="7" spans="1:37" ht="30" customHeight="1">
      <c r="A7" s="62">
        <f t="shared" si="0"/>
        <v>3</v>
      </c>
      <c r="B7" s="63" t="s">
        <v>32</v>
      </c>
      <c r="C7" s="64"/>
      <c r="D7" s="64"/>
      <c r="E7" s="64"/>
      <c r="F7" s="64"/>
      <c r="G7" s="64"/>
      <c r="H7" s="64"/>
      <c r="I7" s="93"/>
      <c r="J7" s="64"/>
      <c r="K7" s="64"/>
      <c r="L7" s="64"/>
      <c r="M7" s="64"/>
      <c r="N7" s="64"/>
      <c r="O7" s="64"/>
      <c r="P7" s="93"/>
      <c r="Q7" s="64"/>
      <c r="R7" s="64"/>
      <c r="S7" s="64"/>
      <c r="T7" s="64"/>
      <c r="U7" s="64"/>
      <c r="V7" s="64"/>
      <c r="W7" s="93"/>
      <c r="X7" s="64"/>
      <c r="Y7" s="64"/>
      <c r="Z7" s="64"/>
      <c r="AA7" s="64"/>
      <c r="AB7" s="64"/>
      <c r="AC7" s="64"/>
      <c r="AD7" s="93"/>
      <c r="AE7" s="64"/>
      <c r="AF7" s="64"/>
      <c r="AG7" s="64"/>
      <c r="AH7" s="65" t="str">
        <f>IF((COUNTIFS(Ar_3[[#This Row],[1]:[31]],"&lt;&gt;T34",Ar_3[[#This Row],[1]:[31]],"&lt;&gt;")&lt;&gt;0),COUNTIFS(Ar_3[[#This Row],[1]:[31]],"&lt;&gt;T34",Ar_3[[#This Row],[1]:[31]],"&lt;&gt;"),"")</f>
        <v/>
      </c>
      <c r="AI7" s="66"/>
      <c r="AJ7" s="65"/>
      <c r="AK7" s="65"/>
    </row>
    <row r="8" spans="1:37" ht="30" customHeight="1">
      <c r="A8" s="62">
        <f t="shared" si="0"/>
        <v>4</v>
      </c>
      <c r="B8" s="63" t="s">
        <v>33</v>
      </c>
      <c r="C8" s="64"/>
      <c r="D8" s="64"/>
      <c r="E8" s="64"/>
      <c r="F8" s="64"/>
      <c r="G8" s="64"/>
      <c r="H8" s="64"/>
      <c r="I8" s="93"/>
      <c r="J8" s="64"/>
      <c r="K8" s="64"/>
      <c r="L8" s="64"/>
      <c r="M8" s="64"/>
      <c r="N8" s="64"/>
      <c r="O8" s="64"/>
      <c r="P8" s="93"/>
      <c r="Q8" s="64"/>
      <c r="R8" s="64"/>
      <c r="S8" s="64"/>
      <c r="T8" s="64"/>
      <c r="U8" s="64"/>
      <c r="V8" s="64"/>
      <c r="W8" s="93"/>
      <c r="X8" s="64"/>
      <c r="Y8" s="64"/>
      <c r="Z8" s="64"/>
      <c r="AA8" s="64"/>
      <c r="AB8" s="64"/>
      <c r="AC8" s="64"/>
      <c r="AD8" s="93"/>
      <c r="AE8" s="64"/>
      <c r="AF8" s="64"/>
      <c r="AG8" s="64"/>
      <c r="AH8" s="65" t="str">
        <f>IF((COUNTIFS(Ar_3[[#This Row],[1]:[31]],"&lt;&gt;T34",Ar_3[[#This Row],[1]:[31]],"&lt;&gt;")&lt;&gt;0),COUNTIFS(Ar_3[[#This Row],[1]:[31]],"&lt;&gt;T34",Ar_3[[#This Row],[1]:[31]],"&lt;&gt;"),"")</f>
        <v/>
      </c>
      <c r="AI8" s="66"/>
      <c r="AJ8" s="65"/>
      <c r="AK8" s="65"/>
    </row>
    <row r="9" spans="1:37" ht="30" customHeight="1">
      <c r="A9" s="62">
        <f t="shared" si="0"/>
        <v>5</v>
      </c>
      <c r="B9" s="63" t="s">
        <v>34</v>
      </c>
      <c r="C9" s="64"/>
      <c r="D9" s="64"/>
      <c r="E9" s="64"/>
      <c r="F9" s="64"/>
      <c r="G9" s="64"/>
      <c r="H9" s="64"/>
      <c r="I9" s="93"/>
      <c r="J9" s="64"/>
      <c r="K9" s="64"/>
      <c r="L9" s="64"/>
      <c r="M9" s="64"/>
      <c r="N9" s="64"/>
      <c r="O9" s="64"/>
      <c r="P9" s="93"/>
      <c r="Q9" s="64"/>
      <c r="R9" s="64"/>
      <c r="S9" s="64"/>
      <c r="T9" s="64"/>
      <c r="U9" s="64"/>
      <c r="V9" s="64"/>
      <c r="W9" s="93"/>
      <c r="X9" s="64"/>
      <c r="Y9" s="64"/>
      <c r="Z9" s="64"/>
      <c r="AA9" s="64"/>
      <c r="AB9" s="64"/>
      <c r="AC9" s="64"/>
      <c r="AD9" s="93"/>
      <c r="AE9" s="64"/>
      <c r="AF9" s="64"/>
      <c r="AG9" s="64"/>
      <c r="AH9" s="65" t="str">
        <f>IF((COUNTIFS(Ar_3[[#This Row],[1]:[31]],"&lt;&gt;T34",Ar_3[[#This Row],[1]:[31]],"&lt;&gt;")&lt;&gt;0),COUNTIFS(Ar_3[[#This Row],[1]:[31]],"&lt;&gt;T34",Ar_3[[#This Row],[1]:[31]],"&lt;&gt;"),"")</f>
        <v/>
      </c>
      <c r="AI9" s="66"/>
      <c r="AJ9" s="65"/>
      <c r="AK9" s="65"/>
    </row>
    <row r="10" spans="1:37" ht="30" customHeight="1">
      <c r="A10" s="62">
        <f t="shared" si="0"/>
        <v>6</v>
      </c>
      <c r="B10" s="63" t="s">
        <v>35</v>
      </c>
      <c r="C10" s="64"/>
      <c r="D10" s="64"/>
      <c r="E10" s="64"/>
      <c r="F10" s="64"/>
      <c r="G10" s="64"/>
      <c r="H10" s="64"/>
      <c r="I10" s="93"/>
      <c r="J10" s="64"/>
      <c r="K10" s="64"/>
      <c r="L10" s="64"/>
      <c r="M10" s="64"/>
      <c r="N10" s="64"/>
      <c r="O10" s="64"/>
      <c r="P10" s="93"/>
      <c r="Q10" s="64"/>
      <c r="R10" s="64"/>
      <c r="S10" s="64"/>
      <c r="T10" s="64"/>
      <c r="U10" s="64"/>
      <c r="V10" s="64"/>
      <c r="W10" s="93"/>
      <c r="X10" s="64"/>
      <c r="Y10" s="64"/>
      <c r="Z10" s="64"/>
      <c r="AA10" s="64"/>
      <c r="AB10" s="64"/>
      <c r="AC10" s="64"/>
      <c r="AD10" s="93"/>
      <c r="AE10" s="64"/>
      <c r="AF10" s="64"/>
      <c r="AG10" s="64"/>
      <c r="AH10" s="65" t="str">
        <f>IF((COUNTIFS(Ar_3[[#This Row],[1]:[31]],"&lt;&gt;T34",Ar_3[[#This Row],[1]:[31]],"&lt;&gt;")&lt;&gt;0),COUNTIFS(Ar_3[[#This Row],[1]:[31]],"&lt;&gt;T34",Ar_3[[#This Row],[1]:[31]],"&lt;&gt;"),"")</f>
        <v/>
      </c>
      <c r="AI10" s="66"/>
      <c r="AJ10" s="65"/>
      <c r="AK10" s="65"/>
    </row>
    <row r="11" spans="1:37" ht="30" customHeight="1">
      <c r="A11" s="62">
        <f t="shared" si="0"/>
        <v>7</v>
      </c>
      <c r="B11" s="63" t="s">
        <v>37</v>
      </c>
      <c r="C11" s="64"/>
      <c r="D11" s="64"/>
      <c r="E11" s="64"/>
      <c r="F11" s="64"/>
      <c r="G11" s="64"/>
      <c r="H11" s="64"/>
      <c r="I11" s="93"/>
      <c r="J11" s="64"/>
      <c r="K11" s="64"/>
      <c r="L11" s="64"/>
      <c r="M11" s="64"/>
      <c r="N11" s="64"/>
      <c r="O11" s="64"/>
      <c r="P11" s="93"/>
      <c r="Q11" s="64"/>
      <c r="R11" s="64"/>
      <c r="S11" s="64"/>
      <c r="T11" s="64"/>
      <c r="U11" s="64"/>
      <c r="V11" s="64"/>
      <c r="W11" s="93"/>
      <c r="X11" s="64"/>
      <c r="Y11" s="64"/>
      <c r="Z11" s="64"/>
      <c r="AA11" s="64"/>
      <c r="AB11" s="64"/>
      <c r="AC11" s="64"/>
      <c r="AD11" s="93"/>
      <c r="AE11" s="64"/>
      <c r="AF11" s="64"/>
      <c r="AG11" s="64"/>
      <c r="AH11" s="65" t="str">
        <f>IF((COUNTIFS(Ar_3[[#This Row],[1]:[31]],"&lt;&gt;T34",Ar_3[[#This Row],[1]:[31]],"&lt;&gt;")&lt;&gt;0),COUNTIFS(Ar_3[[#This Row],[1]:[31]],"&lt;&gt;T34",Ar_3[[#This Row],[1]:[31]],"&lt;&gt;"),"")</f>
        <v/>
      </c>
      <c r="AI11" s="66"/>
      <c r="AJ11" s="65"/>
      <c r="AK11" s="65"/>
    </row>
    <row r="12" spans="1:37" ht="30" customHeight="1">
      <c r="A12" s="62">
        <f t="shared" si="0"/>
        <v>8</v>
      </c>
      <c r="B12" s="63" t="s">
        <v>38</v>
      </c>
      <c r="C12" s="64"/>
      <c r="D12" s="64"/>
      <c r="E12" s="64"/>
      <c r="F12" s="64"/>
      <c r="G12" s="64"/>
      <c r="H12" s="64"/>
      <c r="I12" s="93"/>
      <c r="J12" s="64"/>
      <c r="K12" s="64"/>
      <c r="L12" s="64"/>
      <c r="M12" s="64"/>
      <c r="N12" s="64"/>
      <c r="O12" s="64"/>
      <c r="P12" s="93"/>
      <c r="Q12" s="64"/>
      <c r="R12" s="64"/>
      <c r="S12" s="64"/>
      <c r="T12" s="64"/>
      <c r="U12" s="64"/>
      <c r="V12" s="64"/>
      <c r="W12" s="93"/>
      <c r="X12" s="64"/>
      <c r="Y12" s="64"/>
      <c r="Z12" s="64"/>
      <c r="AA12" s="64"/>
      <c r="AB12" s="64"/>
      <c r="AC12" s="64"/>
      <c r="AD12" s="93"/>
      <c r="AE12" s="64"/>
      <c r="AF12" s="64"/>
      <c r="AG12" s="64"/>
      <c r="AH12" s="65" t="str">
        <f>IF((COUNTIFS(Ar_3[[#This Row],[1]:[31]],"&lt;&gt;T34",Ar_3[[#This Row],[1]:[31]],"&lt;&gt;")&lt;&gt;0),COUNTIFS(Ar_3[[#This Row],[1]:[31]],"&lt;&gt;T34",Ar_3[[#This Row],[1]:[31]],"&lt;&gt;"),"")</f>
        <v/>
      </c>
      <c r="AI12" s="66"/>
      <c r="AJ12" s="65"/>
      <c r="AK12" s="65"/>
    </row>
    <row r="13" spans="1:37" ht="30" customHeight="1">
      <c r="A13" s="62">
        <f t="shared" si="0"/>
        <v>9</v>
      </c>
      <c r="B13" s="63" t="s">
        <v>39</v>
      </c>
      <c r="C13" s="64"/>
      <c r="D13" s="64"/>
      <c r="E13" s="64"/>
      <c r="F13" s="64"/>
      <c r="G13" s="64"/>
      <c r="H13" s="64"/>
      <c r="I13" s="93"/>
      <c r="J13" s="64"/>
      <c r="K13" s="64"/>
      <c r="L13" s="64"/>
      <c r="M13" s="64"/>
      <c r="N13" s="64"/>
      <c r="O13" s="64"/>
      <c r="P13" s="93"/>
      <c r="Q13" s="64"/>
      <c r="R13" s="64"/>
      <c r="S13" s="64"/>
      <c r="T13" s="64"/>
      <c r="U13" s="64"/>
      <c r="V13" s="64"/>
      <c r="W13" s="93"/>
      <c r="X13" s="64"/>
      <c r="Y13" s="64"/>
      <c r="Z13" s="64"/>
      <c r="AA13" s="64"/>
      <c r="AB13" s="64"/>
      <c r="AC13" s="64"/>
      <c r="AD13" s="93"/>
      <c r="AE13" s="64"/>
      <c r="AF13" s="64"/>
      <c r="AG13" s="64"/>
      <c r="AH13" s="65" t="str">
        <f>IF((COUNTIFS(Ar_3[[#This Row],[1]:[31]],"&lt;&gt;T34",Ar_3[[#This Row],[1]:[31]],"&lt;&gt;")&lt;&gt;0),COUNTIFS(Ar_3[[#This Row],[1]:[31]],"&lt;&gt;T34",Ar_3[[#This Row],[1]:[31]],"&lt;&gt;"),"")</f>
        <v/>
      </c>
      <c r="AI13" s="66"/>
      <c r="AJ13" s="65"/>
      <c r="AK13" s="65"/>
    </row>
    <row r="14" spans="1:37" ht="30" customHeight="1">
      <c r="A14" s="62">
        <f t="shared" si="0"/>
        <v>10</v>
      </c>
      <c r="B14" s="63" t="s">
        <v>40</v>
      </c>
      <c r="C14" s="64"/>
      <c r="D14" s="64"/>
      <c r="E14" s="64"/>
      <c r="F14" s="64"/>
      <c r="G14" s="64"/>
      <c r="H14" s="64"/>
      <c r="I14" s="93"/>
      <c r="J14" s="64"/>
      <c r="K14" s="64"/>
      <c r="L14" s="64"/>
      <c r="M14" s="64"/>
      <c r="N14" s="64"/>
      <c r="O14" s="64"/>
      <c r="P14" s="93"/>
      <c r="Q14" s="64"/>
      <c r="R14" s="64"/>
      <c r="S14" s="64"/>
      <c r="T14" s="64"/>
      <c r="U14" s="64"/>
      <c r="V14" s="64"/>
      <c r="W14" s="93"/>
      <c r="X14" s="64"/>
      <c r="Y14" s="64"/>
      <c r="Z14" s="64"/>
      <c r="AA14" s="64"/>
      <c r="AB14" s="64"/>
      <c r="AC14" s="64"/>
      <c r="AD14" s="93"/>
      <c r="AE14" s="64"/>
      <c r="AF14" s="64"/>
      <c r="AG14" s="64"/>
      <c r="AH14" s="65" t="str">
        <f>IF((COUNTIFS(Ar_3[[#This Row],[1]:[31]],"&lt;&gt;T34",Ar_3[[#This Row],[1]:[31]],"&lt;&gt;")&lt;&gt;0),COUNTIFS(Ar_3[[#This Row],[1]:[31]],"&lt;&gt;T34",Ar_3[[#This Row],[1]:[31]],"&lt;&gt;"),"")</f>
        <v/>
      </c>
      <c r="AI14" s="66"/>
      <c r="AJ14" s="65"/>
      <c r="AK14" s="65"/>
    </row>
    <row r="15" spans="1:37" ht="30" customHeight="1">
      <c r="A15" s="62">
        <f t="shared" si="0"/>
        <v>11</v>
      </c>
      <c r="B15" s="63" t="s">
        <v>42</v>
      </c>
      <c r="C15" s="64"/>
      <c r="D15" s="64"/>
      <c r="E15" s="64"/>
      <c r="F15" s="64"/>
      <c r="G15" s="64"/>
      <c r="H15" s="64"/>
      <c r="I15" s="93"/>
      <c r="J15" s="64"/>
      <c r="K15" s="64"/>
      <c r="L15" s="64"/>
      <c r="M15" s="64"/>
      <c r="N15" s="64"/>
      <c r="O15" s="64"/>
      <c r="P15" s="93"/>
      <c r="Q15" s="64"/>
      <c r="R15" s="64"/>
      <c r="S15" s="64"/>
      <c r="T15" s="64"/>
      <c r="U15" s="64"/>
      <c r="V15" s="64"/>
      <c r="W15" s="93"/>
      <c r="X15" s="64"/>
      <c r="Y15" s="64"/>
      <c r="Z15" s="64"/>
      <c r="AA15" s="64"/>
      <c r="AB15" s="64"/>
      <c r="AC15" s="64"/>
      <c r="AD15" s="93"/>
      <c r="AE15" s="64"/>
      <c r="AF15" s="64"/>
      <c r="AG15" s="64"/>
      <c r="AH15" s="65" t="str">
        <f>IF((COUNTIFS(Ar_3[[#This Row],[1]:[31]],"&lt;&gt;T34",Ar_3[[#This Row],[1]:[31]],"&lt;&gt;")&lt;&gt;0),COUNTIFS(Ar_3[[#This Row],[1]:[31]],"&lt;&gt;T34",Ar_3[[#This Row],[1]:[31]],"&lt;&gt;"),"")</f>
        <v/>
      </c>
      <c r="AI15" s="66"/>
      <c r="AJ15" s="65"/>
      <c r="AK15" s="65"/>
    </row>
    <row r="16" spans="1:37" ht="30" customHeight="1">
      <c r="A16" s="62">
        <f t="shared" si="0"/>
        <v>12</v>
      </c>
      <c r="B16" s="63" t="s">
        <v>43</v>
      </c>
      <c r="C16" s="64"/>
      <c r="D16" s="64"/>
      <c r="E16" s="64"/>
      <c r="F16" s="64"/>
      <c r="G16" s="64"/>
      <c r="H16" s="64"/>
      <c r="I16" s="93"/>
      <c r="J16" s="64"/>
      <c r="K16" s="64"/>
      <c r="L16" s="64"/>
      <c r="M16" s="64"/>
      <c r="N16" s="64"/>
      <c r="O16" s="64"/>
      <c r="P16" s="93"/>
      <c r="Q16" s="64"/>
      <c r="R16" s="64"/>
      <c r="S16" s="64"/>
      <c r="T16" s="64"/>
      <c r="U16" s="64"/>
      <c r="V16" s="64"/>
      <c r="W16" s="93"/>
      <c r="X16" s="64"/>
      <c r="Y16" s="64"/>
      <c r="Z16" s="64"/>
      <c r="AA16" s="64"/>
      <c r="AB16" s="64"/>
      <c r="AC16" s="64"/>
      <c r="AD16" s="93"/>
      <c r="AE16" s="64"/>
      <c r="AF16" s="64"/>
      <c r="AG16" s="64"/>
      <c r="AH16" s="65" t="str">
        <f>IF((COUNTIFS(Ar_3[[#This Row],[1]:[31]],"&lt;&gt;T34",Ar_3[[#This Row],[1]:[31]],"&lt;&gt;")&lt;&gt;0),COUNTIFS(Ar_3[[#This Row],[1]:[31]],"&lt;&gt;T34",Ar_3[[#This Row],[1]:[31]],"&lt;&gt;"),"")</f>
        <v/>
      </c>
      <c r="AI16" s="66"/>
      <c r="AJ16" s="65"/>
      <c r="AK16" s="65"/>
    </row>
    <row r="17" spans="1:37" ht="30" customHeight="1">
      <c r="A17" s="62">
        <f t="shared" si="0"/>
        <v>13</v>
      </c>
      <c r="B17" s="63" t="s">
        <v>44</v>
      </c>
      <c r="C17" s="64"/>
      <c r="D17" s="64"/>
      <c r="E17" s="64"/>
      <c r="F17" s="64"/>
      <c r="G17" s="64"/>
      <c r="H17" s="64"/>
      <c r="I17" s="93"/>
      <c r="J17" s="64"/>
      <c r="K17" s="64"/>
      <c r="L17" s="64"/>
      <c r="M17" s="64"/>
      <c r="N17" s="64"/>
      <c r="O17" s="64"/>
      <c r="P17" s="93"/>
      <c r="Q17" s="64"/>
      <c r="R17" s="64"/>
      <c r="S17" s="64"/>
      <c r="T17" s="64"/>
      <c r="U17" s="64"/>
      <c r="V17" s="64"/>
      <c r="W17" s="93"/>
      <c r="X17" s="64"/>
      <c r="Y17" s="64"/>
      <c r="Z17" s="64"/>
      <c r="AA17" s="64"/>
      <c r="AB17" s="64"/>
      <c r="AC17" s="64"/>
      <c r="AD17" s="93"/>
      <c r="AE17" s="64"/>
      <c r="AF17" s="64"/>
      <c r="AG17" s="64"/>
      <c r="AH17" s="65" t="str">
        <f>IF((COUNTIFS(Ar_3[[#This Row],[1]:[31]],"&lt;&gt;T34",Ar_3[[#This Row],[1]:[31]],"&lt;&gt;")&lt;&gt;0),COUNTIFS(Ar_3[[#This Row],[1]:[31]],"&lt;&gt;T34",Ar_3[[#This Row],[1]:[31]],"&lt;&gt;"),"")</f>
        <v/>
      </c>
      <c r="AI17" s="66"/>
      <c r="AJ17" s="65"/>
      <c r="AK17" s="65"/>
    </row>
    <row r="18" spans="1:37" ht="30" customHeight="1">
      <c r="A18" s="62">
        <f t="shared" si="0"/>
        <v>14</v>
      </c>
      <c r="B18" s="63" t="s">
        <v>45</v>
      </c>
      <c r="C18" s="64"/>
      <c r="D18" s="64"/>
      <c r="E18" s="64"/>
      <c r="F18" s="64"/>
      <c r="G18" s="64"/>
      <c r="H18" s="64"/>
      <c r="I18" s="93"/>
      <c r="J18" s="64"/>
      <c r="K18" s="64"/>
      <c r="L18" s="64"/>
      <c r="M18" s="64"/>
      <c r="N18" s="64"/>
      <c r="O18" s="64"/>
      <c r="P18" s="93"/>
      <c r="Q18" s="64"/>
      <c r="R18" s="64"/>
      <c r="S18" s="64"/>
      <c r="T18" s="64"/>
      <c r="U18" s="64"/>
      <c r="V18" s="64"/>
      <c r="W18" s="93"/>
      <c r="X18" s="64"/>
      <c r="Y18" s="64"/>
      <c r="Z18" s="64"/>
      <c r="AA18" s="64"/>
      <c r="AB18" s="64"/>
      <c r="AC18" s="64"/>
      <c r="AD18" s="93"/>
      <c r="AE18" s="64"/>
      <c r="AF18" s="64"/>
      <c r="AG18" s="64"/>
      <c r="AH18" s="65" t="str">
        <f>IF((COUNTIFS(Ar_3[[#This Row],[1]:[31]],"&lt;&gt;T34",Ar_3[[#This Row],[1]:[31]],"&lt;&gt;")&lt;&gt;0),COUNTIFS(Ar_3[[#This Row],[1]:[31]],"&lt;&gt;T34",Ar_3[[#This Row],[1]:[31]],"&lt;&gt;"),"")</f>
        <v/>
      </c>
      <c r="AI18" s="66"/>
      <c r="AJ18" s="65"/>
      <c r="AK18" s="65"/>
    </row>
    <row r="19" spans="1:37" ht="30" customHeight="1">
      <c r="A19" s="62">
        <f t="shared" si="0"/>
        <v>15</v>
      </c>
      <c r="B19" s="63" t="s">
        <v>46</v>
      </c>
      <c r="C19" s="64"/>
      <c r="D19" s="64"/>
      <c r="E19" s="64"/>
      <c r="F19" s="64"/>
      <c r="G19" s="64"/>
      <c r="H19" s="64"/>
      <c r="I19" s="93"/>
      <c r="J19" s="64"/>
      <c r="K19" s="64"/>
      <c r="L19" s="64"/>
      <c r="M19" s="64"/>
      <c r="N19" s="64"/>
      <c r="O19" s="64"/>
      <c r="P19" s="93"/>
      <c r="Q19" s="64"/>
      <c r="R19" s="64"/>
      <c r="S19" s="64"/>
      <c r="T19" s="64"/>
      <c r="U19" s="64"/>
      <c r="V19" s="64"/>
      <c r="W19" s="93"/>
      <c r="X19" s="64"/>
      <c r="Y19" s="64"/>
      <c r="Z19" s="64"/>
      <c r="AA19" s="64"/>
      <c r="AB19" s="64"/>
      <c r="AC19" s="64"/>
      <c r="AD19" s="93"/>
      <c r="AE19" s="64"/>
      <c r="AF19" s="64"/>
      <c r="AG19" s="64"/>
      <c r="AH19" s="65" t="str">
        <f>IF((COUNTIFS(Ar_3[[#This Row],[1]:[31]],"&lt;&gt;T34",Ar_3[[#This Row],[1]:[31]],"&lt;&gt;")&lt;&gt;0),COUNTIFS(Ar_3[[#This Row],[1]:[31]],"&lt;&gt;T34",Ar_3[[#This Row],[1]:[31]],"&lt;&gt;"),"")</f>
        <v/>
      </c>
      <c r="AI19" s="66"/>
      <c r="AJ19" s="65"/>
      <c r="AK19" s="65"/>
    </row>
    <row r="20" spans="1:37" ht="30" customHeight="1">
      <c r="A20" s="62">
        <f t="shared" si="0"/>
        <v>16</v>
      </c>
      <c r="B20" s="63" t="s">
        <v>47</v>
      </c>
      <c r="C20" s="64"/>
      <c r="D20" s="64"/>
      <c r="E20" s="64"/>
      <c r="F20" s="64"/>
      <c r="G20" s="64"/>
      <c r="H20" s="64"/>
      <c r="I20" s="93"/>
      <c r="J20" s="64"/>
      <c r="K20" s="64"/>
      <c r="L20" s="64"/>
      <c r="M20" s="64"/>
      <c r="N20" s="64"/>
      <c r="O20" s="64"/>
      <c r="P20" s="93"/>
      <c r="Q20" s="64"/>
      <c r="R20" s="64"/>
      <c r="S20" s="64"/>
      <c r="T20" s="64"/>
      <c r="U20" s="64"/>
      <c r="V20" s="64"/>
      <c r="W20" s="93"/>
      <c r="X20" s="64"/>
      <c r="Y20" s="64"/>
      <c r="Z20" s="64"/>
      <c r="AA20" s="64"/>
      <c r="AB20" s="64"/>
      <c r="AC20" s="64"/>
      <c r="AD20" s="93"/>
      <c r="AE20" s="64"/>
      <c r="AF20" s="64"/>
      <c r="AG20" s="64"/>
      <c r="AH20" s="65" t="str">
        <f>IF((COUNTIFS(Ar_3[[#This Row],[1]:[31]],"&lt;&gt;T34",Ar_3[[#This Row],[1]:[31]],"&lt;&gt;")&lt;&gt;0),COUNTIFS(Ar_3[[#This Row],[1]:[31]],"&lt;&gt;T34",Ar_3[[#This Row],[1]:[31]],"&lt;&gt;"),"")</f>
        <v/>
      </c>
      <c r="AI20" s="66"/>
      <c r="AJ20" s="65"/>
      <c r="AK20" s="65"/>
    </row>
    <row r="21" spans="1:37" ht="30" customHeight="1">
      <c r="A21" s="62">
        <f t="shared" si="0"/>
        <v>17</v>
      </c>
      <c r="B21" s="63" t="s">
        <v>125</v>
      </c>
      <c r="C21" s="64"/>
      <c r="D21" s="64"/>
      <c r="E21" s="64"/>
      <c r="F21" s="64"/>
      <c r="G21" s="64"/>
      <c r="H21" s="64"/>
      <c r="I21" s="93"/>
      <c r="J21" s="64"/>
      <c r="K21" s="64"/>
      <c r="L21" s="64"/>
      <c r="M21" s="64"/>
      <c r="N21" s="64"/>
      <c r="O21" s="64"/>
      <c r="P21" s="93"/>
      <c r="Q21" s="64"/>
      <c r="R21" s="64"/>
      <c r="S21" s="64"/>
      <c r="T21" s="64"/>
      <c r="U21" s="64"/>
      <c r="V21" s="64"/>
      <c r="W21" s="93"/>
      <c r="X21" s="64"/>
      <c r="Y21" s="64"/>
      <c r="Z21" s="64"/>
      <c r="AA21" s="64"/>
      <c r="AB21" s="64"/>
      <c r="AC21" s="64"/>
      <c r="AD21" s="93"/>
      <c r="AE21" s="64"/>
      <c r="AF21" s="64"/>
      <c r="AG21" s="64"/>
      <c r="AH21" s="65" t="str">
        <f>IF((COUNTIFS(Ar_3[[#This Row],[1]:[31]],"&lt;&gt;T34",Ar_3[[#This Row],[1]:[31]],"&lt;&gt;")&lt;&gt;0),COUNTIFS(Ar_3[[#This Row],[1]:[31]],"&lt;&gt;T34",Ar_3[[#This Row],[1]:[31]],"&lt;&gt;"),"")</f>
        <v/>
      </c>
      <c r="AI21" s="66"/>
      <c r="AJ21" s="65"/>
      <c r="AK21" s="65"/>
    </row>
    <row r="22" spans="1:37" ht="30" customHeight="1">
      <c r="A22" s="62">
        <f t="shared" si="0"/>
        <v>18</v>
      </c>
      <c r="B22" s="63" t="s">
        <v>51</v>
      </c>
      <c r="C22" s="64"/>
      <c r="D22" s="64"/>
      <c r="E22" s="64"/>
      <c r="F22" s="64"/>
      <c r="G22" s="64"/>
      <c r="H22" s="64"/>
      <c r="I22" s="93"/>
      <c r="J22" s="64"/>
      <c r="K22" s="64"/>
      <c r="L22" s="64"/>
      <c r="M22" s="64"/>
      <c r="N22" s="64"/>
      <c r="O22" s="64"/>
      <c r="P22" s="93"/>
      <c r="Q22" s="64"/>
      <c r="R22" s="64"/>
      <c r="S22" s="64"/>
      <c r="T22" s="64"/>
      <c r="U22" s="64"/>
      <c r="V22" s="64"/>
      <c r="W22" s="93"/>
      <c r="X22" s="64"/>
      <c r="Y22" s="64"/>
      <c r="Z22" s="64"/>
      <c r="AA22" s="64"/>
      <c r="AB22" s="64"/>
      <c r="AC22" s="64"/>
      <c r="AD22" s="93"/>
      <c r="AE22" s="64"/>
      <c r="AF22" s="64"/>
      <c r="AG22" s="64"/>
      <c r="AH22" s="65" t="str">
        <f>IF((COUNTIFS(Ar_3[[#This Row],[1]:[31]],"&lt;&gt;T34",Ar_3[[#This Row],[1]:[31]],"&lt;&gt;")&lt;&gt;0),COUNTIFS(Ar_3[[#This Row],[1]:[31]],"&lt;&gt;T34",Ar_3[[#This Row],[1]:[31]],"&lt;&gt;"),"")</f>
        <v/>
      </c>
      <c r="AI22" s="66"/>
      <c r="AJ22" s="65"/>
      <c r="AK22" s="65"/>
    </row>
    <row r="23" spans="1:37" ht="30" customHeight="1">
      <c r="A23" s="62">
        <f t="shared" si="0"/>
        <v>19</v>
      </c>
      <c r="B23" s="63" t="s">
        <v>124</v>
      </c>
      <c r="C23" s="64"/>
      <c r="D23" s="64"/>
      <c r="E23" s="64"/>
      <c r="F23" s="64"/>
      <c r="G23" s="64"/>
      <c r="H23" s="64"/>
      <c r="I23" s="93"/>
      <c r="J23" s="64"/>
      <c r="K23" s="64"/>
      <c r="L23" s="64"/>
      <c r="M23" s="64"/>
      <c r="N23" s="64"/>
      <c r="O23" s="64"/>
      <c r="P23" s="93"/>
      <c r="Q23" s="64"/>
      <c r="R23" s="64"/>
      <c r="S23" s="64"/>
      <c r="T23" s="64"/>
      <c r="U23" s="64"/>
      <c r="V23" s="64"/>
      <c r="W23" s="93"/>
      <c r="X23" s="64"/>
      <c r="Y23" s="64"/>
      <c r="Z23" s="64"/>
      <c r="AA23" s="64"/>
      <c r="AB23" s="64"/>
      <c r="AC23" s="64"/>
      <c r="AD23" s="93"/>
      <c r="AE23" s="64"/>
      <c r="AF23" s="64"/>
      <c r="AG23" s="64"/>
      <c r="AH23" s="65" t="str">
        <f>IF((COUNTIFS(Ar_3[[#This Row],[1]:[31]],"&lt;&gt;T34",Ar_3[[#This Row],[1]:[31]],"&lt;&gt;")&lt;&gt;0),COUNTIFS(Ar_3[[#This Row],[1]:[31]],"&lt;&gt;T34",Ar_3[[#This Row],[1]:[31]],"&lt;&gt;"),"")</f>
        <v/>
      </c>
      <c r="AI23" s="66"/>
      <c r="AJ23" s="65"/>
      <c r="AK23" s="65"/>
    </row>
    <row r="24" spans="1:37" ht="30" customHeight="1">
      <c r="A24" s="62">
        <f t="shared" si="0"/>
        <v>20</v>
      </c>
      <c r="B24" s="63" t="s">
        <v>53</v>
      </c>
      <c r="C24" s="64"/>
      <c r="D24" s="64"/>
      <c r="E24" s="64"/>
      <c r="F24" s="64"/>
      <c r="G24" s="64"/>
      <c r="H24" s="64"/>
      <c r="I24" s="93"/>
      <c r="J24" s="64"/>
      <c r="K24" s="64"/>
      <c r="L24" s="64"/>
      <c r="M24" s="64"/>
      <c r="N24" s="64"/>
      <c r="O24" s="64"/>
      <c r="P24" s="93"/>
      <c r="Q24" s="64"/>
      <c r="R24" s="64"/>
      <c r="S24" s="64"/>
      <c r="T24" s="64"/>
      <c r="U24" s="64"/>
      <c r="V24" s="64"/>
      <c r="W24" s="93"/>
      <c r="X24" s="64"/>
      <c r="Y24" s="64"/>
      <c r="Z24" s="64"/>
      <c r="AA24" s="64"/>
      <c r="AB24" s="64"/>
      <c r="AC24" s="64"/>
      <c r="AD24" s="93"/>
      <c r="AE24" s="64"/>
      <c r="AF24" s="64"/>
      <c r="AG24" s="64"/>
      <c r="AH24" s="65" t="str">
        <f>IF((COUNTIFS(Ar_3[[#This Row],[1]:[31]],"&lt;&gt;T34",Ar_3[[#This Row],[1]:[31]],"&lt;&gt;")&lt;&gt;0),COUNTIFS(Ar_3[[#This Row],[1]:[31]],"&lt;&gt;T34",Ar_3[[#This Row],[1]:[31]],"&lt;&gt;"),"")</f>
        <v/>
      </c>
      <c r="AI24" s="66"/>
      <c r="AJ24" s="65"/>
      <c r="AK24" s="65"/>
    </row>
    <row r="25" spans="1:37" ht="30" customHeight="1">
      <c r="A25" s="62">
        <f t="shared" si="0"/>
        <v>21</v>
      </c>
      <c r="B25" s="63" t="s">
        <v>127</v>
      </c>
      <c r="C25" s="64"/>
      <c r="D25" s="64"/>
      <c r="E25" s="64"/>
      <c r="F25" s="64"/>
      <c r="G25" s="64"/>
      <c r="H25" s="64"/>
      <c r="I25" s="93"/>
      <c r="J25" s="64"/>
      <c r="K25" s="64"/>
      <c r="L25" s="64"/>
      <c r="M25" s="64"/>
      <c r="N25" s="64"/>
      <c r="O25" s="64"/>
      <c r="P25" s="93"/>
      <c r="Q25" s="64"/>
      <c r="R25" s="64"/>
      <c r="S25" s="64"/>
      <c r="T25" s="64"/>
      <c r="U25" s="64"/>
      <c r="V25" s="64"/>
      <c r="W25" s="93"/>
      <c r="X25" s="64"/>
      <c r="Y25" s="64"/>
      <c r="Z25" s="64"/>
      <c r="AA25" s="64"/>
      <c r="AB25" s="64"/>
      <c r="AC25" s="64"/>
      <c r="AD25" s="93"/>
      <c r="AE25" s="64"/>
      <c r="AF25" s="64"/>
      <c r="AG25" s="64"/>
      <c r="AH25" s="65" t="str">
        <f>IF((COUNTIFS(Ar_3[[#This Row],[1]:[31]],"&lt;&gt;T34",Ar_3[[#This Row],[1]:[31]],"&lt;&gt;")&lt;&gt;0),COUNTIFS(Ar_3[[#This Row],[1]:[31]],"&lt;&gt;T34",Ar_3[[#This Row],[1]:[31]],"&lt;&gt;"),"")</f>
        <v/>
      </c>
      <c r="AI25" s="66"/>
      <c r="AJ25" s="65"/>
      <c r="AK25" s="65"/>
    </row>
    <row r="26" spans="1:37" ht="30" customHeight="1">
      <c r="A26" s="62">
        <f t="shared" si="0"/>
        <v>22</v>
      </c>
      <c r="B26" s="63" t="s">
        <v>123</v>
      </c>
      <c r="C26" s="64"/>
      <c r="D26" s="64"/>
      <c r="E26" s="64"/>
      <c r="F26" s="64"/>
      <c r="G26" s="64"/>
      <c r="H26" s="64"/>
      <c r="I26" s="93"/>
      <c r="J26" s="64"/>
      <c r="K26" s="64"/>
      <c r="L26" s="64"/>
      <c r="M26" s="64"/>
      <c r="N26" s="64"/>
      <c r="O26" s="64"/>
      <c r="P26" s="93"/>
      <c r="Q26" s="64"/>
      <c r="R26" s="64"/>
      <c r="S26" s="64"/>
      <c r="T26" s="64"/>
      <c r="U26" s="64"/>
      <c r="V26" s="64"/>
      <c r="W26" s="93"/>
      <c r="X26" s="64"/>
      <c r="Y26" s="64"/>
      <c r="Z26" s="64"/>
      <c r="AA26" s="64"/>
      <c r="AB26" s="64"/>
      <c r="AC26" s="64"/>
      <c r="AD26" s="93"/>
      <c r="AE26" s="64"/>
      <c r="AF26" s="64"/>
      <c r="AG26" s="64"/>
      <c r="AH26" s="65" t="str">
        <f>IF((COUNTIFS(Ar_3[[#This Row],[1]:[31]],"&lt;&gt;T34",Ar_3[[#This Row],[1]:[31]],"&lt;&gt;")&lt;&gt;0),COUNTIFS(Ar_3[[#This Row],[1]:[31]],"&lt;&gt;T34",Ar_3[[#This Row],[1]:[31]],"&lt;&gt;"),"")</f>
        <v/>
      </c>
      <c r="AI26" s="66"/>
      <c r="AJ26" s="65"/>
      <c r="AK26" s="65"/>
    </row>
    <row r="27" spans="1:37" ht="30" customHeight="1">
      <c r="A27" s="62">
        <f t="shared" si="0"/>
        <v>23</v>
      </c>
      <c r="B27" s="63" t="s">
        <v>126</v>
      </c>
      <c r="C27" s="64"/>
      <c r="D27" s="64"/>
      <c r="E27" s="64"/>
      <c r="F27" s="64"/>
      <c r="G27" s="64"/>
      <c r="H27" s="64"/>
      <c r="I27" s="93"/>
      <c r="J27" s="64"/>
      <c r="K27" s="64"/>
      <c r="L27" s="64"/>
      <c r="M27" s="64"/>
      <c r="N27" s="64"/>
      <c r="O27" s="64"/>
      <c r="P27" s="93"/>
      <c r="Q27" s="64"/>
      <c r="R27" s="64"/>
      <c r="S27" s="64"/>
      <c r="T27" s="64"/>
      <c r="U27" s="64"/>
      <c r="V27" s="64"/>
      <c r="W27" s="93"/>
      <c r="X27" s="64"/>
      <c r="Y27" s="64"/>
      <c r="Z27" s="64"/>
      <c r="AA27" s="64"/>
      <c r="AB27" s="64"/>
      <c r="AC27" s="64"/>
      <c r="AD27" s="93"/>
      <c r="AE27" s="64"/>
      <c r="AF27" s="64"/>
      <c r="AG27" s="64"/>
      <c r="AH27" s="65" t="str">
        <f>IF((COUNTIFS(Ar_3[[#This Row],[1]:[31]],"&lt;&gt;T34",Ar_3[[#This Row],[1]:[31]],"&lt;&gt;")&lt;&gt;0),COUNTIFS(Ar_3[[#This Row],[1]:[31]],"&lt;&gt;T34",Ar_3[[#This Row],[1]:[31]],"&lt;&gt;"),"")</f>
        <v/>
      </c>
      <c r="AI27" s="66"/>
      <c r="AJ27" s="65"/>
      <c r="AK27" s="65"/>
    </row>
    <row r="28" spans="1:37" ht="30" customHeight="1">
      <c r="A28" s="62">
        <f t="shared" si="0"/>
        <v>24</v>
      </c>
      <c r="B28" s="63" t="s">
        <v>60</v>
      </c>
      <c r="C28" s="64"/>
      <c r="D28" s="64"/>
      <c r="E28" s="64"/>
      <c r="F28" s="64"/>
      <c r="G28" s="64"/>
      <c r="H28" s="64"/>
      <c r="I28" s="93"/>
      <c r="J28" s="64"/>
      <c r="K28" s="64"/>
      <c r="L28" s="64"/>
      <c r="M28" s="64"/>
      <c r="N28" s="64"/>
      <c r="O28" s="64"/>
      <c r="P28" s="93"/>
      <c r="Q28" s="64"/>
      <c r="R28" s="64"/>
      <c r="S28" s="64"/>
      <c r="T28" s="64"/>
      <c r="U28" s="64"/>
      <c r="V28" s="64"/>
      <c r="W28" s="93"/>
      <c r="X28" s="64"/>
      <c r="Y28" s="64"/>
      <c r="Z28" s="64"/>
      <c r="AA28" s="64"/>
      <c r="AB28" s="64"/>
      <c r="AC28" s="64"/>
      <c r="AD28" s="93"/>
      <c r="AE28" s="64"/>
      <c r="AF28" s="64"/>
      <c r="AG28" s="64"/>
      <c r="AH28" s="65" t="str">
        <f>IF((COUNTIFS(Ar_3[[#This Row],[1]:[31]],"&lt;&gt;T34",Ar_3[[#This Row],[1]:[31]],"&lt;&gt;")&lt;&gt;0),COUNTIFS(Ar_3[[#This Row],[1]:[31]],"&lt;&gt;T34",Ar_3[[#This Row],[1]:[31]],"&lt;&gt;"),"")</f>
        <v/>
      </c>
      <c r="AI28" s="66"/>
      <c r="AJ28" s="65"/>
      <c r="AK28" s="65"/>
    </row>
    <row r="29" spans="1:37" ht="30" customHeight="1">
      <c r="A29" s="62">
        <f t="shared" si="0"/>
        <v>25</v>
      </c>
      <c r="B29" s="63" t="s">
        <v>61</v>
      </c>
      <c r="C29" s="64"/>
      <c r="D29" s="64"/>
      <c r="E29" s="64"/>
      <c r="F29" s="64"/>
      <c r="G29" s="64"/>
      <c r="H29" s="64"/>
      <c r="I29" s="93"/>
      <c r="J29" s="64"/>
      <c r="K29" s="64"/>
      <c r="L29" s="64"/>
      <c r="M29" s="64"/>
      <c r="N29" s="64"/>
      <c r="O29" s="64"/>
      <c r="P29" s="93"/>
      <c r="Q29" s="64"/>
      <c r="R29" s="64"/>
      <c r="S29" s="64"/>
      <c r="T29" s="64"/>
      <c r="U29" s="64"/>
      <c r="V29" s="64"/>
      <c r="W29" s="93"/>
      <c r="X29" s="64"/>
      <c r="Y29" s="64"/>
      <c r="Z29" s="64"/>
      <c r="AA29" s="64"/>
      <c r="AB29" s="64"/>
      <c r="AC29" s="64"/>
      <c r="AD29" s="93"/>
      <c r="AE29" s="64"/>
      <c r="AF29" s="64"/>
      <c r="AG29" s="64"/>
      <c r="AH29" s="65" t="str">
        <f>IF((COUNTIFS(Ar_3[[#This Row],[1]:[31]],"&lt;&gt;T34",Ar_3[[#This Row],[1]:[31]],"&lt;&gt;")&lt;&gt;0),COUNTIFS(Ar_3[[#This Row],[1]:[31]],"&lt;&gt;T34",Ar_3[[#This Row],[1]:[31]],"&lt;&gt;"),"")</f>
        <v/>
      </c>
      <c r="AI29" s="66"/>
      <c r="AJ29" s="65"/>
      <c r="AK29" s="65"/>
    </row>
    <row r="30" spans="1:37" ht="30" customHeight="1">
      <c r="A30" s="62">
        <f t="shared" si="0"/>
        <v>26</v>
      </c>
      <c r="B30" s="63" t="s">
        <v>62</v>
      </c>
      <c r="C30" s="64"/>
      <c r="D30" s="64"/>
      <c r="E30" s="64"/>
      <c r="F30" s="64"/>
      <c r="G30" s="64"/>
      <c r="H30" s="64"/>
      <c r="I30" s="93"/>
      <c r="J30" s="64"/>
      <c r="K30" s="64"/>
      <c r="L30" s="64"/>
      <c r="M30" s="64"/>
      <c r="N30" s="64"/>
      <c r="O30" s="64"/>
      <c r="P30" s="93"/>
      <c r="Q30" s="64"/>
      <c r="R30" s="64"/>
      <c r="S30" s="64"/>
      <c r="T30" s="64"/>
      <c r="U30" s="64"/>
      <c r="V30" s="64"/>
      <c r="W30" s="93"/>
      <c r="X30" s="64"/>
      <c r="Y30" s="64"/>
      <c r="Z30" s="64"/>
      <c r="AA30" s="64"/>
      <c r="AB30" s="64"/>
      <c r="AC30" s="64"/>
      <c r="AD30" s="93"/>
      <c r="AE30" s="64"/>
      <c r="AF30" s="64"/>
      <c r="AG30" s="64"/>
      <c r="AH30" s="65" t="str">
        <f>IF((COUNTIFS(Ar_3[[#This Row],[1]:[31]],"&lt;&gt;T34",Ar_3[[#This Row],[1]:[31]],"&lt;&gt;")&lt;&gt;0),COUNTIFS(Ar_3[[#This Row],[1]:[31]],"&lt;&gt;T34",Ar_3[[#This Row],[1]:[31]],"&lt;&gt;"),"")</f>
        <v/>
      </c>
      <c r="AI30" s="66"/>
      <c r="AJ30" s="65"/>
      <c r="AK30" s="65"/>
    </row>
    <row r="31" spans="1:37" ht="30" customHeight="1">
      <c r="A31" s="62">
        <f t="shared" si="0"/>
        <v>27</v>
      </c>
      <c r="B31" s="63" t="s">
        <v>63</v>
      </c>
      <c r="C31" s="64"/>
      <c r="D31" s="64"/>
      <c r="E31" s="64"/>
      <c r="F31" s="64"/>
      <c r="G31" s="64"/>
      <c r="H31" s="64"/>
      <c r="I31" s="93"/>
      <c r="J31" s="64"/>
      <c r="K31" s="64"/>
      <c r="L31" s="64"/>
      <c r="M31" s="64"/>
      <c r="N31" s="64"/>
      <c r="O31" s="64"/>
      <c r="P31" s="93"/>
      <c r="Q31" s="64"/>
      <c r="R31" s="64"/>
      <c r="S31" s="64"/>
      <c r="T31" s="64"/>
      <c r="U31" s="64"/>
      <c r="V31" s="64"/>
      <c r="W31" s="93"/>
      <c r="X31" s="64"/>
      <c r="Y31" s="64"/>
      <c r="Z31" s="64"/>
      <c r="AA31" s="64"/>
      <c r="AB31" s="64"/>
      <c r="AC31" s="64"/>
      <c r="AD31" s="93"/>
      <c r="AE31" s="64"/>
      <c r="AF31" s="64"/>
      <c r="AG31" s="64"/>
      <c r="AH31" s="65" t="str">
        <f>IF((COUNTIFS(Ar_3[[#This Row],[1]:[31]],"&lt;&gt;T34",Ar_3[[#This Row],[1]:[31]],"&lt;&gt;")&lt;&gt;0),COUNTIFS(Ar_3[[#This Row],[1]:[31]],"&lt;&gt;T34",Ar_3[[#This Row],[1]:[31]],"&lt;&gt;"),"")</f>
        <v/>
      </c>
      <c r="AI31" s="66"/>
      <c r="AJ31" s="65"/>
      <c r="AK31" s="65"/>
    </row>
    <row r="32" spans="1:37">
      <c r="A32" s="62">
        <f t="shared" si="0"/>
        <v>28</v>
      </c>
      <c r="B32" s="63" t="s">
        <v>64</v>
      </c>
      <c r="C32" s="67"/>
      <c r="D32" s="67"/>
      <c r="E32" s="67"/>
      <c r="F32" s="68"/>
      <c r="G32" s="68"/>
      <c r="H32" s="68"/>
      <c r="I32" s="89"/>
      <c r="J32" s="68"/>
      <c r="K32" s="67"/>
      <c r="L32" s="69"/>
      <c r="M32" s="69"/>
      <c r="N32" s="69"/>
      <c r="O32" s="69"/>
      <c r="P32" s="89"/>
      <c r="Q32" s="69"/>
      <c r="R32" s="69"/>
      <c r="S32" s="69"/>
      <c r="T32" s="69"/>
      <c r="U32" s="69"/>
      <c r="V32" s="69"/>
      <c r="W32" s="89"/>
      <c r="X32" s="69"/>
      <c r="Y32" s="69"/>
      <c r="Z32" s="69"/>
      <c r="AA32" s="69"/>
      <c r="AB32" s="69"/>
      <c r="AC32" s="69"/>
      <c r="AD32" s="89"/>
      <c r="AE32" s="69"/>
      <c r="AF32" s="69"/>
      <c r="AG32" s="69"/>
      <c r="AH32" s="70" t="str">
        <f>IF((COUNTIFS(Ar_3[[#This Row],[1]:[31]],"&lt;&gt;T34",Ar_3[[#This Row],[1]:[31]],"&lt;&gt;")&lt;&gt;0),COUNTIFS(Ar_3[[#This Row],[1]:[31]],"&lt;&gt;T34",Ar_3[[#This Row],[1]:[31]],"&lt;&gt;"),"")</f>
        <v/>
      </c>
      <c r="AI32" s="71"/>
      <c r="AJ32" s="65"/>
      <c r="AK32" s="65"/>
    </row>
    <row r="33" spans="1:37">
      <c r="A33" s="62">
        <f t="shared" si="0"/>
        <v>29</v>
      </c>
      <c r="B33" s="63" t="s">
        <v>65</v>
      </c>
      <c r="C33" s="64"/>
      <c r="D33" s="64"/>
      <c r="E33" s="64"/>
      <c r="F33" s="72"/>
      <c r="G33" s="72"/>
      <c r="H33" s="72"/>
      <c r="I33" s="98"/>
      <c r="J33" s="72"/>
      <c r="K33" s="64"/>
      <c r="L33" s="73"/>
      <c r="M33" s="73"/>
      <c r="N33" s="73"/>
      <c r="O33" s="73"/>
      <c r="P33" s="98"/>
      <c r="Q33" s="73"/>
      <c r="R33" s="73"/>
      <c r="S33" s="73"/>
      <c r="T33" s="73"/>
      <c r="U33" s="73"/>
      <c r="V33" s="73"/>
      <c r="W33" s="98"/>
      <c r="X33" s="73"/>
      <c r="Y33" s="73"/>
      <c r="Z33" s="73"/>
      <c r="AA33" s="73"/>
      <c r="AB33" s="73"/>
      <c r="AC33" s="73"/>
      <c r="AD33" s="98"/>
      <c r="AE33" s="73"/>
      <c r="AF33" s="73"/>
      <c r="AG33" s="73"/>
      <c r="AH33" s="65" t="str">
        <f>IF((COUNTIFS(Ar_3[[#This Row],[1]:[31]],"&lt;&gt;T34",Ar_3[[#This Row],[1]:[31]],"&lt;&gt;")&lt;&gt;0),COUNTIFS(Ar_3[[#This Row],[1]:[31]],"&lt;&gt;T34",Ar_3[[#This Row],[1]:[31]],"&lt;&gt;"),"")</f>
        <v/>
      </c>
      <c r="AI33" s="66"/>
      <c r="AJ33" s="65"/>
      <c r="AK33" s="65"/>
    </row>
    <row r="34" spans="1:37">
      <c r="A34" s="62">
        <f t="shared" si="0"/>
        <v>30</v>
      </c>
      <c r="B34" s="87" t="s">
        <v>66</v>
      </c>
      <c r="C34" s="64"/>
      <c r="D34" s="64"/>
      <c r="E34" s="64"/>
      <c r="F34" s="72"/>
      <c r="G34" s="72"/>
      <c r="H34" s="72"/>
      <c r="I34" s="98"/>
      <c r="J34" s="72"/>
      <c r="K34" s="64"/>
      <c r="L34" s="73"/>
      <c r="M34" s="73"/>
      <c r="N34" s="73"/>
      <c r="O34" s="73"/>
      <c r="P34" s="98"/>
      <c r="Q34" s="73"/>
      <c r="R34" s="73"/>
      <c r="S34" s="73"/>
      <c r="T34" s="73"/>
      <c r="U34" s="73"/>
      <c r="V34" s="73"/>
      <c r="W34" s="98"/>
      <c r="X34" s="73"/>
      <c r="Y34" s="73"/>
      <c r="Z34" s="73"/>
      <c r="AA34" s="73"/>
      <c r="AB34" s="73"/>
      <c r="AC34" s="73"/>
      <c r="AD34" s="98"/>
      <c r="AE34" s="73"/>
      <c r="AF34" s="73"/>
      <c r="AG34" s="73"/>
      <c r="AH34" s="65" t="str">
        <f>IF((COUNTIFS(Ar_3[[#This Row],[1]:[31]],"&lt;&gt;T34",Ar_3[[#This Row],[1]:[31]],"&lt;&gt;")&lt;&gt;0),COUNTIFS(Ar_3[[#This Row],[1]:[31]],"&lt;&gt;T34",Ar_3[[#This Row],[1]:[31]],"&lt;&gt;"),"")</f>
        <v/>
      </c>
      <c r="AI34" s="88"/>
      <c r="AJ34" s="65"/>
      <c r="AK34" s="65"/>
    </row>
    <row r="35" spans="1:37">
      <c r="A35" s="62">
        <f t="shared" si="0"/>
        <v>31</v>
      </c>
      <c r="B35" s="87" t="s">
        <v>67</v>
      </c>
      <c r="C35" s="64"/>
      <c r="D35" s="64"/>
      <c r="E35" s="64"/>
      <c r="F35" s="72"/>
      <c r="G35" s="72"/>
      <c r="H35" s="72"/>
      <c r="I35" s="98"/>
      <c r="J35" s="72"/>
      <c r="K35" s="64"/>
      <c r="L35" s="73"/>
      <c r="M35" s="73"/>
      <c r="N35" s="73"/>
      <c r="O35" s="73"/>
      <c r="P35" s="98"/>
      <c r="Q35" s="73"/>
      <c r="R35" s="73"/>
      <c r="S35" s="73"/>
      <c r="T35" s="73"/>
      <c r="U35" s="73"/>
      <c r="V35" s="73"/>
      <c r="W35" s="98"/>
      <c r="X35" s="73"/>
      <c r="Y35" s="73"/>
      <c r="Z35" s="73"/>
      <c r="AA35" s="73"/>
      <c r="AB35" s="73"/>
      <c r="AC35" s="73"/>
      <c r="AD35" s="98"/>
      <c r="AE35" s="73"/>
      <c r="AF35" s="73"/>
      <c r="AG35" s="73"/>
      <c r="AH35" s="65" t="str">
        <f>IF((COUNTIFS(Ar_3[[#This Row],[1]:[31]],"&lt;&gt;T34",Ar_3[[#This Row],[1]:[31]],"&lt;&gt;")&lt;&gt;0),COUNTIFS(Ar_3[[#This Row],[1]:[31]],"&lt;&gt;T34",Ar_3[[#This Row],[1]:[31]],"&lt;&gt;"),"")</f>
        <v/>
      </c>
      <c r="AI35" s="88"/>
      <c r="AJ35" s="65"/>
      <c r="AK35" s="65"/>
    </row>
    <row r="36" spans="1:37">
      <c r="A36" s="62">
        <f t="shared" si="0"/>
        <v>32</v>
      </c>
      <c r="B36" s="87" t="s">
        <v>68</v>
      </c>
      <c r="C36" s="64"/>
      <c r="D36" s="64"/>
      <c r="E36" s="64"/>
      <c r="F36" s="72"/>
      <c r="G36" s="72"/>
      <c r="H36" s="72"/>
      <c r="I36" s="98"/>
      <c r="J36" s="72"/>
      <c r="K36" s="64"/>
      <c r="L36" s="73"/>
      <c r="M36" s="73"/>
      <c r="N36" s="73"/>
      <c r="O36" s="73"/>
      <c r="P36" s="98"/>
      <c r="Q36" s="73"/>
      <c r="R36" s="73"/>
      <c r="S36" s="73"/>
      <c r="T36" s="73"/>
      <c r="U36" s="73"/>
      <c r="V36" s="73"/>
      <c r="W36" s="98"/>
      <c r="X36" s="73"/>
      <c r="Y36" s="73"/>
      <c r="Z36" s="73"/>
      <c r="AA36" s="73"/>
      <c r="AB36" s="73"/>
      <c r="AC36" s="73"/>
      <c r="AD36" s="98"/>
      <c r="AE36" s="73"/>
      <c r="AF36" s="73"/>
      <c r="AG36" s="73"/>
      <c r="AH36" s="65" t="str">
        <f>IF((COUNTIFS(Ar_3[[#This Row],[1]:[31]],"&lt;&gt;T34",Ar_3[[#This Row],[1]:[31]],"&lt;&gt;")&lt;&gt;0),COUNTIFS(Ar_3[[#This Row],[1]:[31]],"&lt;&gt;T34",Ar_3[[#This Row],[1]:[31]],"&lt;&gt;"),"")</f>
        <v/>
      </c>
      <c r="AI36" s="88"/>
      <c r="AJ36" s="65"/>
      <c r="AK36" s="65"/>
    </row>
    <row r="37" spans="1:37">
      <c r="A37" s="62">
        <f t="shared" si="0"/>
        <v>33</v>
      </c>
      <c r="B37" s="87" t="s">
        <v>69</v>
      </c>
      <c r="C37" s="64"/>
      <c r="D37" s="64"/>
      <c r="E37" s="64"/>
      <c r="F37" s="72"/>
      <c r="G37" s="72"/>
      <c r="H37" s="72"/>
      <c r="I37" s="98"/>
      <c r="J37" s="72"/>
      <c r="K37" s="64"/>
      <c r="L37" s="73"/>
      <c r="M37" s="73"/>
      <c r="N37" s="73"/>
      <c r="O37" s="73"/>
      <c r="P37" s="98"/>
      <c r="Q37" s="73"/>
      <c r="R37" s="73"/>
      <c r="S37" s="73"/>
      <c r="T37" s="73"/>
      <c r="U37" s="73"/>
      <c r="V37" s="73"/>
      <c r="W37" s="98"/>
      <c r="X37" s="73"/>
      <c r="Y37" s="73"/>
      <c r="Z37" s="73"/>
      <c r="AA37" s="73"/>
      <c r="AB37" s="73"/>
      <c r="AC37" s="73"/>
      <c r="AD37" s="98"/>
      <c r="AE37" s="73"/>
      <c r="AF37" s="73"/>
      <c r="AG37" s="73"/>
      <c r="AH37" s="65" t="str">
        <f>IF((COUNTIFS(Ar_3[[#This Row],[1]:[31]],"&lt;&gt;T34",Ar_3[[#This Row],[1]:[31]],"&lt;&gt;")&lt;&gt;0),COUNTIFS(Ar_3[[#This Row],[1]:[31]],"&lt;&gt;T34",Ar_3[[#This Row],[1]:[31]],"&lt;&gt;"),"")</f>
        <v/>
      </c>
      <c r="AI37" s="88"/>
      <c r="AJ37" s="65"/>
      <c r="AK37" s="65"/>
    </row>
    <row r="38" spans="1:37">
      <c r="A38" s="62">
        <f t="shared" si="0"/>
        <v>34</v>
      </c>
      <c r="B38" s="87" t="s">
        <v>70</v>
      </c>
      <c r="C38" s="64"/>
      <c r="D38" s="64"/>
      <c r="E38" s="64"/>
      <c r="F38" s="72"/>
      <c r="G38" s="72"/>
      <c r="H38" s="72"/>
      <c r="I38" s="98"/>
      <c r="J38" s="72"/>
      <c r="K38" s="64"/>
      <c r="L38" s="73"/>
      <c r="M38" s="73"/>
      <c r="N38" s="73"/>
      <c r="O38" s="73"/>
      <c r="P38" s="98"/>
      <c r="Q38" s="73"/>
      <c r="R38" s="73"/>
      <c r="S38" s="73"/>
      <c r="T38" s="73"/>
      <c r="U38" s="73"/>
      <c r="V38" s="73"/>
      <c r="W38" s="98"/>
      <c r="X38" s="73"/>
      <c r="Y38" s="73"/>
      <c r="Z38" s="73"/>
      <c r="AA38" s="73"/>
      <c r="AB38" s="73"/>
      <c r="AC38" s="73"/>
      <c r="AD38" s="98"/>
      <c r="AE38" s="73"/>
      <c r="AF38" s="73"/>
      <c r="AG38" s="73"/>
      <c r="AH38" s="65" t="str">
        <f>IF((COUNTIFS(Ar_3[[#This Row],[1]:[31]],"&lt;&gt;T34",Ar_3[[#This Row],[1]:[31]],"&lt;&gt;")&lt;&gt;0),COUNTIFS(Ar_3[[#This Row],[1]:[31]],"&lt;&gt;T34",Ar_3[[#This Row],[1]:[31]],"&lt;&gt;"),"")</f>
        <v/>
      </c>
      <c r="AI38" s="88"/>
      <c r="AJ38" s="65"/>
      <c r="AK38" s="65"/>
    </row>
    <row r="39" spans="1:37">
      <c r="A39" s="62">
        <f t="shared" si="0"/>
        <v>35</v>
      </c>
      <c r="B39" s="87" t="s">
        <v>72</v>
      </c>
      <c r="C39" s="64"/>
      <c r="D39" s="64"/>
      <c r="E39" s="64"/>
      <c r="F39" s="72"/>
      <c r="G39" s="72"/>
      <c r="H39" s="72"/>
      <c r="I39" s="98"/>
      <c r="J39" s="72"/>
      <c r="K39" s="64"/>
      <c r="L39" s="73"/>
      <c r="M39" s="73"/>
      <c r="N39" s="73"/>
      <c r="O39" s="73"/>
      <c r="P39" s="98"/>
      <c r="Q39" s="73"/>
      <c r="R39" s="73"/>
      <c r="S39" s="73"/>
      <c r="T39" s="73"/>
      <c r="U39" s="73"/>
      <c r="V39" s="73"/>
      <c r="W39" s="98"/>
      <c r="X39" s="73"/>
      <c r="Y39" s="73"/>
      <c r="Z39" s="73"/>
      <c r="AA39" s="73"/>
      <c r="AB39" s="73"/>
      <c r="AC39" s="73"/>
      <c r="AD39" s="98"/>
      <c r="AE39" s="73"/>
      <c r="AF39" s="73"/>
      <c r="AG39" s="73"/>
      <c r="AH39" s="65" t="str">
        <f>IF((COUNTIFS(Ar_3[[#This Row],[1]:[31]],"&lt;&gt;T34",Ar_3[[#This Row],[1]:[31]],"&lt;&gt;")&lt;&gt;0),COUNTIFS(Ar_3[[#This Row],[1]:[31]],"&lt;&gt;T34",Ar_3[[#This Row],[1]:[31]],"&lt;&gt;"),"")</f>
        <v/>
      </c>
      <c r="AI39" s="88"/>
      <c r="AJ39" s="65"/>
      <c r="AK39" s="65"/>
    </row>
    <row r="40" spans="1:37">
      <c r="A40" s="62">
        <f t="shared" si="0"/>
        <v>36</v>
      </c>
      <c r="B40" s="87" t="s">
        <v>73</v>
      </c>
      <c r="C40" s="64"/>
      <c r="D40" s="64"/>
      <c r="E40" s="64"/>
      <c r="F40" s="72"/>
      <c r="G40" s="72"/>
      <c r="H40" s="72"/>
      <c r="I40" s="98"/>
      <c r="J40" s="72"/>
      <c r="K40" s="64"/>
      <c r="L40" s="73"/>
      <c r="M40" s="73"/>
      <c r="N40" s="73"/>
      <c r="O40" s="73"/>
      <c r="P40" s="98"/>
      <c r="Q40" s="73"/>
      <c r="R40" s="73"/>
      <c r="S40" s="73"/>
      <c r="T40" s="73"/>
      <c r="U40" s="73"/>
      <c r="V40" s="73"/>
      <c r="W40" s="98"/>
      <c r="X40" s="73"/>
      <c r="Y40" s="73"/>
      <c r="Z40" s="73"/>
      <c r="AA40" s="73"/>
      <c r="AB40" s="73"/>
      <c r="AC40" s="73"/>
      <c r="AD40" s="98"/>
      <c r="AE40" s="73"/>
      <c r="AF40" s="73"/>
      <c r="AG40" s="73"/>
      <c r="AH40" s="65" t="str">
        <f>IF((COUNTIFS(Ar_3[[#This Row],[1]:[31]],"&lt;&gt;T34",Ar_3[[#This Row],[1]:[31]],"&lt;&gt;")&lt;&gt;0),COUNTIFS(Ar_3[[#This Row],[1]:[31]],"&lt;&gt;T34",Ar_3[[#This Row],[1]:[31]],"&lt;&gt;"),"")</f>
        <v/>
      </c>
      <c r="AI40" s="88"/>
      <c r="AJ40" s="65"/>
      <c r="AK40" s="65"/>
    </row>
    <row r="41" spans="1:37">
      <c r="A41" s="62">
        <f t="shared" si="0"/>
        <v>37</v>
      </c>
      <c r="B41" s="87" t="s">
        <v>74</v>
      </c>
      <c r="C41" s="64"/>
      <c r="D41" s="64"/>
      <c r="E41" s="64"/>
      <c r="F41" s="72"/>
      <c r="G41" s="72"/>
      <c r="H41" s="72"/>
      <c r="I41" s="98"/>
      <c r="J41" s="72"/>
      <c r="K41" s="64"/>
      <c r="L41" s="73"/>
      <c r="M41" s="73"/>
      <c r="N41" s="73"/>
      <c r="O41" s="73"/>
      <c r="P41" s="98"/>
      <c r="Q41" s="73"/>
      <c r="R41" s="73"/>
      <c r="S41" s="73"/>
      <c r="T41" s="73"/>
      <c r="U41" s="73"/>
      <c r="V41" s="73"/>
      <c r="W41" s="98"/>
      <c r="X41" s="73"/>
      <c r="Y41" s="73"/>
      <c r="Z41" s="73"/>
      <c r="AA41" s="73"/>
      <c r="AB41" s="73"/>
      <c r="AC41" s="73"/>
      <c r="AD41" s="98"/>
      <c r="AE41" s="73"/>
      <c r="AF41" s="73"/>
      <c r="AG41" s="73"/>
      <c r="AH41" s="65" t="str">
        <f>IF((COUNTIFS(Ar_3[[#This Row],[1]:[31]],"&lt;&gt;T34",Ar_3[[#This Row],[1]:[31]],"&lt;&gt;")&lt;&gt;0),COUNTIFS(Ar_3[[#This Row],[1]:[31]],"&lt;&gt;T34",Ar_3[[#This Row],[1]:[31]],"&lt;&gt;"),"")</f>
        <v/>
      </c>
      <c r="AI41" s="88"/>
      <c r="AJ41" s="65"/>
      <c r="AK41" s="65"/>
    </row>
    <row r="42" spans="1:37">
      <c r="A42" s="62">
        <f t="shared" si="0"/>
        <v>38</v>
      </c>
      <c r="B42" s="87" t="s">
        <v>75</v>
      </c>
      <c r="C42" s="64"/>
      <c r="D42" s="64"/>
      <c r="E42" s="64"/>
      <c r="F42" s="72"/>
      <c r="G42" s="72"/>
      <c r="H42" s="72"/>
      <c r="I42" s="98"/>
      <c r="J42" s="72"/>
      <c r="K42" s="64"/>
      <c r="L42" s="73"/>
      <c r="M42" s="73"/>
      <c r="N42" s="73"/>
      <c r="O42" s="73"/>
      <c r="P42" s="98"/>
      <c r="Q42" s="73"/>
      <c r="R42" s="73"/>
      <c r="S42" s="73"/>
      <c r="T42" s="73"/>
      <c r="U42" s="73"/>
      <c r="V42" s="73"/>
      <c r="W42" s="98"/>
      <c r="X42" s="73"/>
      <c r="Y42" s="73"/>
      <c r="Z42" s="73"/>
      <c r="AA42" s="73"/>
      <c r="AB42" s="73"/>
      <c r="AC42" s="73"/>
      <c r="AD42" s="98"/>
      <c r="AE42" s="73"/>
      <c r="AF42" s="73"/>
      <c r="AG42" s="73"/>
      <c r="AH42" s="65" t="str">
        <f>IF((COUNTIFS(Ar_3[[#This Row],[1]:[31]],"&lt;&gt;T34",Ar_3[[#This Row],[1]:[31]],"&lt;&gt;")&lt;&gt;0),COUNTIFS(Ar_3[[#This Row],[1]:[31]],"&lt;&gt;T34",Ar_3[[#This Row],[1]:[31]],"&lt;&gt;"),"")</f>
        <v/>
      </c>
      <c r="AI42" s="88"/>
      <c r="AJ42" s="65"/>
      <c r="AK42" s="65"/>
    </row>
    <row r="43" spans="1:37">
      <c r="A43" s="62">
        <f t="shared" si="0"/>
        <v>39</v>
      </c>
      <c r="B43" s="87" t="s">
        <v>76</v>
      </c>
      <c r="C43" s="64"/>
      <c r="D43" s="64"/>
      <c r="E43" s="64"/>
      <c r="F43" s="72"/>
      <c r="G43" s="72"/>
      <c r="H43" s="72"/>
      <c r="I43" s="98"/>
      <c r="J43" s="72"/>
      <c r="K43" s="64"/>
      <c r="L43" s="73"/>
      <c r="M43" s="73"/>
      <c r="N43" s="73"/>
      <c r="O43" s="73"/>
      <c r="P43" s="98"/>
      <c r="Q43" s="73"/>
      <c r="R43" s="73"/>
      <c r="S43" s="73"/>
      <c r="T43" s="73"/>
      <c r="U43" s="73"/>
      <c r="V43" s="73"/>
      <c r="W43" s="98"/>
      <c r="X43" s="73"/>
      <c r="Y43" s="73"/>
      <c r="Z43" s="73"/>
      <c r="AA43" s="73"/>
      <c r="AB43" s="73"/>
      <c r="AC43" s="73"/>
      <c r="AD43" s="98"/>
      <c r="AE43" s="73"/>
      <c r="AF43" s="73"/>
      <c r="AG43" s="73"/>
      <c r="AH43" s="65" t="str">
        <f>IF((COUNTIFS(Ar_3[[#This Row],[1]:[31]],"&lt;&gt;T34",Ar_3[[#This Row],[1]:[31]],"&lt;&gt;")&lt;&gt;0),COUNTIFS(Ar_3[[#This Row],[1]:[31]],"&lt;&gt;T34",Ar_3[[#This Row],[1]:[31]],"&lt;&gt;"),"")</f>
        <v/>
      </c>
      <c r="AI43" s="88"/>
      <c r="AJ43" s="70"/>
      <c r="AK43" s="70"/>
    </row>
    <row r="44" spans="1:37">
      <c r="A44" s="56"/>
      <c r="B44" s="74"/>
      <c r="C44" s="75"/>
      <c r="D44" s="75"/>
      <c r="E44" s="75"/>
      <c r="F44" s="76"/>
      <c r="G44" s="76"/>
      <c r="H44" s="76"/>
      <c r="I44" s="76"/>
      <c r="J44" s="76"/>
      <c r="K44" s="75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/>
      <c r="AI44" s="78"/>
    </row>
    <row r="45" spans="1:37">
      <c r="A45" s="79"/>
      <c r="B45" s="80"/>
      <c r="C45" s="81" t="s">
        <v>112</v>
      </c>
      <c r="D45" s="207" t="s">
        <v>113</v>
      </c>
      <c r="E45" s="207"/>
      <c r="F45" s="207"/>
      <c r="G45" s="81" t="s">
        <v>3</v>
      </c>
      <c r="H45" s="207" t="s">
        <v>114</v>
      </c>
      <c r="I45" s="207"/>
      <c r="J45" s="207"/>
      <c r="K45" s="81" t="s">
        <v>115</v>
      </c>
      <c r="L45" s="207" t="s">
        <v>116</v>
      </c>
      <c r="M45" s="207"/>
      <c r="N45" s="207"/>
      <c r="O45" s="81" t="s">
        <v>78</v>
      </c>
      <c r="P45" s="207" t="s">
        <v>117</v>
      </c>
      <c r="Q45" s="207"/>
      <c r="R45" s="207"/>
      <c r="S45" s="80" t="s">
        <v>118</v>
      </c>
      <c r="T45" s="207" t="s">
        <v>119</v>
      </c>
      <c r="U45" s="207"/>
      <c r="V45" s="207"/>
      <c r="AH45" s="80"/>
      <c r="AI45" s="80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65" priority="1" operator="equal">
      <formula>$K$45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F226-5FC6-492F-A743-E34DC2D5DF64}">
  <dimension ref="A1:AK45"/>
  <sheetViews>
    <sheetView rightToLeft="1" workbookViewId="0">
      <selection sqref="A1:XFD1048576"/>
    </sheetView>
  </sheetViews>
  <sheetFormatPr defaultRowHeight="25.5"/>
  <cols>
    <col min="1" max="1" width="4.5" style="82" customWidth="1"/>
    <col min="2" max="2" width="18" style="55" customWidth="1"/>
    <col min="3" max="3" width="5.25" style="55" customWidth="1"/>
    <col min="4" max="5" width="5.25" style="82" customWidth="1"/>
    <col min="6" max="10" width="5.25" style="83" customWidth="1"/>
    <col min="11" max="11" width="5.25" style="84" customWidth="1"/>
    <col min="12" max="33" width="5.25" style="55" customWidth="1"/>
    <col min="34" max="34" width="6.875" style="55" customWidth="1"/>
    <col min="35" max="35" width="7.375" style="55" customWidth="1"/>
    <col min="36" max="36" width="7.875" style="55" customWidth="1"/>
    <col min="37" max="16384" width="9" style="55"/>
  </cols>
  <sheetData>
    <row r="1" spans="1:37" ht="30" customHeight="1">
      <c r="B1" s="101">
        <v>45108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7" ht="30" customHeight="1">
      <c r="A2" s="55"/>
      <c r="B2" s="85" t="str">
        <f>TEXT("تقرير الحضور والغياب - ",)&amp;TEXT(B1,"[$-0401]mmm yyyy")</f>
        <v>تقرير الحضور والغياب - يوليو 2023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</row>
    <row r="3" spans="1:37" ht="22.5" customHeight="1" thickBot="1">
      <c r="A3" s="56"/>
      <c r="B3" s="57"/>
      <c r="C3" s="94" t="str">
        <f>TEXT(($B$1-DAY($B$1)+Ar_4[[#Headers],[1]]),"[$-0401]ddd")</f>
        <v>السبت</v>
      </c>
      <c r="D3" s="94" t="str">
        <f>TEXT(($B$1-DAY($B$1)+Ar_4[[#Headers],[2]]),"[$-0401]ddd")</f>
        <v>الأحد</v>
      </c>
      <c r="E3" s="94" t="str">
        <f>TEXT(($B$1-DAY($B$1)+Ar_4[[#Headers],[3]]),"[$-0401]ddd")</f>
        <v>الإثنين</v>
      </c>
      <c r="F3" s="94" t="str">
        <f>TEXT(($B$1-DAY($B$1)+Ar_4[[#Headers],[4]]),"[$-0401]ddd")</f>
        <v>الثلاثاء</v>
      </c>
      <c r="G3" s="94" t="str">
        <f>TEXT(($B$1-DAY($B$1)+Ar_4[[#Headers],[5]]),"[$-0401]ddd")</f>
        <v>الأربعاء</v>
      </c>
      <c r="H3" s="94" t="str">
        <f>TEXT(($B$1-DAY($B$1)+Ar_4[[#Headers],[6]]),"[$-0401]ddd")</f>
        <v>الخميس</v>
      </c>
      <c r="I3" s="95" t="str">
        <f>TEXT(($B$1-DAY($B$1)+Ar_4[[#Headers],[7]]),"[$-0401]ddd")</f>
        <v>الجمعة</v>
      </c>
      <c r="J3" s="94" t="str">
        <f>TEXT(($B$1-DAY($B$1)+Ar_4[[#Headers],[8]]),"[$-0401]ddd")</f>
        <v>السبت</v>
      </c>
      <c r="K3" s="94" t="str">
        <f>TEXT(($B$1-DAY($B$1)+Ar_4[[#Headers],[9]]),"[$-0401]ddd")</f>
        <v>الأحد</v>
      </c>
      <c r="L3" s="94" t="str">
        <f>TEXT(($B$1-DAY($B$1)+Ar_4[[#Headers],[10]]),"[$-0401]ddd")</f>
        <v>الإثنين</v>
      </c>
      <c r="M3" s="94" t="str">
        <f>TEXT(($B$1-DAY($B$1)+Ar_4[[#Headers],[11]]),"[$-0401]ddd")</f>
        <v>الثلاثاء</v>
      </c>
      <c r="N3" s="94" t="str">
        <f>TEXT(($B$1-DAY($B$1)+Ar_4[[#Headers],[12]]),"[$-0401]ddd")</f>
        <v>الأربعاء</v>
      </c>
      <c r="O3" s="94" t="str">
        <f>TEXT(($B$1-DAY($B$1)+Ar_4[[#Headers],[13]]),"[$-0401]ddd")</f>
        <v>الخميس</v>
      </c>
      <c r="P3" s="95" t="str">
        <f>TEXT(($B$1-DAY($B$1)+Ar_4[[#Headers],[14]]),"[$-0401]ddd")</f>
        <v>الجمعة</v>
      </c>
      <c r="Q3" s="94" t="str">
        <f>TEXT(($B$1-DAY($B$1)+Ar_4[[#Headers],[15]]),"[$-0401]ddd")</f>
        <v>السبت</v>
      </c>
      <c r="R3" s="94" t="str">
        <f>TEXT(($B$1-DAY($B$1)+Ar_4[[#Headers],[16]]),"[$-0401]ddd")</f>
        <v>الأحد</v>
      </c>
      <c r="S3" s="94" t="str">
        <f>TEXT(($B$1-DAY($B$1)+Ar_4[[#Headers],[17]]),"[$-0401]ddd")</f>
        <v>الإثنين</v>
      </c>
      <c r="T3" s="94" t="str">
        <f>TEXT(($B$1-DAY($B$1)+Ar_4[[#Headers],[18]]),"[$-0401]ddd")</f>
        <v>الثلاثاء</v>
      </c>
      <c r="U3" s="94" t="str">
        <f>TEXT(($B$1-DAY($B$1)+Ar_4[[#Headers],[19]]),"[$-0401]ddd")</f>
        <v>الأربعاء</v>
      </c>
      <c r="V3" s="94" t="str">
        <f>TEXT(($B$1-DAY($B$1)+Ar_4[[#Headers],[20]]),"[$-0401]ddd")</f>
        <v>الخميس</v>
      </c>
      <c r="W3" s="95" t="str">
        <f>TEXT(($B$1-DAY($B$1)+Ar_4[[#Headers],[21]]),"[$-0401]ddd")</f>
        <v>الجمعة</v>
      </c>
      <c r="X3" s="94" t="str">
        <f>TEXT(($B$1-DAY($B$1)+Ar_4[[#Headers],[22]]),"[$-0401]ddd")</f>
        <v>السبت</v>
      </c>
      <c r="Y3" s="94" t="str">
        <f>TEXT(($B$1-DAY($B$1)+Ar_4[[#Headers],[23]]),"[$-0401]ddd")</f>
        <v>الأحد</v>
      </c>
      <c r="Z3" s="94" t="str">
        <f>TEXT(($B$1-DAY($B$1)+Ar_4[[#Headers],[24]]),"[$-0401]ddd")</f>
        <v>الإثنين</v>
      </c>
      <c r="AA3" s="94" t="str">
        <f>TEXT(($B$1-DAY($B$1)+Ar_4[[#Headers],[25]]),"[$-0401]ddd")</f>
        <v>الثلاثاء</v>
      </c>
      <c r="AB3" s="94" t="str">
        <f>TEXT(($B$1-DAY($B$1)+Ar_4[[#Headers],[26]]),"[$-0401]ddd")</f>
        <v>الأربعاء</v>
      </c>
      <c r="AC3" s="94" t="str">
        <f>TEXT(($B$1-DAY($B$1)+Ar_4[[#Headers],[27]]),"[$-0401]ddd")</f>
        <v>الخميس</v>
      </c>
      <c r="AD3" s="95" t="str">
        <f>TEXT(($B$1-DAY($B$1)+Ar_4[[#Headers],[28]]),"[$-0401]ddd")</f>
        <v>الجمعة</v>
      </c>
      <c r="AE3" s="94" t="str">
        <f>TEXT(($B$1-DAY($B$1)+Ar_4[[#Headers],[29]]),"[$-0401]ddd")</f>
        <v>السبت</v>
      </c>
      <c r="AF3" s="94" t="str">
        <f>TEXT(($B$1-DAY($B$1)+Ar_4[[#Headers],[30]]),"[$-0401]ddd")</f>
        <v>الأحد</v>
      </c>
      <c r="AG3" s="94" t="str">
        <f>TEXT(($B$1-DAY($B$1)+Ar_4[[#Headers],[31]]),"[$-0401]ddd")</f>
        <v>الإثنين</v>
      </c>
    </row>
    <row r="4" spans="1:37" s="61" customFormat="1" ht="36" customHeight="1">
      <c r="A4" s="58" t="s">
        <v>79</v>
      </c>
      <c r="B4" s="59" t="s">
        <v>80</v>
      </c>
      <c r="C4" s="60" t="s">
        <v>81</v>
      </c>
      <c r="D4" s="60" t="s">
        <v>82</v>
      </c>
      <c r="E4" s="60" t="s">
        <v>83</v>
      </c>
      <c r="F4" s="60" t="s">
        <v>84</v>
      </c>
      <c r="G4" s="60" t="s">
        <v>85</v>
      </c>
      <c r="H4" s="60" t="s">
        <v>86</v>
      </c>
      <c r="I4" s="92" t="s">
        <v>87</v>
      </c>
      <c r="J4" s="60" t="s">
        <v>88</v>
      </c>
      <c r="K4" s="60" t="s">
        <v>89</v>
      </c>
      <c r="L4" s="60" t="s">
        <v>90</v>
      </c>
      <c r="M4" s="60" t="s">
        <v>91</v>
      </c>
      <c r="N4" s="60" t="s">
        <v>92</v>
      </c>
      <c r="O4" s="60" t="s">
        <v>93</v>
      </c>
      <c r="P4" s="92" t="s">
        <v>94</v>
      </c>
      <c r="Q4" s="60" t="s">
        <v>95</v>
      </c>
      <c r="R4" s="60" t="s">
        <v>96</v>
      </c>
      <c r="S4" s="60" t="s">
        <v>97</v>
      </c>
      <c r="T4" s="60" t="s">
        <v>98</v>
      </c>
      <c r="U4" s="60" t="s">
        <v>99</v>
      </c>
      <c r="V4" s="60" t="s">
        <v>100</v>
      </c>
      <c r="W4" s="92" t="s">
        <v>101</v>
      </c>
      <c r="X4" s="60" t="s">
        <v>102</v>
      </c>
      <c r="Y4" s="60" t="s">
        <v>103</v>
      </c>
      <c r="Z4" s="60" t="s">
        <v>104</v>
      </c>
      <c r="AA4" s="60" t="s">
        <v>105</v>
      </c>
      <c r="AB4" s="60" t="s">
        <v>106</v>
      </c>
      <c r="AC4" s="60" t="s">
        <v>107</v>
      </c>
      <c r="AD4" s="92" t="s">
        <v>108</v>
      </c>
      <c r="AE4" s="60" t="s">
        <v>109</v>
      </c>
      <c r="AF4" s="60" t="s">
        <v>110</v>
      </c>
      <c r="AG4" s="60" t="s">
        <v>111</v>
      </c>
      <c r="AH4" s="100" t="s">
        <v>120</v>
      </c>
      <c r="AI4" s="103" t="s">
        <v>17</v>
      </c>
      <c r="AJ4" s="97" t="s">
        <v>121</v>
      </c>
      <c r="AK4" s="97" t="s">
        <v>122</v>
      </c>
    </row>
    <row r="5" spans="1:37" ht="30" customHeight="1">
      <c r="A5" s="62">
        <v>1</v>
      </c>
      <c r="B5" s="63" t="s">
        <v>29</v>
      </c>
      <c r="C5" s="64"/>
      <c r="D5" s="64"/>
      <c r="E5" s="64"/>
      <c r="F5" s="64"/>
      <c r="G5" s="64"/>
      <c r="H5" s="64"/>
      <c r="I5" s="93"/>
      <c r="J5" s="64"/>
      <c r="K5" s="64"/>
      <c r="L5" s="64"/>
      <c r="M5" s="64"/>
      <c r="N5" s="64"/>
      <c r="O5" s="64"/>
      <c r="P5" s="93"/>
      <c r="Q5" s="64"/>
      <c r="R5" s="64"/>
      <c r="S5" s="64"/>
      <c r="T5" s="64"/>
      <c r="U5" s="64"/>
      <c r="V5" s="64"/>
      <c r="W5" s="93"/>
      <c r="X5" s="64"/>
      <c r="Y5" s="64"/>
      <c r="Z5" s="64"/>
      <c r="AA5" s="64"/>
      <c r="AB5" s="64"/>
      <c r="AC5" s="64"/>
      <c r="AD5" s="93"/>
      <c r="AE5" s="64"/>
      <c r="AF5" s="64"/>
      <c r="AG5" s="64"/>
      <c r="AH5" s="65" t="str">
        <f>IF((COUNTIFS(Ar_4[[#This Row],[1]:[31]],"&lt;&gt;T34",Ar_4[[#This Row],[1]:[31]],"&lt;&gt;")&lt;&gt;0),COUNTIFS(Ar_4[[#This Row],[1]:[31]],"&lt;&gt;T34",Ar_4[[#This Row],[1]:[31]],"&lt;&gt;"),"")</f>
        <v/>
      </c>
      <c r="AI5" s="66"/>
      <c r="AJ5" s="96"/>
      <c r="AK5" s="96"/>
    </row>
    <row r="6" spans="1:37" ht="30" customHeight="1">
      <c r="A6" s="62">
        <f t="shared" ref="A6:A43" si="0">+A5+1</f>
        <v>2</v>
      </c>
      <c r="B6" s="63" t="s">
        <v>31</v>
      </c>
      <c r="C6" s="64"/>
      <c r="D6" s="64"/>
      <c r="E6" s="64"/>
      <c r="F6" s="64"/>
      <c r="G6" s="64"/>
      <c r="H6" s="64"/>
      <c r="I6" s="93"/>
      <c r="J6" s="64"/>
      <c r="K6" s="64"/>
      <c r="L6" s="64"/>
      <c r="M6" s="64"/>
      <c r="N6" s="64"/>
      <c r="O6" s="64"/>
      <c r="P6" s="93"/>
      <c r="Q6" s="64"/>
      <c r="R6" s="64"/>
      <c r="S6" s="64"/>
      <c r="T6" s="64"/>
      <c r="U6" s="64"/>
      <c r="V6" s="64"/>
      <c r="W6" s="93"/>
      <c r="X6" s="64"/>
      <c r="Y6" s="64"/>
      <c r="Z6" s="64"/>
      <c r="AA6" s="64"/>
      <c r="AB6" s="64"/>
      <c r="AC6" s="64"/>
      <c r="AD6" s="93"/>
      <c r="AE6" s="64"/>
      <c r="AF6" s="64"/>
      <c r="AG6" s="64"/>
      <c r="AH6" s="65" t="str">
        <f>IF((COUNTIFS(Ar_4[[#This Row],[1]:[31]],"&lt;&gt;T34",Ar_4[[#This Row],[1]:[31]],"&lt;&gt;")&lt;&gt;0),COUNTIFS(Ar_4[[#This Row],[1]:[31]],"&lt;&gt;T34",Ar_4[[#This Row],[1]:[31]],"&lt;&gt;"),"")</f>
        <v/>
      </c>
      <c r="AI6" s="66"/>
      <c r="AJ6" s="65"/>
      <c r="AK6" s="65"/>
    </row>
    <row r="7" spans="1:37" ht="30" customHeight="1">
      <c r="A7" s="62">
        <f t="shared" si="0"/>
        <v>3</v>
      </c>
      <c r="B7" s="63" t="s">
        <v>32</v>
      </c>
      <c r="C7" s="64"/>
      <c r="D7" s="64"/>
      <c r="E7" s="64"/>
      <c r="F7" s="64"/>
      <c r="G7" s="64"/>
      <c r="H7" s="64"/>
      <c r="I7" s="93"/>
      <c r="J7" s="64"/>
      <c r="K7" s="64"/>
      <c r="L7" s="64"/>
      <c r="M7" s="64"/>
      <c r="N7" s="64"/>
      <c r="O7" s="64"/>
      <c r="P7" s="93"/>
      <c r="Q7" s="64"/>
      <c r="R7" s="64"/>
      <c r="S7" s="64"/>
      <c r="T7" s="64"/>
      <c r="U7" s="64"/>
      <c r="V7" s="64"/>
      <c r="W7" s="93"/>
      <c r="X7" s="64"/>
      <c r="Y7" s="64"/>
      <c r="Z7" s="64"/>
      <c r="AA7" s="64"/>
      <c r="AB7" s="64"/>
      <c r="AC7" s="64"/>
      <c r="AD7" s="93"/>
      <c r="AE7" s="64"/>
      <c r="AF7" s="64"/>
      <c r="AG7" s="64"/>
      <c r="AH7" s="65" t="str">
        <f>IF((COUNTIFS(Ar_4[[#This Row],[1]:[31]],"&lt;&gt;T34",Ar_4[[#This Row],[1]:[31]],"&lt;&gt;")&lt;&gt;0),COUNTIFS(Ar_4[[#This Row],[1]:[31]],"&lt;&gt;T34",Ar_4[[#This Row],[1]:[31]],"&lt;&gt;"),"")</f>
        <v/>
      </c>
      <c r="AI7" s="66"/>
      <c r="AJ7" s="65"/>
      <c r="AK7" s="65"/>
    </row>
    <row r="8" spans="1:37" ht="30" customHeight="1">
      <c r="A8" s="62">
        <f t="shared" si="0"/>
        <v>4</v>
      </c>
      <c r="B8" s="63" t="s">
        <v>33</v>
      </c>
      <c r="C8" s="64"/>
      <c r="D8" s="64"/>
      <c r="E8" s="64"/>
      <c r="F8" s="64"/>
      <c r="G8" s="64"/>
      <c r="H8" s="64"/>
      <c r="I8" s="93"/>
      <c r="J8" s="64"/>
      <c r="K8" s="64"/>
      <c r="L8" s="64"/>
      <c r="M8" s="64"/>
      <c r="N8" s="64"/>
      <c r="O8" s="64"/>
      <c r="P8" s="93"/>
      <c r="Q8" s="64"/>
      <c r="R8" s="64"/>
      <c r="S8" s="64"/>
      <c r="T8" s="64"/>
      <c r="U8" s="64"/>
      <c r="V8" s="64"/>
      <c r="W8" s="93"/>
      <c r="X8" s="64"/>
      <c r="Y8" s="64"/>
      <c r="Z8" s="64"/>
      <c r="AA8" s="64"/>
      <c r="AB8" s="64"/>
      <c r="AC8" s="64"/>
      <c r="AD8" s="93"/>
      <c r="AE8" s="64"/>
      <c r="AF8" s="64"/>
      <c r="AG8" s="64"/>
      <c r="AH8" s="65" t="str">
        <f>IF((COUNTIFS(Ar_4[[#This Row],[1]:[31]],"&lt;&gt;T34",Ar_4[[#This Row],[1]:[31]],"&lt;&gt;")&lt;&gt;0),COUNTIFS(Ar_4[[#This Row],[1]:[31]],"&lt;&gt;T34",Ar_4[[#This Row],[1]:[31]],"&lt;&gt;"),"")</f>
        <v/>
      </c>
      <c r="AI8" s="66"/>
      <c r="AJ8" s="65"/>
      <c r="AK8" s="65"/>
    </row>
    <row r="9" spans="1:37" ht="30" customHeight="1">
      <c r="A9" s="62">
        <f t="shared" si="0"/>
        <v>5</v>
      </c>
      <c r="B9" s="63" t="s">
        <v>34</v>
      </c>
      <c r="C9" s="64"/>
      <c r="D9" s="64"/>
      <c r="E9" s="64"/>
      <c r="F9" s="64"/>
      <c r="G9" s="64"/>
      <c r="H9" s="64"/>
      <c r="I9" s="93"/>
      <c r="J9" s="64"/>
      <c r="K9" s="64"/>
      <c r="L9" s="64"/>
      <c r="M9" s="64"/>
      <c r="N9" s="64"/>
      <c r="O9" s="64"/>
      <c r="P9" s="93"/>
      <c r="Q9" s="64"/>
      <c r="R9" s="64"/>
      <c r="S9" s="64"/>
      <c r="T9" s="64"/>
      <c r="U9" s="64"/>
      <c r="V9" s="64"/>
      <c r="W9" s="93"/>
      <c r="X9" s="64"/>
      <c r="Y9" s="64"/>
      <c r="Z9" s="64"/>
      <c r="AA9" s="64"/>
      <c r="AB9" s="64"/>
      <c r="AC9" s="64"/>
      <c r="AD9" s="93"/>
      <c r="AE9" s="64"/>
      <c r="AF9" s="64"/>
      <c r="AG9" s="64"/>
      <c r="AH9" s="65" t="str">
        <f>IF((COUNTIFS(Ar_4[[#This Row],[1]:[31]],"&lt;&gt;T34",Ar_4[[#This Row],[1]:[31]],"&lt;&gt;")&lt;&gt;0),COUNTIFS(Ar_4[[#This Row],[1]:[31]],"&lt;&gt;T34",Ar_4[[#This Row],[1]:[31]],"&lt;&gt;"),"")</f>
        <v/>
      </c>
      <c r="AI9" s="66"/>
      <c r="AJ9" s="65"/>
      <c r="AK9" s="65"/>
    </row>
    <row r="10" spans="1:37" ht="30" customHeight="1">
      <c r="A10" s="62">
        <f t="shared" si="0"/>
        <v>6</v>
      </c>
      <c r="B10" s="63" t="s">
        <v>35</v>
      </c>
      <c r="C10" s="64"/>
      <c r="D10" s="64"/>
      <c r="E10" s="64"/>
      <c r="F10" s="64"/>
      <c r="G10" s="64"/>
      <c r="H10" s="64"/>
      <c r="I10" s="93"/>
      <c r="J10" s="64"/>
      <c r="K10" s="64"/>
      <c r="L10" s="64"/>
      <c r="M10" s="64"/>
      <c r="N10" s="64"/>
      <c r="O10" s="64"/>
      <c r="P10" s="93"/>
      <c r="Q10" s="64"/>
      <c r="R10" s="64"/>
      <c r="S10" s="64"/>
      <c r="T10" s="64"/>
      <c r="U10" s="64"/>
      <c r="V10" s="64"/>
      <c r="W10" s="93"/>
      <c r="X10" s="64"/>
      <c r="Y10" s="64"/>
      <c r="Z10" s="64"/>
      <c r="AA10" s="64"/>
      <c r="AB10" s="64"/>
      <c r="AC10" s="64"/>
      <c r="AD10" s="93"/>
      <c r="AE10" s="64"/>
      <c r="AF10" s="64"/>
      <c r="AG10" s="64"/>
      <c r="AH10" s="65" t="str">
        <f>IF((COUNTIFS(Ar_4[[#This Row],[1]:[31]],"&lt;&gt;T34",Ar_4[[#This Row],[1]:[31]],"&lt;&gt;")&lt;&gt;0),COUNTIFS(Ar_4[[#This Row],[1]:[31]],"&lt;&gt;T34",Ar_4[[#This Row],[1]:[31]],"&lt;&gt;"),"")</f>
        <v/>
      </c>
      <c r="AI10" s="66"/>
      <c r="AJ10" s="65"/>
      <c r="AK10" s="65"/>
    </row>
    <row r="11" spans="1:37" ht="30" customHeight="1">
      <c r="A11" s="62">
        <f t="shared" si="0"/>
        <v>7</v>
      </c>
      <c r="B11" s="63" t="s">
        <v>37</v>
      </c>
      <c r="C11" s="64"/>
      <c r="D11" s="64"/>
      <c r="E11" s="64"/>
      <c r="F11" s="64"/>
      <c r="G11" s="64"/>
      <c r="H11" s="64"/>
      <c r="I11" s="93"/>
      <c r="J11" s="64"/>
      <c r="K11" s="64"/>
      <c r="L11" s="64"/>
      <c r="M11" s="64"/>
      <c r="N11" s="64"/>
      <c r="O11" s="64"/>
      <c r="P11" s="93"/>
      <c r="Q11" s="64"/>
      <c r="R11" s="64"/>
      <c r="S11" s="64"/>
      <c r="T11" s="64"/>
      <c r="U11" s="64"/>
      <c r="V11" s="64"/>
      <c r="W11" s="93"/>
      <c r="X11" s="64"/>
      <c r="Y11" s="64"/>
      <c r="Z11" s="64"/>
      <c r="AA11" s="64"/>
      <c r="AB11" s="64"/>
      <c r="AC11" s="64"/>
      <c r="AD11" s="93"/>
      <c r="AE11" s="64"/>
      <c r="AF11" s="64"/>
      <c r="AG11" s="64"/>
      <c r="AH11" s="65" t="str">
        <f>IF((COUNTIFS(Ar_4[[#This Row],[1]:[31]],"&lt;&gt;T34",Ar_4[[#This Row],[1]:[31]],"&lt;&gt;")&lt;&gt;0),COUNTIFS(Ar_4[[#This Row],[1]:[31]],"&lt;&gt;T34",Ar_4[[#This Row],[1]:[31]],"&lt;&gt;"),"")</f>
        <v/>
      </c>
      <c r="AI11" s="66"/>
      <c r="AJ11" s="65"/>
      <c r="AK11" s="65"/>
    </row>
    <row r="12" spans="1:37" ht="30" customHeight="1">
      <c r="A12" s="62">
        <f t="shared" si="0"/>
        <v>8</v>
      </c>
      <c r="B12" s="63" t="s">
        <v>38</v>
      </c>
      <c r="C12" s="64"/>
      <c r="D12" s="64"/>
      <c r="E12" s="64"/>
      <c r="F12" s="64"/>
      <c r="G12" s="64"/>
      <c r="H12" s="64"/>
      <c r="I12" s="93"/>
      <c r="J12" s="64"/>
      <c r="K12" s="64"/>
      <c r="L12" s="64"/>
      <c r="M12" s="64"/>
      <c r="N12" s="64"/>
      <c r="O12" s="64"/>
      <c r="P12" s="93"/>
      <c r="Q12" s="64"/>
      <c r="R12" s="64"/>
      <c r="S12" s="64"/>
      <c r="T12" s="64"/>
      <c r="U12" s="64"/>
      <c r="V12" s="64"/>
      <c r="W12" s="93"/>
      <c r="X12" s="64"/>
      <c r="Y12" s="64"/>
      <c r="Z12" s="64"/>
      <c r="AA12" s="64"/>
      <c r="AB12" s="64"/>
      <c r="AC12" s="64"/>
      <c r="AD12" s="93"/>
      <c r="AE12" s="64"/>
      <c r="AF12" s="64"/>
      <c r="AG12" s="64"/>
      <c r="AH12" s="65" t="str">
        <f>IF((COUNTIFS(Ar_4[[#This Row],[1]:[31]],"&lt;&gt;T34",Ar_4[[#This Row],[1]:[31]],"&lt;&gt;")&lt;&gt;0),COUNTIFS(Ar_4[[#This Row],[1]:[31]],"&lt;&gt;T34",Ar_4[[#This Row],[1]:[31]],"&lt;&gt;"),"")</f>
        <v/>
      </c>
      <c r="AI12" s="66"/>
      <c r="AJ12" s="65"/>
      <c r="AK12" s="65"/>
    </row>
    <row r="13" spans="1:37" ht="30" customHeight="1">
      <c r="A13" s="62">
        <f t="shared" si="0"/>
        <v>9</v>
      </c>
      <c r="B13" s="63" t="s">
        <v>39</v>
      </c>
      <c r="C13" s="64"/>
      <c r="D13" s="64"/>
      <c r="E13" s="64"/>
      <c r="F13" s="64"/>
      <c r="G13" s="64"/>
      <c r="H13" s="64"/>
      <c r="I13" s="93"/>
      <c r="J13" s="64"/>
      <c r="K13" s="64"/>
      <c r="L13" s="64"/>
      <c r="M13" s="64"/>
      <c r="N13" s="64"/>
      <c r="O13" s="64"/>
      <c r="P13" s="93"/>
      <c r="Q13" s="64"/>
      <c r="R13" s="64"/>
      <c r="S13" s="64"/>
      <c r="T13" s="64"/>
      <c r="U13" s="64"/>
      <c r="V13" s="64"/>
      <c r="W13" s="93"/>
      <c r="X13" s="64"/>
      <c r="Y13" s="64"/>
      <c r="Z13" s="64"/>
      <c r="AA13" s="64"/>
      <c r="AB13" s="64"/>
      <c r="AC13" s="64"/>
      <c r="AD13" s="93"/>
      <c r="AE13" s="64"/>
      <c r="AF13" s="64"/>
      <c r="AG13" s="64"/>
      <c r="AH13" s="65" t="str">
        <f>IF((COUNTIFS(Ar_4[[#This Row],[1]:[31]],"&lt;&gt;T34",Ar_4[[#This Row],[1]:[31]],"&lt;&gt;")&lt;&gt;0),COUNTIFS(Ar_4[[#This Row],[1]:[31]],"&lt;&gt;T34",Ar_4[[#This Row],[1]:[31]],"&lt;&gt;"),"")</f>
        <v/>
      </c>
      <c r="AI13" s="66"/>
      <c r="AJ13" s="65"/>
      <c r="AK13" s="65"/>
    </row>
    <row r="14" spans="1:37" ht="30" customHeight="1">
      <c r="A14" s="62">
        <f t="shared" si="0"/>
        <v>10</v>
      </c>
      <c r="B14" s="63" t="s">
        <v>40</v>
      </c>
      <c r="C14" s="64"/>
      <c r="D14" s="64"/>
      <c r="E14" s="64"/>
      <c r="F14" s="64"/>
      <c r="G14" s="64"/>
      <c r="H14" s="64"/>
      <c r="I14" s="93"/>
      <c r="J14" s="64"/>
      <c r="K14" s="64"/>
      <c r="L14" s="64"/>
      <c r="M14" s="64"/>
      <c r="N14" s="64"/>
      <c r="O14" s="64"/>
      <c r="P14" s="93"/>
      <c r="Q14" s="64"/>
      <c r="R14" s="64"/>
      <c r="S14" s="64"/>
      <c r="T14" s="64"/>
      <c r="U14" s="64"/>
      <c r="V14" s="64"/>
      <c r="W14" s="93"/>
      <c r="X14" s="64"/>
      <c r="Y14" s="64"/>
      <c r="Z14" s="64"/>
      <c r="AA14" s="64"/>
      <c r="AB14" s="64"/>
      <c r="AC14" s="64"/>
      <c r="AD14" s="93"/>
      <c r="AE14" s="64"/>
      <c r="AF14" s="64"/>
      <c r="AG14" s="64"/>
      <c r="AH14" s="65" t="str">
        <f>IF((COUNTIFS(Ar_4[[#This Row],[1]:[31]],"&lt;&gt;T34",Ar_4[[#This Row],[1]:[31]],"&lt;&gt;")&lt;&gt;0),COUNTIFS(Ar_4[[#This Row],[1]:[31]],"&lt;&gt;T34",Ar_4[[#This Row],[1]:[31]],"&lt;&gt;"),"")</f>
        <v/>
      </c>
      <c r="AI14" s="66"/>
      <c r="AJ14" s="65"/>
      <c r="AK14" s="65"/>
    </row>
    <row r="15" spans="1:37" ht="30" customHeight="1">
      <c r="A15" s="62">
        <f t="shared" si="0"/>
        <v>11</v>
      </c>
      <c r="B15" s="63" t="s">
        <v>42</v>
      </c>
      <c r="C15" s="64"/>
      <c r="D15" s="64"/>
      <c r="E15" s="64"/>
      <c r="F15" s="64"/>
      <c r="G15" s="64"/>
      <c r="H15" s="64"/>
      <c r="I15" s="93"/>
      <c r="J15" s="64"/>
      <c r="K15" s="64"/>
      <c r="L15" s="64"/>
      <c r="M15" s="64"/>
      <c r="N15" s="64"/>
      <c r="O15" s="64"/>
      <c r="P15" s="93"/>
      <c r="Q15" s="64"/>
      <c r="R15" s="64"/>
      <c r="S15" s="64"/>
      <c r="T15" s="64"/>
      <c r="U15" s="64"/>
      <c r="V15" s="64"/>
      <c r="W15" s="93"/>
      <c r="X15" s="64"/>
      <c r="Y15" s="64"/>
      <c r="Z15" s="64"/>
      <c r="AA15" s="64"/>
      <c r="AB15" s="64"/>
      <c r="AC15" s="64"/>
      <c r="AD15" s="93"/>
      <c r="AE15" s="64"/>
      <c r="AF15" s="64"/>
      <c r="AG15" s="64"/>
      <c r="AH15" s="65" t="str">
        <f>IF((COUNTIFS(Ar_4[[#This Row],[1]:[31]],"&lt;&gt;T34",Ar_4[[#This Row],[1]:[31]],"&lt;&gt;")&lt;&gt;0),COUNTIFS(Ar_4[[#This Row],[1]:[31]],"&lt;&gt;T34",Ar_4[[#This Row],[1]:[31]],"&lt;&gt;"),"")</f>
        <v/>
      </c>
      <c r="AI15" s="66"/>
      <c r="AJ15" s="65"/>
      <c r="AK15" s="65"/>
    </row>
    <row r="16" spans="1:37" ht="30" customHeight="1">
      <c r="A16" s="62">
        <f t="shared" si="0"/>
        <v>12</v>
      </c>
      <c r="B16" s="63" t="s">
        <v>43</v>
      </c>
      <c r="C16" s="64"/>
      <c r="D16" s="64"/>
      <c r="E16" s="64"/>
      <c r="F16" s="64"/>
      <c r="G16" s="64"/>
      <c r="H16" s="64"/>
      <c r="I16" s="93"/>
      <c r="J16" s="64"/>
      <c r="K16" s="64"/>
      <c r="L16" s="64"/>
      <c r="M16" s="64"/>
      <c r="N16" s="64"/>
      <c r="O16" s="64"/>
      <c r="P16" s="93"/>
      <c r="Q16" s="64"/>
      <c r="R16" s="64"/>
      <c r="S16" s="64"/>
      <c r="T16" s="64"/>
      <c r="U16" s="64"/>
      <c r="V16" s="64"/>
      <c r="W16" s="93"/>
      <c r="X16" s="64"/>
      <c r="Y16" s="64"/>
      <c r="Z16" s="64"/>
      <c r="AA16" s="64"/>
      <c r="AB16" s="64"/>
      <c r="AC16" s="64"/>
      <c r="AD16" s="93"/>
      <c r="AE16" s="64"/>
      <c r="AF16" s="64"/>
      <c r="AG16" s="64"/>
      <c r="AH16" s="65" t="str">
        <f>IF((COUNTIFS(Ar_4[[#This Row],[1]:[31]],"&lt;&gt;T34",Ar_4[[#This Row],[1]:[31]],"&lt;&gt;")&lt;&gt;0),COUNTIFS(Ar_4[[#This Row],[1]:[31]],"&lt;&gt;T34",Ar_4[[#This Row],[1]:[31]],"&lt;&gt;"),"")</f>
        <v/>
      </c>
      <c r="AI16" s="66"/>
      <c r="AJ16" s="65"/>
      <c r="AK16" s="65"/>
    </row>
    <row r="17" spans="1:37" ht="30" customHeight="1">
      <c r="A17" s="62">
        <f t="shared" si="0"/>
        <v>13</v>
      </c>
      <c r="B17" s="63" t="s">
        <v>44</v>
      </c>
      <c r="C17" s="64"/>
      <c r="D17" s="64"/>
      <c r="E17" s="64"/>
      <c r="F17" s="64"/>
      <c r="G17" s="64"/>
      <c r="H17" s="64"/>
      <c r="I17" s="93"/>
      <c r="J17" s="64"/>
      <c r="K17" s="64"/>
      <c r="L17" s="64"/>
      <c r="M17" s="64"/>
      <c r="N17" s="64"/>
      <c r="O17" s="64"/>
      <c r="P17" s="93"/>
      <c r="Q17" s="64"/>
      <c r="R17" s="64"/>
      <c r="S17" s="64"/>
      <c r="T17" s="64"/>
      <c r="U17" s="64"/>
      <c r="V17" s="64"/>
      <c r="W17" s="93"/>
      <c r="X17" s="64"/>
      <c r="Y17" s="64"/>
      <c r="Z17" s="64"/>
      <c r="AA17" s="64"/>
      <c r="AB17" s="64"/>
      <c r="AC17" s="64"/>
      <c r="AD17" s="93"/>
      <c r="AE17" s="64"/>
      <c r="AF17" s="64"/>
      <c r="AG17" s="64"/>
      <c r="AH17" s="65" t="str">
        <f>IF((COUNTIFS(Ar_4[[#This Row],[1]:[31]],"&lt;&gt;T34",Ar_4[[#This Row],[1]:[31]],"&lt;&gt;")&lt;&gt;0),COUNTIFS(Ar_4[[#This Row],[1]:[31]],"&lt;&gt;T34",Ar_4[[#This Row],[1]:[31]],"&lt;&gt;"),"")</f>
        <v/>
      </c>
      <c r="AI17" s="66"/>
      <c r="AJ17" s="65"/>
      <c r="AK17" s="65"/>
    </row>
    <row r="18" spans="1:37" ht="30" customHeight="1">
      <c r="A18" s="62">
        <f t="shared" si="0"/>
        <v>14</v>
      </c>
      <c r="B18" s="63" t="s">
        <v>45</v>
      </c>
      <c r="C18" s="64"/>
      <c r="D18" s="64"/>
      <c r="E18" s="64"/>
      <c r="F18" s="64"/>
      <c r="G18" s="64"/>
      <c r="H18" s="64"/>
      <c r="I18" s="93"/>
      <c r="J18" s="64"/>
      <c r="K18" s="64"/>
      <c r="L18" s="64"/>
      <c r="M18" s="64"/>
      <c r="N18" s="64"/>
      <c r="O18" s="64"/>
      <c r="P18" s="93"/>
      <c r="Q18" s="64"/>
      <c r="R18" s="64"/>
      <c r="S18" s="64"/>
      <c r="T18" s="64"/>
      <c r="U18" s="64"/>
      <c r="V18" s="64"/>
      <c r="W18" s="93"/>
      <c r="X18" s="64"/>
      <c r="Y18" s="64"/>
      <c r="Z18" s="64"/>
      <c r="AA18" s="64"/>
      <c r="AB18" s="64"/>
      <c r="AC18" s="64"/>
      <c r="AD18" s="93"/>
      <c r="AE18" s="64"/>
      <c r="AF18" s="64"/>
      <c r="AG18" s="64"/>
      <c r="AH18" s="65" t="str">
        <f>IF((COUNTIFS(Ar_4[[#This Row],[1]:[31]],"&lt;&gt;T34",Ar_4[[#This Row],[1]:[31]],"&lt;&gt;")&lt;&gt;0),COUNTIFS(Ar_4[[#This Row],[1]:[31]],"&lt;&gt;T34",Ar_4[[#This Row],[1]:[31]],"&lt;&gt;"),"")</f>
        <v/>
      </c>
      <c r="AI18" s="66"/>
      <c r="AJ18" s="65"/>
      <c r="AK18" s="65"/>
    </row>
    <row r="19" spans="1:37" ht="30" customHeight="1">
      <c r="A19" s="62">
        <f t="shared" si="0"/>
        <v>15</v>
      </c>
      <c r="B19" s="63" t="s">
        <v>46</v>
      </c>
      <c r="C19" s="64"/>
      <c r="D19" s="64"/>
      <c r="E19" s="64"/>
      <c r="F19" s="64"/>
      <c r="G19" s="64"/>
      <c r="H19" s="64"/>
      <c r="I19" s="93"/>
      <c r="J19" s="64"/>
      <c r="K19" s="64"/>
      <c r="L19" s="64"/>
      <c r="M19" s="64"/>
      <c r="N19" s="64"/>
      <c r="O19" s="64"/>
      <c r="P19" s="93"/>
      <c r="Q19" s="64"/>
      <c r="R19" s="64"/>
      <c r="S19" s="64"/>
      <c r="T19" s="64"/>
      <c r="U19" s="64"/>
      <c r="V19" s="64"/>
      <c r="W19" s="93"/>
      <c r="X19" s="64"/>
      <c r="Y19" s="64"/>
      <c r="Z19" s="64"/>
      <c r="AA19" s="64"/>
      <c r="AB19" s="64"/>
      <c r="AC19" s="64"/>
      <c r="AD19" s="93"/>
      <c r="AE19" s="64"/>
      <c r="AF19" s="64"/>
      <c r="AG19" s="64"/>
      <c r="AH19" s="65" t="str">
        <f>IF((COUNTIFS(Ar_4[[#This Row],[1]:[31]],"&lt;&gt;T34",Ar_4[[#This Row],[1]:[31]],"&lt;&gt;")&lt;&gt;0),COUNTIFS(Ar_4[[#This Row],[1]:[31]],"&lt;&gt;T34",Ar_4[[#This Row],[1]:[31]],"&lt;&gt;"),"")</f>
        <v/>
      </c>
      <c r="AI19" s="66"/>
      <c r="AJ19" s="65"/>
      <c r="AK19" s="65"/>
    </row>
    <row r="20" spans="1:37" ht="30" customHeight="1">
      <c r="A20" s="62">
        <f t="shared" si="0"/>
        <v>16</v>
      </c>
      <c r="B20" s="63" t="s">
        <v>47</v>
      </c>
      <c r="C20" s="64"/>
      <c r="D20" s="64"/>
      <c r="E20" s="64"/>
      <c r="F20" s="64"/>
      <c r="G20" s="64"/>
      <c r="H20" s="64"/>
      <c r="I20" s="93"/>
      <c r="J20" s="64"/>
      <c r="K20" s="64"/>
      <c r="L20" s="64"/>
      <c r="M20" s="64"/>
      <c r="N20" s="64"/>
      <c r="O20" s="64"/>
      <c r="P20" s="93"/>
      <c r="Q20" s="64"/>
      <c r="R20" s="64"/>
      <c r="S20" s="64"/>
      <c r="T20" s="64"/>
      <c r="U20" s="64"/>
      <c r="V20" s="64"/>
      <c r="W20" s="93"/>
      <c r="X20" s="64"/>
      <c r="Y20" s="64"/>
      <c r="Z20" s="64"/>
      <c r="AA20" s="64"/>
      <c r="AB20" s="64"/>
      <c r="AC20" s="64"/>
      <c r="AD20" s="93"/>
      <c r="AE20" s="64"/>
      <c r="AF20" s="64"/>
      <c r="AG20" s="64"/>
      <c r="AH20" s="65" t="str">
        <f>IF((COUNTIFS(Ar_4[[#This Row],[1]:[31]],"&lt;&gt;T34",Ar_4[[#This Row],[1]:[31]],"&lt;&gt;")&lt;&gt;0),COUNTIFS(Ar_4[[#This Row],[1]:[31]],"&lt;&gt;T34",Ar_4[[#This Row],[1]:[31]],"&lt;&gt;"),"")</f>
        <v/>
      </c>
      <c r="AI20" s="66"/>
      <c r="AJ20" s="65"/>
      <c r="AK20" s="65"/>
    </row>
    <row r="21" spans="1:37" ht="30" customHeight="1">
      <c r="A21" s="62">
        <f t="shared" si="0"/>
        <v>17</v>
      </c>
      <c r="B21" s="63" t="s">
        <v>125</v>
      </c>
      <c r="C21" s="64"/>
      <c r="D21" s="64"/>
      <c r="E21" s="64"/>
      <c r="F21" s="64"/>
      <c r="G21" s="64"/>
      <c r="H21" s="64"/>
      <c r="I21" s="93"/>
      <c r="J21" s="64"/>
      <c r="K21" s="64"/>
      <c r="L21" s="64"/>
      <c r="M21" s="64"/>
      <c r="N21" s="64"/>
      <c r="O21" s="64"/>
      <c r="P21" s="93"/>
      <c r="Q21" s="64"/>
      <c r="R21" s="64"/>
      <c r="S21" s="64"/>
      <c r="T21" s="64"/>
      <c r="U21" s="64"/>
      <c r="V21" s="64"/>
      <c r="W21" s="93"/>
      <c r="X21" s="64"/>
      <c r="Y21" s="64"/>
      <c r="Z21" s="64"/>
      <c r="AA21" s="64"/>
      <c r="AB21" s="64"/>
      <c r="AC21" s="64"/>
      <c r="AD21" s="93"/>
      <c r="AE21" s="64"/>
      <c r="AF21" s="64"/>
      <c r="AG21" s="64"/>
      <c r="AH21" s="65" t="str">
        <f>IF((COUNTIFS(Ar_4[[#This Row],[1]:[31]],"&lt;&gt;T34",Ar_4[[#This Row],[1]:[31]],"&lt;&gt;")&lt;&gt;0),COUNTIFS(Ar_4[[#This Row],[1]:[31]],"&lt;&gt;T34",Ar_4[[#This Row],[1]:[31]],"&lt;&gt;"),"")</f>
        <v/>
      </c>
      <c r="AI21" s="66"/>
      <c r="AJ21" s="65"/>
      <c r="AK21" s="65"/>
    </row>
    <row r="22" spans="1:37" ht="30" customHeight="1">
      <c r="A22" s="62">
        <f t="shared" si="0"/>
        <v>18</v>
      </c>
      <c r="B22" s="63" t="s">
        <v>51</v>
      </c>
      <c r="C22" s="64"/>
      <c r="D22" s="64"/>
      <c r="E22" s="64"/>
      <c r="F22" s="64"/>
      <c r="G22" s="64"/>
      <c r="H22" s="64"/>
      <c r="I22" s="93"/>
      <c r="J22" s="64"/>
      <c r="K22" s="64"/>
      <c r="L22" s="64"/>
      <c r="M22" s="64"/>
      <c r="N22" s="64"/>
      <c r="O22" s="64"/>
      <c r="P22" s="93"/>
      <c r="Q22" s="64"/>
      <c r="R22" s="64"/>
      <c r="S22" s="64"/>
      <c r="T22" s="64"/>
      <c r="U22" s="64"/>
      <c r="V22" s="64"/>
      <c r="W22" s="93"/>
      <c r="X22" s="64"/>
      <c r="Y22" s="64"/>
      <c r="Z22" s="64"/>
      <c r="AA22" s="64"/>
      <c r="AB22" s="64"/>
      <c r="AC22" s="64"/>
      <c r="AD22" s="93"/>
      <c r="AE22" s="64"/>
      <c r="AF22" s="64"/>
      <c r="AG22" s="64"/>
      <c r="AH22" s="65" t="str">
        <f>IF((COUNTIFS(Ar_4[[#This Row],[1]:[31]],"&lt;&gt;T34",Ar_4[[#This Row],[1]:[31]],"&lt;&gt;")&lt;&gt;0),COUNTIFS(Ar_4[[#This Row],[1]:[31]],"&lt;&gt;T34",Ar_4[[#This Row],[1]:[31]],"&lt;&gt;"),"")</f>
        <v/>
      </c>
      <c r="AI22" s="66"/>
      <c r="AJ22" s="65"/>
      <c r="AK22" s="65"/>
    </row>
    <row r="23" spans="1:37" ht="30" customHeight="1">
      <c r="A23" s="62">
        <f t="shared" si="0"/>
        <v>19</v>
      </c>
      <c r="B23" s="63" t="s">
        <v>124</v>
      </c>
      <c r="C23" s="64"/>
      <c r="D23" s="64"/>
      <c r="E23" s="64"/>
      <c r="F23" s="64"/>
      <c r="G23" s="64"/>
      <c r="H23" s="64"/>
      <c r="I23" s="93"/>
      <c r="J23" s="64"/>
      <c r="K23" s="64"/>
      <c r="L23" s="64"/>
      <c r="M23" s="64"/>
      <c r="N23" s="64"/>
      <c r="O23" s="64"/>
      <c r="P23" s="93"/>
      <c r="Q23" s="64"/>
      <c r="R23" s="64"/>
      <c r="S23" s="64"/>
      <c r="T23" s="64"/>
      <c r="U23" s="64"/>
      <c r="V23" s="64"/>
      <c r="W23" s="93"/>
      <c r="X23" s="64"/>
      <c r="Y23" s="64"/>
      <c r="Z23" s="64"/>
      <c r="AA23" s="64"/>
      <c r="AB23" s="64"/>
      <c r="AC23" s="64"/>
      <c r="AD23" s="93"/>
      <c r="AE23" s="64"/>
      <c r="AF23" s="64"/>
      <c r="AG23" s="64"/>
      <c r="AH23" s="65" t="str">
        <f>IF((COUNTIFS(Ar_4[[#This Row],[1]:[31]],"&lt;&gt;T34",Ar_4[[#This Row],[1]:[31]],"&lt;&gt;")&lt;&gt;0),COUNTIFS(Ar_4[[#This Row],[1]:[31]],"&lt;&gt;T34",Ar_4[[#This Row],[1]:[31]],"&lt;&gt;"),"")</f>
        <v/>
      </c>
      <c r="AI23" s="66"/>
      <c r="AJ23" s="65"/>
      <c r="AK23" s="65"/>
    </row>
    <row r="24" spans="1:37" ht="30" customHeight="1">
      <c r="A24" s="62">
        <f t="shared" si="0"/>
        <v>20</v>
      </c>
      <c r="B24" s="63" t="s">
        <v>53</v>
      </c>
      <c r="C24" s="64"/>
      <c r="D24" s="64"/>
      <c r="E24" s="64"/>
      <c r="F24" s="64"/>
      <c r="G24" s="64"/>
      <c r="H24" s="64"/>
      <c r="I24" s="93"/>
      <c r="J24" s="64"/>
      <c r="K24" s="64"/>
      <c r="L24" s="64"/>
      <c r="M24" s="64"/>
      <c r="N24" s="64"/>
      <c r="O24" s="64"/>
      <c r="P24" s="93"/>
      <c r="Q24" s="64"/>
      <c r="R24" s="64"/>
      <c r="S24" s="64"/>
      <c r="T24" s="64"/>
      <c r="U24" s="64"/>
      <c r="V24" s="64"/>
      <c r="W24" s="93"/>
      <c r="X24" s="64"/>
      <c r="Y24" s="64"/>
      <c r="Z24" s="64"/>
      <c r="AA24" s="64"/>
      <c r="AB24" s="64"/>
      <c r="AC24" s="64"/>
      <c r="AD24" s="93"/>
      <c r="AE24" s="64"/>
      <c r="AF24" s="64"/>
      <c r="AG24" s="64"/>
      <c r="AH24" s="65" t="str">
        <f>IF((COUNTIFS(Ar_4[[#This Row],[1]:[31]],"&lt;&gt;T34",Ar_4[[#This Row],[1]:[31]],"&lt;&gt;")&lt;&gt;0),COUNTIFS(Ar_4[[#This Row],[1]:[31]],"&lt;&gt;T34",Ar_4[[#This Row],[1]:[31]],"&lt;&gt;"),"")</f>
        <v/>
      </c>
      <c r="AI24" s="66"/>
      <c r="AJ24" s="65"/>
      <c r="AK24" s="65"/>
    </row>
    <row r="25" spans="1:37" ht="30" customHeight="1">
      <c r="A25" s="62">
        <f t="shared" si="0"/>
        <v>21</v>
      </c>
      <c r="B25" s="63" t="s">
        <v>127</v>
      </c>
      <c r="C25" s="64"/>
      <c r="D25" s="64"/>
      <c r="E25" s="64"/>
      <c r="F25" s="64"/>
      <c r="G25" s="64"/>
      <c r="H25" s="64"/>
      <c r="I25" s="93"/>
      <c r="J25" s="64"/>
      <c r="K25" s="64"/>
      <c r="L25" s="64"/>
      <c r="M25" s="64"/>
      <c r="N25" s="64"/>
      <c r="O25" s="64"/>
      <c r="P25" s="93"/>
      <c r="Q25" s="64"/>
      <c r="R25" s="64"/>
      <c r="S25" s="64"/>
      <c r="T25" s="64"/>
      <c r="U25" s="64"/>
      <c r="V25" s="64"/>
      <c r="W25" s="93"/>
      <c r="X25" s="64"/>
      <c r="Y25" s="64"/>
      <c r="Z25" s="64"/>
      <c r="AA25" s="64"/>
      <c r="AB25" s="64"/>
      <c r="AC25" s="64"/>
      <c r="AD25" s="93"/>
      <c r="AE25" s="64"/>
      <c r="AF25" s="64"/>
      <c r="AG25" s="64"/>
      <c r="AH25" s="65" t="str">
        <f>IF((COUNTIFS(Ar_4[[#This Row],[1]:[31]],"&lt;&gt;T34",Ar_4[[#This Row],[1]:[31]],"&lt;&gt;")&lt;&gt;0),COUNTIFS(Ar_4[[#This Row],[1]:[31]],"&lt;&gt;T34",Ar_4[[#This Row],[1]:[31]],"&lt;&gt;"),"")</f>
        <v/>
      </c>
      <c r="AI25" s="66"/>
      <c r="AJ25" s="65"/>
      <c r="AK25" s="65"/>
    </row>
    <row r="26" spans="1:37" ht="30" customHeight="1">
      <c r="A26" s="62">
        <f t="shared" si="0"/>
        <v>22</v>
      </c>
      <c r="B26" s="63" t="s">
        <v>123</v>
      </c>
      <c r="C26" s="64"/>
      <c r="D26" s="64"/>
      <c r="E26" s="64"/>
      <c r="F26" s="64"/>
      <c r="G26" s="64"/>
      <c r="H26" s="64"/>
      <c r="I26" s="93"/>
      <c r="J26" s="64"/>
      <c r="K26" s="64"/>
      <c r="L26" s="64"/>
      <c r="M26" s="64"/>
      <c r="N26" s="64"/>
      <c r="O26" s="64"/>
      <c r="P26" s="93"/>
      <c r="Q26" s="64"/>
      <c r="R26" s="64"/>
      <c r="S26" s="64"/>
      <c r="T26" s="64"/>
      <c r="U26" s="64"/>
      <c r="V26" s="64"/>
      <c r="W26" s="93"/>
      <c r="X26" s="64"/>
      <c r="Y26" s="64"/>
      <c r="Z26" s="64"/>
      <c r="AA26" s="64"/>
      <c r="AB26" s="64"/>
      <c r="AC26" s="64"/>
      <c r="AD26" s="93"/>
      <c r="AE26" s="64"/>
      <c r="AF26" s="64"/>
      <c r="AG26" s="64"/>
      <c r="AH26" s="65" t="str">
        <f>IF((COUNTIFS(Ar_4[[#This Row],[1]:[31]],"&lt;&gt;T34",Ar_4[[#This Row],[1]:[31]],"&lt;&gt;")&lt;&gt;0),COUNTIFS(Ar_4[[#This Row],[1]:[31]],"&lt;&gt;T34",Ar_4[[#This Row],[1]:[31]],"&lt;&gt;"),"")</f>
        <v/>
      </c>
      <c r="AI26" s="66"/>
      <c r="AJ26" s="65"/>
      <c r="AK26" s="65"/>
    </row>
    <row r="27" spans="1:37" ht="30" customHeight="1">
      <c r="A27" s="62">
        <f t="shared" si="0"/>
        <v>23</v>
      </c>
      <c r="B27" s="63" t="s">
        <v>126</v>
      </c>
      <c r="C27" s="64"/>
      <c r="D27" s="64"/>
      <c r="E27" s="64"/>
      <c r="F27" s="64"/>
      <c r="G27" s="64"/>
      <c r="H27" s="64"/>
      <c r="I27" s="93"/>
      <c r="J27" s="64"/>
      <c r="K27" s="64"/>
      <c r="L27" s="64"/>
      <c r="M27" s="64"/>
      <c r="N27" s="64"/>
      <c r="O27" s="64"/>
      <c r="P27" s="93"/>
      <c r="Q27" s="64"/>
      <c r="R27" s="64"/>
      <c r="S27" s="64"/>
      <c r="T27" s="64"/>
      <c r="U27" s="64"/>
      <c r="V27" s="64"/>
      <c r="W27" s="93"/>
      <c r="X27" s="64"/>
      <c r="Y27" s="64"/>
      <c r="Z27" s="64"/>
      <c r="AA27" s="64"/>
      <c r="AB27" s="64"/>
      <c r="AC27" s="64"/>
      <c r="AD27" s="93"/>
      <c r="AE27" s="64"/>
      <c r="AF27" s="64"/>
      <c r="AG27" s="64"/>
      <c r="AH27" s="65" t="str">
        <f>IF((COUNTIFS(Ar_4[[#This Row],[1]:[31]],"&lt;&gt;T34",Ar_4[[#This Row],[1]:[31]],"&lt;&gt;")&lt;&gt;0),COUNTIFS(Ar_4[[#This Row],[1]:[31]],"&lt;&gt;T34",Ar_4[[#This Row],[1]:[31]],"&lt;&gt;"),"")</f>
        <v/>
      </c>
      <c r="AI27" s="66"/>
      <c r="AJ27" s="65"/>
      <c r="AK27" s="65"/>
    </row>
    <row r="28" spans="1:37" ht="30" customHeight="1">
      <c r="A28" s="62">
        <f t="shared" si="0"/>
        <v>24</v>
      </c>
      <c r="B28" s="63" t="s">
        <v>60</v>
      </c>
      <c r="C28" s="64"/>
      <c r="D28" s="64"/>
      <c r="E28" s="64"/>
      <c r="F28" s="64"/>
      <c r="G28" s="64"/>
      <c r="H28" s="64"/>
      <c r="I28" s="93"/>
      <c r="J28" s="64"/>
      <c r="K28" s="64"/>
      <c r="L28" s="64"/>
      <c r="M28" s="64"/>
      <c r="N28" s="64"/>
      <c r="O28" s="64"/>
      <c r="P28" s="93"/>
      <c r="Q28" s="64"/>
      <c r="R28" s="64"/>
      <c r="S28" s="64"/>
      <c r="T28" s="64"/>
      <c r="U28" s="64"/>
      <c r="V28" s="64"/>
      <c r="W28" s="93"/>
      <c r="X28" s="64"/>
      <c r="Y28" s="64"/>
      <c r="Z28" s="64"/>
      <c r="AA28" s="64"/>
      <c r="AB28" s="64"/>
      <c r="AC28" s="64"/>
      <c r="AD28" s="93"/>
      <c r="AE28" s="64"/>
      <c r="AF28" s="64"/>
      <c r="AG28" s="64"/>
      <c r="AH28" s="65" t="str">
        <f>IF((COUNTIFS(Ar_4[[#This Row],[1]:[31]],"&lt;&gt;T34",Ar_4[[#This Row],[1]:[31]],"&lt;&gt;")&lt;&gt;0),COUNTIFS(Ar_4[[#This Row],[1]:[31]],"&lt;&gt;T34",Ar_4[[#This Row],[1]:[31]],"&lt;&gt;"),"")</f>
        <v/>
      </c>
      <c r="AI28" s="66"/>
      <c r="AJ28" s="65"/>
      <c r="AK28" s="65"/>
    </row>
    <row r="29" spans="1:37" ht="30" customHeight="1">
      <c r="A29" s="62">
        <f t="shared" si="0"/>
        <v>25</v>
      </c>
      <c r="B29" s="63" t="s">
        <v>61</v>
      </c>
      <c r="C29" s="64"/>
      <c r="D29" s="64"/>
      <c r="E29" s="64"/>
      <c r="F29" s="64"/>
      <c r="G29" s="64"/>
      <c r="H29" s="64"/>
      <c r="I29" s="93"/>
      <c r="J29" s="64"/>
      <c r="K29" s="64"/>
      <c r="L29" s="64"/>
      <c r="M29" s="64"/>
      <c r="N29" s="64"/>
      <c r="O29" s="64"/>
      <c r="P29" s="93"/>
      <c r="Q29" s="64"/>
      <c r="R29" s="64"/>
      <c r="S29" s="64"/>
      <c r="T29" s="64"/>
      <c r="U29" s="64"/>
      <c r="V29" s="64"/>
      <c r="W29" s="93"/>
      <c r="X29" s="64"/>
      <c r="Y29" s="64"/>
      <c r="Z29" s="64"/>
      <c r="AA29" s="64"/>
      <c r="AB29" s="64"/>
      <c r="AC29" s="64"/>
      <c r="AD29" s="93"/>
      <c r="AE29" s="64"/>
      <c r="AF29" s="64"/>
      <c r="AG29" s="64"/>
      <c r="AH29" s="65" t="str">
        <f>IF((COUNTIFS(Ar_4[[#This Row],[1]:[31]],"&lt;&gt;T34",Ar_4[[#This Row],[1]:[31]],"&lt;&gt;")&lt;&gt;0),COUNTIFS(Ar_4[[#This Row],[1]:[31]],"&lt;&gt;T34",Ar_4[[#This Row],[1]:[31]],"&lt;&gt;"),"")</f>
        <v/>
      </c>
      <c r="AI29" s="66"/>
      <c r="AJ29" s="65"/>
      <c r="AK29" s="65"/>
    </row>
    <row r="30" spans="1:37" ht="30" customHeight="1">
      <c r="A30" s="62">
        <f t="shared" si="0"/>
        <v>26</v>
      </c>
      <c r="B30" s="63" t="s">
        <v>62</v>
      </c>
      <c r="C30" s="64"/>
      <c r="D30" s="64"/>
      <c r="E30" s="64"/>
      <c r="F30" s="64"/>
      <c r="G30" s="64"/>
      <c r="H30" s="64"/>
      <c r="I30" s="93"/>
      <c r="J30" s="64"/>
      <c r="K30" s="64"/>
      <c r="L30" s="64"/>
      <c r="M30" s="64"/>
      <c r="N30" s="64"/>
      <c r="O30" s="64"/>
      <c r="P30" s="93"/>
      <c r="Q30" s="64"/>
      <c r="R30" s="64"/>
      <c r="S30" s="64"/>
      <c r="T30" s="64"/>
      <c r="U30" s="64"/>
      <c r="V30" s="64"/>
      <c r="W30" s="93"/>
      <c r="X30" s="64"/>
      <c r="Y30" s="64"/>
      <c r="Z30" s="64"/>
      <c r="AA30" s="64"/>
      <c r="AB30" s="64"/>
      <c r="AC30" s="64"/>
      <c r="AD30" s="93"/>
      <c r="AE30" s="64"/>
      <c r="AF30" s="64"/>
      <c r="AG30" s="64"/>
      <c r="AH30" s="65" t="str">
        <f>IF((COUNTIFS(Ar_4[[#This Row],[1]:[31]],"&lt;&gt;T34",Ar_4[[#This Row],[1]:[31]],"&lt;&gt;")&lt;&gt;0),COUNTIFS(Ar_4[[#This Row],[1]:[31]],"&lt;&gt;T34",Ar_4[[#This Row],[1]:[31]],"&lt;&gt;"),"")</f>
        <v/>
      </c>
      <c r="AI30" s="66"/>
      <c r="AJ30" s="65"/>
      <c r="AK30" s="65"/>
    </row>
    <row r="31" spans="1:37" ht="30" customHeight="1">
      <c r="A31" s="62">
        <f t="shared" si="0"/>
        <v>27</v>
      </c>
      <c r="B31" s="63" t="s">
        <v>63</v>
      </c>
      <c r="C31" s="64"/>
      <c r="D31" s="64"/>
      <c r="E31" s="64"/>
      <c r="F31" s="64"/>
      <c r="G31" s="64"/>
      <c r="H31" s="64"/>
      <c r="I31" s="93"/>
      <c r="J31" s="64"/>
      <c r="K31" s="64"/>
      <c r="L31" s="64"/>
      <c r="M31" s="64"/>
      <c r="N31" s="64"/>
      <c r="O31" s="64"/>
      <c r="P31" s="93"/>
      <c r="Q31" s="64"/>
      <c r="R31" s="64"/>
      <c r="S31" s="64"/>
      <c r="T31" s="64"/>
      <c r="U31" s="64"/>
      <c r="V31" s="64"/>
      <c r="W31" s="93"/>
      <c r="X31" s="64"/>
      <c r="Y31" s="64"/>
      <c r="Z31" s="64"/>
      <c r="AA31" s="64"/>
      <c r="AB31" s="64"/>
      <c r="AC31" s="64"/>
      <c r="AD31" s="93"/>
      <c r="AE31" s="64"/>
      <c r="AF31" s="64"/>
      <c r="AG31" s="64"/>
      <c r="AH31" s="65" t="str">
        <f>IF((COUNTIFS(Ar_4[[#This Row],[1]:[31]],"&lt;&gt;T34",Ar_4[[#This Row],[1]:[31]],"&lt;&gt;")&lt;&gt;0),COUNTIFS(Ar_4[[#This Row],[1]:[31]],"&lt;&gt;T34",Ar_4[[#This Row],[1]:[31]],"&lt;&gt;"),"")</f>
        <v/>
      </c>
      <c r="AI31" s="66"/>
      <c r="AJ31" s="65"/>
      <c r="AK31" s="65"/>
    </row>
    <row r="32" spans="1:37">
      <c r="A32" s="62">
        <f t="shared" si="0"/>
        <v>28</v>
      </c>
      <c r="B32" s="63" t="s">
        <v>64</v>
      </c>
      <c r="C32" s="67"/>
      <c r="D32" s="67"/>
      <c r="E32" s="67"/>
      <c r="F32" s="68"/>
      <c r="G32" s="68"/>
      <c r="H32" s="68"/>
      <c r="I32" s="89"/>
      <c r="J32" s="68"/>
      <c r="K32" s="67"/>
      <c r="L32" s="69"/>
      <c r="M32" s="69"/>
      <c r="N32" s="69"/>
      <c r="O32" s="69"/>
      <c r="P32" s="89"/>
      <c r="Q32" s="69"/>
      <c r="R32" s="69"/>
      <c r="S32" s="69"/>
      <c r="T32" s="69"/>
      <c r="U32" s="69"/>
      <c r="V32" s="69"/>
      <c r="W32" s="89"/>
      <c r="X32" s="69"/>
      <c r="Y32" s="69"/>
      <c r="Z32" s="69"/>
      <c r="AA32" s="69"/>
      <c r="AB32" s="69"/>
      <c r="AC32" s="69"/>
      <c r="AD32" s="89"/>
      <c r="AE32" s="69"/>
      <c r="AF32" s="69"/>
      <c r="AG32" s="69"/>
      <c r="AH32" s="70" t="str">
        <f>IF((COUNTIFS(Ar_4[[#This Row],[1]:[31]],"&lt;&gt;T34",Ar_4[[#This Row],[1]:[31]],"&lt;&gt;")&lt;&gt;0),COUNTIFS(Ar_4[[#This Row],[1]:[31]],"&lt;&gt;T34",Ar_4[[#This Row],[1]:[31]],"&lt;&gt;"),"")</f>
        <v/>
      </c>
      <c r="AI32" s="71"/>
      <c r="AJ32" s="65"/>
      <c r="AK32" s="65"/>
    </row>
    <row r="33" spans="1:37">
      <c r="A33" s="62">
        <f t="shared" si="0"/>
        <v>29</v>
      </c>
      <c r="B33" s="63" t="s">
        <v>65</v>
      </c>
      <c r="C33" s="64"/>
      <c r="D33" s="64"/>
      <c r="E33" s="64"/>
      <c r="F33" s="72"/>
      <c r="G33" s="72"/>
      <c r="H33" s="72"/>
      <c r="I33" s="98"/>
      <c r="J33" s="72"/>
      <c r="K33" s="64"/>
      <c r="L33" s="73"/>
      <c r="M33" s="73"/>
      <c r="N33" s="73"/>
      <c r="O33" s="73"/>
      <c r="P33" s="98"/>
      <c r="Q33" s="73"/>
      <c r="R33" s="73"/>
      <c r="S33" s="73"/>
      <c r="T33" s="73"/>
      <c r="U33" s="73"/>
      <c r="V33" s="73"/>
      <c r="W33" s="98"/>
      <c r="X33" s="73"/>
      <c r="Y33" s="73"/>
      <c r="Z33" s="73"/>
      <c r="AA33" s="73"/>
      <c r="AB33" s="73"/>
      <c r="AC33" s="73"/>
      <c r="AD33" s="98"/>
      <c r="AE33" s="73"/>
      <c r="AF33" s="73"/>
      <c r="AG33" s="73"/>
      <c r="AH33" s="65" t="str">
        <f>IF((COUNTIFS(Ar_4[[#This Row],[1]:[31]],"&lt;&gt;T34",Ar_4[[#This Row],[1]:[31]],"&lt;&gt;")&lt;&gt;0),COUNTIFS(Ar_4[[#This Row],[1]:[31]],"&lt;&gt;T34",Ar_4[[#This Row],[1]:[31]],"&lt;&gt;"),"")</f>
        <v/>
      </c>
      <c r="AI33" s="66"/>
      <c r="AJ33" s="65"/>
      <c r="AK33" s="65"/>
    </row>
    <row r="34" spans="1:37">
      <c r="A34" s="62">
        <f t="shared" si="0"/>
        <v>30</v>
      </c>
      <c r="B34" s="87" t="s">
        <v>66</v>
      </c>
      <c r="C34" s="64"/>
      <c r="D34" s="64"/>
      <c r="E34" s="64"/>
      <c r="F34" s="72"/>
      <c r="G34" s="72"/>
      <c r="H34" s="72"/>
      <c r="I34" s="98"/>
      <c r="J34" s="72"/>
      <c r="K34" s="64"/>
      <c r="L34" s="73"/>
      <c r="M34" s="73"/>
      <c r="N34" s="73"/>
      <c r="O34" s="73"/>
      <c r="P34" s="98"/>
      <c r="Q34" s="73"/>
      <c r="R34" s="73"/>
      <c r="S34" s="73"/>
      <c r="T34" s="73"/>
      <c r="U34" s="73"/>
      <c r="V34" s="73"/>
      <c r="W34" s="98"/>
      <c r="X34" s="73"/>
      <c r="Y34" s="73"/>
      <c r="Z34" s="73"/>
      <c r="AA34" s="73"/>
      <c r="AB34" s="73"/>
      <c r="AC34" s="73"/>
      <c r="AD34" s="98"/>
      <c r="AE34" s="73"/>
      <c r="AF34" s="73"/>
      <c r="AG34" s="73"/>
      <c r="AH34" s="65" t="str">
        <f>IF((COUNTIFS(Ar_4[[#This Row],[1]:[31]],"&lt;&gt;T34",Ar_4[[#This Row],[1]:[31]],"&lt;&gt;")&lt;&gt;0),COUNTIFS(Ar_4[[#This Row],[1]:[31]],"&lt;&gt;T34",Ar_4[[#This Row],[1]:[31]],"&lt;&gt;"),"")</f>
        <v/>
      </c>
      <c r="AI34" s="88"/>
      <c r="AJ34" s="65"/>
      <c r="AK34" s="65"/>
    </row>
    <row r="35" spans="1:37">
      <c r="A35" s="62">
        <f t="shared" si="0"/>
        <v>31</v>
      </c>
      <c r="B35" s="87" t="s">
        <v>67</v>
      </c>
      <c r="C35" s="64"/>
      <c r="D35" s="64"/>
      <c r="E35" s="64"/>
      <c r="F35" s="72"/>
      <c r="G35" s="72"/>
      <c r="H35" s="72"/>
      <c r="I35" s="98"/>
      <c r="J35" s="72"/>
      <c r="K35" s="64"/>
      <c r="L35" s="73"/>
      <c r="M35" s="73"/>
      <c r="N35" s="73"/>
      <c r="O35" s="73"/>
      <c r="P35" s="98"/>
      <c r="Q35" s="73"/>
      <c r="R35" s="73"/>
      <c r="S35" s="73"/>
      <c r="T35" s="73"/>
      <c r="U35" s="73"/>
      <c r="V35" s="73"/>
      <c r="W35" s="98"/>
      <c r="X35" s="73"/>
      <c r="Y35" s="73"/>
      <c r="Z35" s="73"/>
      <c r="AA35" s="73"/>
      <c r="AB35" s="73"/>
      <c r="AC35" s="73"/>
      <c r="AD35" s="98"/>
      <c r="AE35" s="73"/>
      <c r="AF35" s="73"/>
      <c r="AG35" s="73"/>
      <c r="AH35" s="65" t="str">
        <f>IF((COUNTIFS(Ar_4[[#This Row],[1]:[31]],"&lt;&gt;T34",Ar_4[[#This Row],[1]:[31]],"&lt;&gt;")&lt;&gt;0),COUNTIFS(Ar_4[[#This Row],[1]:[31]],"&lt;&gt;T34",Ar_4[[#This Row],[1]:[31]],"&lt;&gt;"),"")</f>
        <v/>
      </c>
      <c r="AI35" s="88"/>
      <c r="AJ35" s="65"/>
      <c r="AK35" s="65"/>
    </row>
    <row r="36" spans="1:37">
      <c r="A36" s="62">
        <f t="shared" si="0"/>
        <v>32</v>
      </c>
      <c r="B36" s="87" t="s">
        <v>68</v>
      </c>
      <c r="C36" s="64"/>
      <c r="D36" s="64"/>
      <c r="E36" s="64"/>
      <c r="F36" s="72"/>
      <c r="G36" s="72"/>
      <c r="H36" s="72"/>
      <c r="I36" s="98"/>
      <c r="J36" s="72"/>
      <c r="K36" s="64"/>
      <c r="L36" s="73"/>
      <c r="M36" s="73"/>
      <c r="N36" s="73"/>
      <c r="O36" s="73"/>
      <c r="P36" s="98"/>
      <c r="Q36" s="73"/>
      <c r="R36" s="73"/>
      <c r="S36" s="73"/>
      <c r="T36" s="73"/>
      <c r="U36" s="73"/>
      <c r="V36" s="73"/>
      <c r="W36" s="98"/>
      <c r="X36" s="73"/>
      <c r="Y36" s="73"/>
      <c r="Z36" s="73"/>
      <c r="AA36" s="73"/>
      <c r="AB36" s="73"/>
      <c r="AC36" s="73"/>
      <c r="AD36" s="98"/>
      <c r="AE36" s="73"/>
      <c r="AF36" s="73"/>
      <c r="AG36" s="73"/>
      <c r="AH36" s="65" t="str">
        <f>IF((COUNTIFS(Ar_4[[#This Row],[1]:[31]],"&lt;&gt;T34",Ar_4[[#This Row],[1]:[31]],"&lt;&gt;")&lt;&gt;0),COUNTIFS(Ar_4[[#This Row],[1]:[31]],"&lt;&gt;T34",Ar_4[[#This Row],[1]:[31]],"&lt;&gt;"),"")</f>
        <v/>
      </c>
      <c r="AI36" s="88"/>
      <c r="AJ36" s="65"/>
      <c r="AK36" s="65"/>
    </row>
    <row r="37" spans="1:37">
      <c r="A37" s="62">
        <f t="shared" si="0"/>
        <v>33</v>
      </c>
      <c r="B37" s="87" t="s">
        <v>69</v>
      </c>
      <c r="C37" s="64"/>
      <c r="D37" s="64"/>
      <c r="E37" s="64"/>
      <c r="F37" s="72"/>
      <c r="G37" s="72"/>
      <c r="H37" s="72"/>
      <c r="I37" s="98"/>
      <c r="J37" s="72"/>
      <c r="K37" s="64"/>
      <c r="L37" s="73"/>
      <c r="M37" s="73"/>
      <c r="N37" s="73"/>
      <c r="O37" s="73"/>
      <c r="P37" s="98"/>
      <c r="Q37" s="73"/>
      <c r="R37" s="73"/>
      <c r="S37" s="73"/>
      <c r="T37" s="73"/>
      <c r="U37" s="73"/>
      <c r="V37" s="73"/>
      <c r="W37" s="98"/>
      <c r="X37" s="73"/>
      <c r="Y37" s="73"/>
      <c r="Z37" s="73"/>
      <c r="AA37" s="73"/>
      <c r="AB37" s="73"/>
      <c r="AC37" s="73"/>
      <c r="AD37" s="98"/>
      <c r="AE37" s="73"/>
      <c r="AF37" s="73"/>
      <c r="AG37" s="73"/>
      <c r="AH37" s="65" t="str">
        <f>IF((COUNTIFS(Ar_4[[#This Row],[1]:[31]],"&lt;&gt;T34",Ar_4[[#This Row],[1]:[31]],"&lt;&gt;")&lt;&gt;0),COUNTIFS(Ar_4[[#This Row],[1]:[31]],"&lt;&gt;T34",Ar_4[[#This Row],[1]:[31]],"&lt;&gt;"),"")</f>
        <v/>
      </c>
      <c r="AI37" s="88"/>
      <c r="AJ37" s="65"/>
      <c r="AK37" s="65"/>
    </row>
    <row r="38" spans="1:37">
      <c r="A38" s="62">
        <f t="shared" si="0"/>
        <v>34</v>
      </c>
      <c r="B38" s="87" t="s">
        <v>70</v>
      </c>
      <c r="C38" s="64"/>
      <c r="D38" s="64"/>
      <c r="E38" s="64"/>
      <c r="F38" s="72"/>
      <c r="G38" s="72"/>
      <c r="H38" s="72"/>
      <c r="I38" s="98"/>
      <c r="J38" s="72"/>
      <c r="K38" s="64"/>
      <c r="L38" s="73"/>
      <c r="M38" s="73"/>
      <c r="N38" s="73"/>
      <c r="O38" s="73"/>
      <c r="P38" s="98"/>
      <c r="Q38" s="73"/>
      <c r="R38" s="73"/>
      <c r="S38" s="73"/>
      <c r="T38" s="73"/>
      <c r="U38" s="73"/>
      <c r="V38" s="73"/>
      <c r="W38" s="98"/>
      <c r="X38" s="73"/>
      <c r="Y38" s="73"/>
      <c r="Z38" s="73"/>
      <c r="AA38" s="73"/>
      <c r="AB38" s="73"/>
      <c r="AC38" s="73"/>
      <c r="AD38" s="98"/>
      <c r="AE38" s="73"/>
      <c r="AF38" s="73"/>
      <c r="AG38" s="73"/>
      <c r="AH38" s="65" t="str">
        <f>IF((COUNTIFS(Ar_4[[#This Row],[1]:[31]],"&lt;&gt;T34",Ar_4[[#This Row],[1]:[31]],"&lt;&gt;")&lt;&gt;0),COUNTIFS(Ar_4[[#This Row],[1]:[31]],"&lt;&gt;T34",Ar_4[[#This Row],[1]:[31]],"&lt;&gt;"),"")</f>
        <v/>
      </c>
      <c r="AI38" s="88"/>
      <c r="AJ38" s="65"/>
      <c r="AK38" s="65"/>
    </row>
    <row r="39" spans="1:37">
      <c r="A39" s="62">
        <f t="shared" si="0"/>
        <v>35</v>
      </c>
      <c r="B39" s="87" t="s">
        <v>72</v>
      </c>
      <c r="C39" s="64"/>
      <c r="D39" s="64"/>
      <c r="E39" s="64"/>
      <c r="F39" s="72"/>
      <c r="G39" s="72"/>
      <c r="H39" s="72"/>
      <c r="I39" s="98"/>
      <c r="J39" s="72"/>
      <c r="K39" s="64"/>
      <c r="L39" s="73"/>
      <c r="M39" s="73"/>
      <c r="N39" s="73"/>
      <c r="O39" s="73"/>
      <c r="P39" s="98"/>
      <c r="Q39" s="73"/>
      <c r="R39" s="73"/>
      <c r="S39" s="73"/>
      <c r="T39" s="73"/>
      <c r="U39" s="73"/>
      <c r="V39" s="73"/>
      <c r="W39" s="98"/>
      <c r="X39" s="73"/>
      <c r="Y39" s="73"/>
      <c r="Z39" s="73"/>
      <c r="AA39" s="73"/>
      <c r="AB39" s="73"/>
      <c r="AC39" s="73"/>
      <c r="AD39" s="98"/>
      <c r="AE39" s="73"/>
      <c r="AF39" s="73"/>
      <c r="AG39" s="73"/>
      <c r="AH39" s="65" t="str">
        <f>IF((COUNTIFS(Ar_4[[#This Row],[1]:[31]],"&lt;&gt;T34",Ar_4[[#This Row],[1]:[31]],"&lt;&gt;")&lt;&gt;0),COUNTIFS(Ar_4[[#This Row],[1]:[31]],"&lt;&gt;T34",Ar_4[[#This Row],[1]:[31]],"&lt;&gt;"),"")</f>
        <v/>
      </c>
      <c r="AI39" s="88"/>
      <c r="AJ39" s="65"/>
      <c r="AK39" s="65"/>
    </row>
    <row r="40" spans="1:37">
      <c r="A40" s="62">
        <f t="shared" si="0"/>
        <v>36</v>
      </c>
      <c r="B40" s="87" t="s">
        <v>73</v>
      </c>
      <c r="C40" s="64"/>
      <c r="D40" s="64"/>
      <c r="E40" s="64"/>
      <c r="F40" s="72"/>
      <c r="G40" s="72"/>
      <c r="H40" s="72"/>
      <c r="I40" s="98"/>
      <c r="J40" s="72"/>
      <c r="K40" s="64"/>
      <c r="L40" s="73"/>
      <c r="M40" s="73"/>
      <c r="N40" s="73"/>
      <c r="O40" s="73"/>
      <c r="P40" s="98"/>
      <c r="Q40" s="73"/>
      <c r="R40" s="73"/>
      <c r="S40" s="73"/>
      <c r="T40" s="73"/>
      <c r="U40" s="73"/>
      <c r="V40" s="73"/>
      <c r="W40" s="98"/>
      <c r="X40" s="73"/>
      <c r="Y40" s="73"/>
      <c r="Z40" s="73"/>
      <c r="AA40" s="73"/>
      <c r="AB40" s="73"/>
      <c r="AC40" s="73"/>
      <c r="AD40" s="98"/>
      <c r="AE40" s="73"/>
      <c r="AF40" s="73"/>
      <c r="AG40" s="73"/>
      <c r="AH40" s="65" t="str">
        <f>IF((COUNTIFS(Ar_4[[#This Row],[1]:[31]],"&lt;&gt;T34",Ar_4[[#This Row],[1]:[31]],"&lt;&gt;")&lt;&gt;0),COUNTIFS(Ar_4[[#This Row],[1]:[31]],"&lt;&gt;T34",Ar_4[[#This Row],[1]:[31]],"&lt;&gt;"),"")</f>
        <v/>
      </c>
      <c r="AI40" s="88"/>
      <c r="AJ40" s="65"/>
      <c r="AK40" s="65"/>
    </row>
    <row r="41" spans="1:37">
      <c r="A41" s="62">
        <f t="shared" si="0"/>
        <v>37</v>
      </c>
      <c r="B41" s="87" t="s">
        <v>74</v>
      </c>
      <c r="C41" s="64"/>
      <c r="D41" s="64"/>
      <c r="E41" s="64"/>
      <c r="F41" s="72"/>
      <c r="G41" s="72"/>
      <c r="H41" s="72"/>
      <c r="I41" s="98"/>
      <c r="J41" s="72"/>
      <c r="K41" s="64"/>
      <c r="L41" s="73"/>
      <c r="M41" s="73"/>
      <c r="N41" s="73"/>
      <c r="O41" s="73"/>
      <c r="P41" s="98"/>
      <c r="Q41" s="73"/>
      <c r="R41" s="73"/>
      <c r="S41" s="73"/>
      <c r="T41" s="73"/>
      <c r="U41" s="73"/>
      <c r="V41" s="73"/>
      <c r="W41" s="98"/>
      <c r="X41" s="73"/>
      <c r="Y41" s="73"/>
      <c r="Z41" s="73"/>
      <c r="AA41" s="73"/>
      <c r="AB41" s="73"/>
      <c r="AC41" s="73"/>
      <c r="AD41" s="98"/>
      <c r="AE41" s="73"/>
      <c r="AF41" s="73"/>
      <c r="AG41" s="73"/>
      <c r="AH41" s="65" t="str">
        <f>IF((COUNTIFS(Ar_4[[#This Row],[1]:[31]],"&lt;&gt;T34",Ar_4[[#This Row],[1]:[31]],"&lt;&gt;")&lt;&gt;0),COUNTIFS(Ar_4[[#This Row],[1]:[31]],"&lt;&gt;T34",Ar_4[[#This Row],[1]:[31]],"&lt;&gt;"),"")</f>
        <v/>
      </c>
      <c r="AI41" s="88"/>
      <c r="AJ41" s="65"/>
      <c r="AK41" s="65"/>
    </row>
    <row r="42" spans="1:37">
      <c r="A42" s="62">
        <f t="shared" si="0"/>
        <v>38</v>
      </c>
      <c r="B42" s="87" t="s">
        <v>75</v>
      </c>
      <c r="C42" s="64"/>
      <c r="D42" s="64"/>
      <c r="E42" s="64"/>
      <c r="F42" s="72"/>
      <c r="G42" s="72"/>
      <c r="H42" s="72"/>
      <c r="I42" s="98"/>
      <c r="J42" s="72"/>
      <c r="K42" s="64"/>
      <c r="L42" s="73"/>
      <c r="M42" s="73"/>
      <c r="N42" s="73"/>
      <c r="O42" s="73"/>
      <c r="P42" s="98"/>
      <c r="Q42" s="73"/>
      <c r="R42" s="73"/>
      <c r="S42" s="73"/>
      <c r="T42" s="73"/>
      <c r="U42" s="73"/>
      <c r="V42" s="73"/>
      <c r="W42" s="98"/>
      <c r="X42" s="73"/>
      <c r="Y42" s="73"/>
      <c r="Z42" s="73"/>
      <c r="AA42" s="73"/>
      <c r="AB42" s="73"/>
      <c r="AC42" s="73"/>
      <c r="AD42" s="98"/>
      <c r="AE42" s="73"/>
      <c r="AF42" s="73"/>
      <c r="AG42" s="73"/>
      <c r="AH42" s="65" t="str">
        <f>IF((COUNTIFS(Ar_4[[#This Row],[1]:[31]],"&lt;&gt;T34",Ar_4[[#This Row],[1]:[31]],"&lt;&gt;")&lt;&gt;0),COUNTIFS(Ar_4[[#This Row],[1]:[31]],"&lt;&gt;T34",Ar_4[[#This Row],[1]:[31]],"&lt;&gt;"),"")</f>
        <v/>
      </c>
      <c r="AI42" s="88"/>
      <c r="AJ42" s="65"/>
      <c r="AK42" s="65"/>
    </row>
    <row r="43" spans="1:37">
      <c r="A43" s="62">
        <f t="shared" si="0"/>
        <v>39</v>
      </c>
      <c r="B43" s="87" t="s">
        <v>76</v>
      </c>
      <c r="C43" s="64"/>
      <c r="D43" s="64"/>
      <c r="E43" s="64"/>
      <c r="F43" s="72"/>
      <c r="G43" s="72"/>
      <c r="H43" s="72"/>
      <c r="I43" s="98"/>
      <c r="J43" s="72"/>
      <c r="K43" s="64"/>
      <c r="L43" s="73"/>
      <c r="M43" s="73"/>
      <c r="N43" s="73"/>
      <c r="O43" s="73"/>
      <c r="P43" s="98"/>
      <c r="Q43" s="73"/>
      <c r="R43" s="73"/>
      <c r="S43" s="73"/>
      <c r="T43" s="73"/>
      <c r="U43" s="73"/>
      <c r="V43" s="73"/>
      <c r="W43" s="98"/>
      <c r="X43" s="73"/>
      <c r="Y43" s="73"/>
      <c r="Z43" s="73"/>
      <c r="AA43" s="73"/>
      <c r="AB43" s="73"/>
      <c r="AC43" s="73"/>
      <c r="AD43" s="98"/>
      <c r="AE43" s="73"/>
      <c r="AF43" s="73"/>
      <c r="AG43" s="73"/>
      <c r="AH43" s="65" t="str">
        <f>IF((COUNTIFS(Ar_4[[#This Row],[1]:[31]],"&lt;&gt;T34",Ar_4[[#This Row],[1]:[31]],"&lt;&gt;")&lt;&gt;0),COUNTIFS(Ar_4[[#This Row],[1]:[31]],"&lt;&gt;T34",Ar_4[[#This Row],[1]:[31]],"&lt;&gt;"),"")</f>
        <v/>
      </c>
      <c r="AI43" s="88"/>
      <c r="AJ43" s="70"/>
      <c r="AK43" s="70"/>
    </row>
    <row r="44" spans="1:37">
      <c r="A44" s="56"/>
      <c r="B44" s="74"/>
      <c r="C44" s="75"/>
      <c r="D44" s="75"/>
      <c r="E44" s="75"/>
      <c r="F44" s="76"/>
      <c r="G44" s="76"/>
      <c r="H44" s="76"/>
      <c r="I44" s="76"/>
      <c r="J44" s="76"/>
      <c r="K44" s="75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/>
      <c r="AI44" s="78"/>
    </row>
    <row r="45" spans="1:37">
      <c r="A45" s="79"/>
      <c r="B45" s="80"/>
      <c r="C45" s="81" t="s">
        <v>112</v>
      </c>
      <c r="D45" s="207" t="s">
        <v>113</v>
      </c>
      <c r="E45" s="207"/>
      <c r="F45" s="207"/>
      <c r="G45" s="81" t="s">
        <v>3</v>
      </c>
      <c r="H45" s="207" t="s">
        <v>114</v>
      </c>
      <c r="I45" s="207"/>
      <c r="J45" s="207"/>
      <c r="K45" s="81" t="s">
        <v>115</v>
      </c>
      <c r="L45" s="207" t="s">
        <v>116</v>
      </c>
      <c r="M45" s="207"/>
      <c r="N45" s="207"/>
      <c r="O45" s="81" t="s">
        <v>78</v>
      </c>
      <c r="P45" s="207" t="s">
        <v>117</v>
      </c>
      <c r="Q45" s="207"/>
      <c r="R45" s="207"/>
      <c r="S45" s="80" t="s">
        <v>118</v>
      </c>
      <c r="T45" s="207" t="s">
        <v>119</v>
      </c>
      <c r="U45" s="207"/>
      <c r="V45" s="207"/>
      <c r="AH45" s="80"/>
      <c r="AI45" s="80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64" priority="1" operator="equal">
      <formula>$K$45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DE8A-1E24-4145-B4D3-258EA43220A3}">
  <dimension ref="A1:AK45"/>
  <sheetViews>
    <sheetView rightToLeft="1" workbookViewId="0">
      <selection sqref="A1:XFD1048576"/>
    </sheetView>
  </sheetViews>
  <sheetFormatPr defaultRowHeight="25.5"/>
  <cols>
    <col min="1" max="1" width="4.5" style="82" customWidth="1"/>
    <col min="2" max="2" width="18" style="55" customWidth="1"/>
    <col min="3" max="3" width="5.25" style="55" customWidth="1"/>
    <col min="4" max="5" width="5.25" style="82" customWidth="1"/>
    <col min="6" max="10" width="5.25" style="83" customWidth="1"/>
    <col min="11" max="11" width="5.25" style="84" customWidth="1"/>
    <col min="12" max="33" width="5.25" style="55" customWidth="1"/>
    <col min="34" max="34" width="6.875" style="55" customWidth="1"/>
    <col min="35" max="35" width="7.375" style="55" customWidth="1"/>
    <col min="36" max="36" width="7.875" style="55" customWidth="1"/>
    <col min="37" max="16384" width="9" style="55"/>
  </cols>
  <sheetData>
    <row r="1" spans="1:37" ht="30" customHeight="1">
      <c r="B1" s="101">
        <v>45108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7" ht="30" customHeight="1">
      <c r="A2" s="55"/>
      <c r="B2" s="85" t="str">
        <f>TEXT("تقرير الحضور والغياب - ",)&amp;TEXT(B1,"[$-0401]mmm yyyy")</f>
        <v>تقرير الحضور والغياب - يوليو 2023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</row>
    <row r="3" spans="1:37" ht="22.5" customHeight="1" thickBot="1">
      <c r="A3" s="56"/>
      <c r="B3" s="57"/>
      <c r="C3" s="94" t="str">
        <f>TEXT(($B$1-DAY($B$1)+Ar_45[[#Headers],[1]]),"[$-0401]ddd")</f>
        <v>السبت</v>
      </c>
      <c r="D3" s="94" t="str">
        <f>TEXT(($B$1-DAY($B$1)+Ar_45[[#Headers],[2]]),"[$-0401]ddd")</f>
        <v>الأحد</v>
      </c>
      <c r="E3" s="94" t="str">
        <f>TEXT(($B$1-DAY($B$1)+Ar_45[[#Headers],[3]]),"[$-0401]ddd")</f>
        <v>الإثنين</v>
      </c>
      <c r="F3" s="94" t="str">
        <f>TEXT(($B$1-DAY($B$1)+Ar_45[[#Headers],[4]]),"[$-0401]ddd")</f>
        <v>الثلاثاء</v>
      </c>
      <c r="G3" s="94" t="str">
        <f>TEXT(($B$1-DAY($B$1)+Ar_45[[#Headers],[5]]),"[$-0401]ddd")</f>
        <v>الأربعاء</v>
      </c>
      <c r="H3" s="94" t="str">
        <f>TEXT(($B$1-DAY($B$1)+Ar_45[[#Headers],[6]]),"[$-0401]ddd")</f>
        <v>الخميس</v>
      </c>
      <c r="I3" s="95" t="str">
        <f>TEXT(($B$1-DAY($B$1)+Ar_45[[#Headers],[7]]),"[$-0401]ddd")</f>
        <v>الجمعة</v>
      </c>
      <c r="J3" s="94" t="str">
        <f>TEXT(($B$1-DAY($B$1)+Ar_45[[#Headers],[8]]),"[$-0401]ddd")</f>
        <v>السبت</v>
      </c>
      <c r="K3" s="94" t="str">
        <f>TEXT(($B$1-DAY($B$1)+Ar_45[[#Headers],[9]]),"[$-0401]ddd")</f>
        <v>الأحد</v>
      </c>
      <c r="L3" s="94" t="str">
        <f>TEXT(($B$1-DAY($B$1)+Ar_45[[#Headers],[10]]),"[$-0401]ddd")</f>
        <v>الإثنين</v>
      </c>
      <c r="M3" s="94" t="str">
        <f>TEXT(($B$1-DAY($B$1)+Ar_45[[#Headers],[11]]),"[$-0401]ddd")</f>
        <v>الثلاثاء</v>
      </c>
      <c r="N3" s="94" t="str">
        <f>TEXT(($B$1-DAY($B$1)+Ar_45[[#Headers],[12]]),"[$-0401]ddd")</f>
        <v>الأربعاء</v>
      </c>
      <c r="O3" s="94" t="str">
        <f>TEXT(($B$1-DAY($B$1)+Ar_45[[#Headers],[13]]),"[$-0401]ddd")</f>
        <v>الخميس</v>
      </c>
      <c r="P3" s="95" t="str">
        <f>TEXT(($B$1-DAY($B$1)+Ar_45[[#Headers],[14]]),"[$-0401]ddd")</f>
        <v>الجمعة</v>
      </c>
      <c r="Q3" s="94" t="str">
        <f>TEXT(($B$1-DAY($B$1)+Ar_45[[#Headers],[15]]),"[$-0401]ddd")</f>
        <v>السبت</v>
      </c>
      <c r="R3" s="94" t="str">
        <f>TEXT(($B$1-DAY($B$1)+Ar_45[[#Headers],[16]]),"[$-0401]ddd")</f>
        <v>الأحد</v>
      </c>
      <c r="S3" s="94" t="str">
        <f>TEXT(($B$1-DAY($B$1)+Ar_45[[#Headers],[17]]),"[$-0401]ddd")</f>
        <v>الإثنين</v>
      </c>
      <c r="T3" s="94" t="str">
        <f>TEXT(($B$1-DAY($B$1)+Ar_45[[#Headers],[18]]),"[$-0401]ddd")</f>
        <v>الثلاثاء</v>
      </c>
      <c r="U3" s="94" t="str">
        <f>TEXT(($B$1-DAY($B$1)+Ar_45[[#Headers],[19]]),"[$-0401]ddd")</f>
        <v>الأربعاء</v>
      </c>
      <c r="V3" s="94" t="str">
        <f>TEXT(($B$1-DAY($B$1)+Ar_45[[#Headers],[20]]),"[$-0401]ddd")</f>
        <v>الخميس</v>
      </c>
      <c r="W3" s="95" t="str">
        <f>TEXT(($B$1-DAY($B$1)+Ar_45[[#Headers],[21]]),"[$-0401]ddd")</f>
        <v>الجمعة</v>
      </c>
      <c r="X3" s="94" t="str">
        <f>TEXT(($B$1-DAY($B$1)+Ar_45[[#Headers],[22]]),"[$-0401]ddd")</f>
        <v>السبت</v>
      </c>
      <c r="Y3" s="94" t="str">
        <f>TEXT(($B$1-DAY($B$1)+Ar_45[[#Headers],[23]]),"[$-0401]ddd")</f>
        <v>الأحد</v>
      </c>
      <c r="Z3" s="94" t="str">
        <f>TEXT(($B$1-DAY($B$1)+Ar_45[[#Headers],[24]]),"[$-0401]ddd")</f>
        <v>الإثنين</v>
      </c>
      <c r="AA3" s="94" t="str">
        <f>TEXT(($B$1-DAY($B$1)+Ar_45[[#Headers],[25]]),"[$-0401]ddd")</f>
        <v>الثلاثاء</v>
      </c>
      <c r="AB3" s="94" t="str">
        <f>TEXT(($B$1-DAY($B$1)+Ar_45[[#Headers],[26]]),"[$-0401]ddd")</f>
        <v>الأربعاء</v>
      </c>
      <c r="AC3" s="94" t="str">
        <f>TEXT(($B$1-DAY($B$1)+Ar_45[[#Headers],[27]]),"[$-0401]ddd")</f>
        <v>الخميس</v>
      </c>
      <c r="AD3" s="95" t="str">
        <f>TEXT(($B$1-DAY($B$1)+Ar_45[[#Headers],[28]]),"[$-0401]ddd")</f>
        <v>الجمعة</v>
      </c>
      <c r="AE3" s="94" t="str">
        <f>TEXT(($B$1-DAY($B$1)+Ar_45[[#Headers],[29]]),"[$-0401]ddd")</f>
        <v>السبت</v>
      </c>
      <c r="AF3" s="94" t="str">
        <f>TEXT(($B$1-DAY($B$1)+Ar_45[[#Headers],[30]]),"[$-0401]ddd")</f>
        <v>الأحد</v>
      </c>
      <c r="AG3" s="94" t="str">
        <f>TEXT(($B$1-DAY($B$1)+Ar_45[[#Headers],[31]]),"[$-0401]ddd")</f>
        <v>الإثنين</v>
      </c>
    </row>
    <row r="4" spans="1:37" s="61" customFormat="1" ht="36" customHeight="1">
      <c r="A4" s="58" t="s">
        <v>79</v>
      </c>
      <c r="B4" s="59" t="s">
        <v>80</v>
      </c>
      <c r="C4" s="60" t="s">
        <v>81</v>
      </c>
      <c r="D4" s="60" t="s">
        <v>82</v>
      </c>
      <c r="E4" s="60" t="s">
        <v>83</v>
      </c>
      <c r="F4" s="60" t="s">
        <v>84</v>
      </c>
      <c r="G4" s="60" t="s">
        <v>85</v>
      </c>
      <c r="H4" s="60" t="s">
        <v>86</v>
      </c>
      <c r="I4" s="92" t="s">
        <v>87</v>
      </c>
      <c r="J4" s="60" t="s">
        <v>88</v>
      </c>
      <c r="K4" s="60" t="s">
        <v>89</v>
      </c>
      <c r="L4" s="60" t="s">
        <v>90</v>
      </c>
      <c r="M4" s="60" t="s">
        <v>91</v>
      </c>
      <c r="N4" s="60" t="s">
        <v>92</v>
      </c>
      <c r="O4" s="60" t="s">
        <v>93</v>
      </c>
      <c r="P4" s="92" t="s">
        <v>94</v>
      </c>
      <c r="Q4" s="60" t="s">
        <v>95</v>
      </c>
      <c r="R4" s="60" t="s">
        <v>96</v>
      </c>
      <c r="S4" s="60" t="s">
        <v>97</v>
      </c>
      <c r="T4" s="60" t="s">
        <v>98</v>
      </c>
      <c r="U4" s="60" t="s">
        <v>99</v>
      </c>
      <c r="V4" s="60" t="s">
        <v>100</v>
      </c>
      <c r="W4" s="92" t="s">
        <v>101</v>
      </c>
      <c r="X4" s="60" t="s">
        <v>102</v>
      </c>
      <c r="Y4" s="60" t="s">
        <v>103</v>
      </c>
      <c r="Z4" s="60" t="s">
        <v>104</v>
      </c>
      <c r="AA4" s="60" t="s">
        <v>105</v>
      </c>
      <c r="AB4" s="60" t="s">
        <v>106</v>
      </c>
      <c r="AC4" s="60" t="s">
        <v>107</v>
      </c>
      <c r="AD4" s="92" t="s">
        <v>108</v>
      </c>
      <c r="AE4" s="60" t="s">
        <v>109</v>
      </c>
      <c r="AF4" s="60" t="s">
        <v>110</v>
      </c>
      <c r="AG4" s="60" t="s">
        <v>111</v>
      </c>
      <c r="AH4" s="100" t="s">
        <v>120</v>
      </c>
      <c r="AI4" s="103" t="s">
        <v>17</v>
      </c>
      <c r="AJ4" s="97" t="s">
        <v>121</v>
      </c>
      <c r="AK4" s="97" t="s">
        <v>122</v>
      </c>
    </row>
    <row r="5" spans="1:37" ht="30" customHeight="1">
      <c r="A5" s="62">
        <v>1</v>
      </c>
      <c r="B5" s="63" t="s">
        <v>29</v>
      </c>
      <c r="C5" s="64"/>
      <c r="D5" s="64"/>
      <c r="E5" s="64"/>
      <c r="F5" s="64"/>
      <c r="G5" s="64"/>
      <c r="H5" s="64"/>
      <c r="I5" s="93"/>
      <c r="J5" s="64"/>
      <c r="K5" s="64"/>
      <c r="L5" s="64"/>
      <c r="M5" s="64"/>
      <c r="N5" s="64"/>
      <c r="O5" s="64"/>
      <c r="P5" s="93"/>
      <c r="Q5" s="64"/>
      <c r="R5" s="64"/>
      <c r="S5" s="64"/>
      <c r="T5" s="64"/>
      <c r="U5" s="64"/>
      <c r="V5" s="64"/>
      <c r="W5" s="93"/>
      <c r="X5" s="64"/>
      <c r="Y5" s="64"/>
      <c r="Z5" s="64"/>
      <c r="AA5" s="64"/>
      <c r="AB5" s="64"/>
      <c r="AC5" s="64"/>
      <c r="AD5" s="93"/>
      <c r="AE5" s="64"/>
      <c r="AF5" s="64"/>
      <c r="AG5" s="64"/>
      <c r="AH5" s="65" t="str">
        <f>IF((COUNTIFS(Ar_45[[#This Row],[1]:[31]],"&lt;&gt;T34",Ar_45[[#This Row],[1]:[31]],"&lt;&gt;")&lt;&gt;0),COUNTIFS(Ar_45[[#This Row],[1]:[31]],"&lt;&gt;T34",Ar_45[[#This Row],[1]:[31]],"&lt;&gt;"),"")</f>
        <v/>
      </c>
      <c r="AI5" s="66"/>
      <c r="AJ5" s="96"/>
      <c r="AK5" s="96"/>
    </row>
    <row r="6" spans="1:37" ht="30" customHeight="1">
      <c r="A6" s="62">
        <f t="shared" ref="A6:A43" si="0">+A5+1</f>
        <v>2</v>
      </c>
      <c r="B6" s="63" t="s">
        <v>31</v>
      </c>
      <c r="C6" s="64"/>
      <c r="D6" s="64"/>
      <c r="E6" s="64"/>
      <c r="F6" s="64"/>
      <c r="G6" s="64"/>
      <c r="H6" s="64"/>
      <c r="I6" s="93"/>
      <c r="J6" s="64"/>
      <c r="K6" s="64"/>
      <c r="L6" s="64"/>
      <c r="M6" s="64"/>
      <c r="N6" s="64"/>
      <c r="O6" s="64"/>
      <c r="P6" s="93"/>
      <c r="Q6" s="64"/>
      <c r="R6" s="64"/>
      <c r="S6" s="64"/>
      <c r="T6" s="64"/>
      <c r="U6" s="64"/>
      <c r="V6" s="64"/>
      <c r="W6" s="93"/>
      <c r="X6" s="64"/>
      <c r="Y6" s="64"/>
      <c r="Z6" s="64"/>
      <c r="AA6" s="64"/>
      <c r="AB6" s="64"/>
      <c r="AC6" s="64"/>
      <c r="AD6" s="93"/>
      <c r="AE6" s="64"/>
      <c r="AF6" s="64"/>
      <c r="AG6" s="64"/>
      <c r="AH6" s="65" t="str">
        <f>IF((COUNTIFS(Ar_45[[#This Row],[1]:[31]],"&lt;&gt;T34",Ar_45[[#This Row],[1]:[31]],"&lt;&gt;")&lt;&gt;0),COUNTIFS(Ar_45[[#This Row],[1]:[31]],"&lt;&gt;T34",Ar_45[[#This Row],[1]:[31]],"&lt;&gt;"),"")</f>
        <v/>
      </c>
      <c r="AI6" s="66"/>
      <c r="AJ6" s="65"/>
      <c r="AK6" s="65"/>
    </row>
    <row r="7" spans="1:37" ht="30" customHeight="1">
      <c r="A7" s="62">
        <f t="shared" si="0"/>
        <v>3</v>
      </c>
      <c r="B7" s="63" t="s">
        <v>32</v>
      </c>
      <c r="C7" s="64"/>
      <c r="D7" s="64"/>
      <c r="E7" s="64"/>
      <c r="F7" s="64"/>
      <c r="G7" s="64"/>
      <c r="H7" s="64"/>
      <c r="I7" s="93"/>
      <c r="J7" s="64"/>
      <c r="K7" s="64"/>
      <c r="L7" s="64"/>
      <c r="M7" s="64"/>
      <c r="N7" s="64"/>
      <c r="O7" s="64"/>
      <c r="P7" s="93"/>
      <c r="Q7" s="64"/>
      <c r="R7" s="64"/>
      <c r="S7" s="64"/>
      <c r="T7" s="64"/>
      <c r="U7" s="64"/>
      <c r="V7" s="64"/>
      <c r="W7" s="93"/>
      <c r="X7" s="64"/>
      <c r="Y7" s="64"/>
      <c r="Z7" s="64"/>
      <c r="AA7" s="64"/>
      <c r="AB7" s="64"/>
      <c r="AC7" s="64"/>
      <c r="AD7" s="93"/>
      <c r="AE7" s="64"/>
      <c r="AF7" s="64"/>
      <c r="AG7" s="64"/>
      <c r="AH7" s="65" t="str">
        <f>IF((COUNTIFS(Ar_45[[#This Row],[1]:[31]],"&lt;&gt;T34",Ar_45[[#This Row],[1]:[31]],"&lt;&gt;")&lt;&gt;0),COUNTIFS(Ar_45[[#This Row],[1]:[31]],"&lt;&gt;T34",Ar_45[[#This Row],[1]:[31]],"&lt;&gt;"),"")</f>
        <v/>
      </c>
      <c r="AI7" s="66"/>
      <c r="AJ7" s="65"/>
      <c r="AK7" s="65"/>
    </row>
    <row r="8" spans="1:37" ht="30" customHeight="1">
      <c r="A8" s="62">
        <f t="shared" si="0"/>
        <v>4</v>
      </c>
      <c r="B8" s="63" t="s">
        <v>33</v>
      </c>
      <c r="C8" s="64"/>
      <c r="D8" s="64"/>
      <c r="E8" s="64"/>
      <c r="F8" s="64"/>
      <c r="G8" s="64"/>
      <c r="H8" s="64"/>
      <c r="I8" s="93"/>
      <c r="J8" s="64"/>
      <c r="K8" s="64"/>
      <c r="L8" s="64"/>
      <c r="M8" s="64"/>
      <c r="N8" s="64"/>
      <c r="O8" s="64"/>
      <c r="P8" s="93"/>
      <c r="Q8" s="64"/>
      <c r="R8" s="64"/>
      <c r="S8" s="64"/>
      <c r="T8" s="64"/>
      <c r="U8" s="64"/>
      <c r="V8" s="64"/>
      <c r="W8" s="93"/>
      <c r="X8" s="64"/>
      <c r="Y8" s="64"/>
      <c r="Z8" s="64"/>
      <c r="AA8" s="64"/>
      <c r="AB8" s="64"/>
      <c r="AC8" s="64"/>
      <c r="AD8" s="93"/>
      <c r="AE8" s="64"/>
      <c r="AF8" s="64"/>
      <c r="AG8" s="64"/>
      <c r="AH8" s="65" t="str">
        <f>IF((COUNTIFS(Ar_45[[#This Row],[1]:[31]],"&lt;&gt;T34",Ar_45[[#This Row],[1]:[31]],"&lt;&gt;")&lt;&gt;0),COUNTIFS(Ar_45[[#This Row],[1]:[31]],"&lt;&gt;T34",Ar_45[[#This Row],[1]:[31]],"&lt;&gt;"),"")</f>
        <v/>
      </c>
      <c r="AI8" s="66"/>
      <c r="AJ8" s="65"/>
      <c r="AK8" s="65"/>
    </row>
    <row r="9" spans="1:37" ht="30" customHeight="1">
      <c r="A9" s="62">
        <f t="shared" si="0"/>
        <v>5</v>
      </c>
      <c r="B9" s="63" t="s">
        <v>34</v>
      </c>
      <c r="C9" s="64"/>
      <c r="D9" s="64"/>
      <c r="E9" s="64"/>
      <c r="F9" s="64"/>
      <c r="G9" s="64"/>
      <c r="H9" s="64"/>
      <c r="I9" s="93"/>
      <c r="J9" s="64"/>
      <c r="K9" s="64"/>
      <c r="L9" s="64"/>
      <c r="M9" s="64"/>
      <c r="N9" s="64"/>
      <c r="O9" s="64"/>
      <c r="P9" s="93"/>
      <c r="Q9" s="64"/>
      <c r="R9" s="64"/>
      <c r="S9" s="64"/>
      <c r="T9" s="64"/>
      <c r="U9" s="64"/>
      <c r="V9" s="64"/>
      <c r="W9" s="93"/>
      <c r="X9" s="64"/>
      <c r="Y9" s="64"/>
      <c r="Z9" s="64"/>
      <c r="AA9" s="64"/>
      <c r="AB9" s="64"/>
      <c r="AC9" s="64"/>
      <c r="AD9" s="93"/>
      <c r="AE9" s="64"/>
      <c r="AF9" s="64"/>
      <c r="AG9" s="64"/>
      <c r="AH9" s="65" t="str">
        <f>IF((COUNTIFS(Ar_45[[#This Row],[1]:[31]],"&lt;&gt;T34",Ar_45[[#This Row],[1]:[31]],"&lt;&gt;")&lt;&gt;0),COUNTIFS(Ar_45[[#This Row],[1]:[31]],"&lt;&gt;T34",Ar_45[[#This Row],[1]:[31]],"&lt;&gt;"),"")</f>
        <v/>
      </c>
      <c r="AI9" s="66"/>
      <c r="AJ9" s="65"/>
      <c r="AK9" s="65"/>
    </row>
    <row r="10" spans="1:37" ht="30" customHeight="1">
      <c r="A10" s="62">
        <f t="shared" si="0"/>
        <v>6</v>
      </c>
      <c r="B10" s="63" t="s">
        <v>35</v>
      </c>
      <c r="C10" s="64"/>
      <c r="D10" s="64"/>
      <c r="E10" s="64"/>
      <c r="F10" s="64"/>
      <c r="G10" s="64"/>
      <c r="H10" s="64"/>
      <c r="I10" s="93"/>
      <c r="J10" s="64"/>
      <c r="K10" s="64"/>
      <c r="L10" s="64"/>
      <c r="M10" s="64"/>
      <c r="N10" s="64"/>
      <c r="O10" s="64"/>
      <c r="P10" s="93"/>
      <c r="Q10" s="64"/>
      <c r="R10" s="64"/>
      <c r="S10" s="64"/>
      <c r="T10" s="64"/>
      <c r="U10" s="64"/>
      <c r="V10" s="64"/>
      <c r="W10" s="93"/>
      <c r="X10" s="64"/>
      <c r="Y10" s="64"/>
      <c r="Z10" s="64"/>
      <c r="AA10" s="64"/>
      <c r="AB10" s="64"/>
      <c r="AC10" s="64"/>
      <c r="AD10" s="93"/>
      <c r="AE10" s="64"/>
      <c r="AF10" s="64"/>
      <c r="AG10" s="64"/>
      <c r="AH10" s="65" t="str">
        <f>IF((COUNTIFS(Ar_45[[#This Row],[1]:[31]],"&lt;&gt;T34",Ar_45[[#This Row],[1]:[31]],"&lt;&gt;")&lt;&gt;0),COUNTIFS(Ar_45[[#This Row],[1]:[31]],"&lt;&gt;T34",Ar_45[[#This Row],[1]:[31]],"&lt;&gt;"),"")</f>
        <v/>
      </c>
      <c r="AI10" s="66"/>
      <c r="AJ10" s="65"/>
      <c r="AK10" s="65"/>
    </row>
    <row r="11" spans="1:37" ht="30" customHeight="1">
      <c r="A11" s="62">
        <f t="shared" si="0"/>
        <v>7</v>
      </c>
      <c r="B11" s="63" t="s">
        <v>37</v>
      </c>
      <c r="C11" s="64"/>
      <c r="D11" s="64"/>
      <c r="E11" s="64"/>
      <c r="F11" s="64"/>
      <c r="G11" s="64"/>
      <c r="H11" s="64"/>
      <c r="I11" s="93"/>
      <c r="J11" s="64"/>
      <c r="K11" s="64"/>
      <c r="L11" s="64"/>
      <c r="M11" s="64"/>
      <c r="N11" s="64"/>
      <c r="O11" s="64"/>
      <c r="P11" s="93"/>
      <c r="Q11" s="64"/>
      <c r="R11" s="64"/>
      <c r="S11" s="64"/>
      <c r="T11" s="64"/>
      <c r="U11" s="64"/>
      <c r="V11" s="64"/>
      <c r="W11" s="93"/>
      <c r="X11" s="64"/>
      <c r="Y11" s="64"/>
      <c r="Z11" s="64"/>
      <c r="AA11" s="64"/>
      <c r="AB11" s="64"/>
      <c r="AC11" s="64"/>
      <c r="AD11" s="93"/>
      <c r="AE11" s="64"/>
      <c r="AF11" s="64"/>
      <c r="AG11" s="64"/>
      <c r="AH11" s="65" t="str">
        <f>IF((COUNTIFS(Ar_45[[#This Row],[1]:[31]],"&lt;&gt;T34",Ar_45[[#This Row],[1]:[31]],"&lt;&gt;")&lt;&gt;0),COUNTIFS(Ar_45[[#This Row],[1]:[31]],"&lt;&gt;T34",Ar_45[[#This Row],[1]:[31]],"&lt;&gt;"),"")</f>
        <v/>
      </c>
      <c r="AI11" s="66"/>
      <c r="AJ11" s="65"/>
      <c r="AK11" s="65"/>
    </row>
    <row r="12" spans="1:37" ht="30" customHeight="1">
      <c r="A12" s="62">
        <f t="shared" si="0"/>
        <v>8</v>
      </c>
      <c r="B12" s="63" t="s">
        <v>38</v>
      </c>
      <c r="C12" s="64"/>
      <c r="D12" s="64"/>
      <c r="E12" s="64"/>
      <c r="F12" s="64"/>
      <c r="G12" s="64"/>
      <c r="H12" s="64"/>
      <c r="I12" s="93"/>
      <c r="J12" s="64"/>
      <c r="K12" s="64"/>
      <c r="L12" s="64"/>
      <c r="M12" s="64"/>
      <c r="N12" s="64"/>
      <c r="O12" s="64"/>
      <c r="P12" s="93"/>
      <c r="Q12" s="64"/>
      <c r="R12" s="64"/>
      <c r="S12" s="64"/>
      <c r="T12" s="64"/>
      <c r="U12" s="64"/>
      <c r="V12" s="64"/>
      <c r="W12" s="93"/>
      <c r="X12" s="64"/>
      <c r="Y12" s="64"/>
      <c r="Z12" s="64"/>
      <c r="AA12" s="64"/>
      <c r="AB12" s="64"/>
      <c r="AC12" s="64"/>
      <c r="AD12" s="93"/>
      <c r="AE12" s="64"/>
      <c r="AF12" s="64"/>
      <c r="AG12" s="64"/>
      <c r="AH12" s="65" t="str">
        <f>IF((COUNTIFS(Ar_45[[#This Row],[1]:[31]],"&lt;&gt;T34",Ar_45[[#This Row],[1]:[31]],"&lt;&gt;")&lt;&gt;0),COUNTIFS(Ar_45[[#This Row],[1]:[31]],"&lt;&gt;T34",Ar_45[[#This Row],[1]:[31]],"&lt;&gt;"),"")</f>
        <v/>
      </c>
      <c r="AI12" s="66"/>
      <c r="AJ12" s="65"/>
      <c r="AK12" s="65"/>
    </row>
    <row r="13" spans="1:37" ht="30" customHeight="1">
      <c r="A13" s="62">
        <f t="shared" si="0"/>
        <v>9</v>
      </c>
      <c r="B13" s="63" t="s">
        <v>39</v>
      </c>
      <c r="C13" s="64"/>
      <c r="D13" s="64"/>
      <c r="E13" s="64"/>
      <c r="F13" s="64"/>
      <c r="G13" s="64"/>
      <c r="H13" s="64"/>
      <c r="I13" s="93"/>
      <c r="J13" s="64"/>
      <c r="K13" s="64"/>
      <c r="L13" s="64"/>
      <c r="M13" s="64"/>
      <c r="N13" s="64"/>
      <c r="O13" s="64"/>
      <c r="P13" s="93"/>
      <c r="Q13" s="64"/>
      <c r="R13" s="64"/>
      <c r="S13" s="64"/>
      <c r="T13" s="64"/>
      <c r="U13" s="64"/>
      <c r="V13" s="64"/>
      <c r="W13" s="93"/>
      <c r="X13" s="64"/>
      <c r="Y13" s="64"/>
      <c r="Z13" s="64"/>
      <c r="AA13" s="64"/>
      <c r="AB13" s="64"/>
      <c r="AC13" s="64"/>
      <c r="AD13" s="93"/>
      <c r="AE13" s="64"/>
      <c r="AF13" s="64"/>
      <c r="AG13" s="64"/>
      <c r="AH13" s="65" t="str">
        <f>IF((COUNTIFS(Ar_45[[#This Row],[1]:[31]],"&lt;&gt;T34",Ar_45[[#This Row],[1]:[31]],"&lt;&gt;")&lt;&gt;0),COUNTIFS(Ar_45[[#This Row],[1]:[31]],"&lt;&gt;T34",Ar_45[[#This Row],[1]:[31]],"&lt;&gt;"),"")</f>
        <v/>
      </c>
      <c r="AI13" s="66"/>
      <c r="AJ13" s="65"/>
      <c r="AK13" s="65"/>
    </row>
    <row r="14" spans="1:37" ht="30" customHeight="1">
      <c r="A14" s="62">
        <f t="shared" si="0"/>
        <v>10</v>
      </c>
      <c r="B14" s="63" t="s">
        <v>40</v>
      </c>
      <c r="C14" s="64"/>
      <c r="D14" s="64"/>
      <c r="E14" s="64"/>
      <c r="F14" s="64"/>
      <c r="G14" s="64"/>
      <c r="H14" s="64"/>
      <c r="I14" s="93"/>
      <c r="J14" s="64"/>
      <c r="K14" s="64"/>
      <c r="L14" s="64"/>
      <c r="M14" s="64"/>
      <c r="N14" s="64"/>
      <c r="O14" s="64"/>
      <c r="P14" s="93"/>
      <c r="Q14" s="64"/>
      <c r="R14" s="64"/>
      <c r="S14" s="64"/>
      <c r="T14" s="64"/>
      <c r="U14" s="64"/>
      <c r="V14" s="64"/>
      <c r="W14" s="93"/>
      <c r="X14" s="64"/>
      <c r="Y14" s="64"/>
      <c r="Z14" s="64"/>
      <c r="AA14" s="64"/>
      <c r="AB14" s="64"/>
      <c r="AC14" s="64"/>
      <c r="AD14" s="93"/>
      <c r="AE14" s="64"/>
      <c r="AF14" s="64"/>
      <c r="AG14" s="64"/>
      <c r="AH14" s="65" t="str">
        <f>IF((COUNTIFS(Ar_45[[#This Row],[1]:[31]],"&lt;&gt;T34",Ar_45[[#This Row],[1]:[31]],"&lt;&gt;")&lt;&gt;0),COUNTIFS(Ar_45[[#This Row],[1]:[31]],"&lt;&gt;T34",Ar_45[[#This Row],[1]:[31]],"&lt;&gt;"),"")</f>
        <v/>
      </c>
      <c r="AI14" s="66"/>
      <c r="AJ14" s="65"/>
      <c r="AK14" s="65"/>
    </row>
    <row r="15" spans="1:37" ht="30" customHeight="1">
      <c r="A15" s="62">
        <f t="shared" si="0"/>
        <v>11</v>
      </c>
      <c r="B15" s="63" t="s">
        <v>42</v>
      </c>
      <c r="C15" s="64"/>
      <c r="D15" s="64"/>
      <c r="E15" s="64"/>
      <c r="F15" s="64"/>
      <c r="G15" s="64"/>
      <c r="H15" s="64"/>
      <c r="I15" s="93"/>
      <c r="J15" s="64"/>
      <c r="K15" s="64"/>
      <c r="L15" s="64"/>
      <c r="M15" s="64"/>
      <c r="N15" s="64"/>
      <c r="O15" s="64"/>
      <c r="P15" s="93"/>
      <c r="Q15" s="64"/>
      <c r="R15" s="64"/>
      <c r="S15" s="64"/>
      <c r="T15" s="64"/>
      <c r="U15" s="64"/>
      <c r="V15" s="64"/>
      <c r="W15" s="93"/>
      <c r="X15" s="64"/>
      <c r="Y15" s="64"/>
      <c r="Z15" s="64"/>
      <c r="AA15" s="64"/>
      <c r="AB15" s="64"/>
      <c r="AC15" s="64"/>
      <c r="AD15" s="93"/>
      <c r="AE15" s="64"/>
      <c r="AF15" s="64"/>
      <c r="AG15" s="64"/>
      <c r="AH15" s="65" t="str">
        <f>IF((COUNTIFS(Ar_45[[#This Row],[1]:[31]],"&lt;&gt;T34",Ar_45[[#This Row],[1]:[31]],"&lt;&gt;")&lt;&gt;0),COUNTIFS(Ar_45[[#This Row],[1]:[31]],"&lt;&gt;T34",Ar_45[[#This Row],[1]:[31]],"&lt;&gt;"),"")</f>
        <v/>
      </c>
      <c r="AI15" s="66"/>
      <c r="AJ15" s="65"/>
      <c r="AK15" s="65"/>
    </row>
    <row r="16" spans="1:37" ht="30" customHeight="1">
      <c r="A16" s="62">
        <f t="shared" si="0"/>
        <v>12</v>
      </c>
      <c r="B16" s="63" t="s">
        <v>43</v>
      </c>
      <c r="C16" s="64"/>
      <c r="D16" s="64"/>
      <c r="E16" s="64"/>
      <c r="F16" s="64"/>
      <c r="G16" s="64"/>
      <c r="H16" s="64"/>
      <c r="I16" s="93"/>
      <c r="J16" s="64"/>
      <c r="K16" s="64"/>
      <c r="L16" s="64"/>
      <c r="M16" s="64"/>
      <c r="N16" s="64"/>
      <c r="O16" s="64"/>
      <c r="P16" s="93"/>
      <c r="Q16" s="64"/>
      <c r="R16" s="64"/>
      <c r="S16" s="64"/>
      <c r="T16" s="64"/>
      <c r="U16" s="64"/>
      <c r="V16" s="64"/>
      <c r="W16" s="93"/>
      <c r="X16" s="64"/>
      <c r="Y16" s="64"/>
      <c r="Z16" s="64"/>
      <c r="AA16" s="64"/>
      <c r="AB16" s="64"/>
      <c r="AC16" s="64"/>
      <c r="AD16" s="93"/>
      <c r="AE16" s="64"/>
      <c r="AF16" s="64"/>
      <c r="AG16" s="64"/>
      <c r="AH16" s="65" t="str">
        <f>IF((COUNTIFS(Ar_45[[#This Row],[1]:[31]],"&lt;&gt;T34",Ar_45[[#This Row],[1]:[31]],"&lt;&gt;")&lt;&gt;0),COUNTIFS(Ar_45[[#This Row],[1]:[31]],"&lt;&gt;T34",Ar_45[[#This Row],[1]:[31]],"&lt;&gt;"),"")</f>
        <v/>
      </c>
      <c r="AI16" s="66"/>
      <c r="AJ16" s="65"/>
      <c r="AK16" s="65"/>
    </row>
    <row r="17" spans="1:37" ht="30" customHeight="1">
      <c r="A17" s="62">
        <f t="shared" si="0"/>
        <v>13</v>
      </c>
      <c r="B17" s="63" t="s">
        <v>44</v>
      </c>
      <c r="C17" s="64"/>
      <c r="D17" s="64"/>
      <c r="E17" s="64"/>
      <c r="F17" s="64"/>
      <c r="G17" s="64"/>
      <c r="H17" s="64"/>
      <c r="I17" s="93"/>
      <c r="J17" s="64"/>
      <c r="K17" s="64"/>
      <c r="L17" s="64"/>
      <c r="M17" s="64"/>
      <c r="N17" s="64"/>
      <c r="O17" s="64"/>
      <c r="P17" s="93"/>
      <c r="Q17" s="64"/>
      <c r="R17" s="64"/>
      <c r="S17" s="64"/>
      <c r="T17" s="64"/>
      <c r="U17" s="64"/>
      <c r="V17" s="64"/>
      <c r="W17" s="93"/>
      <c r="X17" s="64"/>
      <c r="Y17" s="64"/>
      <c r="Z17" s="64"/>
      <c r="AA17" s="64"/>
      <c r="AB17" s="64"/>
      <c r="AC17" s="64"/>
      <c r="AD17" s="93"/>
      <c r="AE17" s="64"/>
      <c r="AF17" s="64"/>
      <c r="AG17" s="64"/>
      <c r="AH17" s="65" t="str">
        <f>IF((COUNTIFS(Ar_45[[#This Row],[1]:[31]],"&lt;&gt;T34",Ar_45[[#This Row],[1]:[31]],"&lt;&gt;")&lt;&gt;0),COUNTIFS(Ar_45[[#This Row],[1]:[31]],"&lt;&gt;T34",Ar_45[[#This Row],[1]:[31]],"&lt;&gt;"),"")</f>
        <v/>
      </c>
      <c r="AI17" s="66"/>
      <c r="AJ17" s="65"/>
      <c r="AK17" s="65"/>
    </row>
    <row r="18" spans="1:37" ht="30" customHeight="1">
      <c r="A18" s="62">
        <f t="shared" si="0"/>
        <v>14</v>
      </c>
      <c r="B18" s="63" t="s">
        <v>45</v>
      </c>
      <c r="C18" s="64"/>
      <c r="D18" s="64"/>
      <c r="E18" s="64"/>
      <c r="F18" s="64"/>
      <c r="G18" s="64"/>
      <c r="H18" s="64"/>
      <c r="I18" s="93"/>
      <c r="J18" s="64"/>
      <c r="K18" s="64"/>
      <c r="L18" s="64"/>
      <c r="M18" s="64"/>
      <c r="N18" s="64"/>
      <c r="O18" s="64"/>
      <c r="P18" s="93"/>
      <c r="Q18" s="64"/>
      <c r="R18" s="64"/>
      <c r="S18" s="64"/>
      <c r="T18" s="64"/>
      <c r="U18" s="64"/>
      <c r="V18" s="64"/>
      <c r="W18" s="93"/>
      <c r="X18" s="64"/>
      <c r="Y18" s="64"/>
      <c r="Z18" s="64"/>
      <c r="AA18" s="64"/>
      <c r="AB18" s="64"/>
      <c r="AC18" s="64"/>
      <c r="AD18" s="93"/>
      <c r="AE18" s="64"/>
      <c r="AF18" s="64"/>
      <c r="AG18" s="64"/>
      <c r="AH18" s="65" t="str">
        <f>IF((COUNTIFS(Ar_45[[#This Row],[1]:[31]],"&lt;&gt;T34",Ar_45[[#This Row],[1]:[31]],"&lt;&gt;")&lt;&gt;0),COUNTIFS(Ar_45[[#This Row],[1]:[31]],"&lt;&gt;T34",Ar_45[[#This Row],[1]:[31]],"&lt;&gt;"),"")</f>
        <v/>
      </c>
      <c r="AI18" s="66"/>
      <c r="AJ18" s="65"/>
      <c r="AK18" s="65"/>
    </row>
    <row r="19" spans="1:37" ht="30" customHeight="1">
      <c r="A19" s="62">
        <f t="shared" si="0"/>
        <v>15</v>
      </c>
      <c r="B19" s="63" t="s">
        <v>46</v>
      </c>
      <c r="C19" s="64"/>
      <c r="D19" s="64"/>
      <c r="E19" s="64"/>
      <c r="F19" s="64"/>
      <c r="G19" s="64"/>
      <c r="H19" s="64"/>
      <c r="I19" s="93"/>
      <c r="J19" s="64"/>
      <c r="K19" s="64"/>
      <c r="L19" s="64"/>
      <c r="M19" s="64"/>
      <c r="N19" s="64"/>
      <c r="O19" s="64"/>
      <c r="P19" s="93"/>
      <c r="Q19" s="64"/>
      <c r="R19" s="64"/>
      <c r="S19" s="64"/>
      <c r="T19" s="64"/>
      <c r="U19" s="64"/>
      <c r="V19" s="64"/>
      <c r="W19" s="93"/>
      <c r="X19" s="64"/>
      <c r="Y19" s="64"/>
      <c r="Z19" s="64"/>
      <c r="AA19" s="64"/>
      <c r="AB19" s="64"/>
      <c r="AC19" s="64"/>
      <c r="AD19" s="93"/>
      <c r="AE19" s="64"/>
      <c r="AF19" s="64"/>
      <c r="AG19" s="64"/>
      <c r="AH19" s="65" t="str">
        <f>IF((COUNTIFS(Ar_45[[#This Row],[1]:[31]],"&lt;&gt;T34",Ar_45[[#This Row],[1]:[31]],"&lt;&gt;")&lt;&gt;0),COUNTIFS(Ar_45[[#This Row],[1]:[31]],"&lt;&gt;T34",Ar_45[[#This Row],[1]:[31]],"&lt;&gt;"),"")</f>
        <v/>
      </c>
      <c r="AI19" s="66"/>
      <c r="AJ19" s="65"/>
      <c r="AK19" s="65"/>
    </row>
    <row r="20" spans="1:37" ht="30" customHeight="1">
      <c r="A20" s="62">
        <f t="shared" si="0"/>
        <v>16</v>
      </c>
      <c r="B20" s="63" t="s">
        <v>47</v>
      </c>
      <c r="C20" s="64"/>
      <c r="D20" s="64"/>
      <c r="E20" s="64"/>
      <c r="F20" s="64"/>
      <c r="G20" s="64"/>
      <c r="H20" s="64"/>
      <c r="I20" s="93"/>
      <c r="J20" s="64"/>
      <c r="K20" s="64"/>
      <c r="L20" s="64"/>
      <c r="M20" s="64"/>
      <c r="N20" s="64"/>
      <c r="O20" s="64"/>
      <c r="P20" s="93"/>
      <c r="Q20" s="64"/>
      <c r="R20" s="64"/>
      <c r="S20" s="64"/>
      <c r="T20" s="64"/>
      <c r="U20" s="64"/>
      <c r="V20" s="64"/>
      <c r="W20" s="93"/>
      <c r="X20" s="64"/>
      <c r="Y20" s="64"/>
      <c r="Z20" s="64"/>
      <c r="AA20" s="64"/>
      <c r="AB20" s="64"/>
      <c r="AC20" s="64"/>
      <c r="AD20" s="93"/>
      <c r="AE20" s="64"/>
      <c r="AF20" s="64"/>
      <c r="AG20" s="64"/>
      <c r="AH20" s="65" t="str">
        <f>IF((COUNTIFS(Ar_45[[#This Row],[1]:[31]],"&lt;&gt;T34",Ar_45[[#This Row],[1]:[31]],"&lt;&gt;")&lt;&gt;0),COUNTIFS(Ar_45[[#This Row],[1]:[31]],"&lt;&gt;T34",Ar_45[[#This Row],[1]:[31]],"&lt;&gt;"),"")</f>
        <v/>
      </c>
      <c r="AI20" s="66"/>
      <c r="AJ20" s="65"/>
      <c r="AK20" s="65"/>
    </row>
    <row r="21" spans="1:37" ht="30" customHeight="1">
      <c r="A21" s="62">
        <f t="shared" si="0"/>
        <v>17</v>
      </c>
      <c r="B21" s="63" t="s">
        <v>125</v>
      </c>
      <c r="C21" s="64"/>
      <c r="D21" s="64"/>
      <c r="E21" s="64"/>
      <c r="F21" s="64"/>
      <c r="G21" s="64"/>
      <c r="H21" s="64"/>
      <c r="I21" s="93"/>
      <c r="J21" s="64"/>
      <c r="K21" s="64"/>
      <c r="L21" s="64"/>
      <c r="M21" s="64"/>
      <c r="N21" s="64"/>
      <c r="O21" s="64"/>
      <c r="P21" s="93"/>
      <c r="Q21" s="64"/>
      <c r="R21" s="64"/>
      <c r="S21" s="64"/>
      <c r="T21" s="64"/>
      <c r="U21" s="64"/>
      <c r="V21" s="64"/>
      <c r="W21" s="93"/>
      <c r="X21" s="64"/>
      <c r="Y21" s="64"/>
      <c r="Z21" s="64"/>
      <c r="AA21" s="64"/>
      <c r="AB21" s="64"/>
      <c r="AC21" s="64"/>
      <c r="AD21" s="93"/>
      <c r="AE21" s="64"/>
      <c r="AF21" s="64"/>
      <c r="AG21" s="64"/>
      <c r="AH21" s="65" t="str">
        <f>IF((COUNTIFS(Ar_45[[#This Row],[1]:[31]],"&lt;&gt;T34",Ar_45[[#This Row],[1]:[31]],"&lt;&gt;")&lt;&gt;0),COUNTIFS(Ar_45[[#This Row],[1]:[31]],"&lt;&gt;T34",Ar_45[[#This Row],[1]:[31]],"&lt;&gt;"),"")</f>
        <v/>
      </c>
      <c r="AI21" s="66"/>
      <c r="AJ21" s="65"/>
      <c r="AK21" s="65"/>
    </row>
    <row r="22" spans="1:37" ht="30" customHeight="1">
      <c r="A22" s="62">
        <f t="shared" si="0"/>
        <v>18</v>
      </c>
      <c r="B22" s="63" t="s">
        <v>51</v>
      </c>
      <c r="C22" s="64"/>
      <c r="D22" s="64"/>
      <c r="E22" s="64"/>
      <c r="F22" s="64"/>
      <c r="G22" s="64"/>
      <c r="H22" s="64"/>
      <c r="I22" s="93"/>
      <c r="J22" s="64"/>
      <c r="K22" s="64"/>
      <c r="L22" s="64"/>
      <c r="M22" s="64"/>
      <c r="N22" s="64"/>
      <c r="O22" s="64"/>
      <c r="P22" s="93"/>
      <c r="Q22" s="64"/>
      <c r="R22" s="64"/>
      <c r="S22" s="64"/>
      <c r="T22" s="64"/>
      <c r="U22" s="64"/>
      <c r="V22" s="64"/>
      <c r="W22" s="93"/>
      <c r="X22" s="64"/>
      <c r="Y22" s="64"/>
      <c r="Z22" s="64"/>
      <c r="AA22" s="64"/>
      <c r="AB22" s="64"/>
      <c r="AC22" s="64"/>
      <c r="AD22" s="93"/>
      <c r="AE22" s="64"/>
      <c r="AF22" s="64"/>
      <c r="AG22" s="64"/>
      <c r="AH22" s="65" t="str">
        <f>IF((COUNTIFS(Ar_45[[#This Row],[1]:[31]],"&lt;&gt;T34",Ar_45[[#This Row],[1]:[31]],"&lt;&gt;")&lt;&gt;0),COUNTIFS(Ar_45[[#This Row],[1]:[31]],"&lt;&gt;T34",Ar_45[[#This Row],[1]:[31]],"&lt;&gt;"),"")</f>
        <v/>
      </c>
      <c r="AI22" s="66"/>
      <c r="AJ22" s="65"/>
      <c r="AK22" s="65"/>
    </row>
    <row r="23" spans="1:37" ht="30" customHeight="1">
      <c r="A23" s="62">
        <f t="shared" si="0"/>
        <v>19</v>
      </c>
      <c r="B23" s="63" t="s">
        <v>124</v>
      </c>
      <c r="C23" s="64"/>
      <c r="D23" s="64"/>
      <c r="E23" s="64"/>
      <c r="F23" s="64"/>
      <c r="G23" s="64"/>
      <c r="H23" s="64"/>
      <c r="I23" s="93"/>
      <c r="J23" s="64"/>
      <c r="K23" s="64"/>
      <c r="L23" s="64"/>
      <c r="M23" s="64"/>
      <c r="N23" s="64"/>
      <c r="O23" s="64"/>
      <c r="P23" s="93"/>
      <c r="Q23" s="64"/>
      <c r="R23" s="64"/>
      <c r="S23" s="64"/>
      <c r="T23" s="64"/>
      <c r="U23" s="64"/>
      <c r="V23" s="64"/>
      <c r="W23" s="93"/>
      <c r="X23" s="64"/>
      <c r="Y23" s="64"/>
      <c r="Z23" s="64"/>
      <c r="AA23" s="64"/>
      <c r="AB23" s="64"/>
      <c r="AC23" s="64"/>
      <c r="AD23" s="93"/>
      <c r="AE23" s="64"/>
      <c r="AF23" s="64"/>
      <c r="AG23" s="64"/>
      <c r="AH23" s="65" t="str">
        <f>IF((COUNTIFS(Ar_45[[#This Row],[1]:[31]],"&lt;&gt;T34",Ar_45[[#This Row],[1]:[31]],"&lt;&gt;")&lt;&gt;0),COUNTIFS(Ar_45[[#This Row],[1]:[31]],"&lt;&gt;T34",Ar_45[[#This Row],[1]:[31]],"&lt;&gt;"),"")</f>
        <v/>
      </c>
      <c r="AI23" s="66"/>
      <c r="AJ23" s="65"/>
      <c r="AK23" s="65"/>
    </row>
    <row r="24" spans="1:37" ht="30" customHeight="1">
      <c r="A24" s="62">
        <f t="shared" si="0"/>
        <v>20</v>
      </c>
      <c r="B24" s="63" t="s">
        <v>53</v>
      </c>
      <c r="C24" s="64"/>
      <c r="D24" s="64"/>
      <c r="E24" s="64"/>
      <c r="F24" s="64"/>
      <c r="G24" s="64"/>
      <c r="H24" s="64"/>
      <c r="I24" s="93"/>
      <c r="J24" s="64"/>
      <c r="K24" s="64"/>
      <c r="L24" s="64"/>
      <c r="M24" s="64"/>
      <c r="N24" s="64"/>
      <c r="O24" s="64"/>
      <c r="P24" s="93"/>
      <c r="Q24" s="64"/>
      <c r="R24" s="64"/>
      <c r="S24" s="64"/>
      <c r="T24" s="64"/>
      <c r="U24" s="64"/>
      <c r="V24" s="64"/>
      <c r="W24" s="93"/>
      <c r="X24" s="64"/>
      <c r="Y24" s="64"/>
      <c r="Z24" s="64"/>
      <c r="AA24" s="64"/>
      <c r="AB24" s="64"/>
      <c r="AC24" s="64"/>
      <c r="AD24" s="93"/>
      <c r="AE24" s="64"/>
      <c r="AF24" s="64"/>
      <c r="AG24" s="64"/>
      <c r="AH24" s="65" t="str">
        <f>IF((COUNTIFS(Ar_45[[#This Row],[1]:[31]],"&lt;&gt;T34",Ar_45[[#This Row],[1]:[31]],"&lt;&gt;")&lt;&gt;0),COUNTIFS(Ar_45[[#This Row],[1]:[31]],"&lt;&gt;T34",Ar_45[[#This Row],[1]:[31]],"&lt;&gt;"),"")</f>
        <v/>
      </c>
      <c r="AI24" s="66"/>
      <c r="AJ24" s="65"/>
      <c r="AK24" s="65"/>
    </row>
    <row r="25" spans="1:37" ht="30" customHeight="1">
      <c r="A25" s="62">
        <f t="shared" si="0"/>
        <v>21</v>
      </c>
      <c r="B25" s="63" t="s">
        <v>127</v>
      </c>
      <c r="C25" s="64"/>
      <c r="D25" s="64"/>
      <c r="E25" s="64"/>
      <c r="F25" s="64"/>
      <c r="G25" s="64"/>
      <c r="H25" s="64"/>
      <c r="I25" s="93"/>
      <c r="J25" s="64"/>
      <c r="K25" s="64"/>
      <c r="L25" s="64"/>
      <c r="M25" s="64"/>
      <c r="N25" s="64"/>
      <c r="O25" s="64"/>
      <c r="P25" s="93"/>
      <c r="Q25" s="64"/>
      <c r="R25" s="64"/>
      <c r="S25" s="64"/>
      <c r="T25" s="64"/>
      <c r="U25" s="64"/>
      <c r="V25" s="64"/>
      <c r="W25" s="93"/>
      <c r="X25" s="64"/>
      <c r="Y25" s="64"/>
      <c r="Z25" s="64"/>
      <c r="AA25" s="64"/>
      <c r="AB25" s="64"/>
      <c r="AC25" s="64"/>
      <c r="AD25" s="93"/>
      <c r="AE25" s="64"/>
      <c r="AF25" s="64"/>
      <c r="AG25" s="64"/>
      <c r="AH25" s="65" t="str">
        <f>IF((COUNTIFS(Ar_45[[#This Row],[1]:[31]],"&lt;&gt;T34",Ar_45[[#This Row],[1]:[31]],"&lt;&gt;")&lt;&gt;0),COUNTIFS(Ar_45[[#This Row],[1]:[31]],"&lt;&gt;T34",Ar_45[[#This Row],[1]:[31]],"&lt;&gt;"),"")</f>
        <v/>
      </c>
      <c r="AI25" s="66"/>
      <c r="AJ25" s="65"/>
      <c r="AK25" s="65"/>
    </row>
    <row r="26" spans="1:37" ht="30" customHeight="1">
      <c r="A26" s="62">
        <f t="shared" si="0"/>
        <v>22</v>
      </c>
      <c r="B26" s="63" t="s">
        <v>123</v>
      </c>
      <c r="C26" s="64"/>
      <c r="D26" s="64"/>
      <c r="E26" s="64"/>
      <c r="F26" s="64"/>
      <c r="G26" s="64"/>
      <c r="H26" s="64"/>
      <c r="I26" s="93"/>
      <c r="J26" s="64"/>
      <c r="K26" s="64"/>
      <c r="L26" s="64"/>
      <c r="M26" s="64"/>
      <c r="N26" s="64"/>
      <c r="O26" s="64"/>
      <c r="P26" s="93"/>
      <c r="Q26" s="64"/>
      <c r="R26" s="64"/>
      <c r="S26" s="64"/>
      <c r="T26" s="64"/>
      <c r="U26" s="64"/>
      <c r="V26" s="64"/>
      <c r="W26" s="93"/>
      <c r="X26" s="64"/>
      <c r="Y26" s="64"/>
      <c r="Z26" s="64"/>
      <c r="AA26" s="64"/>
      <c r="AB26" s="64"/>
      <c r="AC26" s="64"/>
      <c r="AD26" s="93"/>
      <c r="AE26" s="64"/>
      <c r="AF26" s="64"/>
      <c r="AG26" s="64"/>
      <c r="AH26" s="65" t="str">
        <f>IF((COUNTIFS(Ar_45[[#This Row],[1]:[31]],"&lt;&gt;T34",Ar_45[[#This Row],[1]:[31]],"&lt;&gt;")&lt;&gt;0),COUNTIFS(Ar_45[[#This Row],[1]:[31]],"&lt;&gt;T34",Ar_45[[#This Row],[1]:[31]],"&lt;&gt;"),"")</f>
        <v/>
      </c>
      <c r="AI26" s="66"/>
      <c r="AJ26" s="65"/>
      <c r="AK26" s="65"/>
    </row>
    <row r="27" spans="1:37" ht="30" customHeight="1">
      <c r="A27" s="62">
        <f t="shared" si="0"/>
        <v>23</v>
      </c>
      <c r="B27" s="63" t="s">
        <v>126</v>
      </c>
      <c r="C27" s="64"/>
      <c r="D27" s="64"/>
      <c r="E27" s="64"/>
      <c r="F27" s="64"/>
      <c r="G27" s="64"/>
      <c r="H27" s="64"/>
      <c r="I27" s="93"/>
      <c r="J27" s="64"/>
      <c r="K27" s="64"/>
      <c r="L27" s="64"/>
      <c r="M27" s="64"/>
      <c r="N27" s="64"/>
      <c r="O27" s="64"/>
      <c r="P27" s="93"/>
      <c r="Q27" s="64"/>
      <c r="R27" s="64"/>
      <c r="S27" s="64"/>
      <c r="T27" s="64"/>
      <c r="U27" s="64"/>
      <c r="V27" s="64"/>
      <c r="W27" s="93"/>
      <c r="X27" s="64"/>
      <c r="Y27" s="64"/>
      <c r="Z27" s="64"/>
      <c r="AA27" s="64"/>
      <c r="AB27" s="64"/>
      <c r="AC27" s="64"/>
      <c r="AD27" s="93"/>
      <c r="AE27" s="64"/>
      <c r="AF27" s="64"/>
      <c r="AG27" s="64"/>
      <c r="AH27" s="65" t="str">
        <f>IF((COUNTIFS(Ar_45[[#This Row],[1]:[31]],"&lt;&gt;T34",Ar_45[[#This Row],[1]:[31]],"&lt;&gt;")&lt;&gt;0),COUNTIFS(Ar_45[[#This Row],[1]:[31]],"&lt;&gt;T34",Ar_45[[#This Row],[1]:[31]],"&lt;&gt;"),"")</f>
        <v/>
      </c>
      <c r="AI27" s="66"/>
      <c r="AJ27" s="65"/>
      <c r="AK27" s="65"/>
    </row>
    <row r="28" spans="1:37" ht="30" customHeight="1">
      <c r="A28" s="62">
        <f t="shared" si="0"/>
        <v>24</v>
      </c>
      <c r="B28" s="63" t="s">
        <v>60</v>
      </c>
      <c r="C28" s="64"/>
      <c r="D28" s="64"/>
      <c r="E28" s="64"/>
      <c r="F28" s="64"/>
      <c r="G28" s="64"/>
      <c r="H28" s="64"/>
      <c r="I28" s="93"/>
      <c r="J28" s="64"/>
      <c r="K28" s="64"/>
      <c r="L28" s="64"/>
      <c r="M28" s="64"/>
      <c r="N28" s="64"/>
      <c r="O28" s="64"/>
      <c r="P28" s="93"/>
      <c r="Q28" s="64"/>
      <c r="R28" s="64"/>
      <c r="S28" s="64"/>
      <c r="T28" s="64"/>
      <c r="U28" s="64"/>
      <c r="V28" s="64"/>
      <c r="W28" s="93"/>
      <c r="X28" s="64"/>
      <c r="Y28" s="64"/>
      <c r="Z28" s="64"/>
      <c r="AA28" s="64"/>
      <c r="AB28" s="64"/>
      <c r="AC28" s="64"/>
      <c r="AD28" s="93"/>
      <c r="AE28" s="64"/>
      <c r="AF28" s="64"/>
      <c r="AG28" s="64"/>
      <c r="AH28" s="65" t="str">
        <f>IF((COUNTIFS(Ar_45[[#This Row],[1]:[31]],"&lt;&gt;T34",Ar_45[[#This Row],[1]:[31]],"&lt;&gt;")&lt;&gt;0),COUNTIFS(Ar_45[[#This Row],[1]:[31]],"&lt;&gt;T34",Ar_45[[#This Row],[1]:[31]],"&lt;&gt;"),"")</f>
        <v/>
      </c>
      <c r="AI28" s="66"/>
      <c r="AJ28" s="65"/>
      <c r="AK28" s="65"/>
    </row>
    <row r="29" spans="1:37" ht="30" customHeight="1">
      <c r="A29" s="62">
        <f t="shared" si="0"/>
        <v>25</v>
      </c>
      <c r="B29" s="63" t="s">
        <v>61</v>
      </c>
      <c r="C29" s="64"/>
      <c r="D29" s="64"/>
      <c r="E29" s="64"/>
      <c r="F29" s="64"/>
      <c r="G29" s="64"/>
      <c r="H29" s="64"/>
      <c r="I29" s="93"/>
      <c r="J29" s="64"/>
      <c r="K29" s="64"/>
      <c r="L29" s="64"/>
      <c r="M29" s="64"/>
      <c r="N29" s="64"/>
      <c r="O29" s="64"/>
      <c r="P29" s="93"/>
      <c r="Q29" s="64"/>
      <c r="R29" s="64"/>
      <c r="S29" s="64"/>
      <c r="T29" s="64"/>
      <c r="U29" s="64"/>
      <c r="V29" s="64"/>
      <c r="W29" s="93"/>
      <c r="X29" s="64"/>
      <c r="Y29" s="64"/>
      <c r="Z29" s="64"/>
      <c r="AA29" s="64"/>
      <c r="AB29" s="64"/>
      <c r="AC29" s="64"/>
      <c r="AD29" s="93"/>
      <c r="AE29" s="64"/>
      <c r="AF29" s="64"/>
      <c r="AG29" s="64"/>
      <c r="AH29" s="65" t="str">
        <f>IF((COUNTIFS(Ar_45[[#This Row],[1]:[31]],"&lt;&gt;T34",Ar_45[[#This Row],[1]:[31]],"&lt;&gt;")&lt;&gt;0),COUNTIFS(Ar_45[[#This Row],[1]:[31]],"&lt;&gt;T34",Ar_45[[#This Row],[1]:[31]],"&lt;&gt;"),"")</f>
        <v/>
      </c>
      <c r="AI29" s="66"/>
      <c r="AJ29" s="65"/>
      <c r="AK29" s="65"/>
    </row>
    <row r="30" spans="1:37" ht="30" customHeight="1">
      <c r="A30" s="62">
        <f t="shared" si="0"/>
        <v>26</v>
      </c>
      <c r="B30" s="63" t="s">
        <v>62</v>
      </c>
      <c r="C30" s="64"/>
      <c r="D30" s="64"/>
      <c r="E30" s="64"/>
      <c r="F30" s="64"/>
      <c r="G30" s="64"/>
      <c r="H30" s="64"/>
      <c r="I30" s="93"/>
      <c r="J30" s="64"/>
      <c r="K30" s="64"/>
      <c r="L30" s="64"/>
      <c r="M30" s="64"/>
      <c r="N30" s="64"/>
      <c r="O30" s="64"/>
      <c r="P30" s="93"/>
      <c r="Q30" s="64"/>
      <c r="R30" s="64"/>
      <c r="S30" s="64"/>
      <c r="T30" s="64"/>
      <c r="U30" s="64"/>
      <c r="V30" s="64"/>
      <c r="W30" s="93"/>
      <c r="X30" s="64"/>
      <c r="Y30" s="64"/>
      <c r="Z30" s="64"/>
      <c r="AA30" s="64"/>
      <c r="AB30" s="64"/>
      <c r="AC30" s="64"/>
      <c r="AD30" s="93"/>
      <c r="AE30" s="64"/>
      <c r="AF30" s="64"/>
      <c r="AG30" s="64"/>
      <c r="AH30" s="65" t="str">
        <f>IF((COUNTIFS(Ar_45[[#This Row],[1]:[31]],"&lt;&gt;T34",Ar_45[[#This Row],[1]:[31]],"&lt;&gt;")&lt;&gt;0),COUNTIFS(Ar_45[[#This Row],[1]:[31]],"&lt;&gt;T34",Ar_45[[#This Row],[1]:[31]],"&lt;&gt;"),"")</f>
        <v/>
      </c>
      <c r="AI30" s="66"/>
      <c r="AJ30" s="65"/>
      <c r="AK30" s="65"/>
    </row>
    <row r="31" spans="1:37" ht="30" customHeight="1">
      <c r="A31" s="62">
        <f t="shared" si="0"/>
        <v>27</v>
      </c>
      <c r="B31" s="63" t="s">
        <v>63</v>
      </c>
      <c r="C31" s="64"/>
      <c r="D31" s="64"/>
      <c r="E31" s="64"/>
      <c r="F31" s="64"/>
      <c r="G31" s="64"/>
      <c r="H31" s="64"/>
      <c r="I31" s="93"/>
      <c r="J31" s="64"/>
      <c r="K31" s="64"/>
      <c r="L31" s="64"/>
      <c r="M31" s="64"/>
      <c r="N31" s="64"/>
      <c r="O31" s="64"/>
      <c r="P31" s="93"/>
      <c r="Q31" s="64"/>
      <c r="R31" s="64"/>
      <c r="S31" s="64"/>
      <c r="T31" s="64"/>
      <c r="U31" s="64"/>
      <c r="V31" s="64"/>
      <c r="W31" s="93"/>
      <c r="X31" s="64"/>
      <c r="Y31" s="64"/>
      <c r="Z31" s="64"/>
      <c r="AA31" s="64"/>
      <c r="AB31" s="64"/>
      <c r="AC31" s="64"/>
      <c r="AD31" s="93"/>
      <c r="AE31" s="64"/>
      <c r="AF31" s="64"/>
      <c r="AG31" s="64"/>
      <c r="AH31" s="65" t="str">
        <f>IF((COUNTIFS(Ar_45[[#This Row],[1]:[31]],"&lt;&gt;T34",Ar_45[[#This Row],[1]:[31]],"&lt;&gt;")&lt;&gt;0),COUNTIFS(Ar_45[[#This Row],[1]:[31]],"&lt;&gt;T34",Ar_45[[#This Row],[1]:[31]],"&lt;&gt;"),"")</f>
        <v/>
      </c>
      <c r="AI31" s="66"/>
      <c r="AJ31" s="65"/>
      <c r="AK31" s="65"/>
    </row>
    <row r="32" spans="1:37">
      <c r="A32" s="62">
        <f t="shared" si="0"/>
        <v>28</v>
      </c>
      <c r="B32" s="63" t="s">
        <v>64</v>
      </c>
      <c r="C32" s="67"/>
      <c r="D32" s="67"/>
      <c r="E32" s="67"/>
      <c r="F32" s="68"/>
      <c r="G32" s="68"/>
      <c r="H32" s="68"/>
      <c r="I32" s="89"/>
      <c r="J32" s="68"/>
      <c r="K32" s="67"/>
      <c r="L32" s="69"/>
      <c r="M32" s="69"/>
      <c r="N32" s="69"/>
      <c r="O32" s="69"/>
      <c r="P32" s="89"/>
      <c r="Q32" s="69"/>
      <c r="R32" s="69"/>
      <c r="S32" s="69"/>
      <c r="T32" s="69"/>
      <c r="U32" s="69"/>
      <c r="V32" s="69"/>
      <c r="W32" s="89"/>
      <c r="X32" s="69"/>
      <c r="Y32" s="69"/>
      <c r="Z32" s="69"/>
      <c r="AA32" s="69"/>
      <c r="AB32" s="69"/>
      <c r="AC32" s="69"/>
      <c r="AD32" s="89"/>
      <c r="AE32" s="69"/>
      <c r="AF32" s="69"/>
      <c r="AG32" s="69"/>
      <c r="AH32" s="70" t="str">
        <f>IF((COUNTIFS(Ar_45[[#This Row],[1]:[31]],"&lt;&gt;T34",Ar_45[[#This Row],[1]:[31]],"&lt;&gt;")&lt;&gt;0),COUNTIFS(Ar_45[[#This Row],[1]:[31]],"&lt;&gt;T34",Ar_45[[#This Row],[1]:[31]],"&lt;&gt;"),"")</f>
        <v/>
      </c>
      <c r="AI32" s="71"/>
      <c r="AJ32" s="65"/>
      <c r="AK32" s="65"/>
    </row>
    <row r="33" spans="1:37">
      <c r="A33" s="62">
        <f t="shared" si="0"/>
        <v>29</v>
      </c>
      <c r="B33" s="63" t="s">
        <v>65</v>
      </c>
      <c r="C33" s="64"/>
      <c r="D33" s="64"/>
      <c r="E33" s="64"/>
      <c r="F33" s="72"/>
      <c r="G33" s="72"/>
      <c r="H33" s="72"/>
      <c r="I33" s="98"/>
      <c r="J33" s="72"/>
      <c r="K33" s="64"/>
      <c r="L33" s="73"/>
      <c r="M33" s="73"/>
      <c r="N33" s="73"/>
      <c r="O33" s="73"/>
      <c r="P33" s="98"/>
      <c r="Q33" s="73"/>
      <c r="R33" s="73"/>
      <c r="S33" s="73"/>
      <c r="T33" s="73"/>
      <c r="U33" s="73"/>
      <c r="V33" s="73"/>
      <c r="W33" s="98"/>
      <c r="X33" s="73"/>
      <c r="Y33" s="73"/>
      <c r="Z33" s="73"/>
      <c r="AA33" s="73"/>
      <c r="AB33" s="73"/>
      <c r="AC33" s="73"/>
      <c r="AD33" s="98"/>
      <c r="AE33" s="73"/>
      <c r="AF33" s="73"/>
      <c r="AG33" s="73"/>
      <c r="AH33" s="65" t="str">
        <f>IF((COUNTIFS(Ar_45[[#This Row],[1]:[31]],"&lt;&gt;T34",Ar_45[[#This Row],[1]:[31]],"&lt;&gt;")&lt;&gt;0),COUNTIFS(Ar_45[[#This Row],[1]:[31]],"&lt;&gt;T34",Ar_45[[#This Row],[1]:[31]],"&lt;&gt;"),"")</f>
        <v/>
      </c>
      <c r="AI33" s="66"/>
      <c r="AJ33" s="65"/>
      <c r="AK33" s="65"/>
    </row>
    <row r="34" spans="1:37">
      <c r="A34" s="62">
        <f t="shared" si="0"/>
        <v>30</v>
      </c>
      <c r="B34" s="87" t="s">
        <v>66</v>
      </c>
      <c r="C34" s="64"/>
      <c r="D34" s="64"/>
      <c r="E34" s="64"/>
      <c r="F34" s="72"/>
      <c r="G34" s="72"/>
      <c r="H34" s="72"/>
      <c r="I34" s="98"/>
      <c r="J34" s="72"/>
      <c r="K34" s="64"/>
      <c r="L34" s="73"/>
      <c r="M34" s="73"/>
      <c r="N34" s="73"/>
      <c r="O34" s="73"/>
      <c r="P34" s="98"/>
      <c r="Q34" s="73"/>
      <c r="R34" s="73"/>
      <c r="S34" s="73"/>
      <c r="T34" s="73"/>
      <c r="U34" s="73"/>
      <c r="V34" s="73"/>
      <c r="W34" s="98"/>
      <c r="X34" s="73"/>
      <c r="Y34" s="73"/>
      <c r="Z34" s="73"/>
      <c r="AA34" s="73"/>
      <c r="AB34" s="73"/>
      <c r="AC34" s="73"/>
      <c r="AD34" s="98"/>
      <c r="AE34" s="73"/>
      <c r="AF34" s="73"/>
      <c r="AG34" s="73"/>
      <c r="AH34" s="65" t="str">
        <f>IF((COUNTIFS(Ar_45[[#This Row],[1]:[31]],"&lt;&gt;T34",Ar_45[[#This Row],[1]:[31]],"&lt;&gt;")&lt;&gt;0),COUNTIFS(Ar_45[[#This Row],[1]:[31]],"&lt;&gt;T34",Ar_45[[#This Row],[1]:[31]],"&lt;&gt;"),"")</f>
        <v/>
      </c>
      <c r="AI34" s="88"/>
      <c r="AJ34" s="65"/>
      <c r="AK34" s="65"/>
    </row>
    <row r="35" spans="1:37">
      <c r="A35" s="62">
        <f t="shared" si="0"/>
        <v>31</v>
      </c>
      <c r="B35" s="87" t="s">
        <v>67</v>
      </c>
      <c r="C35" s="64"/>
      <c r="D35" s="64"/>
      <c r="E35" s="64"/>
      <c r="F35" s="72"/>
      <c r="G35" s="72"/>
      <c r="H35" s="72"/>
      <c r="I35" s="98"/>
      <c r="J35" s="72"/>
      <c r="K35" s="64"/>
      <c r="L35" s="73"/>
      <c r="M35" s="73"/>
      <c r="N35" s="73"/>
      <c r="O35" s="73"/>
      <c r="P35" s="98"/>
      <c r="Q35" s="73"/>
      <c r="R35" s="73"/>
      <c r="S35" s="73"/>
      <c r="T35" s="73"/>
      <c r="U35" s="73"/>
      <c r="V35" s="73"/>
      <c r="W35" s="98"/>
      <c r="X35" s="73"/>
      <c r="Y35" s="73"/>
      <c r="Z35" s="73"/>
      <c r="AA35" s="73"/>
      <c r="AB35" s="73"/>
      <c r="AC35" s="73"/>
      <c r="AD35" s="98"/>
      <c r="AE35" s="73"/>
      <c r="AF35" s="73"/>
      <c r="AG35" s="73"/>
      <c r="AH35" s="65" t="str">
        <f>IF((COUNTIFS(Ar_45[[#This Row],[1]:[31]],"&lt;&gt;T34",Ar_45[[#This Row],[1]:[31]],"&lt;&gt;")&lt;&gt;0),COUNTIFS(Ar_45[[#This Row],[1]:[31]],"&lt;&gt;T34",Ar_45[[#This Row],[1]:[31]],"&lt;&gt;"),"")</f>
        <v/>
      </c>
      <c r="AI35" s="88"/>
      <c r="AJ35" s="65"/>
      <c r="AK35" s="65"/>
    </row>
    <row r="36" spans="1:37">
      <c r="A36" s="62">
        <f t="shared" si="0"/>
        <v>32</v>
      </c>
      <c r="B36" s="87" t="s">
        <v>68</v>
      </c>
      <c r="C36" s="64"/>
      <c r="D36" s="64"/>
      <c r="E36" s="64"/>
      <c r="F36" s="72"/>
      <c r="G36" s="72"/>
      <c r="H36" s="72"/>
      <c r="I36" s="98"/>
      <c r="J36" s="72"/>
      <c r="K36" s="64"/>
      <c r="L36" s="73"/>
      <c r="M36" s="73"/>
      <c r="N36" s="73"/>
      <c r="O36" s="73"/>
      <c r="P36" s="98"/>
      <c r="Q36" s="73"/>
      <c r="R36" s="73"/>
      <c r="S36" s="73"/>
      <c r="T36" s="73"/>
      <c r="U36" s="73"/>
      <c r="V36" s="73"/>
      <c r="W36" s="98"/>
      <c r="X36" s="73"/>
      <c r="Y36" s="73"/>
      <c r="Z36" s="73"/>
      <c r="AA36" s="73"/>
      <c r="AB36" s="73"/>
      <c r="AC36" s="73"/>
      <c r="AD36" s="98"/>
      <c r="AE36" s="73"/>
      <c r="AF36" s="73"/>
      <c r="AG36" s="73"/>
      <c r="AH36" s="65" t="str">
        <f>IF((COUNTIFS(Ar_45[[#This Row],[1]:[31]],"&lt;&gt;T34",Ar_45[[#This Row],[1]:[31]],"&lt;&gt;")&lt;&gt;0),COUNTIFS(Ar_45[[#This Row],[1]:[31]],"&lt;&gt;T34",Ar_45[[#This Row],[1]:[31]],"&lt;&gt;"),"")</f>
        <v/>
      </c>
      <c r="AI36" s="88"/>
      <c r="AJ36" s="65"/>
      <c r="AK36" s="65"/>
    </row>
    <row r="37" spans="1:37">
      <c r="A37" s="62">
        <f t="shared" si="0"/>
        <v>33</v>
      </c>
      <c r="B37" s="87" t="s">
        <v>69</v>
      </c>
      <c r="C37" s="64"/>
      <c r="D37" s="64"/>
      <c r="E37" s="64"/>
      <c r="F37" s="72"/>
      <c r="G37" s="72"/>
      <c r="H37" s="72"/>
      <c r="I37" s="98"/>
      <c r="J37" s="72"/>
      <c r="K37" s="64"/>
      <c r="L37" s="73"/>
      <c r="M37" s="73"/>
      <c r="N37" s="73"/>
      <c r="O37" s="73"/>
      <c r="P37" s="98"/>
      <c r="Q37" s="73"/>
      <c r="R37" s="73"/>
      <c r="S37" s="73"/>
      <c r="T37" s="73"/>
      <c r="U37" s="73"/>
      <c r="V37" s="73"/>
      <c r="W37" s="98"/>
      <c r="X37" s="73"/>
      <c r="Y37" s="73"/>
      <c r="Z37" s="73"/>
      <c r="AA37" s="73"/>
      <c r="AB37" s="73"/>
      <c r="AC37" s="73"/>
      <c r="AD37" s="98"/>
      <c r="AE37" s="73"/>
      <c r="AF37" s="73"/>
      <c r="AG37" s="73"/>
      <c r="AH37" s="65" t="str">
        <f>IF((COUNTIFS(Ar_45[[#This Row],[1]:[31]],"&lt;&gt;T34",Ar_45[[#This Row],[1]:[31]],"&lt;&gt;")&lt;&gt;0),COUNTIFS(Ar_45[[#This Row],[1]:[31]],"&lt;&gt;T34",Ar_45[[#This Row],[1]:[31]],"&lt;&gt;"),"")</f>
        <v/>
      </c>
      <c r="AI37" s="88"/>
      <c r="AJ37" s="65"/>
      <c r="AK37" s="65"/>
    </row>
    <row r="38" spans="1:37">
      <c r="A38" s="62">
        <f t="shared" si="0"/>
        <v>34</v>
      </c>
      <c r="B38" s="87" t="s">
        <v>70</v>
      </c>
      <c r="C38" s="64"/>
      <c r="D38" s="64"/>
      <c r="E38" s="64"/>
      <c r="F38" s="72"/>
      <c r="G38" s="72"/>
      <c r="H38" s="72"/>
      <c r="I38" s="98"/>
      <c r="J38" s="72"/>
      <c r="K38" s="64"/>
      <c r="L38" s="73"/>
      <c r="M38" s="73"/>
      <c r="N38" s="73"/>
      <c r="O38" s="73"/>
      <c r="P38" s="98"/>
      <c r="Q38" s="73"/>
      <c r="R38" s="73"/>
      <c r="S38" s="73"/>
      <c r="T38" s="73"/>
      <c r="U38" s="73"/>
      <c r="V38" s="73"/>
      <c r="W38" s="98"/>
      <c r="X38" s="73"/>
      <c r="Y38" s="73"/>
      <c r="Z38" s="73"/>
      <c r="AA38" s="73"/>
      <c r="AB38" s="73"/>
      <c r="AC38" s="73"/>
      <c r="AD38" s="98"/>
      <c r="AE38" s="73"/>
      <c r="AF38" s="73"/>
      <c r="AG38" s="73"/>
      <c r="AH38" s="65" t="str">
        <f>IF((COUNTIFS(Ar_45[[#This Row],[1]:[31]],"&lt;&gt;T34",Ar_45[[#This Row],[1]:[31]],"&lt;&gt;")&lt;&gt;0),COUNTIFS(Ar_45[[#This Row],[1]:[31]],"&lt;&gt;T34",Ar_45[[#This Row],[1]:[31]],"&lt;&gt;"),"")</f>
        <v/>
      </c>
      <c r="AI38" s="88"/>
      <c r="AJ38" s="65"/>
      <c r="AK38" s="65"/>
    </row>
    <row r="39" spans="1:37">
      <c r="A39" s="62">
        <f t="shared" si="0"/>
        <v>35</v>
      </c>
      <c r="B39" s="87" t="s">
        <v>72</v>
      </c>
      <c r="C39" s="64"/>
      <c r="D39" s="64"/>
      <c r="E39" s="64"/>
      <c r="F39" s="72"/>
      <c r="G39" s="72"/>
      <c r="H39" s="72"/>
      <c r="I39" s="98"/>
      <c r="J39" s="72"/>
      <c r="K39" s="64"/>
      <c r="L39" s="73"/>
      <c r="M39" s="73"/>
      <c r="N39" s="73"/>
      <c r="O39" s="73"/>
      <c r="P39" s="98"/>
      <c r="Q39" s="73"/>
      <c r="R39" s="73"/>
      <c r="S39" s="73"/>
      <c r="T39" s="73"/>
      <c r="U39" s="73"/>
      <c r="V39" s="73"/>
      <c r="W39" s="98"/>
      <c r="X39" s="73"/>
      <c r="Y39" s="73"/>
      <c r="Z39" s="73"/>
      <c r="AA39" s="73"/>
      <c r="AB39" s="73"/>
      <c r="AC39" s="73"/>
      <c r="AD39" s="98"/>
      <c r="AE39" s="73"/>
      <c r="AF39" s="73"/>
      <c r="AG39" s="73"/>
      <c r="AH39" s="65" t="str">
        <f>IF((COUNTIFS(Ar_45[[#This Row],[1]:[31]],"&lt;&gt;T34",Ar_45[[#This Row],[1]:[31]],"&lt;&gt;")&lt;&gt;0),COUNTIFS(Ar_45[[#This Row],[1]:[31]],"&lt;&gt;T34",Ar_45[[#This Row],[1]:[31]],"&lt;&gt;"),"")</f>
        <v/>
      </c>
      <c r="AI39" s="88"/>
      <c r="AJ39" s="65"/>
      <c r="AK39" s="65"/>
    </row>
    <row r="40" spans="1:37">
      <c r="A40" s="62">
        <f t="shared" si="0"/>
        <v>36</v>
      </c>
      <c r="B40" s="87" t="s">
        <v>73</v>
      </c>
      <c r="C40" s="64"/>
      <c r="D40" s="64"/>
      <c r="E40" s="64"/>
      <c r="F40" s="72"/>
      <c r="G40" s="72"/>
      <c r="H40" s="72"/>
      <c r="I40" s="98"/>
      <c r="J40" s="72"/>
      <c r="K40" s="64"/>
      <c r="L40" s="73"/>
      <c r="M40" s="73"/>
      <c r="N40" s="73"/>
      <c r="O40" s="73"/>
      <c r="P40" s="98"/>
      <c r="Q40" s="73"/>
      <c r="R40" s="73"/>
      <c r="S40" s="73"/>
      <c r="T40" s="73"/>
      <c r="U40" s="73"/>
      <c r="V40" s="73"/>
      <c r="W40" s="98"/>
      <c r="X40" s="73"/>
      <c r="Y40" s="73"/>
      <c r="Z40" s="73"/>
      <c r="AA40" s="73"/>
      <c r="AB40" s="73"/>
      <c r="AC40" s="73"/>
      <c r="AD40" s="98"/>
      <c r="AE40" s="73"/>
      <c r="AF40" s="73"/>
      <c r="AG40" s="73"/>
      <c r="AH40" s="65" t="str">
        <f>IF((COUNTIFS(Ar_45[[#This Row],[1]:[31]],"&lt;&gt;T34",Ar_45[[#This Row],[1]:[31]],"&lt;&gt;")&lt;&gt;0),COUNTIFS(Ar_45[[#This Row],[1]:[31]],"&lt;&gt;T34",Ar_45[[#This Row],[1]:[31]],"&lt;&gt;"),"")</f>
        <v/>
      </c>
      <c r="AI40" s="88"/>
      <c r="AJ40" s="65"/>
      <c r="AK40" s="65"/>
    </row>
    <row r="41" spans="1:37">
      <c r="A41" s="62">
        <f t="shared" si="0"/>
        <v>37</v>
      </c>
      <c r="B41" s="87" t="s">
        <v>74</v>
      </c>
      <c r="C41" s="64"/>
      <c r="D41" s="64"/>
      <c r="E41" s="64"/>
      <c r="F41" s="72"/>
      <c r="G41" s="72"/>
      <c r="H41" s="72"/>
      <c r="I41" s="98"/>
      <c r="J41" s="72"/>
      <c r="K41" s="64"/>
      <c r="L41" s="73"/>
      <c r="M41" s="73"/>
      <c r="N41" s="73"/>
      <c r="O41" s="73"/>
      <c r="P41" s="98"/>
      <c r="Q41" s="73"/>
      <c r="R41" s="73"/>
      <c r="S41" s="73"/>
      <c r="T41" s="73"/>
      <c r="U41" s="73"/>
      <c r="V41" s="73"/>
      <c r="W41" s="98"/>
      <c r="X41" s="73"/>
      <c r="Y41" s="73"/>
      <c r="Z41" s="73"/>
      <c r="AA41" s="73"/>
      <c r="AB41" s="73"/>
      <c r="AC41" s="73"/>
      <c r="AD41" s="98"/>
      <c r="AE41" s="73"/>
      <c r="AF41" s="73"/>
      <c r="AG41" s="73"/>
      <c r="AH41" s="65" t="str">
        <f>IF((COUNTIFS(Ar_45[[#This Row],[1]:[31]],"&lt;&gt;T34",Ar_45[[#This Row],[1]:[31]],"&lt;&gt;")&lt;&gt;0),COUNTIFS(Ar_45[[#This Row],[1]:[31]],"&lt;&gt;T34",Ar_45[[#This Row],[1]:[31]],"&lt;&gt;"),"")</f>
        <v/>
      </c>
      <c r="AI41" s="88"/>
      <c r="AJ41" s="65"/>
      <c r="AK41" s="65"/>
    </row>
    <row r="42" spans="1:37">
      <c r="A42" s="62">
        <f t="shared" si="0"/>
        <v>38</v>
      </c>
      <c r="B42" s="87" t="s">
        <v>75</v>
      </c>
      <c r="C42" s="64"/>
      <c r="D42" s="64"/>
      <c r="E42" s="64"/>
      <c r="F42" s="72"/>
      <c r="G42" s="72"/>
      <c r="H42" s="72"/>
      <c r="I42" s="98"/>
      <c r="J42" s="72"/>
      <c r="K42" s="64"/>
      <c r="L42" s="73"/>
      <c r="M42" s="73"/>
      <c r="N42" s="73"/>
      <c r="O42" s="73"/>
      <c r="P42" s="98"/>
      <c r="Q42" s="73"/>
      <c r="R42" s="73"/>
      <c r="S42" s="73"/>
      <c r="T42" s="73"/>
      <c r="U42" s="73"/>
      <c r="V42" s="73"/>
      <c r="W42" s="98"/>
      <c r="X42" s="73"/>
      <c r="Y42" s="73"/>
      <c r="Z42" s="73"/>
      <c r="AA42" s="73"/>
      <c r="AB42" s="73"/>
      <c r="AC42" s="73"/>
      <c r="AD42" s="98"/>
      <c r="AE42" s="73"/>
      <c r="AF42" s="73"/>
      <c r="AG42" s="73"/>
      <c r="AH42" s="65" t="str">
        <f>IF((COUNTIFS(Ar_45[[#This Row],[1]:[31]],"&lt;&gt;T34",Ar_45[[#This Row],[1]:[31]],"&lt;&gt;")&lt;&gt;0),COUNTIFS(Ar_45[[#This Row],[1]:[31]],"&lt;&gt;T34",Ar_45[[#This Row],[1]:[31]],"&lt;&gt;"),"")</f>
        <v/>
      </c>
      <c r="AI42" s="88"/>
      <c r="AJ42" s="65"/>
      <c r="AK42" s="65"/>
    </row>
    <row r="43" spans="1:37">
      <c r="A43" s="62">
        <f t="shared" si="0"/>
        <v>39</v>
      </c>
      <c r="B43" s="87" t="s">
        <v>76</v>
      </c>
      <c r="C43" s="64"/>
      <c r="D43" s="64"/>
      <c r="E43" s="64"/>
      <c r="F43" s="72"/>
      <c r="G43" s="72"/>
      <c r="H43" s="72"/>
      <c r="I43" s="98"/>
      <c r="J43" s="72"/>
      <c r="K43" s="64"/>
      <c r="L43" s="73"/>
      <c r="M43" s="73"/>
      <c r="N43" s="73"/>
      <c r="O43" s="73"/>
      <c r="P43" s="98"/>
      <c r="Q43" s="73"/>
      <c r="R43" s="73"/>
      <c r="S43" s="73"/>
      <c r="T43" s="73"/>
      <c r="U43" s="73"/>
      <c r="V43" s="73"/>
      <c r="W43" s="98"/>
      <c r="X43" s="73"/>
      <c r="Y43" s="73"/>
      <c r="Z43" s="73"/>
      <c r="AA43" s="73"/>
      <c r="AB43" s="73"/>
      <c r="AC43" s="73"/>
      <c r="AD43" s="98"/>
      <c r="AE43" s="73"/>
      <c r="AF43" s="73"/>
      <c r="AG43" s="73"/>
      <c r="AH43" s="65" t="str">
        <f>IF((COUNTIFS(Ar_45[[#This Row],[1]:[31]],"&lt;&gt;T34",Ar_45[[#This Row],[1]:[31]],"&lt;&gt;")&lt;&gt;0),COUNTIFS(Ar_45[[#This Row],[1]:[31]],"&lt;&gt;T34",Ar_45[[#This Row],[1]:[31]],"&lt;&gt;"),"")</f>
        <v/>
      </c>
      <c r="AI43" s="88"/>
      <c r="AJ43" s="70"/>
      <c r="AK43" s="70"/>
    </row>
    <row r="44" spans="1:37">
      <c r="A44" s="56"/>
      <c r="B44" s="74"/>
      <c r="C44" s="75"/>
      <c r="D44" s="75"/>
      <c r="E44" s="75"/>
      <c r="F44" s="76"/>
      <c r="G44" s="76"/>
      <c r="H44" s="76"/>
      <c r="I44" s="76"/>
      <c r="J44" s="76"/>
      <c r="K44" s="75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/>
      <c r="AI44" s="78"/>
    </row>
    <row r="45" spans="1:37">
      <c r="A45" s="79"/>
      <c r="B45" s="80"/>
      <c r="C45" s="81" t="s">
        <v>112</v>
      </c>
      <c r="D45" s="207" t="s">
        <v>113</v>
      </c>
      <c r="E45" s="207"/>
      <c r="F45" s="207"/>
      <c r="G45" s="81" t="s">
        <v>3</v>
      </c>
      <c r="H45" s="207" t="s">
        <v>114</v>
      </c>
      <c r="I45" s="207"/>
      <c r="J45" s="207"/>
      <c r="K45" s="81" t="s">
        <v>115</v>
      </c>
      <c r="L45" s="207" t="s">
        <v>116</v>
      </c>
      <c r="M45" s="207"/>
      <c r="N45" s="207"/>
      <c r="O45" s="81" t="s">
        <v>78</v>
      </c>
      <c r="P45" s="207" t="s">
        <v>117</v>
      </c>
      <c r="Q45" s="207"/>
      <c r="R45" s="207"/>
      <c r="S45" s="80" t="s">
        <v>118</v>
      </c>
      <c r="T45" s="207" t="s">
        <v>119</v>
      </c>
      <c r="U45" s="207"/>
      <c r="V45" s="207"/>
      <c r="AH45" s="80"/>
      <c r="AI45" s="80"/>
    </row>
  </sheetData>
  <mergeCells count="5">
    <mergeCell ref="D45:F45"/>
    <mergeCell ref="H45:J45"/>
    <mergeCell ref="L45:N45"/>
    <mergeCell ref="P45:R45"/>
    <mergeCell ref="T45:V45"/>
  </mergeCells>
  <conditionalFormatting sqref="C5:AG44">
    <cfRule type="cellIs" dxfId="63" priority="1" operator="equal">
      <formula>$K$45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A4A5-80AB-4411-A06A-D0919DAF8316}">
  <dimension ref="A1:O948"/>
  <sheetViews>
    <sheetView rightToLeft="1" tabSelected="1" workbookViewId="0">
      <selection activeCell="O15" sqref="O15"/>
    </sheetView>
  </sheetViews>
  <sheetFormatPr defaultColWidth="11.375" defaultRowHeight="18"/>
  <cols>
    <col min="1" max="1" width="4.625" style="104" customWidth="1"/>
    <col min="2" max="2" width="12" style="104" customWidth="1"/>
    <col min="3" max="3" width="4.625" style="104" customWidth="1"/>
    <col min="4" max="4" width="16.125" style="106" customWidth="1"/>
    <col min="5" max="5" width="16" customWidth="1"/>
    <col min="6" max="6" width="14.625" customWidth="1"/>
    <col min="7" max="7" width="13.125" style="106" customWidth="1"/>
    <col min="8" max="8" width="12.375" style="106" customWidth="1"/>
    <col min="9" max="9" width="13.625" style="106" customWidth="1"/>
    <col min="10" max="10" width="11.875" style="106" hidden="1" customWidth="1"/>
    <col min="11" max="11" width="11.375" style="106" hidden="1" customWidth="1"/>
    <col min="12" max="12" width="11.375" style="104"/>
    <col min="13" max="13" width="13.125" style="104" customWidth="1"/>
    <col min="14" max="14" width="32" style="104" customWidth="1"/>
    <col min="15" max="15" width="7.625" style="104" customWidth="1"/>
    <col min="16" max="16" width="6.75" style="104" customWidth="1"/>
    <col min="17" max="16384" width="11.375" style="104"/>
  </cols>
  <sheetData>
    <row r="1" spans="1:15" ht="18.75" thickBot="1">
      <c r="B1" s="105" t="s">
        <v>112</v>
      </c>
      <c r="C1" s="105"/>
      <c r="D1" s="105" t="s">
        <v>121</v>
      </c>
      <c r="L1" s="107" t="s">
        <v>128</v>
      </c>
      <c r="M1" s="107" t="s">
        <v>129</v>
      </c>
    </row>
    <row r="2" spans="1:15" ht="18.75" thickBot="1">
      <c r="B2" s="105" t="s">
        <v>78</v>
      </c>
      <c r="C2" s="105"/>
      <c r="D2" s="105" t="s">
        <v>130</v>
      </c>
      <c r="E2" s="108" t="s">
        <v>131</v>
      </c>
      <c r="F2" s="109">
        <v>0.41666666666666669</v>
      </c>
      <c r="G2" s="108" t="s">
        <v>132</v>
      </c>
      <c r="H2" s="109">
        <v>0.875</v>
      </c>
      <c r="I2" s="110" t="s">
        <v>133</v>
      </c>
      <c r="K2" s="102"/>
      <c r="L2" s="111">
        <v>10.15</v>
      </c>
      <c r="M2" s="111">
        <v>10.3</v>
      </c>
      <c r="N2" s="112" t="s">
        <v>134</v>
      </c>
    </row>
    <row r="3" spans="1:15" ht="18.75" thickBot="1">
      <c r="B3" s="105" t="s">
        <v>135</v>
      </c>
      <c r="C3" s="105"/>
      <c r="D3" s="105" t="s">
        <v>136</v>
      </c>
      <c r="E3" s="113" t="s">
        <v>137</v>
      </c>
      <c r="F3" s="114"/>
      <c r="G3" s="108" t="s">
        <v>138</v>
      </c>
      <c r="H3" s="109">
        <v>4.1666666666666666E-3</v>
      </c>
      <c r="I3" s="110" t="s">
        <v>133</v>
      </c>
      <c r="L3" s="111">
        <v>10.35</v>
      </c>
      <c r="M3" s="111">
        <v>10</v>
      </c>
      <c r="N3" s="112" t="s">
        <v>139</v>
      </c>
    </row>
    <row r="4" spans="1:15" ht="18.75" thickBot="1">
      <c r="B4" s="105" t="s">
        <v>140</v>
      </c>
      <c r="C4" s="105"/>
      <c r="D4" s="105" t="s">
        <v>141</v>
      </c>
      <c r="E4" s="113" t="s">
        <v>142</v>
      </c>
      <c r="F4" s="114"/>
      <c r="I4" s="110" t="s">
        <v>133</v>
      </c>
      <c r="L4" s="115">
        <v>10.050000000000001</v>
      </c>
      <c r="M4" s="115">
        <v>10.15</v>
      </c>
      <c r="N4" s="154" t="s">
        <v>143</v>
      </c>
    </row>
    <row r="5" spans="1:15">
      <c r="B5" s="105" t="s">
        <v>144</v>
      </c>
      <c r="C5" s="105"/>
      <c r="D5" s="105" t="s">
        <v>145</v>
      </c>
      <c r="E5" s="106"/>
      <c r="F5" s="106"/>
      <c r="I5" s="110" t="s">
        <v>133</v>
      </c>
      <c r="L5" s="115">
        <v>10.050000000000001</v>
      </c>
      <c r="M5" s="115"/>
      <c r="N5" s="115" t="s">
        <v>146</v>
      </c>
    </row>
    <row r="6" spans="1:15">
      <c r="B6" s="106" t="s">
        <v>147</v>
      </c>
      <c r="D6" s="106" t="s">
        <v>148</v>
      </c>
      <c r="E6" s="106" t="s">
        <v>149</v>
      </c>
      <c r="F6" s="104" t="s">
        <v>150</v>
      </c>
    </row>
    <row r="7" spans="1:15">
      <c r="A7" s="116" t="s">
        <v>151</v>
      </c>
      <c r="B7" s="116" t="s">
        <v>152</v>
      </c>
      <c r="C7" s="144" t="s">
        <v>153</v>
      </c>
      <c r="D7" s="182" t="s">
        <v>80</v>
      </c>
      <c r="E7" s="116" t="s">
        <v>154</v>
      </c>
      <c r="F7" s="116" t="s">
        <v>155</v>
      </c>
      <c r="G7" s="116" t="s">
        <v>156</v>
      </c>
      <c r="H7" s="116" t="s">
        <v>157</v>
      </c>
      <c r="I7" s="116" t="s">
        <v>158</v>
      </c>
      <c r="J7" s="116" t="s">
        <v>159</v>
      </c>
      <c r="K7" s="116" t="s">
        <v>160</v>
      </c>
      <c r="L7" s="116" t="s">
        <v>159</v>
      </c>
      <c r="M7" s="116" t="s">
        <v>160</v>
      </c>
    </row>
    <row r="8" spans="1:15">
      <c r="A8" s="141">
        <f>B8</f>
        <v>45109</v>
      </c>
      <c r="B8" s="140">
        <v>45109</v>
      </c>
      <c r="C8" s="147">
        <v>15</v>
      </c>
      <c r="D8" s="130" t="s">
        <v>161</v>
      </c>
      <c r="E8" s="181"/>
      <c r="F8" s="181"/>
      <c r="G8" s="120">
        <f>IFERROR(IF((E8-$F$2)&lt;=$H$3,0,E8-$F$2),"غياب")</f>
        <v>0</v>
      </c>
      <c r="H8" s="120">
        <f>IF(($H$2-F8)&lt;0,0,$H$2-F8)</f>
        <v>0.875</v>
      </c>
      <c r="I8" s="120">
        <f>IFERROR(IF((F8-$H$2)&lt;0,0,F8-$H$2),"0")</f>
        <v>0</v>
      </c>
      <c r="J8" s="107">
        <f>(G8+H8)*24*$F$3</f>
        <v>0</v>
      </c>
      <c r="K8" s="107">
        <f>I8*24*$F$4*$F$3</f>
        <v>0</v>
      </c>
      <c r="L8" s="121"/>
      <c r="M8" s="121"/>
      <c r="O8" s="131"/>
    </row>
    <row r="9" spans="1:15">
      <c r="A9" s="141">
        <f t="shared" ref="A9:A72" si="0">B9</f>
        <v>45109</v>
      </c>
      <c r="B9" s="140">
        <v>45109</v>
      </c>
      <c r="C9" s="147">
        <v>23</v>
      </c>
      <c r="D9" s="122" t="s">
        <v>162</v>
      </c>
      <c r="E9" s="181"/>
      <c r="F9" s="181"/>
      <c r="G9" s="120">
        <f t="shared" ref="G9:G46" si="1">IFERROR(IF((E9-$F$2)&lt;=$H$3,0,E9-$F$2),"غياب")</f>
        <v>0</v>
      </c>
      <c r="H9" s="120">
        <f>IF(($H$2-F9)&lt;0,0,$H$2-F9)</f>
        <v>0.875</v>
      </c>
      <c r="I9" s="120">
        <f t="shared" ref="I9:I72" si="2">IFERROR(IF((F9-$H$2)&lt;0,0,F9-$H$2),"0")</f>
        <v>0</v>
      </c>
      <c r="J9" s="107">
        <f t="shared" ref="J9:J29" si="3">(G9+H9)*24*$F$3</f>
        <v>0</v>
      </c>
      <c r="K9" s="107">
        <f t="shared" ref="K9:K16" si="4">I9*24*$F$4*$F$3</f>
        <v>0</v>
      </c>
      <c r="L9" s="121"/>
      <c r="M9" s="121"/>
    </row>
    <row r="10" spans="1:15">
      <c r="A10" s="141">
        <f t="shared" si="0"/>
        <v>45109</v>
      </c>
      <c r="B10" s="140">
        <v>45109</v>
      </c>
      <c r="C10" s="147">
        <v>21</v>
      </c>
      <c r="D10" s="122" t="s">
        <v>163</v>
      </c>
      <c r="E10" s="181"/>
      <c r="F10" s="181"/>
      <c r="G10" s="120">
        <f t="shared" si="1"/>
        <v>0</v>
      </c>
      <c r="H10" s="120">
        <f t="shared" ref="H10:H73" si="5">IF(($H$2-F10)&lt;0,0,$H$2-F10)</f>
        <v>0.875</v>
      </c>
      <c r="I10" s="120">
        <f t="shared" si="2"/>
        <v>0</v>
      </c>
      <c r="J10" s="107">
        <f t="shared" si="3"/>
        <v>0</v>
      </c>
      <c r="K10" s="107">
        <f t="shared" si="4"/>
        <v>0</v>
      </c>
      <c r="L10" s="121"/>
      <c r="M10" s="121"/>
    </row>
    <row r="11" spans="1:15">
      <c r="A11" s="141">
        <f t="shared" si="0"/>
        <v>45109</v>
      </c>
      <c r="B11" s="140">
        <v>45109</v>
      </c>
      <c r="C11" s="99">
        <v>44</v>
      </c>
      <c r="D11" s="138" t="s">
        <v>164</v>
      </c>
      <c r="E11" s="181"/>
      <c r="F11" s="181"/>
      <c r="G11" s="120">
        <f t="shared" si="1"/>
        <v>0</v>
      </c>
      <c r="H11" s="120">
        <f t="shared" si="5"/>
        <v>0.875</v>
      </c>
      <c r="I11" s="120">
        <f t="shared" si="2"/>
        <v>0</v>
      </c>
      <c r="J11" s="107"/>
      <c r="K11" s="107"/>
      <c r="L11" s="121"/>
      <c r="M11" s="121"/>
    </row>
    <row r="12" spans="1:15">
      <c r="A12" s="141">
        <f t="shared" si="0"/>
        <v>45109</v>
      </c>
      <c r="B12" s="140">
        <v>45109</v>
      </c>
      <c r="C12" s="147">
        <v>27</v>
      </c>
      <c r="D12" s="122" t="s">
        <v>165</v>
      </c>
      <c r="E12" s="181"/>
      <c r="F12" s="181"/>
      <c r="G12" s="120">
        <f t="shared" si="1"/>
        <v>0</v>
      </c>
      <c r="H12" s="120">
        <f>IF(($H$2-F12)&lt;0,0,$H$2-F12)</f>
        <v>0.875</v>
      </c>
      <c r="I12" s="120">
        <f t="shared" si="2"/>
        <v>0</v>
      </c>
      <c r="J12" s="107">
        <f t="shared" si="3"/>
        <v>0</v>
      </c>
      <c r="K12" s="107">
        <f t="shared" si="4"/>
        <v>0</v>
      </c>
      <c r="L12" s="121"/>
      <c r="M12" s="123"/>
      <c r="N12" s="131"/>
    </row>
    <row r="13" spans="1:15">
      <c r="A13" s="141">
        <f t="shared" si="0"/>
        <v>45109</v>
      </c>
      <c r="B13" s="140">
        <v>45109</v>
      </c>
      <c r="C13" s="147">
        <v>25</v>
      </c>
      <c r="D13" s="122" t="s">
        <v>166</v>
      </c>
      <c r="E13" s="181"/>
      <c r="F13" s="181"/>
      <c r="G13" s="120">
        <f t="shared" si="1"/>
        <v>0</v>
      </c>
      <c r="H13" s="120">
        <f>IF(($H$2-F13)&lt;0,0,$H$2-F13)</f>
        <v>0.875</v>
      </c>
      <c r="I13" s="120">
        <f t="shared" si="2"/>
        <v>0</v>
      </c>
      <c r="J13" s="107">
        <f t="shared" si="3"/>
        <v>0</v>
      </c>
      <c r="K13" s="107">
        <f t="shared" si="4"/>
        <v>0</v>
      </c>
      <c r="L13" s="121"/>
      <c r="M13" s="123"/>
      <c r="N13" s="124"/>
    </row>
    <row r="14" spans="1:15">
      <c r="A14" s="141">
        <f t="shared" si="0"/>
        <v>45109</v>
      </c>
      <c r="B14" s="140">
        <v>45109</v>
      </c>
      <c r="C14" s="147">
        <v>32</v>
      </c>
      <c r="D14" s="122" t="s">
        <v>167</v>
      </c>
      <c r="E14" s="181"/>
      <c r="F14" s="181"/>
      <c r="G14" s="120">
        <f t="shared" si="1"/>
        <v>0</v>
      </c>
      <c r="H14" s="120">
        <f t="shared" si="5"/>
        <v>0.875</v>
      </c>
      <c r="I14" s="120">
        <f t="shared" si="2"/>
        <v>0</v>
      </c>
      <c r="J14" s="107">
        <f t="shared" si="3"/>
        <v>0</v>
      </c>
      <c r="K14" s="107">
        <f t="shared" si="4"/>
        <v>0</v>
      </c>
      <c r="L14" s="121"/>
      <c r="M14" s="123"/>
      <c r="N14" s="124"/>
    </row>
    <row r="15" spans="1:15">
      <c r="A15" s="141">
        <f t="shared" si="0"/>
        <v>45109</v>
      </c>
      <c r="B15" s="140">
        <v>45109</v>
      </c>
      <c r="C15" s="147">
        <v>36</v>
      </c>
      <c r="D15" s="122" t="s">
        <v>168</v>
      </c>
      <c r="E15" s="181"/>
      <c r="F15" s="181"/>
      <c r="G15" s="120">
        <f t="shared" si="1"/>
        <v>0</v>
      </c>
      <c r="H15" s="120">
        <f t="shared" si="5"/>
        <v>0.875</v>
      </c>
      <c r="I15" s="120">
        <f t="shared" si="2"/>
        <v>0</v>
      </c>
      <c r="J15" s="107">
        <f t="shared" si="3"/>
        <v>0</v>
      </c>
      <c r="K15" s="107">
        <f t="shared" si="4"/>
        <v>0</v>
      </c>
      <c r="L15" s="121"/>
      <c r="M15" s="123"/>
      <c r="N15" s="124"/>
    </row>
    <row r="16" spans="1:15">
      <c r="A16" s="141">
        <f t="shared" si="0"/>
        <v>45109</v>
      </c>
      <c r="B16" s="140">
        <v>45109</v>
      </c>
      <c r="C16" s="147">
        <v>16</v>
      </c>
      <c r="D16" s="122" t="s">
        <v>169</v>
      </c>
      <c r="E16" s="181"/>
      <c r="F16" s="181"/>
      <c r="G16" s="120">
        <f t="shared" si="1"/>
        <v>0</v>
      </c>
      <c r="H16" s="120">
        <f t="shared" si="5"/>
        <v>0.875</v>
      </c>
      <c r="I16" s="120">
        <f t="shared" si="2"/>
        <v>0</v>
      </c>
      <c r="J16" s="107">
        <f t="shared" si="3"/>
        <v>0</v>
      </c>
      <c r="K16" s="107">
        <f t="shared" si="4"/>
        <v>0</v>
      </c>
      <c r="L16" s="121"/>
      <c r="M16" s="121"/>
    </row>
    <row r="17" spans="1:14">
      <c r="A17" s="141">
        <f t="shared" si="0"/>
        <v>45109</v>
      </c>
      <c r="B17" s="140">
        <v>45109</v>
      </c>
      <c r="C17" s="147">
        <v>1</v>
      </c>
      <c r="D17" s="122" t="s">
        <v>170</v>
      </c>
      <c r="E17" s="181"/>
      <c r="F17" s="181"/>
      <c r="G17" s="120">
        <f t="shared" si="1"/>
        <v>0</v>
      </c>
      <c r="H17" s="120">
        <f t="shared" si="5"/>
        <v>0.875</v>
      </c>
      <c r="I17" s="120">
        <f t="shared" si="2"/>
        <v>0</v>
      </c>
      <c r="J17" s="107">
        <f t="shared" si="3"/>
        <v>0</v>
      </c>
      <c r="K17" s="107">
        <f>IF(L17&gt;=17,10,0)</f>
        <v>0</v>
      </c>
      <c r="L17" s="121"/>
      <c r="M17" s="121"/>
    </row>
    <row r="18" spans="1:14">
      <c r="A18" s="141">
        <f t="shared" si="0"/>
        <v>45109</v>
      </c>
      <c r="B18" s="140">
        <v>45109</v>
      </c>
      <c r="C18" s="147">
        <v>19</v>
      </c>
      <c r="D18" s="122" t="s">
        <v>171</v>
      </c>
      <c r="E18" s="181"/>
      <c r="F18" s="181"/>
      <c r="G18" s="120">
        <f t="shared" si="1"/>
        <v>0</v>
      </c>
      <c r="H18" s="120">
        <f t="shared" si="5"/>
        <v>0.875</v>
      </c>
      <c r="I18" s="120">
        <f t="shared" si="2"/>
        <v>0</v>
      </c>
      <c r="J18" s="107">
        <f t="shared" si="3"/>
        <v>0</v>
      </c>
      <c r="K18" s="107">
        <f>IF(L18&gt;=17,10,0)</f>
        <v>0</v>
      </c>
      <c r="L18" s="121"/>
      <c r="M18" s="121"/>
      <c r="N18" s="131"/>
    </row>
    <row r="19" spans="1:14">
      <c r="A19" s="141">
        <f t="shared" si="0"/>
        <v>45109</v>
      </c>
      <c r="B19" s="140">
        <v>45109</v>
      </c>
      <c r="C19" s="147">
        <v>34</v>
      </c>
      <c r="D19" s="122" t="s">
        <v>172</v>
      </c>
      <c r="E19" s="181"/>
      <c r="F19" s="181"/>
      <c r="G19" s="120">
        <f t="shared" si="1"/>
        <v>0</v>
      </c>
      <c r="H19" s="120">
        <f t="shared" si="5"/>
        <v>0.875</v>
      </c>
      <c r="I19" s="120">
        <f t="shared" si="2"/>
        <v>0</v>
      </c>
      <c r="J19" s="107">
        <f t="shared" si="3"/>
        <v>0</v>
      </c>
      <c r="K19" s="107">
        <f t="shared" ref="K19:K29" si="6">IF(L19&gt;=17,10,0)</f>
        <v>0</v>
      </c>
      <c r="L19" s="121"/>
      <c r="M19" s="121"/>
    </row>
    <row r="20" spans="1:14">
      <c r="A20" s="141">
        <f t="shared" si="0"/>
        <v>45109</v>
      </c>
      <c r="B20" s="140">
        <v>45109</v>
      </c>
      <c r="C20" s="147">
        <v>30</v>
      </c>
      <c r="D20" s="122" t="s">
        <v>173</v>
      </c>
      <c r="E20" s="181"/>
      <c r="F20" s="181"/>
      <c r="G20" s="120">
        <f t="shared" si="1"/>
        <v>0</v>
      </c>
      <c r="H20" s="120">
        <f t="shared" si="5"/>
        <v>0.875</v>
      </c>
      <c r="I20" s="120">
        <f t="shared" si="2"/>
        <v>0</v>
      </c>
      <c r="J20" s="107">
        <f t="shared" si="3"/>
        <v>0</v>
      </c>
      <c r="K20" s="107">
        <f t="shared" si="6"/>
        <v>0</v>
      </c>
      <c r="L20" s="121"/>
      <c r="M20" s="121"/>
    </row>
    <row r="21" spans="1:14">
      <c r="A21" s="141">
        <f t="shared" si="0"/>
        <v>45109</v>
      </c>
      <c r="B21" s="140">
        <v>45109</v>
      </c>
      <c r="C21" s="147">
        <v>3</v>
      </c>
      <c r="D21" s="122" t="s">
        <v>174</v>
      </c>
      <c r="E21" s="181"/>
      <c r="F21" s="181"/>
      <c r="G21" s="120">
        <f t="shared" si="1"/>
        <v>0</v>
      </c>
      <c r="H21" s="120">
        <f t="shared" si="5"/>
        <v>0.875</v>
      </c>
      <c r="I21" s="120">
        <f t="shared" si="2"/>
        <v>0</v>
      </c>
      <c r="J21" s="107">
        <f t="shared" si="3"/>
        <v>0</v>
      </c>
      <c r="K21" s="107">
        <f t="shared" si="6"/>
        <v>0</v>
      </c>
      <c r="L21" s="119"/>
      <c r="M21" s="121"/>
    </row>
    <row r="22" spans="1:14">
      <c r="A22" s="141">
        <f t="shared" si="0"/>
        <v>45109</v>
      </c>
      <c r="B22" s="140">
        <v>45109</v>
      </c>
      <c r="C22" s="147">
        <v>33</v>
      </c>
      <c r="D22" s="122" t="s">
        <v>175</v>
      </c>
      <c r="E22" s="181"/>
      <c r="F22" s="181"/>
      <c r="G22" s="120">
        <f t="shared" si="1"/>
        <v>0</v>
      </c>
      <c r="H22" s="120">
        <f t="shared" si="5"/>
        <v>0.875</v>
      </c>
      <c r="I22" s="120">
        <f t="shared" si="2"/>
        <v>0</v>
      </c>
      <c r="J22" s="107"/>
      <c r="K22" s="107"/>
      <c r="L22" s="119"/>
      <c r="M22" s="121"/>
    </row>
    <row r="23" spans="1:14">
      <c r="A23" s="141">
        <f t="shared" si="0"/>
        <v>45109</v>
      </c>
      <c r="B23" s="140">
        <v>45109</v>
      </c>
      <c r="C23" s="147">
        <v>11</v>
      </c>
      <c r="D23" s="122" t="s">
        <v>176</v>
      </c>
      <c r="E23" s="181"/>
      <c r="F23" s="181"/>
      <c r="G23" s="120">
        <f t="shared" si="1"/>
        <v>0</v>
      </c>
      <c r="H23" s="120">
        <f t="shared" si="5"/>
        <v>0.875</v>
      </c>
      <c r="I23" s="120">
        <f t="shared" si="2"/>
        <v>0</v>
      </c>
      <c r="J23" s="107">
        <f t="shared" si="3"/>
        <v>0</v>
      </c>
      <c r="K23" s="107">
        <f t="shared" si="6"/>
        <v>0</v>
      </c>
      <c r="L23" s="139"/>
      <c r="M23" s="121"/>
    </row>
    <row r="24" spans="1:14">
      <c r="A24" s="141">
        <f t="shared" si="0"/>
        <v>45109</v>
      </c>
      <c r="B24" s="140">
        <v>45109</v>
      </c>
      <c r="C24" s="147">
        <v>4</v>
      </c>
      <c r="D24" s="122" t="s">
        <v>177</v>
      </c>
      <c r="E24" s="181"/>
      <c r="F24" s="181"/>
      <c r="G24" s="120">
        <f t="shared" si="1"/>
        <v>0</v>
      </c>
      <c r="H24" s="120">
        <f t="shared" si="5"/>
        <v>0.875</v>
      </c>
      <c r="I24" s="120">
        <f t="shared" si="2"/>
        <v>0</v>
      </c>
      <c r="J24" s="107">
        <f t="shared" si="3"/>
        <v>0</v>
      </c>
      <c r="K24" s="107">
        <f t="shared" si="6"/>
        <v>0</v>
      </c>
      <c r="L24" s="119"/>
      <c r="M24" s="121"/>
    </row>
    <row r="25" spans="1:14">
      <c r="A25" s="141">
        <f t="shared" si="0"/>
        <v>45109</v>
      </c>
      <c r="B25" s="140">
        <v>45109</v>
      </c>
      <c r="C25" s="147">
        <v>35</v>
      </c>
      <c r="D25" s="122" t="s">
        <v>178</v>
      </c>
      <c r="E25" s="181"/>
      <c r="F25" s="181"/>
      <c r="G25" s="120">
        <f t="shared" si="1"/>
        <v>0</v>
      </c>
      <c r="H25" s="120">
        <f t="shared" si="5"/>
        <v>0.875</v>
      </c>
      <c r="I25" s="120">
        <f t="shared" si="2"/>
        <v>0</v>
      </c>
      <c r="J25" s="107">
        <f t="shared" si="3"/>
        <v>0</v>
      </c>
      <c r="K25" s="107">
        <f t="shared" si="6"/>
        <v>0</v>
      </c>
      <c r="L25" s="119"/>
      <c r="M25" s="121"/>
    </row>
    <row r="26" spans="1:14">
      <c r="A26" s="141">
        <f t="shared" si="0"/>
        <v>45109</v>
      </c>
      <c r="B26" s="140">
        <v>45109</v>
      </c>
      <c r="C26" s="147">
        <v>6</v>
      </c>
      <c r="D26" s="122" t="s">
        <v>179</v>
      </c>
      <c r="E26" s="181"/>
      <c r="F26" s="181"/>
      <c r="G26" s="120">
        <f t="shared" si="1"/>
        <v>0</v>
      </c>
      <c r="H26" s="120">
        <f t="shared" si="5"/>
        <v>0.875</v>
      </c>
      <c r="I26" s="120">
        <f t="shared" si="2"/>
        <v>0</v>
      </c>
      <c r="J26" s="107">
        <f t="shared" si="3"/>
        <v>0</v>
      </c>
      <c r="K26" s="107">
        <f t="shared" si="6"/>
        <v>0</v>
      </c>
      <c r="L26" s="119"/>
      <c r="M26" s="119"/>
    </row>
    <row r="27" spans="1:14">
      <c r="A27" s="141">
        <f t="shared" si="0"/>
        <v>45109</v>
      </c>
      <c r="B27" s="140">
        <v>45109</v>
      </c>
      <c r="C27" s="147">
        <v>41</v>
      </c>
      <c r="D27" s="122" t="s">
        <v>180</v>
      </c>
      <c r="E27" s="181"/>
      <c r="F27" s="181"/>
      <c r="G27" s="120">
        <f t="shared" si="1"/>
        <v>0</v>
      </c>
      <c r="H27" s="120">
        <f t="shared" si="5"/>
        <v>0.875</v>
      </c>
      <c r="I27" s="120">
        <f t="shared" si="2"/>
        <v>0</v>
      </c>
      <c r="J27" s="107">
        <f t="shared" si="3"/>
        <v>0</v>
      </c>
      <c r="K27" s="107">
        <f t="shared" si="6"/>
        <v>0</v>
      </c>
      <c r="L27" s="119"/>
      <c r="M27" s="119"/>
    </row>
    <row r="28" spans="1:14">
      <c r="A28" s="141">
        <f t="shared" si="0"/>
        <v>45109</v>
      </c>
      <c r="B28" s="140">
        <v>45109</v>
      </c>
      <c r="C28" s="147">
        <v>28</v>
      </c>
      <c r="D28" s="122" t="s">
        <v>181</v>
      </c>
      <c r="E28" s="181"/>
      <c r="F28" s="181"/>
      <c r="G28" s="120">
        <f t="shared" si="1"/>
        <v>0</v>
      </c>
      <c r="H28" s="120">
        <f t="shared" si="5"/>
        <v>0.875</v>
      </c>
      <c r="I28" s="120">
        <f t="shared" si="2"/>
        <v>0</v>
      </c>
      <c r="J28" s="107">
        <f t="shared" si="3"/>
        <v>0</v>
      </c>
      <c r="K28" s="107">
        <f t="shared" si="6"/>
        <v>0</v>
      </c>
      <c r="L28" s="119"/>
      <c r="M28" s="119"/>
    </row>
    <row r="29" spans="1:14">
      <c r="A29" s="141">
        <f t="shared" si="0"/>
        <v>45109</v>
      </c>
      <c r="B29" s="140">
        <v>45109</v>
      </c>
      <c r="C29" s="147">
        <v>20</v>
      </c>
      <c r="D29" s="122" t="s">
        <v>182</v>
      </c>
      <c r="E29" s="181"/>
      <c r="F29" s="181"/>
      <c r="G29" s="120">
        <f t="shared" si="1"/>
        <v>0</v>
      </c>
      <c r="H29" s="120">
        <f t="shared" si="5"/>
        <v>0.875</v>
      </c>
      <c r="I29" s="120">
        <f t="shared" si="2"/>
        <v>0</v>
      </c>
      <c r="J29" s="107">
        <f t="shared" si="3"/>
        <v>0</v>
      </c>
      <c r="K29" s="107">
        <f t="shared" si="6"/>
        <v>0</v>
      </c>
      <c r="L29" s="139"/>
      <c r="M29" s="121"/>
    </row>
    <row r="30" spans="1:14">
      <c r="A30" s="141">
        <f t="shared" si="0"/>
        <v>45109</v>
      </c>
      <c r="B30" s="140">
        <v>45109</v>
      </c>
      <c r="C30" s="147">
        <v>42</v>
      </c>
      <c r="D30" s="122" t="s">
        <v>183</v>
      </c>
      <c r="E30" s="181"/>
      <c r="F30" s="181"/>
      <c r="G30" s="120">
        <f t="shared" si="1"/>
        <v>0</v>
      </c>
      <c r="H30" s="120">
        <f t="shared" si="5"/>
        <v>0.875</v>
      </c>
      <c r="I30" s="120">
        <f t="shared" si="2"/>
        <v>0</v>
      </c>
      <c r="J30" s="107"/>
      <c r="K30" s="107"/>
      <c r="L30" s="119"/>
      <c r="M30" s="119"/>
    </row>
    <row r="31" spans="1:14">
      <c r="A31" s="141">
        <f t="shared" si="0"/>
        <v>45110</v>
      </c>
      <c r="B31" s="140">
        <v>45110</v>
      </c>
      <c r="C31" s="147">
        <v>15</v>
      </c>
      <c r="D31" s="130" t="s">
        <v>161</v>
      </c>
      <c r="E31" s="181"/>
      <c r="F31" s="181"/>
      <c r="G31" s="120">
        <f t="shared" si="1"/>
        <v>0</v>
      </c>
      <c r="H31" s="120">
        <f t="shared" si="5"/>
        <v>0.875</v>
      </c>
      <c r="I31" s="120">
        <f t="shared" si="2"/>
        <v>0</v>
      </c>
      <c r="J31" s="107">
        <f t="shared" ref="J31:J86" si="7">(G31+H31)*24*$F$3</f>
        <v>0</v>
      </c>
      <c r="K31" s="107">
        <f t="shared" ref="K31:K46" si="8">I31*24*$F$4*$F$3</f>
        <v>0</v>
      </c>
      <c r="L31" s="119"/>
      <c r="M31" s="119"/>
    </row>
    <row r="32" spans="1:14">
      <c r="A32" s="141">
        <f t="shared" si="0"/>
        <v>45110</v>
      </c>
      <c r="B32" s="140">
        <v>45110</v>
      </c>
      <c r="C32" s="147">
        <v>23</v>
      </c>
      <c r="D32" s="122" t="s">
        <v>162</v>
      </c>
      <c r="E32" s="181"/>
      <c r="F32" s="181"/>
      <c r="G32" s="120">
        <f t="shared" si="1"/>
        <v>0</v>
      </c>
      <c r="H32" s="120">
        <f t="shared" si="5"/>
        <v>0.875</v>
      </c>
      <c r="I32" s="120">
        <f t="shared" si="2"/>
        <v>0</v>
      </c>
      <c r="J32" s="107">
        <f t="shared" si="7"/>
        <v>0</v>
      </c>
      <c r="K32" s="107">
        <f t="shared" si="8"/>
        <v>0</v>
      </c>
      <c r="L32" s="119"/>
      <c r="M32" s="119"/>
    </row>
    <row r="33" spans="1:13">
      <c r="A33" s="141">
        <f t="shared" si="0"/>
        <v>45110</v>
      </c>
      <c r="B33" s="140">
        <v>45110</v>
      </c>
      <c r="C33" s="147">
        <v>21</v>
      </c>
      <c r="D33" s="122" t="s">
        <v>163</v>
      </c>
      <c r="E33" s="181"/>
      <c r="F33" s="181"/>
      <c r="G33" s="120">
        <f t="shared" si="1"/>
        <v>0</v>
      </c>
      <c r="H33" s="120">
        <f t="shared" si="5"/>
        <v>0.875</v>
      </c>
      <c r="I33" s="120">
        <f t="shared" si="2"/>
        <v>0</v>
      </c>
      <c r="J33" s="107">
        <f t="shared" si="7"/>
        <v>0</v>
      </c>
      <c r="K33" s="107">
        <f t="shared" si="8"/>
        <v>0</v>
      </c>
      <c r="L33" s="119"/>
      <c r="M33" s="119"/>
    </row>
    <row r="34" spans="1:13">
      <c r="A34" s="141">
        <f t="shared" si="0"/>
        <v>45110</v>
      </c>
      <c r="B34" s="140">
        <v>45110</v>
      </c>
      <c r="C34" s="99">
        <v>44</v>
      </c>
      <c r="D34" s="138" t="s">
        <v>164</v>
      </c>
      <c r="E34" s="181"/>
      <c r="F34" s="181"/>
      <c r="G34" s="120">
        <f t="shared" si="1"/>
        <v>0</v>
      </c>
      <c r="H34" s="120">
        <f t="shared" si="5"/>
        <v>0.875</v>
      </c>
      <c r="I34" s="120">
        <f t="shared" si="2"/>
        <v>0</v>
      </c>
      <c r="J34" s="107">
        <f t="shared" si="7"/>
        <v>0</v>
      </c>
      <c r="K34" s="107">
        <f t="shared" si="8"/>
        <v>0</v>
      </c>
      <c r="L34" s="119"/>
      <c r="M34" s="119"/>
    </row>
    <row r="35" spans="1:13">
      <c r="A35" s="141">
        <f t="shared" si="0"/>
        <v>45110</v>
      </c>
      <c r="B35" s="140">
        <v>45110</v>
      </c>
      <c r="C35" s="147">
        <v>27</v>
      </c>
      <c r="D35" s="122" t="s">
        <v>165</v>
      </c>
      <c r="E35" s="181"/>
      <c r="F35" s="181"/>
      <c r="G35" s="120">
        <f t="shared" si="1"/>
        <v>0</v>
      </c>
      <c r="H35" s="120">
        <f t="shared" si="5"/>
        <v>0.875</v>
      </c>
      <c r="I35" s="120">
        <f t="shared" si="2"/>
        <v>0</v>
      </c>
      <c r="J35" s="107">
        <f t="shared" si="7"/>
        <v>0</v>
      </c>
      <c r="K35" s="107">
        <f t="shared" si="8"/>
        <v>0</v>
      </c>
      <c r="L35" s="119"/>
      <c r="M35" s="119"/>
    </row>
    <row r="36" spans="1:13">
      <c r="A36" s="141">
        <f t="shared" si="0"/>
        <v>45110</v>
      </c>
      <c r="B36" s="140">
        <v>45110</v>
      </c>
      <c r="C36" s="147">
        <v>25</v>
      </c>
      <c r="D36" s="122" t="s">
        <v>166</v>
      </c>
      <c r="E36" s="181"/>
      <c r="F36" s="181"/>
      <c r="G36" s="120">
        <f t="shared" si="1"/>
        <v>0</v>
      </c>
      <c r="H36" s="120">
        <f t="shared" si="5"/>
        <v>0.875</v>
      </c>
      <c r="I36" s="120">
        <f t="shared" si="2"/>
        <v>0</v>
      </c>
      <c r="J36" s="107">
        <f t="shared" si="7"/>
        <v>0</v>
      </c>
      <c r="K36" s="107">
        <f t="shared" si="8"/>
        <v>0</v>
      </c>
      <c r="L36" s="119"/>
      <c r="M36" s="119"/>
    </row>
    <row r="37" spans="1:13">
      <c r="A37" s="141">
        <f t="shared" si="0"/>
        <v>45110</v>
      </c>
      <c r="B37" s="140">
        <v>45110</v>
      </c>
      <c r="C37" s="147">
        <v>32</v>
      </c>
      <c r="D37" s="122" t="s">
        <v>167</v>
      </c>
      <c r="E37" s="181"/>
      <c r="F37" s="181"/>
      <c r="G37" s="120">
        <f t="shared" si="1"/>
        <v>0</v>
      </c>
      <c r="H37" s="120">
        <f t="shared" si="5"/>
        <v>0.875</v>
      </c>
      <c r="I37" s="120">
        <f t="shared" si="2"/>
        <v>0</v>
      </c>
      <c r="J37" s="107">
        <f t="shared" si="7"/>
        <v>0</v>
      </c>
      <c r="K37" s="107">
        <f t="shared" si="8"/>
        <v>0</v>
      </c>
      <c r="L37" s="119"/>
      <c r="M37" s="119"/>
    </row>
    <row r="38" spans="1:13">
      <c r="A38" s="141">
        <f t="shared" si="0"/>
        <v>45110</v>
      </c>
      <c r="B38" s="140">
        <v>45110</v>
      </c>
      <c r="C38" s="147">
        <v>36</v>
      </c>
      <c r="D38" s="122" t="s">
        <v>168</v>
      </c>
      <c r="E38" s="181"/>
      <c r="F38" s="181"/>
      <c r="G38" s="120">
        <f t="shared" si="1"/>
        <v>0</v>
      </c>
      <c r="H38" s="120">
        <f t="shared" si="5"/>
        <v>0.875</v>
      </c>
      <c r="I38" s="120">
        <f t="shared" si="2"/>
        <v>0</v>
      </c>
      <c r="J38" s="107">
        <f t="shared" si="7"/>
        <v>0</v>
      </c>
      <c r="K38" s="107">
        <f t="shared" si="8"/>
        <v>0</v>
      </c>
      <c r="L38" s="119"/>
      <c r="M38" s="119"/>
    </row>
    <row r="39" spans="1:13">
      <c r="A39" s="141">
        <f t="shared" si="0"/>
        <v>45110</v>
      </c>
      <c r="B39" s="140">
        <v>45110</v>
      </c>
      <c r="C39" s="147">
        <v>16</v>
      </c>
      <c r="D39" s="122" t="s">
        <v>169</v>
      </c>
      <c r="E39" s="181"/>
      <c r="F39" s="181"/>
      <c r="G39" s="120">
        <f t="shared" si="1"/>
        <v>0</v>
      </c>
      <c r="H39" s="120">
        <f t="shared" si="5"/>
        <v>0.875</v>
      </c>
      <c r="I39" s="120">
        <f t="shared" si="2"/>
        <v>0</v>
      </c>
      <c r="J39" s="107">
        <f t="shared" si="7"/>
        <v>0</v>
      </c>
      <c r="K39" s="107">
        <f t="shared" si="8"/>
        <v>0</v>
      </c>
      <c r="L39" s="119"/>
      <c r="M39" s="119"/>
    </row>
    <row r="40" spans="1:13">
      <c r="A40" s="141">
        <f t="shared" si="0"/>
        <v>45110</v>
      </c>
      <c r="B40" s="140">
        <v>45110</v>
      </c>
      <c r="C40" s="147">
        <v>1</v>
      </c>
      <c r="D40" s="122" t="s">
        <v>170</v>
      </c>
      <c r="E40" s="181"/>
      <c r="F40" s="181"/>
      <c r="G40" s="120">
        <f t="shared" si="1"/>
        <v>0</v>
      </c>
      <c r="H40" s="120">
        <f t="shared" si="5"/>
        <v>0.875</v>
      </c>
      <c r="I40" s="120">
        <f t="shared" si="2"/>
        <v>0</v>
      </c>
      <c r="J40" s="107">
        <f t="shared" si="7"/>
        <v>0</v>
      </c>
      <c r="K40" s="107">
        <f t="shared" si="8"/>
        <v>0</v>
      </c>
      <c r="L40" s="119"/>
      <c r="M40" s="119"/>
    </row>
    <row r="41" spans="1:13">
      <c r="A41" s="141">
        <f t="shared" si="0"/>
        <v>45110</v>
      </c>
      <c r="B41" s="140">
        <v>45110</v>
      </c>
      <c r="C41" s="147">
        <v>19</v>
      </c>
      <c r="D41" s="122" t="s">
        <v>171</v>
      </c>
      <c r="E41" s="181"/>
      <c r="F41" s="181"/>
      <c r="G41" s="120">
        <f t="shared" si="1"/>
        <v>0</v>
      </c>
      <c r="H41" s="120">
        <f t="shared" si="5"/>
        <v>0.875</v>
      </c>
      <c r="I41" s="120">
        <f t="shared" si="2"/>
        <v>0</v>
      </c>
      <c r="J41" s="107">
        <f t="shared" si="7"/>
        <v>0</v>
      </c>
      <c r="K41" s="107">
        <f t="shared" si="8"/>
        <v>0</v>
      </c>
      <c r="L41" s="119"/>
      <c r="M41" s="119"/>
    </row>
    <row r="42" spans="1:13">
      <c r="A42" s="141">
        <f t="shared" si="0"/>
        <v>45110</v>
      </c>
      <c r="B42" s="140">
        <v>45110</v>
      </c>
      <c r="C42" s="147">
        <v>34</v>
      </c>
      <c r="D42" s="122" t="s">
        <v>172</v>
      </c>
      <c r="E42" s="181"/>
      <c r="F42" s="181"/>
      <c r="G42" s="120">
        <f t="shared" si="1"/>
        <v>0</v>
      </c>
      <c r="H42" s="120">
        <f t="shared" si="5"/>
        <v>0.875</v>
      </c>
      <c r="I42" s="120">
        <f t="shared" si="2"/>
        <v>0</v>
      </c>
      <c r="J42" s="107">
        <f t="shared" si="7"/>
        <v>0</v>
      </c>
      <c r="K42" s="107">
        <f t="shared" si="8"/>
        <v>0</v>
      </c>
      <c r="L42" s="119"/>
      <c r="M42" s="119"/>
    </row>
    <row r="43" spans="1:13">
      <c r="A43" s="141">
        <f t="shared" si="0"/>
        <v>45110</v>
      </c>
      <c r="B43" s="140">
        <v>45110</v>
      </c>
      <c r="C43" s="147">
        <v>30</v>
      </c>
      <c r="D43" s="122" t="s">
        <v>173</v>
      </c>
      <c r="E43" s="181"/>
      <c r="F43" s="181"/>
      <c r="G43" s="120">
        <f t="shared" si="1"/>
        <v>0</v>
      </c>
      <c r="H43" s="120">
        <f t="shared" si="5"/>
        <v>0.875</v>
      </c>
      <c r="I43" s="120">
        <f t="shared" si="2"/>
        <v>0</v>
      </c>
      <c r="J43" s="107">
        <f t="shared" si="7"/>
        <v>0</v>
      </c>
      <c r="K43" s="107">
        <f t="shared" si="8"/>
        <v>0</v>
      </c>
      <c r="L43" s="119"/>
      <c r="M43" s="119"/>
    </row>
    <row r="44" spans="1:13">
      <c r="A44" s="141">
        <f t="shared" si="0"/>
        <v>45110</v>
      </c>
      <c r="B44" s="140">
        <v>45110</v>
      </c>
      <c r="C44" s="147">
        <v>3</v>
      </c>
      <c r="D44" s="122" t="s">
        <v>174</v>
      </c>
      <c r="E44" s="181"/>
      <c r="F44" s="181"/>
      <c r="G44" s="120">
        <f t="shared" si="1"/>
        <v>0</v>
      </c>
      <c r="H44" s="120">
        <f t="shared" si="5"/>
        <v>0.875</v>
      </c>
      <c r="I44" s="120">
        <f t="shared" si="2"/>
        <v>0</v>
      </c>
      <c r="J44" s="107">
        <f t="shared" si="7"/>
        <v>0</v>
      </c>
      <c r="K44" s="107">
        <f t="shared" si="8"/>
        <v>0</v>
      </c>
      <c r="L44" s="119"/>
      <c r="M44" s="119"/>
    </row>
    <row r="45" spans="1:13">
      <c r="A45" s="141">
        <f t="shared" si="0"/>
        <v>45110</v>
      </c>
      <c r="B45" s="140">
        <v>45110</v>
      </c>
      <c r="C45" s="147">
        <v>33</v>
      </c>
      <c r="D45" s="122" t="s">
        <v>175</v>
      </c>
      <c r="E45" s="181"/>
      <c r="F45" s="181"/>
      <c r="G45" s="120">
        <f t="shared" si="1"/>
        <v>0</v>
      </c>
      <c r="H45" s="120">
        <f t="shared" si="5"/>
        <v>0.875</v>
      </c>
      <c r="I45" s="120">
        <f t="shared" si="2"/>
        <v>0</v>
      </c>
      <c r="J45" s="107">
        <f t="shared" si="7"/>
        <v>0</v>
      </c>
      <c r="K45" s="107">
        <f t="shared" si="8"/>
        <v>0</v>
      </c>
      <c r="L45" s="119"/>
      <c r="M45" s="119"/>
    </row>
    <row r="46" spans="1:13">
      <c r="A46" s="141">
        <f t="shared" si="0"/>
        <v>45110</v>
      </c>
      <c r="B46" s="140">
        <v>45110</v>
      </c>
      <c r="C46" s="147">
        <v>11</v>
      </c>
      <c r="D46" s="122" t="s">
        <v>176</v>
      </c>
      <c r="E46" s="181"/>
      <c r="F46" s="181"/>
      <c r="G46" s="120">
        <f t="shared" si="1"/>
        <v>0</v>
      </c>
      <c r="H46" s="120">
        <f t="shared" si="5"/>
        <v>0.875</v>
      </c>
      <c r="I46" s="120">
        <f t="shared" si="2"/>
        <v>0</v>
      </c>
      <c r="J46" s="107">
        <f t="shared" si="7"/>
        <v>0</v>
      </c>
      <c r="K46" s="107">
        <f t="shared" si="8"/>
        <v>0</v>
      </c>
      <c r="L46" s="119"/>
      <c r="M46" s="119"/>
    </row>
    <row r="47" spans="1:13">
      <c r="A47" s="141">
        <f t="shared" si="0"/>
        <v>45110</v>
      </c>
      <c r="B47" s="140">
        <v>45110</v>
      </c>
      <c r="C47" s="147">
        <v>4</v>
      </c>
      <c r="D47" s="122" t="s">
        <v>177</v>
      </c>
      <c r="E47" s="181"/>
      <c r="F47" s="181"/>
      <c r="G47" s="120">
        <f>IFERROR(IF((E47-$F$2)&lt;=$H$3,0,E47-$F$2),"غياب")</f>
        <v>0</v>
      </c>
      <c r="H47" s="120">
        <f t="shared" si="5"/>
        <v>0.875</v>
      </c>
      <c r="I47" s="120">
        <f t="shared" si="2"/>
        <v>0</v>
      </c>
      <c r="J47" s="107"/>
      <c r="K47" s="107"/>
      <c r="L47" s="119"/>
      <c r="M47" s="119"/>
    </row>
    <row r="48" spans="1:13">
      <c r="A48" s="141">
        <f t="shared" si="0"/>
        <v>45110</v>
      </c>
      <c r="B48" s="140">
        <v>45110</v>
      </c>
      <c r="C48" s="147">
        <v>35</v>
      </c>
      <c r="D48" s="122" t="s">
        <v>178</v>
      </c>
      <c r="E48" s="181"/>
      <c r="F48" s="181"/>
      <c r="G48" s="120">
        <f t="shared" ref="G48:G53" si="9">IFERROR(IF((E48-$F$2)&lt;=$H$3,0,E48-$F$2),"غياب")</f>
        <v>0</v>
      </c>
      <c r="H48" s="120">
        <f t="shared" si="5"/>
        <v>0.875</v>
      </c>
      <c r="I48" s="120">
        <f t="shared" si="2"/>
        <v>0</v>
      </c>
      <c r="J48" s="107">
        <f t="shared" si="7"/>
        <v>0</v>
      </c>
      <c r="K48" s="107">
        <f t="shared" ref="K48:K86" si="10">I48*24*$F$4*$F$3</f>
        <v>0</v>
      </c>
      <c r="L48" s="119"/>
      <c r="M48" s="119"/>
    </row>
    <row r="49" spans="1:13">
      <c r="A49" s="141">
        <f t="shared" si="0"/>
        <v>45110</v>
      </c>
      <c r="B49" s="140">
        <v>45110</v>
      </c>
      <c r="C49" s="147">
        <v>6</v>
      </c>
      <c r="D49" s="122" t="s">
        <v>179</v>
      </c>
      <c r="E49" s="181"/>
      <c r="F49" s="181"/>
      <c r="G49" s="120">
        <f t="shared" si="9"/>
        <v>0</v>
      </c>
      <c r="H49" s="120">
        <f t="shared" si="5"/>
        <v>0.875</v>
      </c>
      <c r="I49" s="120">
        <f t="shared" si="2"/>
        <v>0</v>
      </c>
      <c r="J49" s="107">
        <f t="shared" si="7"/>
        <v>0</v>
      </c>
      <c r="K49" s="107">
        <f t="shared" si="10"/>
        <v>0</v>
      </c>
      <c r="L49" s="119"/>
      <c r="M49" s="119"/>
    </row>
    <row r="50" spans="1:13">
      <c r="A50" s="141">
        <f t="shared" si="0"/>
        <v>45110</v>
      </c>
      <c r="B50" s="140">
        <v>45110</v>
      </c>
      <c r="C50" s="147">
        <v>41</v>
      </c>
      <c r="D50" s="122" t="s">
        <v>180</v>
      </c>
      <c r="E50" s="181"/>
      <c r="F50" s="181"/>
      <c r="G50" s="120">
        <f t="shared" si="9"/>
        <v>0</v>
      </c>
      <c r="H50" s="120">
        <f t="shared" si="5"/>
        <v>0.875</v>
      </c>
      <c r="I50" s="120">
        <f t="shared" si="2"/>
        <v>0</v>
      </c>
      <c r="J50" s="107">
        <f t="shared" si="7"/>
        <v>0</v>
      </c>
      <c r="K50" s="107">
        <f t="shared" si="10"/>
        <v>0</v>
      </c>
      <c r="L50" s="119"/>
      <c r="M50" s="119"/>
    </row>
    <row r="51" spans="1:13">
      <c r="A51" s="141">
        <f t="shared" si="0"/>
        <v>45110</v>
      </c>
      <c r="B51" s="140">
        <v>45110</v>
      </c>
      <c r="C51" s="147">
        <v>28</v>
      </c>
      <c r="D51" s="122" t="s">
        <v>181</v>
      </c>
      <c r="E51" s="181"/>
      <c r="F51" s="181"/>
      <c r="G51" s="120">
        <f t="shared" si="9"/>
        <v>0</v>
      </c>
      <c r="H51" s="120">
        <f t="shared" si="5"/>
        <v>0.875</v>
      </c>
      <c r="I51" s="120">
        <f t="shared" si="2"/>
        <v>0</v>
      </c>
      <c r="J51" s="107">
        <f t="shared" si="7"/>
        <v>0</v>
      </c>
      <c r="K51" s="107">
        <f t="shared" si="10"/>
        <v>0</v>
      </c>
      <c r="L51" s="119"/>
      <c r="M51" s="119"/>
    </row>
    <row r="52" spans="1:13">
      <c r="A52" s="141">
        <f t="shared" si="0"/>
        <v>45110</v>
      </c>
      <c r="B52" s="140">
        <v>45110</v>
      </c>
      <c r="C52" s="147">
        <v>20</v>
      </c>
      <c r="D52" s="122" t="s">
        <v>182</v>
      </c>
      <c r="E52" s="181"/>
      <c r="F52" s="181"/>
      <c r="G52" s="120">
        <f t="shared" si="9"/>
        <v>0</v>
      </c>
      <c r="H52" s="120">
        <f t="shared" si="5"/>
        <v>0.875</v>
      </c>
      <c r="I52" s="120">
        <f t="shared" si="2"/>
        <v>0</v>
      </c>
      <c r="J52" s="107"/>
      <c r="K52" s="107"/>
      <c r="L52" s="119"/>
      <c r="M52" s="119"/>
    </row>
    <row r="53" spans="1:13">
      <c r="A53" s="141">
        <f t="shared" si="0"/>
        <v>45110</v>
      </c>
      <c r="B53" s="140">
        <v>45110</v>
      </c>
      <c r="C53" s="147">
        <v>42</v>
      </c>
      <c r="D53" s="122" t="s">
        <v>183</v>
      </c>
      <c r="E53" s="181"/>
      <c r="F53" s="181"/>
      <c r="G53" s="120">
        <f t="shared" si="9"/>
        <v>0</v>
      </c>
      <c r="H53" s="120">
        <f t="shared" si="5"/>
        <v>0.875</v>
      </c>
      <c r="I53" s="120">
        <f t="shared" si="2"/>
        <v>0</v>
      </c>
      <c r="J53" s="107">
        <f t="shared" si="7"/>
        <v>0</v>
      </c>
      <c r="K53" s="107">
        <f t="shared" si="10"/>
        <v>0</v>
      </c>
      <c r="L53" s="119"/>
      <c r="M53" s="119"/>
    </row>
    <row r="54" spans="1:13">
      <c r="A54" s="141">
        <f t="shared" si="0"/>
        <v>45111</v>
      </c>
      <c r="B54" s="118">
        <v>45111</v>
      </c>
      <c r="C54" s="147">
        <v>15</v>
      </c>
      <c r="D54" s="130" t="s">
        <v>161</v>
      </c>
      <c r="E54" s="181"/>
      <c r="F54" s="181"/>
      <c r="G54" s="120">
        <f>IFERROR(IF((E54-$F$2)&lt;=$H$3,0,E54-$F$2),"غياب")</f>
        <v>0</v>
      </c>
      <c r="H54" s="120">
        <f t="shared" si="5"/>
        <v>0.875</v>
      </c>
      <c r="I54" s="120">
        <f t="shared" si="2"/>
        <v>0</v>
      </c>
      <c r="J54" s="107">
        <f t="shared" si="7"/>
        <v>0</v>
      </c>
      <c r="K54" s="107">
        <f t="shared" si="10"/>
        <v>0</v>
      </c>
      <c r="L54" s="119"/>
      <c r="M54" s="121"/>
    </row>
    <row r="55" spans="1:13">
      <c r="A55" s="141">
        <f t="shared" si="0"/>
        <v>45111</v>
      </c>
      <c r="B55" s="118">
        <v>45111</v>
      </c>
      <c r="C55" s="147">
        <v>23</v>
      </c>
      <c r="D55" s="122" t="s">
        <v>162</v>
      </c>
      <c r="E55" s="181"/>
      <c r="F55" s="181"/>
      <c r="G55" s="120">
        <f t="shared" ref="G55:G118" si="11">IFERROR(IF((E55-$F$2)&lt;=$H$3,0,E55-$F$2),"غياب")</f>
        <v>0</v>
      </c>
      <c r="H55" s="120">
        <f t="shared" si="5"/>
        <v>0.875</v>
      </c>
      <c r="I55" s="120">
        <f t="shared" si="2"/>
        <v>0</v>
      </c>
      <c r="J55" s="107"/>
      <c r="K55" s="107"/>
      <c r="L55" s="119"/>
      <c r="M55" s="119"/>
    </row>
    <row r="56" spans="1:13">
      <c r="A56" s="141">
        <f t="shared" si="0"/>
        <v>45111</v>
      </c>
      <c r="B56" s="118">
        <v>45111</v>
      </c>
      <c r="C56" s="147">
        <v>21</v>
      </c>
      <c r="D56" s="122" t="s">
        <v>163</v>
      </c>
      <c r="E56" s="181"/>
      <c r="F56" s="181"/>
      <c r="G56" s="120">
        <f t="shared" si="11"/>
        <v>0</v>
      </c>
      <c r="H56" s="120">
        <f t="shared" si="5"/>
        <v>0.875</v>
      </c>
      <c r="I56" s="120">
        <f t="shared" si="2"/>
        <v>0</v>
      </c>
      <c r="J56" s="107">
        <f t="shared" si="7"/>
        <v>0</v>
      </c>
      <c r="K56" s="107">
        <f t="shared" si="10"/>
        <v>0</v>
      </c>
      <c r="L56" s="119"/>
      <c r="M56" s="119"/>
    </row>
    <row r="57" spans="1:13">
      <c r="A57" s="141">
        <f t="shared" si="0"/>
        <v>45111</v>
      </c>
      <c r="B57" s="118">
        <v>45111</v>
      </c>
      <c r="C57" s="99">
        <v>44</v>
      </c>
      <c r="D57" s="138" t="s">
        <v>164</v>
      </c>
      <c r="E57" s="181"/>
      <c r="F57" s="181"/>
      <c r="G57" s="120">
        <f t="shared" si="11"/>
        <v>0</v>
      </c>
      <c r="H57" s="120">
        <f t="shared" si="5"/>
        <v>0.875</v>
      </c>
      <c r="I57" s="120">
        <f t="shared" si="2"/>
        <v>0</v>
      </c>
      <c r="J57" s="107">
        <f t="shared" si="7"/>
        <v>0</v>
      </c>
      <c r="K57" s="107">
        <f t="shared" si="10"/>
        <v>0</v>
      </c>
      <c r="L57" s="119"/>
      <c r="M57" s="119"/>
    </row>
    <row r="58" spans="1:13">
      <c r="A58" s="141">
        <f t="shared" si="0"/>
        <v>45111</v>
      </c>
      <c r="B58" s="118">
        <v>45111</v>
      </c>
      <c r="C58" s="147">
        <v>27</v>
      </c>
      <c r="D58" s="122" t="s">
        <v>165</v>
      </c>
      <c r="E58" s="181"/>
      <c r="F58" s="181"/>
      <c r="G58" s="120">
        <f t="shared" si="11"/>
        <v>0</v>
      </c>
      <c r="H58" s="120">
        <f t="shared" si="5"/>
        <v>0.875</v>
      </c>
      <c r="I58" s="120">
        <f t="shared" si="2"/>
        <v>0</v>
      </c>
      <c r="J58" s="107">
        <f t="shared" si="7"/>
        <v>0</v>
      </c>
      <c r="K58" s="107">
        <f t="shared" si="10"/>
        <v>0</v>
      </c>
      <c r="L58" s="119"/>
      <c r="M58" s="119"/>
    </row>
    <row r="59" spans="1:13">
      <c r="A59" s="141">
        <f t="shared" si="0"/>
        <v>45111</v>
      </c>
      <c r="B59" s="118">
        <v>45111</v>
      </c>
      <c r="C59" s="147">
        <v>25</v>
      </c>
      <c r="D59" s="122" t="s">
        <v>166</v>
      </c>
      <c r="E59" s="181"/>
      <c r="F59" s="181"/>
      <c r="G59" s="120">
        <f t="shared" si="11"/>
        <v>0</v>
      </c>
      <c r="H59" s="120">
        <f t="shared" si="5"/>
        <v>0.875</v>
      </c>
      <c r="I59" s="120">
        <f t="shared" si="2"/>
        <v>0</v>
      </c>
      <c r="J59" s="107">
        <f t="shared" si="7"/>
        <v>0</v>
      </c>
      <c r="K59" s="107">
        <f t="shared" si="10"/>
        <v>0</v>
      </c>
      <c r="L59" s="119"/>
      <c r="M59" s="119"/>
    </row>
    <row r="60" spans="1:13">
      <c r="A60" s="141">
        <f t="shared" si="0"/>
        <v>45111</v>
      </c>
      <c r="B60" s="118">
        <v>45111</v>
      </c>
      <c r="C60" s="147">
        <v>32</v>
      </c>
      <c r="D60" s="122" t="s">
        <v>167</v>
      </c>
      <c r="E60" s="181"/>
      <c r="F60" s="181"/>
      <c r="G60" s="120">
        <f t="shared" si="11"/>
        <v>0</v>
      </c>
      <c r="H60" s="120">
        <f t="shared" si="5"/>
        <v>0.875</v>
      </c>
      <c r="I60" s="120">
        <f t="shared" si="2"/>
        <v>0</v>
      </c>
      <c r="J60" s="107">
        <f t="shared" si="7"/>
        <v>0</v>
      </c>
      <c r="K60" s="107">
        <f t="shared" si="10"/>
        <v>0</v>
      </c>
      <c r="L60" s="119"/>
      <c r="M60" s="119"/>
    </row>
    <row r="61" spans="1:13">
      <c r="A61" s="141">
        <f t="shared" si="0"/>
        <v>45111</v>
      </c>
      <c r="B61" s="118">
        <v>45111</v>
      </c>
      <c r="C61" s="147">
        <v>36</v>
      </c>
      <c r="D61" s="122" t="s">
        <v>168</v>
      </c>
      <c r="E61" s="181"/>
      <c r="F61" s="181"/>
      <c r="G61" s="120">
        <f t="shared" si="11"/>
        <v>0</v>
      </c>
      <c r="H61" s="120">
        <f t="shared" si="5"/>
        <v>0.875</v>
      </c>
      <c r="I61" s="120">
        <f t="shared" si="2"/>
        <v>0</v>
      </c>
      <c r="J61" s="107">
        <f t="shared" si="7"/>
        <v>0</v>
      </c>
      <c r="K61" s="107">
        <f t="shared" si="10"/>
        <v>0</v>
      </c>
      <c r="L61" s="119"/>
      <c r="M61" s="119"/>
    </row>
    <row r="62" spans="1:13">
      <c r="A62" s="141">
        <f t="shared" si="0"/>
        <v>45111</v>
      </c>
      <c r="B62" s="118">
        <v>45111</v>
      </c>
      <c r="C62" s="147">
        <v>16</v>
      </c>
      <c r="D62" s="122" t="s">
        <v>169</v>
      </c>
      <c r="E62" s="181"/>
      <c r="F62" s="181"/>
      <c r="G62" s="120">
        <f t="shared" si="11"/>
        <v>0</v>
      </c>
      <c r="H62" s="120">
        <f t="shared" si="5"/>
        <v>0.875</v>
      </c>
      <c r="I62" s="120">
        <f t="shared" si="2"/>
        <v>0</v>
      </c>
      <c r="J62" s="107">
        <f t="shared" si="7"/>
        <v>0</v>
      </c>
      <c r="K62" s="107">
        <f t="shared" si="10"/>
        <v>0</v>
      </c>
      <c r="L62" s="119"/>
      <c r="M62" s="119"/>
    </row>
    <row r="63" spans="1:13">
      <c r="A63" s="141">
        <f t="shared" si="0"/>
        <v>45111</v>
      </c>
      <c r="B63" s="118">
        <v>45111</v>
      </c>
      <c r="C63" s="147">
        <v>1</v>
      </c>
      <c r="D63" s="122" t="s">
        <v>170</v>
      </c>
      <c r="E63" s="181"/>
      <c r="F63" s="181"/>
      <c r="G63" s="120">
        <f t="shared" si="11"/>
        <v>0</v>
      </c>
      <c r="H63" s="120">
        <f t="shared" si="5"/>
        <v>0.875</v>
      </c>
      <c r="I63" s="120">
        <f t="shared" si="2"/>
        <v>0</v>
      </c>
      <c r="J63" s="107"/>
      <c r="K63" s="107"/>
      <c r="L63" s="119"/>
      <c r="M63" s="119"/>
    </row>
    <row r="64" spans="1:13">
      <c r="A64" s="141">
        <f t="shared" si="0"/>
        <v>45111</v>
      </c>
      <c r="B64" s="118">
        <v>45111</v>
      </c>
      <c r="C64" s="147">
        <v>19</v>
      </c>
      <c r="D64" s="122" t="s">
        <v>171</v>
      </c>
      <c r="E64" s="181"/>
      <c r="F64" s="181"/>
      <c r="G64" s="120">
        <f t="shared" si="11"/>
        <v>0</v>
      </c>
      <c r="H64" s="120">
        <f t="shared" si="5"/>
        <v>0.875</v>
      </c>
      <c r="I64" s="120">
        <f t="shared" si="2"/>
        <v>0</v>
      </c>
      <c r="J64" s="107">
        <f t="shared" si="7"/>
        <v>0</v>
      </c>
      <c r="K64" s="107">
        <f t="shared" si="10"/>
        <v>0</v>
      </c>
      <c r="L64" s="119"/>
      <c r="M64" s="119"/>
    </row>
    <row r="65" spans="1:13">
      <c r="A65" s="141">
        <f t="shared" si="0"/>
        <v>45111</v>
      </c>
      <c r="B65" s="118">
        <v>45111</v>
      </c>
      <c r="C65" s="147">
        <v>34</v>
      </c>
      <c r="D65" s="122" t="s">
        <v>172</v>
      </c>
      <c r="E65" s="181"/>
      <c r="F65" s="181"/>
      <c r="G65" s="120">
        <f t="shared" si="11"/>
        <v>0</v>
      </c>
      <c r="H65" s="120">
        <f t="shared" si="5"/>
        <v>0.875</v>
      </c>
      <c r="I65" s="120">
        <f t="shared" si="2"/>
        <v>0</v>
      </c>
      <c r="J65" s="107"/>
      <c r="K65" s="107"/>
      <c r="L65" s="119"/>
      <c r="M65" s="119"/>
    </row>
    <row r="66" spans="1:13">
      <c r="A66" s="141">
        <f t="shared" si="0"/>
        <v>45111</v>
      </c>
      <c r="B66" s="118">
        <v>45111</v>
      </c>
      <c r="C66" s="147">
        <v>30</v>
      </c>
      <c r="D66" s="122" t="s">
        <v>173</v>
      </c>
      <c r="E66" s="181"/>
      <c r="F66" s="181"/>
      <c r="G66" s="120">
        <f t="shared" si="11"/>
        <v>0</v>
      </c>
      <c r="H66" s="120">
        <f t="shared" si="5"/>
        <v>0.875</v>
      </c>
      <c r="I66" s="120">
        <f t="shared" si="2"/>
        <v>0</v>
      </c>
      <c r="J66" s="107">
        <f t="shared" si="7"/>
        <v>0</v>
      </c>
      <c r="K66" s="107">
        <f t="shared" si="10"/>
        <v>0</v>
      </c>
      <c r="L66" s="119"/>
      <c r="M66" s="119"/>
    </row>
    <row r="67" spans="1:13">
      <c r="A67" s="141">
        <f t="shared" si="0"/>
        <v>45111</v>
      </c>
      <c r="B67" s="118">
        <v>45111</v>
      </c>
      <c r="C67" s="147">
        <v>3</v>
      </c>
      <c r="D67" s="122" t="s">
        <v>174</v>
      </c>
      <c r="E67" s="181"/>
      <c r="F67" s="181"/>
      <c r="G67" s="120">
        <f t="shared" si="11"/>
        <v>0</v>
      </c>
      <c r="H67" s="120">
        <f t="shared" si="5"/>
        <v>0.875</v>
      </c>
      <c r="I67" s="120">
        <f t="shared" si="2"/>
        <v>0</v>
      </c>
      <c r="J67" s="107"/>
      <c r="K67" s="107"/>
      <c r="L67" s="119"/>
      <c r="M67" s="119"/>
    </row>
    <row r="68" spans="1:13">
      <c r="A68" s="141">
        <f t="shared" si="0"/>
        <v>45111</v>
      </c>
      <c r="B68" s="118">
        <v>45111</v>
      </c>
      <c r="C68" s="147">
        <v>33</v>
      </c>
      <c r="D68" s="122" t="s">
        <v>175</v>
      </c>
      <c r="E68" s="181"/>
      <c r="F68" s="181"/>
      <c r="G68" s="120">
        <f t="shared" si="11"/>
        <v>0</v>
      </c>
      <c r="H68" s="120">
        <f t="shared" si="5"/>
        <v>0.875</v>
      </c>
      <c r="I68" s="120">
        <f t="shared" si="2"/>
        <v>0</v>
      </c>
      <c r="J68" s="107">
        <f t="shared" si="7"/>
        <v>0</v>
      </c>
      <c r="K68" s="107">
        <f t="shared" si="10"/>
        <v>0</v>
      </c>
      <c r="L68" s="119"/>
      <c r="M68" s="119"/>
    </row>
    <row r="69" spans="1:13">
      <c r="A69" s="141">
        <f t="shared" si="0"/>
        <v>45111</v>
      </c>
      <c r="B69" s="118">
        <v>45111</v>
      </c>
      <c r="C69" s="147">
        <v>11</v>
      </c>
      <c r="D69" s="122" t="s">
        <v>176</v>
      </c>
      <c r="E69" s="181"/>
      <c r="F69" s="181"/>
      <c r="G69" s="120">
        <f t="shared" si="11"/>
        <v>0</v>
      </c>
      <c r="H69" s="120">
        <f t="shared" si="5"/>
        <v>0.875</v>
      </c>
      <c r="I69" s="120">
        <f t="shared" si="2"/>
        <v>0</v>
      </c>
      <c r="J69" s="107">
        <f t="shared" si="7"/>
        <v>0</v>
      </c>
      <c r="K69" s="107">
        <f t="shared" si="10"/>
        <v>0</v>
      </c>
      <c r="L69" s="119"/>
      <c r="M69" s="119"/>
    </row>
    <row r="70" spans="1:13">
      <c r="A70" s="141">
        <f t="shared" si="0"/>
        <v>45111</v>
      </c>
      <c r="B70" s="118">
        <v>45111</v>
      </c>
      <c r="C70" s="147">
        <v>4</v>
      </c>
      <c r="D70" s="122" t="s">
        <v>177</v>
      </c>
      <c r="E70" s="181"/>
      <c r="F70" s="181"/>
      <c r="G70" s="120">
        <f t="shared" si="11"/>
        <v>0</v>
      </c>
      <c r="H70" s="120">
        <f t="shared" si="5"/>
        <v>0.875</v>
      </c>
      <c r="I70" s="120">
        <f t="shared" si="2"/>
        <v>0</v>
      </c>
      <c r="J70" s="107">
        <f t="shared" si="7"/>
        <v>0</v>
      </c>
      <c r="K70" s="107">
        <f t="shared" si="10"/>
        <v>0</v>
      </c>
      <c r="L70" s="119"/>
      <c r="M70" s="119"/>
    </row>
    <row r="71" spans="1:13">
      <c r="A71" s="141">
        <f t="shared" si="0"/>
        <v>45111</v>
      </c>
      <c r="B71" s="118">
        <v>45111</v>
      </c>
      <c r="C71" s="147">
        <v>35</v>
      </c>
      <c r="D71" s="122" t="s">
        <v>178</v>
      </c>
      <c r="E71" s="181"/>
      <c r="F71" s="181"/>
      <c r="G71" s="120">
        <f t="shared" si="11"/>
        <v>0</v>
      </c>
      <c r="H71" s="120">
        <f t="shared" si="5"/>
        <v>0.875</v>
      </c>
      <c r="I71" s="120">
        <f t="shared" si="2"/>
        <v>0</v>
      </c>
      <c r="J71" s="107">
        <f t="shared" si="7"/>
        <v>0</v>
      </c>
      <c r="K71" s="107">
        <f t="shared" si="10"/>
        <v>0</v>
      </c>
      <c r="L71" s="119"/>
      <c r="M71" s="119"/>
    </row>
    <row r="72" spans="1:13">
      <c r="A72" s="141">
        <f t="shared" si="0"/>
        <v>45111</v>
      </c>
      <c r="B72" s="118">
        <v>45111</v>
      </c>
      <c r="C72" s="147">
        <v>6</v>
      </c>
      <c r="D72" s="122" t="s">
        <v>179</v>
      </c>
      <c r="E72" s="181"/>
      <c r="F72" s="181"/>
      <c r="G72" s="120">
        <f t="shared" si="11"/>
        <v>0</v>
      </c>
      <c r="H72" s="120">
        <f t="shared" si="5"/>
        <v>0.875</v>
      </c>
      <c r="I72" s="120">
        <f t="shared" si="2"/>
        <v>0</v>
      </c>
      <c r="J72" s="107">
        <f t="shared" si="7"/>
        <v>0</v>
      </c>
      <c r="K72" s="107">
        <f t="shared" si="10"/>
        <v>0</v>
      </c>
      <c r="L72" s="119"/>
      <c r="M72" s="119"/>
    </row>
    <row r="73" spans="1:13">
      <c r="A73" s="141">
        <f t="shared" ref="A73:A136" si="12">B73</f>
        <v>45111</v>
      </c>
      <c r="B73" s="118">
        <v>45111</v>
      </c>
      <c r="C73" s="147">
        <v>41</v>
      </c>
      <c r="D73" s="122" t="s">
        <v>180</v>
      </c>
      <c r="E73" s="181"/>
      <c r="F73" s="181"/>
      <c r="G73" s="120">
        <f t="shared" si="11"/>
        <v>0</v>
      </c>
      <c r="H73" s="120">
        <f t="shared" si="5"/>
        <v>0.875</v>
      </c>
      <c r="I73" s="120">
        <f t="shared" ref="I73:I136" si="13">IFERROR(IF((F73-$H$2)&lt;0,0,F73-$H$2),"0")</f>
        <v>0</v>
      </c>
      <c r="J73" s="107">
        <f t="shared" si="7"/>
        <v>0</v>
      </c>
      <c r="K73" s="107">
        <f t="shared" si="10"/>
        <v>0</v>
      </c>
      <c r="L73" s="119"/>
      <c r="M73" s="119"/>
    </row>
    <row r="74" spans="1:13">
      <c r="A74" s="141">
        <f t="shared" si="12"/>
        <v>45111</v>
      </c>
      <c r="B74" s="118">
        <v>45111</v>
      </c>
      <c r="C74" s="147">
        <v>28</v>
      </c>
      <c r="D74" s="122" t="s">
        <v>181</v>
      </c>
      <c r="E74" s="181"/>
      <c r="F74" s="181"/>
      <c r="G74" s="120">
        <f t="shared" si="11"/>
        <v>0</v>
      </c>
      <c r="H74" s="120">
        <f t="shared" ref="H74:H137" si="14">IF(($H$2-F74)&lt;0,0,$H$2-F74)</f>
        <v>0.875</v>
      </c>
      <c r="I74" s="120">
        <f t="shared" si="13"/>
        <v>0</v>
      </c>
      <c r="J74" s="107">
        <f t="shared" si="7"/>
        <v>0</v>
      </c>
      <c r="K74" s="107">
        <f t="shared" si="10"/>
        <v>0</v>
      </c>
      <c r="L74" s="119"/>
      <c r="M74" s="119"/>
    </row>
    <row r="75" spans="1:13">
      <c r="A75" s="141">
        <f t="shared" si="12"/>
        <v>45111</v>
      </c>
      <c r="B75" s="118">
        <v>45111</v>
      </c>
      <c r="C75" s="147">
        <v>20</v>
      </c>
      <c r="D75" s="122" t="s">
        <v>182</v>
      </c>
      <c r="E75" s="181"/>
      <c r="F75" s="181"/>
      <c r="G75" s="120">
        <f t="shared" si="11"/>
        <v>0</v>
      </c>
      <c r="H75" s="120">
        <f t="shared" si="14"/>
        <v>0.875</v>
      </c>
      <c r="I75" s="120">
        <f t="shared" si="13"/>
        <v>0</v>
      </c>
      <c r="J75" s="107">
        <f t="shared" si="7"/>
        <v>0</v>
      </c>
      <c r="K75" s="107">
        <f t="shared" si="10"/>
        <v>0</v>
      </c>
      <c r="L75" s="119"/>
      <c r="M75" s="119"/>
    </row>
    <row r="76" spans="1:13">
      <c r="A76" s="141">
        <f t="shared" si="12"/>
        <v>45111</v>
      </c>
      <c r="B76" s="118">
        <v>45111</v>
      </c>
      <c r="C76" s="147">
        <v>42</v>
      </c>
      <c r="D76" s="122" t="s">
        <v>183</v>
      </c>
      <c r="E76" s="181"/>
      <c r="F76" s="181"/>
      <c r="G76" s="120">
        <f t="shared" si="11"/>
        <v>0</v>
      </c>
      <c r="H76" s="120">
        <f t="shared" si="14"/>
        <v>0.875</v>
      </c>
      <c r="I76" s="120">
        <f t="shared" si="13"/>
        <v>0</v>
      </c>
      <c r="J76" s="107">
        <f t="shared" si="7"/>
        <v>0</v>
      </c>
      <c r="K76" s="107">
        <f t="shared" si="10"/>
        <v>0</v>
      </c>
      <c r="L76" s="119"/>
      <c r="M76" s="119"/>
    </row>
    <row r="77" spans="1:13">
      <c r="A77" s="141">
        <f t="shared" si="12"/>
        <v>45112</v>
      </c>
      <c r="B77" s="118">
        <v>45112</v>
      </c>
      <c r="C77" s="147">
        <v>15</v>
      </c>
      <c r="D77" s="130" t="s">
        <v>161</v>
      </c>
      <c r="E77" s="181"/>
      <c r="F77" s="181"/>
      <c r="G77" s="120">
        <f t="shared" si="11"/>
        <v>0</v>
      </c>
      <c r="H77" s="120">
        <f t="shared" si="14"/>
        <v>0.875</v>
      </c>
      <c r="I77" s="120">
        <f t="shared" si="13"/>
        <v>0</v>
      </c>
      <c r="J77" s="107">
        <f t="shared" si="7"/>
        <v>0</v>
      </c>
      <c r="K77" s="107">
        <f t="shared" si="10"/>
        <v>0</v>
      </c>
      <c r="L77" s="119"/>
      <c r="M77" s="119"/>
    </row>
    <row r="78" spans="1:13">
      <c r="A78" s="141">
        <f t="shared" si="12"/>
        <v>45112</v>
      </c>
      <c r="B78" s="118">
        <v>45112</v>
      </c>
      <c r="C78" s="147">
        <v>23</v>
      </c>
      <c r="D78" s="122" t="s">
        <v>162</v>
      </c>
      <c r="E78" s="181"/>
      <c r="F78" s="181"/>
      <c r="G78" s="120">
        <f t="shared" si="11"/>
        <v>0</v>
      </c>
      <c r="H78" s="120">
        <f t="shared" si="14"/>
        <v>0.875</v>
      </c>
      <c r="I78" s="120">
        <f t="shared" si="13"/>
        <v>0</v>
      </c>
      <c r="J78" s="107">
        <f t="shared" si="7"/>
        <v>0</v>
      </c>
      <c r="K78" s="107">
        <f t="shared" si="10"/>
        <v>0</v>
      </c>
      <c r="L78" s="119"/>
      <c r="M78" s="119"/>
    </row>
    <row r="79" spans="1:13">
      <c r="A79" s="141">
        <f t="shared" si="12"/>
        <v>45112</v>
      </c>
      <c r="B79" s="118">
        <v>45112</v>
      </c>
      <c r="C79" s="147">
        <v>21</v>
      </c>
      <c r="D79" s="122" t="s">
        <v>163</v>
      </c>
      <c r="E79" s="181"/>
      <c r="F79" s="181"/>
      <c r="G79" s="120">
        <f t="shared" si="11"/>
        <v>0</v>
      </c>
      <c r="H79" s="120">
        <f t="shared" si="14"/>
        <v>0.875</v>
      </c>
      <c r="I79" s="120">
        <f t="shared" si="13"/>
        <v>0</v>
      </c>
      <c r="J79" s="107">
        <f t="shared" si="7"/>
        <v>0</v>
      </c>
      <c r="K79" s="107">
        <f t="shared" si="10"/>
        <v>0</v>
      </c>
      <c r="L79" s="119"/>
      <c r="M79" s="119"/>
    </row>
    <row r="80" spans="1:13">
      <c r="A80" s="141">
        <f t="shared" si="12"/>
        <v>45112</v>
      </c>
      <c r="B80" s="118">
        <v>45112</v>
      </c>
      <c r="C80" s="99">
        <v>44</v>
      </c>
      <c r="D80" s="138" t="s">
        <v>164</v>
      </c>
      <c r="E80" s="181"/>
      <c r="F80" s="181"/>
      <c r="G80" s="120">
        <f t="shared" si="11"/>
        <v>0</v>
      </c>
      <c r="H80" s="120">
        <f t="shared" si="14"/>
        <v>0.875</v>
      </c>
      <c r="I80" s="120">
        <f t="shared" si="13"/>
        <v>0</v>
      </c>
      <c r="J80" s="107">
        <f t="shared" si="7"/>
        <v>0</v>
      </c>
      <c r="K80" s="107">
        <f t="shared" si="10"/>
        <v>0</v>
      </c>
      <c r="L80" s="119"/>
      <c r="M80" s="119"/>
    </row>
    <row r="81" spans="1:13">
      <c r="A81" s="141">
        <f t="shared" si="12"/>
        <v>45112</v>
      </c>
      <c r="B81" s="118">
        <v>45112</v>
      </c>
      <c r="C81" s="147">
        <v>27</v>
      </c>
      <c r="D81" s="122" t="s">
        <v>165</v>
      </c>
      <c r="E81" s="181"/>
      <c r="F81" s="181"/>
      <c r="G81" s="120">
        <f t="shared" si="11"/>
        <v>0</v>
      </c>
      <c r="H81" s="120">
        <f t="shared" si="14"/>
        <v>0.875</v>
      </c>
      <c r="I81" s="120">
        <f t="shared" si="13"/>
        <v>0</v>
      </c>
      <c r="J81" s="107">
        <f t="shared" si="7"/>
        <v>0</v>
      </c>
      <c r="K81" s="107">
        <f t="shared" si="10"/>
        <v>0</v>
      </c>
      <c r="L81" s="119"/>
      <c r="M81" s="119"/>
    </row>
    <row r="82" spans="1:13">
      <c r="A82" s="141">
        <f t="shared" si="12"/>
        <v>45112</v>
      </c>
      <c r="B82" s="118">
        <v>45112</v>
      </c>
      <c r="C82" s="147">
        <v>25</v>
      </c>
      <c r="D82" s="122" t="s">
        <v>166</v>
      </c>
      <c r="E82" s="181"/>
      <c r="F82" s="181"/>
      <c r="G82" s="120">
        <f t="shared" si="11"/>
        <v>0</v>
      </c>
      <c r="H82" s="120">
        <f t="shared" si="14"/>
        <v>0.875</v>
      </c>
      <c r="I82" s="120">
        <f t="shared" si="13"/>
        <v>0</v>
      </c>
      <c r="J82" s="107">
        <f t="shared" si="7"/>
        <v>0</v>
      </c>
      <c r="K82" s="107">
        <f t="shared" si="10"/>
        <v>0</v>
      </c>
      <c r="L82" s="119"/>
      <c r="M82" s="119"/>
    </row>
    <row r="83" spans="1:13">
      <c r="A83" s="141">
        <f t="shared" si="12"/>
        <v>45112</v>
      </c>
      <c r="B83" s="118">
        <v>45112</v>
      </c>
      <c r="C83" s="147">
        <v>32</v>
      </c>
      <c r="D83" s="122" t="s">
        <v>167</v>
      </c>
      <c r="E83" s="181"/>
      <c r="F83" s="181"/>
      <c r="G83" s="120">
        <f t="shared" si="11"/>
        <v>0</v>
      </c>
      <c r="H83" s="120">
        <f t="shared" si="14"/>
        <v>0.875</v>
      </c>
      <c r="I83" s="120">
        <f t="shared" si="13"/>
        <v>0</v>
      </c>
      <c r="J83" s="107"/>
      <c r="K83" s="107"/>
      <c r="L83" s="119"/>
      <c r="M83" s="119"/>
    </row>
    <row r="84" spans="1:13">
      <c r="A84" s="141">
        <f t="shared" si="12"/>
        <v>45112</v>
      </c>
      <c r="B84" s="118">
        <v>45112</v>
      </c>
      <c r="C84" s="147">
        <v>36</v>
      </c>
      <c r="D84" s="122" t="s">
        <v>168</v>
      </c>
      <c r="E84" s="181"/>
      <c r="F84" s="181"/>
      <c r="G84" s="120">
        <f t="shared" si="11"/>
        <v>0</v>
      </c>
      <c r="H84" s="120">
        <f t="shared" si="14"/>
        <v>0.875</v>
      </c>
      <c r="I84" s="120">
        <f t="shared" si="13"/>
        <v>0</v>
      </c>
      <c r="J84" s="107">
        <f t="shared" si="7"/>
        <v>0</v>
      </c>
      <c r="K84" s="107">
        <f t="shared" si="10"/>
        <v>0</v>
      </c>
      <c r="L84" s="119"/>
      <c r="M84" s="119"/>
    </row>
    <row r="85" spans="1:13">
      <c r="A85" s="141">
        <f t="shared" si="12"/>
        <v>45112</v>
      </c>
      <c r="B85" s="118">
        <v>45112</v>
      </c>
      <c r="C85" s="147">
        <v>16</v>
      </c>
      <c r="D85" s="122" t="s">
        <v>169</v>
      </c>
      <c r="E85" s="181"/>
      <c r="F85" s="181"/>
      <c r="G85" s="120">
        <f t="shared" si="11"/>
        <v>0</v>
      </c>
      <c r="H85" s="120">
        <f t="shared" si="14"/>
        <v>0.875</v>
      </c>
      <c r="I85" s="120">
        <f t="shared" si="13"/>
        <v>0</v>
      </c>
      <c r="J85" s="107">
        <f t="shared" si="7"/>
        <v>0</v>
      </c>
      <c r="K85" s="107">
        <f t="shared" si="10"/>
        <v>0</v>
      </c>
      <c r="L85" s="119"/>
      <c r="M85" s="119"/>
    </row>
    <row r="86" spans="1:13">
      <c r="A86" s="141">
        <f t="shared" si="12"/>
        <v>45112</v>
      </c>
      <c r="B86" s="118">
        <v>45112</v>
      </c>
      <c r="C86" s="147">
        <v>1</v>
      </c>
      <c r="D86" s="122" t="s">
        <v>170</v>
      </c>
      <c r="E86" s="181"/>
      <c r="F86" s="181"/>
      <c r="G86" s="120">
        <f t="shared" si="11"/>
        <v>0</v>
      </c>
      <c r="H86" s="120">
        <f t="shared" si="14"/>
        <v>0.875</v>
      </c>
      <c r="I86" s="120">
        <f t="shared" si="13"/>
        <v>0</v>
      </c>
      <c r="J86" s="107">
        <f t="shared" si="7"/>
        <v>0</v>
      </c>
      <c r="K86" s="107">
        <f t="shared" si="10"/>
        <v>0</v>
      </c>
      <c r="L86" s="119"/>
      <c r="M86" s="119"/>
    </row>
    <row r="87" spans="1:13">
      <c r="A87" s="141">
        <f t="shared" si="12"/>
        <v>45112</v>
      </c>
      <c r="B87" s="118">
        <v>45112</v>
      </c>
      <c r="C87" s="147">
        <v>19</v>
      </c>
      <c r="D87" s="122" t="s">
        <v>171</v>
      </c>
      <c r="E87" s="181"/>
      <c r="F87" s="181"/>
      <c r="G87" s="120">
        <f t="shared" si="11"/>
        <v>0</v>
      </c>
      <c r="H87" s="120">
        <f t="shared" si="14"/>
        <v>0.875</v>
      </c>
      <c r="I87" s="120">
        <f t="shared" si="13"/>
        <v>0</v>
      </c>
      <c r="L87" s="119"/>
      <c r="M87" s="119"/>
    </row>
    <row r="88" spans="1:13">
      <c r="A88" s="141">
        <f t="shared" si="12"/>
        <v>45112</v>
      </c>
      <c r="B88" s="118">
        <v>45112</v>
      </c>
      <c r="C88" s="147">
        <v>34</v>
      </c>
      <c r="D88" s="122" t="s">
        <v>172</v>
      </c>
      <c r="E88" s="181"/>
      <c r="F88" s="181"/>
      <c r="G88" s="120">
        <f t="shared" si="11"/>
        <v>0</v>
      </c>
      <c r="H88" s="120">
        <f t="shared" si="14"/>
        <v>0.875</v>
      </c>
      <c r="I88" s="120">
        <f t="shared" si="13"/>
        <v>0</v>
      </c>
      <c r="L88" s="119"/>
      <c r="M88" s="119"/>
    </row>
    <row r="89" spans="1:13">
      <c r="A89" s="141">
        <f t="shared" si="12"/>
        <v>45112</v>
      </c>
      <c r="B89" s="118">
        <v>45112</v>
      </c>
      <c r="C89" s="147">
        <v>30</v>
      </c>
      <c r="D89" s="122" t="s">
        <v>173</v>
      </c>
      <c r="E89" s="181"/>
      <c r="F89" s="181"/>
      <c r="G89" s="120">
        <f t="shared" si="11"/>
        <v>0</v>
      </c>
      <c r="H89" s="120">
        <f t="shared" si="14"/>
        <v>0.875</v>
      </c>
      <c r="I89" s="120">
        <f t="shared" si="13"/>
        <v>0</v>
      </c>
      <c r="L89" s="119"/>
      <c r="M89" s="119"/>
    </row>
    <row r="90" spans="1:13">
      <c r="A90" s="141">
        <f t="shared" si="12"/>
        <v>45112</v>
      </c>
      <c r="B90" s="118">
        <v>45112</v>
      </c>
      <c r="C90" s="147">
        <v>3</v>
      </c>
      <c r="D90" s="122" t="s">
        <v>174</v>
      </c>
      <c r="E90" s="181"/>
      <c r="F90" s="181"/>
      <c r="G90" s="120">
        <f t="shared" si="11"/>
        <v>0</v>
      </c>
      <c r="H90" s="120">
        <f t="shared" si="14"/>
        <v>0.875</v>
      </c>
      <c r="I90" s="120">
        <f t="shared" si="13"/>
        <v>0</v>
      </c>
      <c r="L90" s="119"/>
      <c r="M90" s="119"/>
    </row>
    <row r="91" spans="1:13">
      <c r="A91" s="141">
        <f t="shared" si="12"/>
        <v>45112</v>
      </c>
      <c r="B91" s="118">
        <v>45112</v>
      </c>
      <c r="C91" s="147">
        <v>33</v>
      </c>
      <c r="D91" s="122" t="s">
        <v>175</v>
      </c>
      <c r="E91" s="181"/>
      <c r="F91" s="181"/>
      <c r="G91" s="120">
        <f t="shared" si="11"/>
        <v>0</v>
      </c>
      <c r="H91" s="120">
        <f t="shared" si="14"/>
        <v>0.875</v>
      </c>
      <c r="I91" s="120">
        <f t="shared" si="13"/>
        <v>0</v>
      </c>
      <c r="L91" s="119"/>
      <c r="M91" s="119"/>
    </row>
    <row r="92" spans="1:13">
      <c r="A92" s="141">
        <f t="shared" si="12"/>
        <v>45112</v>
      </c>
      <c r="B92" s="118">
        <v>45112</v>
      </c>
      <c r="C92" s="147">
        <v>11</v>
      </c>
      <c r="D92" s="122" t="s">
        <v>176</v>
      </c>
      <c r="E92" s="181"/>
      <c r="F92" s="181"/>
      <c r="G92" s="120">
        <f t="shared" si="11"/>
        <v>0</v>
      </c>
      <c r="H92" s="120">
        <f t="shared" si="14"/>
        <v>0.875</v>
      </c>
      <c r="I92" s="120">
        <f t="shared" si="13"/>
        <v>0</v>
      </c>
      <c r="L92" s="119"/>
      <c r="M92" s="119"/>
    </row>
    <row r="93" spans="1:13">
      <c r="A93" s="141">
        <f t="shared" si="12"/>
        <v>45112</v>
      </c>
      <c r="B93" s="118">
        <v>45112</v>
      </c>
      <c r="C93" s="147">
        <v>4</v>
      </c>
      <c r="D93" s="122" t="s">
        <v>177</v>
      </c>
      <c r="E93" s="181"/>
      <c r="F93" s="181"/>
      <c r="G93" s="120">
        <f t="shared" si="11"/>
        <v>0</v>
      </c>
      <c r="H93" s="120">
        <f t="shared" si="14"/>
        <v>0.875</v>
      </c>
      <c r="I93" s="120">
        <f t="shared" si="13"/>
        <v>0</v>
      </c>
      <c r="L93" s="119"/>
      <c r="M93" s="119"/>
    </row>
    <row r="94" spans="1:13">
      <c r="A94" s="141">
        <f t="shared" si="12"/>
        <v>45112</v>
      </c>
      <c r="B94" s="118">
        <v>45112</v>
      </c>
      <c r="C94" s="147">
        <v>35</v>
      </c>
      <c r="D94" s="122" t="s">
        <v>178</v>
      </c>
      <c r="E94" s="181"/>
      <c r="F94" s="181"/>
      <c r="G94" s="120">
        <f t="shared" si="11"/>
        <v>0</v>
      </c>
      <c r="H94" s="120">
        <f t="shared" si="14"/>
        <v>0.875</v>
      </c>
      <c r="I94" s="120">
        <f t="shared" si="13"/>
        <v>0</v>
      </c>
      <c r="L94" s="119"/>
      <c r="M94" s="119"/>
    </row>
    <row r="95" spans="1:13">
      <c r="A95" s="141">
        <f t="shared" si="12"/>
        <v>45112</v>
      </c>
      <c r="B95" s="118">
        <v>45112</v>
      </c>
      <c r="C95" s="147">
        <v>6</v>
      </c>
      <c r="D95" s="122" t="s">
        <v>179</v>
      </c>
      <c r="E95" s="181"/>
      <c r="F95" s="181"/>
      <c r="G95" s="120">
        <f t="shared" si="11"/>
        <v>0</v>
      </c>
      <c r="H95" s="120">
        <f t="shared" si="14"/>
        <v>0.875</v>
      </c>
      <c r="I95" s="120">
        <f t="shared" si="13"/>
        <v>0</v>
      </c>
      <c r="L95" s="119"/>
      <c r="M95" s="119"/>
    </row>
    <row r="96" spans="1:13">
      <c r="A96" s="141">
        <f t="shared" si="12"/>
        <v>45112</v>
      </c>
      <c r="B96" s="118">
        <v>45112</v>
      </c>
      <c r="C96" s="147">
        <v>41</v>
      </c>
      <c r="D96" s="122" t="s">
        <v>180</v>
      </c>
      <c r="E96" s="181"/>
      <c r="F96" s="181"/>
      <c r="G96" s="120">
        <f t="shared" si="11"/>
        <v>0</v>
      </c>
      <c r="H96" s="120">
        <f t="shared" si="14"/>
        <v>0.875</v>
      </c>
      <c r="I96" s="120">
        <f t="shared" si="13"/>
        <v>0</v>
      </c>
      <c r="L96" s="119"/>
      <c r="M96" s="119"/>
    </row>
    <row r="97" spans="1:13">
      <c r="A97" s="141">
        <f t="shared" si="12"/>
        <v>45112</v>
      </c>
      <c r="B97" s="118">
        <v>45112</v>
      </c>
      <c r="C97" s="147">
        <v>28</v>
      </c>
      <c r="D97" s="122" t="s">
        <v>181</v>
      </c>
      <c r="E97" s="181"/>
      <c r="F97" s="181"/>
      <c r="G97" s="120">
        <f t="shared" si="11"/>
        <v>0</v>
      </c>
      <c r="H97" s="120">
        <f t="shared" si="14"/>
        <v>0.875</v>
      </c>
      <c r="I97" s="120">
        <f t="shared" si="13"/>
        <v>0</v>
      </c>
      <c r="L97" s="119"/>
      <c r="M97" s="119"/>
    </row>
    <row r="98" spans="1:13">
      <c r="A98" s="141">
        <f t="shared" si="12"/>
        <v>45112</v>
      </c>
      <c r="B98" s="118">
        <v>45112</v>
      </c>
      <c r="C98" s="147">
        <v>20</v>
      </c>
      <c r="D98" s="122" t="s">
        <v>182</v>
      </c>
      <c r="E98" s="181"/>
      <c r="F98" s="181"/>
      <c r="G98" s="120">
        <f t="shared" si="11"/>
        <v>0</v>
      </c>
      <c r="H98" s="120">
        <f t="shared" si="14"/>
        <v>0.875</v>
      </c>
      <c r="I98" s="120">
        <f t="shared" si="13"/>
        <v>0</v>
      </c>
      <c r="L98" s="119"/>
      <c r="M98" s="119"/>
    </row>
    <row r="99" spans="1:13">
      <c r="A99" s="141">
        <f t="shared" si="12"/>
        <v>45112</v>
      </c>
      <c r="B99" s="118">
        <v>45112</v>
      </c>
      <c r="C99" s="147">
        <v>42</v>
      </c>
      <c r="D99" s="122" t="s">
        <v>183</v>
      </c>
      <c r="E99" s="181"/>
      <c r="F99" s="181"/>
      <c r="G99" s="120">
        <f t="shared" si="11"/>
        <v>0</v>
      </c>
      <c r="H99" s="120">
        <f t="shared" si="14"/>
        <v>0.875</v>
      </c>
      <c r="I99" s="120">
        <f t="shared" si="13"/>
        <v>0</v>
      </c>
      <c r="L99" s="119"/>
      <c r="M99" s="119"/>
    </row>
    <row r="100" spans="1:13">
      <c r="A100" s="141">
        <f t="shared" si="12"/>
        <v>45113</v>
      </c>
      <c r="B100" s="118">
        <v>45113</v>
      </c>
      <c r="C100" s="147">
        <v>15</v>
      </c>
      <c r="D100" s="130" t="s">
        <v>161</v>
      </c>
      <c r="E100" s="181"/>
      <c r="F100" s="181"/>
      <c r="G100" s="120">
        <f t="shared" si="11"/>
        <v>0</v>
      </c>
      <c r="H100" s="120">
        <f t="shared" si="14"/>
        <v>0.875</v>
      </c>
      <c r="I100" s="120">
        <f t="shared" si="13"/>
        <v>0</v>
      </c>
      <c r="L100" s="119"/>
      <c r="M100" s="119"/>
    </row>
    <row r="101" spans="1:13">
      <c r="A101" s="141">
        <f t="shared" si="12"/>
        <v>45113</v>
      </c>
      <c r="B101" s="118">
        <v>45113</v>
      </c>
      <c r="C101" s="147">
        <v>23</v>
      </c>
      <c r="D101" s="122" t="s">
        <v>162</v>
      </c>
      <c r="E101" s="181"/>
      <c r="F101" s="181"/>
      <c r="G101" s="120">
        <f t="shared" si="11"/>
        <v>0</v>
      </c>
      <c r="H101" s="120">
        <f t="shared" si="14"/>
        <v>0.875</v>
      </c>
      <c r="I101" s="120">
        <f t="shared" si="13"/>
        <v>0</v>
      </c>
      <c r="L101" s="121"/>
      <c r="M101" s="119"/>
    </row>
    <row r="102" spans="1:13">
      <c r="A102" s="141">
        <f t="shared" si="12"/>
        <v>45113</v>
      </c>
      <c r="B102" s="118">
        <v>45113</v>
      </c>
      <c r="C102" s="147">
        <v>21</v>
      </c>
      <c r="D102" s="122" t="s">
        <v>163</v>
      </c>
      <c r="E102" s="181"/>
      <c r="F102" s="181"/>
      <c r="G102" s="120">
        <f t="shared" si="11"/>
        <v>0</v>
      </c>
      <c r="H102" s="120">
        <f t="shared" si="14"/>
        <v>0.875</v>
      </c>
      <c r="I102" s="120">
        <f t="shared" si="13"/>
        <v>0</v>
      </c>
      <c r="L102" s="121"/>
      <c r="M102" s="119"/>
    </row>
    <row r="103" spans="1:13">
      <c r="A103" s="141">
        <f t="shared" si="12"/>
        <v>45113</v>
      </c>
      <c r="B103" s="118">
        <v>45113</v>
      </c>
      <c r="C103" s="99">
        <v>44</v>
      </c>
      <c r="D103" s="138" t="s">
        <v>164</v>
      </c>
      <c r="E103" s="181"/>
      <c r="F103" s="181"/>
      <c r="G103" s="120">
        <f t="shared" si="11"/>
        <v>0</v>
      </c>
      <c r="H103" s="120">
        <f t="shared" si="14"/>
        <v>0.875</v>
      </c>
      <c r="I103" s="120">
        <f t="shared" si="13"/>
        <v>0</v>
      </c>
      <c r="L103" s="121"/>
      <c r="M103" s="119"/>
    </row>
    <row r="104" spans="1:13">
      <c r="A104" s="141">
        <f t="shared" si="12"/>
        <v>45113</v>
      </c>
      <c r="B104" s="118">
        <v>45113</v>
      </c>
      <c r="C104" s="147">
        <v>27</v>
      </c>
      <c r="D104" s="122" t="s">
        <v>165</v>
      </c>
      <c r="E104" s="181"/>
      <c r="F104" s="181"/>
      <c r="G104" s="120">
        <f t="shared" si="11"/>
        <v>0</v>
      </c>
      <c r="H104" s="120">
        <f t="shared" si="14"/>
        <v>0.875</v>
      </c>
      <c r="I104" s="120">
        <f t="shared" si="13"/>
        <v>0</v>
      </c>
      <c r="L104" s="119"/>
      <c r="M104" s="119"/>
    </row>
    <row r="105" spans="1:13">
      <c r="A105" s="141">
        <f t="shared" si="12"/>
        <v>45113</v>
      </c>
      <c r="B105" s="118">
        <v>45113</v>
      </c>
      <c r="C105" s="147">
        <v>25</v>
      </c>
      <c r="D105" s="122" t="s">
        <v>166</v>
      </c>
      <c r="E105" s="181"/>
      <c r="F105" s="181"/>
      <c r="G105" s="120">
        <f t="shared" si="11"/>
        <v>0</v>
      </c>
      <c r="H105" s="120">
        <f t="shared" si="14"/>
        <v>0.875</v>
      </c>
      <c r="I105" s="120">
        <f t="shared" si="13"/>
        <v>0</v>
      </c>
      <c r="L105" s="119"/>
      <c r="M105" s="119"/>
    </row>
    <row r="106" spans="1:13">
      <c r="A106" s="141">
        <f t="shared" si="12"/>
        <v>45113</v>
      </c>
      <c r="B106" s="118">
        <v>45113</v>
      </c>
      <c r="C106" s="147">
        <v>32</v>
      </c>
      <c r="D106" s="122" t="s">
        <v>167</v>
      </c>
      <c r="E106" s="181"/>
      <c r="F106" s="181"/>
      <c r="G106" s="120">
        <f t="shared" si="11"/>
        <v>0</v>
      </c>
      <c r="H106" s="120">
        <f t="shared" si="14"/>
        <v>0.875</v>
      </c>
      <c r="I106" s="120">
        <f t="shared" si="13"/>
        <v>0</v>
      </c>
      <c r="L106" s="119"/>
      <c r="M106" s="119"/>
    </row>
    <row r="107" spans="1:13">
      <c r="A107" s="141">
        <f t="shared" si="12"/>
        <v>45113</v>
      </c>
      <c r="B107" s="118">
        <v>45113</v>
      </c>
      <c r="C107" s="147">
        <v>36</v>
      </c>
      <c r="D107" s="122" t="s">
        <v>168</v>
      </c>
      <c r="E107" s="181"/>
      <c r="F107" s="181"/>
      <c r="G107" s="120">
        <f t="shared" si="11"/>
        <v>0</v>
      </c>
      <c r="H107" s="120">
        <f t="shared" si="14"/>
        <v>0.875</v>
      </c>
      <c r="I107" s="120">
        <f t="shared" si="13"/>
        <v>0</v>
      </c>
      <c r="L107" s="119"/>
      <c r="M107" s="119"/>
    </row>
    <row r="108" spans="1:13">
      <c r="A108" s="141">
        <f t="shared" si="12"/>
        <v>45113</v>
      </c>
      <c r="B108" s="118">
        <v>45113</v>
      </c>
      <c r="C108" s="147">
        <v>16</v>
      </c>
      <c r="D108" s="122" t="s">
        <v>169</v>
      </c>
      <c r="E108" s="181"/>
      <c r="F108" s="181"/>
      <c r="G108" s="120">
        <f t="shared" si="11"/>
        <v>0</v>
      </c>
      <c r="H108" s="120">
        <f t="shared" si="14"/>
        <v>0.875</v>
      </c>
      <c r="I108" s="120">
        <f t="shared" si="13"/>
        <v>0</v>
      </c>
      <c r="L108" s="119"/>
      <c r="M108" s="119"/>
    </row>
    <row r="109" spans="1:13">
      <c r="A109" s="141">
        <f t="shared" si="12"/>
        <v>45113</v>
      </c>
      <c r="B109" s="118">
        <v>45113</v>
      </c>
      <c r="C109" s="147">
        <v>1</v>
      </c>
      <c r="D109" s="122" t="s">
        <v>170</v>
      </c>
      <c r="E109" s="181"/>
      <c r="F109" s="181"/>
      <c r="G109" s="120">
        <f t="shared" si="11"/>
        <v>0</v>
      </c>
      <c r="H109" s="120">
        <f t="shared" si="14"/>
        <v>0.875</v>
      </c>
      <c r="I109" s="120">
        <f t="shared" si="13"/>
        <v>0</v>
      </c>
      <c r="L109" s="119"/>
      <c r="M109" s="119"/>
    </row>
    <row r="110" spans="1:13">
      <c r="A110" s="141">
        <f t="shared" si="12"/>
        <v>45113</v>
      </c>
      <c r="B110" s="118">
        <v>45113</v>
      </c>
      <c r="C110" s="147">
        <v>19</v>
      </c>
      <c r="D110" s="122" t="s">
        <v>171</v>
      </c>
      <c r="E110" s="181"/>
      <c r="F110" s="181"/>
      <c r="G110" s="120">
        <f t="shared" si="11"/>
        <v>0</v>
      </c>
      <c r="H110" s="120">
        <f t="shared" si="14"/>
        <v>0.875</v>
      </c>
      <c r="I110" s="120">
        <f t="shared" si="13"/>
        <v>0</v>
      </c>
      <c r="L110" s="119"/>
      <c r="M110" s="119"/>
    </row>
    <row r="111" spans="1:13">
      <c r="A111" s="141">
        <f t="shared" si="12"/>
        <v>45113</v>
      </c>
      <c r="B111" s="118">
        <v>45113</v>
      </c>
      <c r="C111" s="147">
        <v>34</v>
      </c>
      <c r="D111" s="122" t="s">
        <v>172</v>
      </c>
      <c r="E111" s="181"/>
      <c r="F111" s="181"/>
      <c r="G111" s="120">
        <f t="shared" si="11"/>
        <v>0</v>
      </c>
      <c r="H111" s="120">
        <f t="shared" si="14"/>
        <v>0.875</v>
      </c>
      <c r="I111" s="120">
        <f t="shared" si="13"/>
        <v>0</v>
      </c>
      <c r="L111" s="119"/>
      <c r="M111" s="119"/>
    </row>
    <row r="112" spans="1:13">
      <c r="A112" s="141">
        <f t="shared" si="12"/>
        <v>45113</v>
      </c>
      <c r="B112" s="118">
        <v>45113</v>
      </c>
      <c r="C112" s="147">
        <v>30</v>
      </c>
      <c r="D112" s="122" t="s">
        <v>173</v>
      </c>
      <c r="E112" s="181"/>
      <c r="F112" s="181"/>
      <c r="G112" s="120">
        <f t="shared" si="11"/>
        <v>0</v>
      </c>
      <c r="H112" s="120">
        <f t="shared" si="14"/>
        <v>0.875</v>
      </c>
      <c r="I112" s="120">
        <f t="shared" si="13"/>
        <v>0</v>
      </c>
      <c r="L112" s="119"/>
      <c r="M112" s="119"/>
    </row>
    <row r="113" spans="1:13">
      <c r="A113" s="141">
        <f t="shared" si="12"/>
        <v>45113</v>
      </c>
      <c r="B113" s="118">
        <v>45113</v>
      </c>
      <c r="C113" s="147">
        <v>3</v>
      </c>
      <c r="D113" s="122" t="s">
        <v>174</v>
      </c>
      <c r="E113" s="181"/>
      <c r="F113" s="181"/>
      <c r="G113" s="120">
        <f t="shared" si="11"/>
        <v>0</v>
      </c>
      <c r="H113" s="120">
        <f t="shared" si="14"/>
        <v>0.875</v>
      </c>
      <c r="I113" s="120">
        <f t="shared" si="13"/>
        <v>0</v>
      </c>
      <c r="L113" s="119"/>
      <c r="M113" s="119"/>
    </row>
    <row r="114" spans="1:13">
      <c r="A114" s="141">
        <f t="shared" si="12"/>
        <v>45113</v>
      </c>
      <c r="B114" s="118">
        <v>45113</v>
      </c>
      <c r="C114" s="147">
        <v>33</v>
      </c>
      <c r="D114" s="122" t="s">
        <v>175</v>
      </c>
      <c r="E114" s="181"/>
      <c r="F114" s="181"/>
      <c r="G114" s="120">
        <f t="shared" si="11"/>
        <v>0</v>
      </c>
      <c r="H114" s="120">
        <f t="shared" si="14"/>
        <v>0.875</v>
      </c>
      <c r="I114" s="120">
        <f t="shared" si="13"/>
        <v>0</v>
      </c>
      <c r="L114" s="119"/>
      <c r="M114" s="119"/>
    </row>
    <row r="115" spans="1:13">
      <c r="A115" s="141">
        <f t="shared" si="12"/>
        <v>45113</v>
      </c>
      <c r="B115" s="118">
        <v>45113</v>
      </c>
      <c r="C115" s="147">
        <v>11</v>
      </c>
      <c r="D115" s="122" t="s">
        <v>176</v>
      </c>
      <c r="E115" s="181"/>
      <c r="F115" s="181"/>
      <c r="G115" s="120">
        <f t="shared" si="11"/>
        <v>0</v>
      </c>
      <c r="H115" s="120">
        <f t="shared" si="14"/>
        <v>0.875</v>
      </c>
      <c r="I115" s="120">
        <f t="shared" si="13"/>
        <v>0</v>
      </c>
      <c r="L115" s="119"/>
      <c r="M115" s="119"/>
    </row>
    <row r="116" spans="1:13">
      <c r="A116" s="141">
        <f t="shared" si="12"/>
        <v>45113</v>
      </c>
      <c r="B116" s="118">
        <v>45113</v>
      </c>
      <c r="C116" s="147">
        <v>4</v>
      </c>
      <c r="D116" s="122" t="s">
        <v>177</v>
      </c>
      <c r="E116" s="181"/>
      <c r="F116" s="181"/>
      <c r="G116" s="120">
        <f t="shared" si="11"/>
        <v>0</v>
      </c>
      <c r="H116" s="120">
        <f t="shared" si="14"/>
        <v>0.875</v>
      </c>
      <c r="I116" s="120">
        <f t="shared" si="13"/>
        <v>0</v>
      </c>
      <c r="L116" s="119"/>
      <c r="M116" s="119"/>
    </row>
    <row r="117" spans="1:13">
      <c r="A117" s="141">
        <f t="shared" si="12"/>
        <v>45113</v>
      </c>
      <c r="B117" s="118">
        <v>45113</v>
      </c>
      <c r="C117" s="147">
        <v>35</v>
      </c>
      <c r="D117" s="122" t="s">
        <v>178</v>
      </c>
      <c r="E117" s="181"/>
      <c r="F117" s="181"/>
      <c r="G117" s="120">
        <f t="shared" si="11"/>
        <v>0</v>
      </c>
      <c r="H117" s="120">
        <f t="shared" si="14"/>
        <v>0.875</v>
      </c>
      <c r="I117" s="120">
        <f t="shared" si="13"/>
        <v>0</v>
      </c>
      <c r="L117" s="119"/>
      <c r="M117" s="119"/>
    </row>
    <row r="118" spans="1:13">
      <c r="A118" s="141">
        <f t="shared" si="12"/>
        <v>45113</v>
      </c>
      <c r="B118" s="118">
        <v>45113</v>
      </c>
      <c r="C118" s="147">
        <v>6</v>
      </c>
      <c r="D118" s="122" t="s">
        <v>179</v>
      </c>
      <c r="E118" s="181"/>
      <c r="F118" s="181"/>
      <c r="G118" s="120">
        <f t="shared" si="11"/>
        <v>0</v>
      </c>
      <c r="H118" s="120">
        <f t="shared" si="14"/>
        <v>0.875</v>
      </c>
      <c r="I118" s="120">
        <f t="shared" si="13"/>
        <v>0</v>
      </c>
      <c r="L118" s="119"/>
      <c r="M118" s="119"/>
    </row>
    <row r="119" spans="1:13">
      <c r="A119" s="141">
        <f t="shared" si="12"/>
        <v>45113</v>
      </c>
      <c r="B119" s="118">
        <v>45113</v>
      </c>
      <c r="C119" s="147">
        <v>41</v>
      </c>
      <c r="D119" s="122" t="s">
        <v>180</v>
      </c>
      <c r="E119" s="181"/>
      <c r="F119" s="181"/>
      <c r="G119" s="120">
        <f t="shared" ref="G119:G182" si="15">IFERROR(IF((E119-$F$2)&lt;=$H$3,0,E119-$F$2),"غياب")</f>
        <v>0</v>
      </c>
      <c r="H119" s="120">
        <f t="shared" si="14"/>
        <v>0.875</v>
      </c>
      <c r="I119" s="120">
        <f t="shared" si="13"/>
        <v>0</v>
      </c>
      <c r="L119" s="119"/>
      <c r="M119" s="119"/>
    </row>
    <row r="120" spans="1:13">
      <c r="A120" s="141">
        <f t="shared" si="12"/>
        <v>45113</v>
      </c>
      <c r="B120" s="118">
        <v>45113</v>
      </c>
      <c r="C120" s="147">
        <v>28</v>
      </c>
      <c r="D120" s="122" t="s">
        <v>181</v>
      </c>
      <c r="E120" s="181"/>
      <c r="F120" s="181"/>
      <c r="G120" s="120">
        <f t="shared" si="15"/>
        <v>0</v>
      </c>
      <c r="H120" s="120">
        <f t="shared" si="14"/>
        <v>0.875</v>
      </c>
      <c r="I120" s="120">
        <f t="shared" si="13"/>
        <v>0</v>
      </c>
      <c r="L120" s="119"/>
      <c r="M120" s="119"/>
    </row>
    <row r="121" spans="1:13">
      <c r="A121" s="141">
        <f t="shared" si="12"/>
        <v>45113</v>
      </c>
      <c r="B121" s="118">
        <v>45113</v>
      </c>
      <c r="C121" s="147">
        <v>20</v>
      </c>
      <c r="D121" s="122" t="s">
        <v>182</v>
      </c>
      <c r="E121" s="181"/>
      <c r="F121" s="181"/>
      <c r="G121" s="120">
        <f t="shared" si="15"/>
        <v>0</v>
      </c>
      <c r="H121" s="120">
        <f t="shared" si="14"/>
        <v>0.875</v>
      </c>
      <c r="I121" s="120">
        <f t="shared" si="13"/>
        <v>0</v>
      </c>
      <c r="L121" s="119"/>
      <c r="M121" s="119"/>
    </row>
    <row r="122" spans="1:13">
      <c r="A122" s="141">
        <f t="shared" si="12"/>
        <v>45113</v>
      </c>
      <c r="B122" s="118">
        <v>45113</v>
      </c>
      <c r="C122" s="147">
        <v>42</v>
      </c>
      <c r="D122" s="122" t="s">
        <v>183</v>
      </c>
      <c r="E122" s="181"/>
      <c r="F122" s="181"/>
      <c r="G122" s="120">
        <f>IFERROR(IF((E122-$F$2)&lt;=$H$3,0,E122-$F$2),"غياب")</f>
        <v>0</v>
      </c>
      <c r="H122" s="120">
        <f t="shared" si="14"/>
        <v>0.875</v>
      </c>
      <c r="I122" s="120">
        <f t="shared" si="13"/>
        <v>0</v>
      </c>
      <c r="L122" s="119"/>
      <c r="M122" s="119"/>
    </row>
    <row r="123" spans="1:13">
      <c r="A123" s="141">
        <f t="shared" si="12"/>
        <v>45115</v>
      </c>
      <c r="B123" s="118">
        <v>45115</v>
      </c>
      <c r="C123" s="147">
        <v>15</v>
      </c>
      <c r="D123" s="130" t="s">
        <v>161</v>
      </c>
      <c r="E123" s="181"/>
      <c r="F123" s="181"/>
      <c r="G123" s="120">
        <f t="shared" si="15"/>
        <v>0</v>
      </c>
      <c r="H123" s="120">
        <f t="shared" si="14"/>
        <v>0.875</v>
      </c>
      <c r="I123" s="120">
        <f t="shared" si="13"/>
        <v>0</v>
      </c>
      <c r="L123" s="119"/>
      <c r="M123" s="119"/>
    </row>
    <row r="124" spans="1:13">
      <c r="A124" s="141">
        <f t="shared" si="12"/>
        <v>45115</v>
      </c>
      <c r="B124" s="118">
        <v>45115</v>
      </c>
      <c r="C124" s="147">
        <v>23</v>
      </c>
      <c r="D124" s="122" t="s">
        <v>162</v>
      </c>
      <c r="E124" s="181"/>
      <c r="F124" s="181"/>
      <c r="G124" s="120">
        <f t="shared" si="15"/>
        <v>0</v>
      </c>
      <c r="H124" s="120">
        <f t="shared" si="14"/>
        <v>0.875</v>
      </c>
      <c r="I124" s="120">
        <f t="shared" si="13"/>
        <v>0</v>
      </c>
      <c r="L124" s="119"/>
      <c r="M124" s="119"/>
    </row>
    <row r="125" spans="1:13">
      <c r="A125" s="141">
        <f t="shared" si="12"/>
        <v>45115</v>
      </c>
      <c r="B125" s="118">
        <v>45115</v>
      </c>
      <c r="C125" s="147">
        <v>21</v>
      </c>
      <c r="D125" s="122" t="s">
        <v>163</v>
      </c>
      <c r="E125" s="181"/>
      <c r="F125" s="181"/>
      <c r="G125" s="120">
        <f t="shared" si="15"/>
        <v>0</v>
      </c>
      <c r="H125" s="120">
        <f t="shared" si="14"/>
        <v>0.875</v>
      </c>
      <c r="I125" s="120">
        <f t="shared" si="13"/>
        <v>0</v>
      </c>
      <c r="L125" s="119"/>
      <c r="M125" s="119"/>
    </row>
    <row r="126" spans="1:13">
      <c r="A126" s="141">
        <f t="shared" si="12"/>
        <v>45115</v>
      </c>
      <c r="B126" s="118">
        <v>45115</v>
      </c>
      <c r="C126" s="99">
        <v>44</v>
      </c>
      <c r="D126" s="138" t="s">
        <v>164</v>
      </c>
      <c r="E126" s="181"/>
      <c r="F126" s="181"/>
      <c r="G126" s="120">
        <f t="shared" si="15"/>
        <v>0</v>
      </c>
      <c r="H126" s="120">
        <f t="shared" si="14"/>
        <v>0.875</v>
      </c>
      <c r="I126" s="120">
        <f t="shared" si="13"/>
        <v>0</v>
      </c>
      <c r="L126" s="119"/>
      <c r="M126" s="119"/>
    </row>
    <row r="127" spans="1:13">
      <c r="A127" s="141">
        <f t="shared" si="12"/>
        <v>45115</v>
      </c>
      <c r="B127" s="118">
        <v>45115</v>
      </c>
      <c r="C127" s="147">
        <v>27</v>
      </c>
      <c r="D127" s="122" t="s">
        <v>165</v>
      </c>
      <c r="E127" s="181"/>
      <c r="F127" s="181"/>
      <c r="G127" s="120">
        <f t="shared" si="15"/>
        <v>0</v>
      </c>
      <c r="H127" s="120">
        <f t="shared" si="14"/>
        <v>0.875</v>
      </c>
      <c r="I127" s="120">
        <f t="shared" si="13"/>
        <v>0</v>
      </c>
      <c r="L127" s="119"/>
      <c r="M127" s="119"/>
    </row>
    <row r="128" spans="1:13">
      <c r="A128" s="141">
        <f t="shared" si="12"/>
        <v>45115</v>
      </c>
      <c r="B128" s="118">
        <v>45115</v>
      </c>
      <c r="C128" s="147">
        <v>25</v>
      </c>
      <c r="D128" s="122" t="s">
        <v>166</v>
      </c>
      <c r="E128" s="181"/>
      <c r="F128" s="181"/>
      <c r="G128" s="120">
        <f t="shared" si="15"/>
        <v>0</v>
      </c>
      <c r="H128" s="120">
        <f t="shared" si="14"/>
        <v>0.875</v>
      </c>
      <c r="I128" s="120">
        <f t="shared" si="13"/>
        <v>0</v>
      </c>
      <c r="L128" s="119"/>
      <c r="M128" s="119"/>
    </row>
    <row r="129" spans="1:13">
      <c r="A129" s="141">
        <f t="shared" si="12"/>
        <v>45115</v>
      </c>
      <c r="B129" s="118">
        <v>45115</v>
      </c>
      <c r="C129" s="147">
        <v>32</v>
      </c>
      <c r="D129" s="122" t="s">
        <v>167</v>
      </c>
      <c r="E129" s="181"/>
      <c r="F129" s="181"/>
      <c r="G129" s="120">
        <f>IFERROR(IF((E129-$F$2)&lt;=$H$3,0,E129-$F$2),"غياب")</f>
        <v>0</v>
      </c>
      <c r="H129" s="120">
        <f t="shared" si="14"/>
        <v>0.875</v>
      </c>
      <c r="I129" s="120">
        <f t="shared" si="13"/>
        <v>0</v>
      </c>
      <c r="L129" s="119"/>
      <c r="M129" s="119"/>
    </row>
    <row r="130" spans="1:13">
      <c r="A130" s="141">
        <f t="shared" si="12"/>
        <v>45115</v>
      </c>
      <c r="B130" s="118">
        <v>45115</v>
      </c>
      <c r="C130" s="147">
        <v>36</v>
      </c>
      <c r="D130" s="122" t="s">
        <v>168</v>
      </c>
      <c r="E130" s="181"/>
      <c r="F130" s="181"/>
      <c r="G130" s="120">
        <f t="shared" si="15"/>
        <v>0</v>
      </c>
      <c r="H130" s="120">
        <f t="shared" si="14"/>
        <v>0.875</v>
      </c>
      <c r="I130" s="120">
        <f t="shared" si="13"/>
        <v>0</v>
      </c>
      <c r="L130" s="119"/>
      <c r="M130" s="119"/>
    </row>
    <row r="131" spans="1:13">
      <c r="A131" s="141">
        <f t="shared" si="12"/>
        <v>45115</v>
      </c>
      <c r="B131" s="118">
        <v>45115</v>
      </c>
      <c r="C131" s="147">
        <v>16</v>
      </c>
      <c r="D131" s="122" t="s">
        <v>169</v>
      </c>
      <c r="E131" s="181"/>
      <c r="F131" s="181"/>
      <c r="G131" s="120">
        <f t="shared" si="15"/>
        <v>0</v>
      </c>
      <c r="H131" s="120">
        <f t="shared" si="14"/>
        <v>0.875</v>
      </c>
      <c r="I131" s="120">
        <f t="shared" si="13"/>
        <v>0</v>
      </c>
      <c r="L131" s="119"/>
      <c r="M131" s="119"/>
    </row>
    <row r="132" spans="1:13">
      <c r="A132" s="141">
        <f t="shared" si="12"/>
        <v>45115</v>
      </c>
      <c r="B132" s="118">
        <v>45115</v>
      </c>
      <c r="C132" s="147">
        <v>1</v>
      </c>
      <c r="D132" s="122" t="s">
        <v>170</v>
      </c>
      <c r="E132" s="181"/>
      <c r="F132" s="181"/>
      <c r="G132" s="120">
        <f t="shared" si="15"/>
        <v>0</v>
      </c>
      <c r="H132" s="120">
        <f t="shared" si="14"/>
        <v>0.875</v>
      </c>
      <c r="I132" s="120">
        <f t="shared" si="13"/>
        <v>0</v>
      </c>
      <c r="L132" s="119"/>
      <c r="M132" s="119"/>
    </row>
    <row r="133" spans="1:13">
      <c r="A133" s="141">
        <f t="shared" si="12"/>
        <v>45115</v>
      </c>
      <c r="B133" s="118">
        <v>45115</v>
      </c>
      <c r="C133" s="147">
        <v>19</v>
      </c>
      <c r="D133" s="122" t="s">
        <v>171</v>
      </c>
      <c r="E133" s="181"/>
      <c r="F133" s="181"/>
      <c r="G133" s="120">
        <f t="shared" si="15"/>
        <v>0</v>
      </c>
      <c r="H133" s="120">
        <f t="shared" si="14"/>
        <v>0.875</v>
      </c>
      <c r="I133" s="120">
        <f t="shared" si="13"/>
        <v>0</v>
      </c>
      <c r="L133" s="119"/>
      <c r="M133" s="119"/>
    </row>
    <row r="134" spans="1:13">
      <c r="A134" s="141">
        <f t="shared" si="12"/>
        <v>45115</v>
      </c>
      <c r="B134" s="118">
        <v>45115</v>
      </c>
      <c r="C134" s="147">
        <v>34</v>
      </c>
      <c r="D134" s="122" t="s">
        <v>172</v>
      </c>
      <c r="E134" s="181"/>
      <c r="F134" s="181"/>
      <c r="G134" s="120">
        <f t="shared" si="15"/>
        <v>0</v>
      </c>
      <c r="H134" s="120">
        <f t="shared" si="14"/>
        <v>0.875</v>
      </c>
      <c r="I134" s="120">
        <f t="shared" si="13"/>
        <v>0</v>
      </c>
      <c r="L134" s="119"/>
      <c r="M134" s="119"/>
    </row>
    <row r="135" spans="1:13">
      <c r="A135" s="141">
        <f t="shared" si="12"/>
        <v>45115</v>
      </c>
      <c r="B135" s="118">
        <v>45115</v>
      </c>
      <c r="C135" s="147">
        <v>30</v>
      </c>
      <c r="D135" s="122" t="s">
        <v>173</v>
      </c>
      <c r="E135" s="181"/>
      <c r="F135" s="181"/>
      <c r="G135" s="120">
        <f t="shared" si="15"/>
        <v>0</v>
      </c>
      <c r="H135" s="120">
        <f t="shared" si="14"/>
        <v>0.875</v>
      </c>
      <c r="I135" s="120">
        <f t="shared" si="13"/>
        <v>0</v>
      </c>
      <c r="L135" s="119"/>
      <c r="M135" s="119"/>
    </row>
    <row r="136" spans="1:13">
      <c r="A136" s="141">
        <f t="shared" si="12"/>
        <v>45115</v>
      </c>
      <c r="B136" s="118">
        <v>45115</v>
      </c>
      <c r="C136" s="147">
        <v>3</v>
      </c>
      <c r="D136" s="122" t="s">
        <v>174</v>
      </c>
      <c r="E136" s="181"/>
      <c r="F136" s="181"/>
      <c r="G136" s="120">
        <f t="shared" si="15"/>
        <v>0</v>
      </c>
      <c r="H136" s="120">
        <f t="shared" si="14"/>
        <v>0.875</v>
      </c>
      <c r="I136" s="120">
        <f t="shared" si="13"/>
        <v>0</v>
      </c>
      <c r="L136" s="119"/>
      <c r="M136" s="127"/>
    </row>
    <row r="137" spans="1:13">
      <c r="A137" s="141">
        <f t="shared" ref="A137:A200" si="16">B137</f>
        <v>45115</v>
      </c>
      <c r="B137" s="118">
        <v>45115</v>
      </c>
      <c r="C137" s="147">
        <v>33</v>
      </c>
      <c r="D137" s="122" t="s">
        <v>175</v>
      </c>
      <c r="E137" s="181"/>
      <c r="F137" s="181"/>
      <c r="G137" s="120">
        <f t="shared" si="15"/>
        <v>0</v>
      </c>
      <c r="H137" s="120">
        <f t="shared" si="14"/>
        <v>0.875</v>
      </c>
      <c r="I137" s="120">
        <f t="shared" ref="I137:I200" si="17">IFERROR(IF((F137-$H$2)&lt;0,0,F137-$H$2),"0")</f>
        <v>0</v>
      </c>
      <c r="L137" s="119"/>
      <c r="M137" s="119"/>
    </row>
    <row r="138" spans="1:13">
      <c r="A138" s="141">
        <f t="shared" si="16"/>
        <v>45115</v>
      </c>
      <c r="B138" s="118">
        <v>45115</v>
      </c>
      <c r="C138" s="147">
        <v>11</v>
      </c>
      <c r="D138" s="122" t="s">
        <v>176</v>
      </c>
      <c r="E138" s="181"/>
      <c r="F138" s="181"/>
      <c r="G138" s="120">
        <f t="shared" si="15"/>
        <v>0</v>
      </c>
      <c r="H138" s="120">
        <f t="shared" ref="H138:H201" si="18">IF(($H$2-F138)&lt;0,0,$H$2-F138)</f>
        <v>0.875</v>
      </c>
      <c r="I138" s="120">
        <f t="shared" si="17"/>
        <v>0</v>
      </c>
      <c r="L138" s="119"/>
      <c r="M138" s="119"/>
    </row>
    <row r="139" spans="1:13">
      <c r="A139" s="141">
        <f t="shared" si="16"/>
        <v>45115</v>
      </c>
      <c r="B139" s="118">
        <v>45115</v>
      </c>
      <c r="C139" s="147">
        <v>4</v>
      </c>
      <c r="D139" s="122" t="s">
        <v>177</v>
      </c>
      <c r="E139" s="181"/>
      <c r="F139" s="181"/>
      <c r="G139" s="120">
        <f t="shared" si="15"/>
        <v>0</v>
      </c>
      <c r="H139" s="120">
        <f t="shared" si="18"/>
        <v>0.875</v>
      </c>
      <c r="I139" s="120">
        <f t="shared" si="17"/>
        <v>0</v>
      </c>
      <c r="L139" s="119"/>
      <c r="M139" s="119"/>
    </row>
    <row r="140" spans="1:13">
      <c r="A140" s="141">
        <f t="shared" si="16"/>
        <v>45115</v>
      </c>
      <c r="B140" s="118">
        <v>45115</v>
      </c>
      <c r="C140" s="147">
        <v>35</v>
      </c>
      <c r="D140" s="122" t="s">
        <v>178</v>
      </c>
      <c r="E140" s="181"/>
      <c r="F140" s="181"/>
      <c r="G140" s="120">
        <f t="shared" si="15"/>
        <v>0</v>
      </c>
      <c r="H140" s="120">
        <f t="shared" si="18"/>
        <v>0.875</v>
      </c>
      <c r="I140" s="120">
        <f t="shared" si="17"/>
        <v>0</v>
      </c>
      <c r="L140" s="119"/>
      <c r="M140" s="119"/>
    </row>
    <row r="141" spans="1:13">
      <c r="A141" s="141">
        <f t="shared" si="16"/>
        <v>45115</v>
      </c>
      <c r="B141" s="118">
        <v>45115</v>
      </c>
      <c r="C141" s="147">
        <v>6</v>
      </c>
      <c r="D141" s="122" t="s">
        <v>179</v>
      </c>
      <c r="E141" s="181"/>
      <c r="F141" s="181"/>
      <c r="G141" s="120">
        <f t="shared" si="15"/>
        <v>0</v>
      </c>
      <c r="H141" s="120">
        <f t="shared" si="18"/>
        <v>0.875</v>
      </c>
      <c r="I141" s="120">
        <f t="shared" si="17"/>
        <v>0</v>
      </c>
      <c r="L141" s="119"/>
      <c r="M141" s="119"/>
    </row>
    <row r="142" spans="1:13">
      <c r="A142" s="141">
        <f t="shared" si="16"/>
        <v>45115</v>
      </c>
      <c r="B142" s="118">
        <v>45115</v>
      </c>
      <c r="C142" s="147">
        <v>41</v>
      </c>
      <c r="D142" s="122" t="s">
        <v>180</v>
      </c>
      <c r="E142" s="181"/>
      <c r="F142" s="181"/>
      <c r="G142" s="120">
        <f t="shared" si="15"/>
        <v>0</v>
      </c>
      <c r="H142" s="120">
        <f t="shared" si="18"/>
        <v>0.875</v>
      </c>
      <c r="I142" s="120">
        <f t="shared" si="17"/>
        <v>0</v>
      </c>
      <c r="L142" s="119"/>
      <c r="M142" s="119"/>
    </row>
    <row r="143" spans="1:13">
      <c r="A143" s="141">
        <f t="shared" si="16"/>
        <v>45115</v>
      </c>
      <c r="B143" s="118">
        <v>45115</v>
      </c>
      <c r="C143" s="147">
        <v>28</v>
      </c>
      <c r="D143" s="122" t="s">
        <v>181</v>
      </c>
      <c r="E143" s="181"/>
      <c r="F143" s="181"/>
      <c r="G143" s="120">
        <f t="shared" si="15"/>
        <v>0</v>
      </c>
      <c r="H143" s="120">
        <f t="shared" si="18"/>
        <v>0.875</v>
      </c>
      <c r="I143" s="120">
        <f t="shared" si="17"/>
        <v>0</v>
      </c>
      <c r="L143" s="119"/>
      <c r="M143" s="119"/>
    </row>
    <row r="144" spans="1:13">
      <c r="A144" s="141">
        <f t="shared" si="16"/>
        <v>45115</v>
      </c>
      <c r="B144" s="118">
        <v>45115</v>
      </c>
      <c r="C144" s="147">
        <v>20</v>
      </c>
      <c r="D144" s="122" t="s">
        <v>182</v>
      </c>
      <c r="E144" s="181"/>
      <c r="F144" s="181"/>
      <c r="G144" s="120">
        <f t="shared" si="15"/>
        <v>0</v>
      </c>
      <c r="H144" s="120">
        <f t="shared" si="18"/>
        <v>0.875</v>
      </c>
      <c r="I144" s="120">
        <f t="shared" si="17"/>
        <v>0</v>
      </c>
      <c r="L144" s="119"/>
      <c r="M144" s="119"/>
    </row>
    <row r="145" spans="1:13">
      <c r="A145" s="141">
        <f t="shared" si="16"/>
        <v>45115</v>
      </c>
      <c r="B145" s="118">
        <v>45115</v>
      </c>
      <c r="C145" s="147">
        <v>42</v>
      </c>
      <c r="D145" s="122" t="s">
        <v>183</v>
      </c>
      <c r="E145" s="181"/>
      <c r="F145" s="181"/>
      <c r="G145" s="120">
        <f t="shared" si="15"/>
        <v>0</v>
      </c>
      <c r="H145" s="120">
        <f t="shared" si="18"/>
        <v>0.875</v>
      </c>
      <c r="I145" s="120">
        <f t="shared" si="17"/>
        <v>0</v>
      </c>
      <c r="L145" s="119"/>
      <c r="M145" s="119"/>
    </row>
    <row r="146" spans="1:13">
      <c r="A146" s="141">
        <f t="shared" si="16"/>
        <v>45116</v>
      </c>
      <c r="B146" s="126">
        <v>45116</v>
      </c>
      <c r="C146" s="147">
        <v>15</v>
      </c>
      <c r="D146" s="130" t="s">
        <v>161</v>
      </c>
      <c r="E146" s="181"/>
      <c r="F146" s="181"/>
      <c r="G146" s="120">
        <f t="shared" si="15"/>
        <v>0</v>
      </c>
      <c r="H146" s="120">
        <f t="shared" si="18"/>
        <v>0.875</v>
      </c>
      <c r="I146" s="120">
        <f t="shared" si="17"/>
        <v>0</v>
      </c>
      <c r="L146" s="119"/>
      <c r="M146" s="119"/>
    </row>
    <row r="147" spans="1:13">
      <c r="A147" s="141">
        <f t="shared" si="16"/>
        <v>45116</v>
      </c>
      <c r="B147" s="126">
        <v>45116</v>
      </c>
      <c r="C147" s="147">
        <v>23</v>
      </c>
      <c r="D147" s="122" t="s">
        <v>162</v>
      </c>
      <c r="E147" s="181"/>
      <c r="F147" s="181"/>
      <c r="G147" s="120">
        <f t="shared" si="15"/>
        <v>0</v>
      </c>
      <c r="H147" s="120">
        <f t="shared" si="18"/>
        <v>0.875</v>
      </c>
      <c r="I147" s="120">
        <f t="shared" si="17"/>
        <v>0</v>
      </c>
      <c r="L147" s="119"/>
      <c r="M147" s="119"/>
    </row>
    <row r="148" spans="1:13">
      <c r="A148" s="141">
        <f t="shared" si="16"/>
        <v>45116</v>
      </c>
      <c r="B148" s="126">
        <v>45116</v>
      </c>
      <c r="C148" s="147">
        <v>21</v>
      </c>
      <c r="D148" s="122" t="s">
        <v>163</v>
      </c>
      <c r="E148" s="181"/>
      <c r="F148" s="181"/>
      <c r="G148" s="120">
        <f t="shared" si="15"/>
        <v>0</v>
      </c>
      <c r="H148" s="120">
        <f t="shared" si="18"/>
        <v>0.875</v>
      </c>
      <c r="I148" s="120">
        <f t="shared" si="17"/>
        <v>0</v>
      </c>
      <c r="L148" s="119"/>
      <c r="M148" s="119"/>
    </row>
    <row r="149" spans="1:13">
      <c r="A149" s="141">
        <f t="shared" si="16"/>
        <v>45116</v>
      </c>
      <c r="B149" s="126">
        <v>45116</v>
      </c>
      <c r="C149" s="99">
        <v>44</v>
      </c>
      <c r="D149" s="138" t="s">
        <v>164</v>
      </c>
      <c r="E149" s="181"/>
      <c r="F149" s="181"/>
      <c r="G149" s="120">
        <f t="shared" si="15"/>
        <v>0</v>
      </c>
      <c r="H149" s="120">
        <f t="shared" si="18"/>
        <v>0.875</v>
      </c>
      <c r="I149" s="120">
        <f t="shared" si="17"/>
        <v>0</v>
      </c>
      <c r="L149" s="119"/>
      <c r="M149" s="119"/>
    </row>
    <row r="150" spans="1:13">
      <c r="A150" s="141">
        <f t="shared" si="16"/>
        <v>45116</v>
      </c>
      <c r="B150" s="126">
        <v>45116</v>
      </c>
      <c r="C150" s="147">
        <v>27</v>
      </c>
      <c r="D150" s="122" t="s">
        <v>165</v>
      </c>
      <c r="E150" s="181"/>
      <c r="F150" s="181"/>
      <c r="G150" s="120">
        <f t="shared" si="15"/>
        <v>0</v>
      </c>
      <c r="H150" s="120">
        <f t="shared" si="18"/>
        <v>0.875</v>
      </c>
      <c r="I150" s="120">
        <f t="shared" si="17"/>
        <v>0</v>
      </c>
      <c r="L150" s="119"/>
      <c r="M150" s="119"/>
    </row>
    <row r="151" spans="1:13" ht="18" customHeight="1">
      <c r="A151" s="141">
        <f t="shared" si="16"/>
        <v>45116</v>
      </c>
      <c r="B151" s="126">
        <v>45116</v>
      </c>
      <c r="C151" s="147">
        <v>25</v>
      </c>
      <c r="D151" s="122" t="s">
        <v>166</v>
      </c>
      <c r="E151" s="181"/>
      <c r="F151" s="181"/>
      <c r="G151" s="120">
        <f t="shared" si="15"/>
        <v>0</v>
      </c>
      <c r="H151" s="120">
        <f t="shared" si="18"/>
        <v>0.875</v>
      </c>
      <c r="I151" s="120">
        <f t="shared" si="17"/>
        <v>0</v>
      </c>
      <c r="L151" s="119"/>
      <c r="M151" s="119"/>
    </row>
    <row r="152" spans="1:13">
      <c r="A152" s="141">
        <f t="shared" si="16"/>
        <v>45116</v>
      </c>
      <c r="B152" s="126">
        <v>45116</v>
      </c>
      <c r="C152" s="147">
        <v>32</v>
      </c>
      <c r="D152" s="122" t="s">
        <v>167</v>
      </c>
      <c r="E152" s="181"/>
      <c r="F152" s="181"/>
      <c r="G152" s="120">
        <f t="shared" si="15"/>
        <v>0</v>
      </c>
      <c r="H152" s="120">
        <f t="shared" si="18"/>
        <v>0.875</v>
      </c>
      <c r="I152" s="120">
        <f t="shared" si="17"/>
        <v>0</v>
      </c>
      <c r="L152" s="119"/>
      <c r="M152" s="119"/>
    </row>
    <row r="153" spans="1:13">
      <c r="A153" s="141">
        <f t="shared" si="16"/>
        <v>45116</v>
      </c>
      <c r="B153" s="126">
        <v>45116</v>
      </c>
      <c r="C153" s="147">
        <v>36</v>
      </c>
      <c r="D153" s="122" t="s">
        <v>168</v>
      </c>
      <c r="E153" s="181"/>
      <c r="F153" s="181"/>
      <c r="G153" s="120">
        <f t="shared" si="15"/>
        <v>0</v>
      </c>
      <c r="H153" s="120">
        <f t="shared" si="18"/>
        <v>0.875</v>
      </c>
      <c r="I153" s="120">
        <f t="shared" si="17"/>
        <v>0</v>
      </c>
      <c r="L153" s="119"/>
      <c r="M153" s="119"/>
    </row>
    <row r="154" spans="1:13">
      <c r="A154" s="141">
        <f t="shared" si="16"/>
        <v>45116</v>
      </c>
      <c r="B154" s="126">
        <v>45116</v>
      </c>
      <c r="C154" s="147">
        <v>16</v>
      </c>
      <c r="D154" s="122" t="s">
        <v>169</v>
      </c>
      <c r="E154" s="181"/>
      <c r="F154" s="181"/>
      <c r="G154" s="120">
        <f t="shared" si="15"/>
        <v>0</v>
      </c>
      <c r="H154" s="120">
        <f t="shared" si="18"/>
        <v>0.875</v>
      </c>
      <c r="I154" s="120">
        <f t="shared" si="17"/>
        <v>0</v>
      </c>
      <c r="L154" s="119"/>
      <c r="M154" s="119"/>
    </row>
    <row r="155" spans="1:13">
      <c r="A155" s="141">
        <f t="shared" si="16"/>
        <v>45116</v>
      </c>
      <c r="B155" s="126">
        <v>45116</v>
      </c>
      <c r="C155" s="147">
        <v>1</v>
      </c>
      <c r="D155" s="122" t="s">
        <v>170</v>
      </c>
      <c r="E155" s="181"/>
      <c r="F155" s="181"/>
      <c r="G155" s="120">
        <f t="shared" si="15"/>
        <v>0</v>
      </c>
      <c r="H155" s="120">
        <f t="shared" si="18"/>
        <v>0.875</v>
      </c>
      <c r="I155" s="120">
        <f t="shared" si="17"/>
        <v>0</v>
      </c>
      <c r="L155" s="119"/>
      <c r="M155" s="119"/>
    </row>
    <row r="156" spans="1:13">
      <c r="A156" s="141">
        <f t="shared" si="16"/>
        <v>45116</v>
      </c>
      <c r="B156" s="126">
        <v>45116</v>
      </c>
      <c r="C156" s="147">
        <v>19</v>
      </c>
      <c r="D156" s="122" t="s">
        <v>171</v>
      </c>
      <c r="E156" s="181"/>
      <c r="F156" s="181"/>
      <c r="G156" s="120">
        <f t="shared" si="15"/>
        <v>0</v>
      </c>
      <c r="H156" s="120">
        <f t="shared" si="18"/>
        <v>0.875</v>
      </c>
      <c r="I156" s="120">
        <f t="shared" si="17"/>
        <v>0</v>
      </c>
      <c r="L156" s="119"/>
      <c r="M156" s="119"/>
    </row>
    <row r="157" spans="1:13">
      <c r="A157" s="141">
        <f t="shared" si="16"/>
        <v>45116</v>
      </c>
      <c r="B157" s="126">
        <v>45116</v>
      </c>
      <c r="C157" s="147">
        <v>34</v>
      </c>
      <c r="D157" s="122" t="s">
        <v>172</v>
      </c>
      <c r="E157" s="181"/>
      <c r="F157" s="181"/>
      <c r="G157" s="120">
        <f t="shared" si="15"/>
        <v>0</v>
      </c>
      <c r="H157" s="120">
        <f t="shared" si="18"/>
        <v>0.875</v>
      </c>
      <c r="I157" s="120">
        <f t="shared" si="17"/>
        <v>0</v>
      </c>
      <c r="L157" s="119"/>
      <c r="M157" s="119"/>
    </row>
    <row r="158" spans="1:13">
      <c r="A158" s="141">
        <f t="shared" si="16"/>
        <v>45116</v>
      </c>
      <c r="B158" s="126">
        <v>45116</v>
      </c>
      <c r="C158" s="147">
        <v>30</v>
      </c>
      <c r="D158" s="122" t="s">
        <v>173</v>
      </c>
      <c r="E158" s="181"/>
      <c r="F158" s="181"/>
      <c r="G158" s="120">
        <f t="shared" si="15"/>
        <v>0</v>
      </c>
      <c r="H158" s="120">
        <f t="shared" si="18"/>
        <v>0.875</v>
      </c>
      <c r="I158" s="120">
        <f t="shared" si="17"/>
        <v>0</v>
      </c>
      <c r="L158" s="119"/>
      <c r="M158" s="119"/>
    </row>
    <row r="159" spans="1:13">
      <c r="A159" s="141">
        <f t="shared" si="16"/>
        <v>45116</v>
      </c>
      <c r="B159" s="126">
        <v>45116</v>
      </c>
      <c r="C159" s="147">
        <v>3</v>
      </c>
      <c r="D159" s="122" t="s">
        <v>174</v>
      </c>
      <c r="E159" s="181"/>
      <c r="F159" s="181"/>
      <c r="G159" s="120">
        <f t="shared" si="15"/>
        <v>0</v>
      </c>
      <c r="H159" s="120">
        <f t="shared" si="18"/>
        <v>0.875</v>
      </c>
      <c r="I159" s="120">
        <f t="shared" si="17"/>
        <v>0</v>
      </c>
      <c r="L159" s="119"/>
      <c r="M159" s="119"/>
    </row>
    <row r="160" spans="1:13">
      <c r="A160" s="141">
        <f t="shared" si="16"/>
        <v>45116</v>
      </c>
      <c r="B160" s="126">
        <v>45116</v>
      </c>
      <c r="C160" s="147">
        <v>33</v>
      </c>
      <c r="D160" s="122" t="s">
        <v>175</v>
      </c>
      <c r="E160" s="181"/>
      <c r="F160" s="181"/>
      <c r="G160" s="120">
        <f t="shared" si="15"/>
        <v>0</v>
      </c>
      <c r="H160" s="120">
        <f t="shared" si="18"/>
        <v>0.875</v>
      </c>
      <c r="I160" s="120">
        <f t="shared" si="17"/>
        <v>0</v>
      </c>
      <c r="L160" s="119"/>
      <c r="M160" s="119"/>
    </row>
    <row r="161" spans="1:13">
      <c r="A161" s="141">
        <f t="shared" si="16"/>
        <v>45116</v>
      </c>
      <c r="B161" s="126">
        <v>45116</v>
      </c>
      <c r="C161" s="147">
        <v>11</v>
      </c>
      <c r="D161" s="122" t="s">
        <v>176</v>
      </c>
      <c r="E161" s="181"/>
      <c r="F161" s="181"/>
      <c r="G161" s="120">
        <f t="shared" si="15"/>
        <v>0</v>
      </c>
      <c r="H161" s="120">
        <f t="shared" si="18"/>
        <v>0.875</v>
      </c>
      <c r="I161" s="120">
        <f t="shared" si="17"/>
        <v>0</v>
      </c>
      <c r="L161" s="119"/>
      <c r="M161" s="119"/>
    </row>
    <row r="162" spans="1:13">
      <c r="A162" s="141">
        <f t="shared" si="16"/>
        <v>45116</v>
      </c>
      <c r="B162" s="126">
        <v>45116</v>
      </c>
      <c r="C162" s="147">
        <v>4</v>
      </c>
      <c r="D162" s="122" t="s">
        <v>177</v>
      </c>
      <c r="E162" s="181"/>
      <c r="F162" s="181"/>
      <c r="G162" s="120">
        <f t="shared" si="15"/>
        <v>0</v>
      </c>
      <c r="H162" s="120">
        <f t="shared" si="18"/>
        <v>0.875</v>
      </c>
      <c r="I162" s="120">
        <f t="shared" si="17"/>
        <v>0</v>
      </c>
      <c r="L162" s="119"/>
      <c r="M162" s="119"/>
    </row>
    <row r="163" spans="1:13">
      <c r="A163" s="141">
        <f t="shared" si="16"/>
        <v>45116</v>
      </c>
      <c r="B163" s="126">
        <v>45116</v>
      </c>
      <c r="C163" s="147">
        <v>35</v>
      </c>
      <c r="D163" s="122" t="s">
        <v>178</v>
      </c>
      <c r="E163" s="181"/>
      <c r="F163" s="181"/>
      <c r="G163" s="120">
        <f t="shared" si="15"/>
        <v>0</v>
      </c>
      <c r="H163" s="120">
        <f t="shared" si="18"/>
        <v>0.875</v>
      </c>
      <c r="I163" s="120">
        <f t="shared" si="17"/>
        <v>0</v>
      </c>
      <c r="L163" s="119"/>
      <c r="M163" s="119"/>
    </row>
    <row r="164" spans="1:13">
      <c r="A164" s="141">
        <f t="shared" si="16"/>
        <v>45116</v>
      </c>
      <c r="B164" s="126">
        <v>45116</v>
      </c>
      <c r="C164" s="147">
        <v>6</v>
      </c>
      <c r="D164" s="122" t="s">
        <v>179</v>
      </c>
      <c r="E164" s="181"/>
      <c r="F164" s="181"/>
      <c r="G164" s="120">
        <f t="shared" si="15"/>
        <v>0</v>
      </c>
      <c r="H164" s="120">
        <f t="shared" si="18"/>
        <v>0.875</v>
      </c>
      <c r="I164" s="120">
        <f t="shared" si="17"/>
        <v>0</v>
      </c>
      <c r="L164" s="119"/>
      <c r="M164" s="119"/>
    </row>
    <row r="165" spans="1:13">
      <c r="A165" s="141">
        <f t="shared" si="16"/>
        <v>45116</v>
      </c>
      <c r="B165" s="126">
        <v>45116</v>
      </c>
      <c r="C165" s="147">
        <v>41</v>
      </c>
      <c r="D165" s="122" t="s">
        <v>180</v>
      </c>
      <c r="E165" s="181"/>
      <c r="F165" s="181"/>
      <c r="G165" s="120">
        <f t="shared" si="15"/>
        <v>0</v>
      </c>
      <c r="H165" s="120">
        <f t="shared" si="18"/>
        <v>0.875</v>
      </c>
      <c r="I165" s="120">
        <f t="shared" si="17"/>
        <v>0</v>
      </c>
      <c r="L165" s="119"/>
      <c r="M165" s="119"/>
    </row>
    <row r="166" spans="1:13">
      <c r="A166" s="141">
        <f t="shared" si="16"/>
        <v>45116</v>
      </c>
      <c r="B166" s="126">
        <v>45116</v>
      </c>
      <c r="C166" s="147">
        <v>28</v>
      </c>
      <c r="D166" s="122" t="s">
        <v>181</v>
      </c>
      <c r="E166" s="181"/>
      <c r="F166" s="181"/>
      <c r="G166" s="120">
        <f t="shared" si="15"/>
        <v>0</v>
      </c>
      <c r="H166" s="120">
        <f t="shared" si="18"/>
        <v>0.875</v>
      </c>
      <c r="I166" s="120">
        <f t="shared" si="17"/>
        <v>0</v>
      </c>
      <c r="L166" s="119"/>
      <c r="M166" s="119"/>
    </row>
    <row r="167" spans="1:13">
      <c r="A167" s="141">
        <f t="shared" si="16"/>
        <v>45116</v>
      </c>
      <c r="B167" s="126">
        <v>45116</v>
      </c>
      <c r="C167" s="147">
        <v>20</v>
      </c>
      <c r="D167" s="122" t="s">
        <v>182</v>
      </c>
      <c r="E167" s="181"/>
      <c r="F167" s="181"/>
      <c r="G167" s="120">
        <f t="shared" si="15"/>
        <v>0</v>
      </c>
      <c r="H167" s="120">
        <f t="shared" si="18"/>
        <v>0.875</v>
      </c>
      <c r="I167" s="120">
        <f t="shared" si="17"/>
        <v>0</v>
      </c>
      <c r="L167" s="119"/>
      <c r="M167" s="119"/>
    </row>
    <row r="168" spans="1:13">
      <c r="A168" s="141">
        <f t="shared" si="16"/>
        <v>45116</v>
      </c>
      <c r="B168" s="126">
        <v>45116</v>
      </c>
      <c r="C168" s="147">
        <v>42</v>
      </c>
      <c r="D168" s="122" t="s">
        <v>183</v>
      </c>
      <c r="E168" s="181"/>
      <c r="F168" s="181"/>
      <c r="G168" s="120">
        <f t="shared" si="15"/>
        <v>0</v>
      </c>
      <c r="H168" s="120">
        <f t="shared" si="18"/>
        <v>0.875</v>
      </c>
      <c r="I168" s="120">
        <f t="shared" si="17"/>
        <v>0</v>
      </c>
      <c r="L168" s="119"/>
      <c r="M168" s="119"/>
    </row>
    <row r="169" spans="1:13">
      <c r="A169" s="141">
        <f t="shared" si="16"/>
        <v>45117</v>
      </c>
      <c r="B169" s="126">
        <v>45117</v>
      </c>
      <c r="C169" s="147">
        <v>15</v>
      </c>
      <c r="D169" s="130" t="s">
        <v>161</v>
      </c>
      <c r="E169" s="181"/>
      <c r="F169" s="181"/>
      <c r="G169" s="120">
        <f t="shared" si="15"/>
        <v>0</v>
      </c>
      <c r="H169" s="120">
        <f t="shared" si="18"/>
        <v>0.875</v>
      </c>
      <c r="I169" s="120">
        <f t="shared" si="17"/>
        <v>0</v>
      </c>
      <c r="L169" s="119"/>
      <c r="M169" s="119"/>
    </row>
    <row r="170" spans="1:13">
      <c r="A170" s="141">
        <f t="shared" si="16"/>
        <v>45117</v>
      </c>
      <c r="B170" s="126">
        <v>45117</v>
      </c>
      <c r="C170" s="147">
        <v>23</v>
      </c>
      <c r="D170" s="122" t="s">
        <v>162</v>
      </c>
      <c r="E170" s="181"/>
      <c r="F170" s="181"/>
      <c r="G170" s="120">
        <f t="shared" si="15"/>
        <v>0</v>
      </c>
      <c r="H170" s="120">
        <f t="shared" si="18"/>
        <v>0.875</v>
      </c>
      <c r="I170" s="120">
        <f t="shared" si="17"/>
        <v>0</v>
      </c>
      <c r="L170" s="119"/>
      <c r="M170" s="119"/>
    </row>
    <row r="171" spans="1:13">
      <c r="A171" s="141">
        <f t="shared" si="16"/>
        <v>45117</v>
      </c>
      <c r="B171" s="126">
        <v>45117</v>
      </c>
      <c r="C171" s="147">
        <v>21</v>
      </c>
      <c r="D171" s="122" t="s">
        <v>163</v>
      </c>
      <c r="E171" s="181"/>
      <c r="F171" s="181"/>
      <c r="G171" s="120">
        <f t="shared" si="15"/>
        <v>0</v>
      </c>
      <c r="H171" s="120">
        <f t="shared" si="18"/>
        <v>0.875</v>
      </c>
      <c r="I171" s="120">
        <f t="shared" si="17"/>
        <v>0</v>
      </c>
      <c r="L171" s="119"/>
      <c r="M171" s="119"/>
    </row>
    <row r="172" spans="1:13">
      <c r="A172" s="141">
        <f t="shared" si="16"/>
        <v>45117</v>
      </c>
      <c r="B172" s="126">
        <v>45117</v>
      </c>
      <c r="C172" s="99">
        <v>44</v>
      </c>
      <c r="D172" s="138" t="s">
        <v>164</v>
      </c>
      <c r="E172" s="181"/>
      <c r="F172" s="181"/>
      <c r="G172" s="120">
        <f t="shared" si="15"/>
        <v>0</v>
      </c>
      <c r="H172" s="120">
        <f t="shared" si="18"/>
        <v>0.875</v>
      </c>
      <c r="I172" s="120">
        <f t="shared" si="17"/>
        <v>0</v>
      </c>
      <c r="L172" s="119"/>
      <c r="M172" s="119"/>
    </row>
    <row r="173" spans="1:13">
      <c r="A173" s="141">
        <f t="shared" si="16"/>
        <v>45117</v>
      </c>
      <c r="B173" s="126">
        <v>45117</v>
      </c>
      <c r="C173" s="147">
        <v>27</v>
      </c>
      <c r="D173" s="122" t="s">
        <v>165</v>
      </c>
      <c r="E173" s="181"/>
      <c r="F173" s="181"/>
      <c r="G173" s="120">
        <f t="shared" si="15"/>
        <v>0</v>
      </c>
      <c r="H173" s="120">
        <f t="shared" si="18"/>
        <v>0.875</v>
      </c>
      <c r="I173" s="120">
        <f t="shared" si="17"/>
        <v>0</v>
      </c>
      <c r="L173" s="119"/>
      <c r="M173" s="119"/>
    </row>
    <row r="174" spans="1:13">
      <c r="A174" s="141">
        <f t="shared" si="16"/>
        <v>45117</v>
      </c>
      <c r="B174" s="126">
        <v>45117</v>
      </c>
      <c r="C174" s="147">
        <v>25</v>
      </c>
      <c r="D174" s="122" t="s">
        <v>166</v>
      </c>
      <c r="E174" s="181"/>
      <c r="F174" s="181"/>
      <c r="G174" s="120">
        <f t="shared" si="15"/>
        <v>0</v>
      </c>
      <c r="H174" s="120">
        <f t="shared" si="18"/>
        <v>0.875</v>
      </c>
      <c r="I174" s="120">
        <f t="shared" si="17"/>
        <v>0</v>
      </c>
      <c r="L174" s="119"/>
      <c r="M174" s="119"/>
    </row>
    <row r="175" spans="1:13">
      <c r="A175" s="141">
        <f t="shared" si="16"/>
        <v>45117</v>
      </c>
      <c r="B175" s="126">
        <v>45117</v>
      </c>
      <c r="C175" s="147">
        <v>32</v>
      </c>
      <c r="D175" s="122" t="s">
        <v>167</v>
      </c>
      <c r="E175" s="181"/>
      <c r="F175" s="181"/>
      <c r="G175" s="120">
        <f t="shared" si="15"/>
        <v>0</v>
      </c>
      <c r="H175" s="120">
        <f t="shared" si="18"/>
        <v>0.875</v>
      </c>
      <c r="I175" s="120">
        <f t="shared" si="17"/>
        <v>0</v>
      </c>
      <c r="L175" s="119"/>
      <c r="M175" s="119"/>
    </row>
    <row r="176" spans="1:13">
      <c r="A176" s="141">
        <f t="shared" si="16"/>
        <v>45117</v>
      </c>
      <c r="B176" s="126">
        <v>45117</v>
      </c>
      <c r="C176" s="147">
        <v>36</v>
      </c>
      <c r="D176" s="122" t="s">
        <v>168</v>
      </c>
      <c r="E176" s="181"/>
      <c r="F176" s="181"/>
      <c r="G176" s="120">
        <f t="shared" si="15"/>
        <v>0</v>
      </c>
      <c r="H176" s="120">
        <f t="shared" si="18"/>
        <v>0.875</v>
      </c>
      <c r="I176" s="120">
        <f t="shared" si="17"/>
        <v>0</v>
      </c>
      <c r="L176" s="119"/>
      <c r="M176" s="119"/>
    </row>
    <row r="177" spans="1:13">
      <c r="A177" s="141">
        <f t="shared" si="16"/>
        <v>45117</v>
      </c>
      <c r="B177" s="126">
        <v>45117</v>
      </c>
      <c r="C177" s="147">
        <v>16</v>
      </c>
      <c r="D177" s="122" t="s">
        <v>169</v>
      </c>
      <c r="E177" s="181"/>
      <c r="F177" s="181"/>
      <c r="G177" s="120">
        <f t="shared" si="15"/>
        <v>0</v>
      </c>
      <c r="H177" s="120">
        <f t="shared" si="18"/>
        <v>0.875</v>
      </c>
      <c r="I177" s="120">
        <f t="shared" si="17"/>
        <v>0</v>
      </c>
      <c r="L177" s="119"/>
      <c r="M177" s="119"/>
    </row>
    <row r="178" spans="1:13">
      <c r="A178" s="141">
        <f t="shared" si="16"/>
        <v>45117</v>
      </c>
      <c r="B178" s="126">
        <v>45117</v>
      </c>
      <c r="C178" s="147">
        <v>1</v>
      </c>
      <c r="D178" s="122" t="s">
        <v>170</v>
      </c>
      <c r="E178" s="181"/>
      <c r="F178" s="181"/>
      <c r="G178" s="120">
        <f t="shared" si="15"/>
        <v>0</v>
      </c>
      <c r="H178" s="120">
        <f t="shared" si="18"/>
        <v>0.875</v>
      </c>
      <c r="I178" s="120">
        <f t="shared" si="17"/>
        <v>0</v>
      </c>
      <c r="L178" s="119"/>
      <c r="M178" s="119"/>
    </row>
    <row r="179" spans="1:13">
      <c r="A179" s="141">
        <f t="shared" si="16"/>
        <v>45117</v>
      </c>
      <c r="B179" s="126">
        <v>45117</v>
      </c>
      <c r="C179" s="147">
        <v>19</v>
      </c>
      <c r="D179" s="122" t="s">
        <v>171</v>
      </c>
      <c r="E179" s="181"/>
      <c r="F179" s="181"/>
      <c r="G179" s="120">
        <f t="shared" si="15"/>
        <v>0</v>
      </c>
      <c r="H179" s="120">
        <f t="shared" si="18"/>
        <v>0.875</v>
      </c>
      <c r="I179" s="120">
        <f t="shared" si="17"/>
        <v>0</v>
      </c>
      <c r="L179" s="119"/>
      <c r="M179" s="119"/>
    </row>
    <row r="180" spans="1:13">
      <c r="A180" s="141">
        <f t="shared" si="16"/>
        <v>45117</v>
      </c>
      <c r="B180" s="126">
        <v>45117</v>
      </c>
      <c r="C180" s="147">
        <v>34</v>
      </c>
      <c r="D180" s="122" t="s">
        <v>172</v>
      </c>
      <c r="E180" s="181"/>
      <c r="F180" s="181"/>
      <c r="G180" s="120">
        <f t="shared" si="15"/>
        <v>0</v>
      </c>
      <c r="H180" s="120">
        <f t="shared" si="18"/>
        <v>0.875</v>
      </c>
      <c r="I180" s="120">
        <f t="shared" si="17"/>
        <v>0</v>
      </c>
      <c r="L180" s="119"/>
      <c r="M180" s="119"/>
    </row>
    <row r="181" spans="1:13">
      <c r="A181" s="141">
        <f t="shared" si="16"/>
        <v>45117</v>
      </c>
      <c r="B181" s="126">
        <v>45117</v>
      </c>
      <c r="C181" s="147">
        <v>30</v>
      </c>
      <c r="D181" s="122" t="s">
        <v>173</v>
      </c>
      <c r="E181" s="181"/>
      <c r="F181" s="181"/>
      <c r="G181" s="120">
        <f t="shared" si="15"/>
        <v>0</v>
      </c>
      <c r="H181" s="120">
        <f t="shared" si="18"/>
        <v>0.875</v>
      </c>
      <c r="I181" s="120">
        <f t="shared" si="17"/>
        <v>0</v>
      </c>
      <c r="L181" s="119"/>
      <c r="M181" s="119"/>
    </row>
    <row r="182" spans="1:13">
      <c r="A182" s="141">
        <f t="shared" si="16"/>
        <v>45117</v>
      </c>
      <c r="B182" s="126">
        <v>45117</v>
      </c>
      <c r="C182" s="147">
        <v>3</v>
      </c>
      <c r="D182" s="122" t="s">
        <v>174</v>
      </c>
      <c r="E182" s="181"/>
      <c r="F182" s="181"/>
      <c r="G182" s="120">
        <f t="shared" si="15"/>
        <v>0</v>
      </c>
      <c r="H182" s="120">
        <f t="shared" si="18"/>
        <v>0.875</v>
      </c>
      <c r="I182" s="120">
        <f t="shared" si="17"/>
        <v>0</v>
      </c>
      <c r="L182" s="119"/>
      <c r="M182" s="119"/>
    </row>
    <row r="183" spans="1:13">
      <c r="A183" s="141">
        <f t="shared" si="16"/>
        <v>45117</v>
      </c>
      <c r="B183" s="126">
        <v>45117</v>
      </c>
      <c r="C183" s="147">
        <v>33</v>
      </c>
      <c r="D183" s="122" t="s">
        <v>175</v>
      </c>
      <c r="E183" s="181"/>
      <c r="F183" s="181"/>
      <c r="G183" s="120">
        <f t="shared" ref="G183:G246" si="19">IFERROR(IF((E183-$F$2)&lt;=$H$3,0,E183-$F$2),"غياب")</f>
        <v>0</v>
      </c>
      <c r="H183" s="120">
        <f t="shared" si="18"/>
        <v>0.875</v>
      </c>
      <c r="I183" s="120">
        <f t="shared" si="17"/>
        <v>0</v>
      </c>
      <c r="L183" s="119"/>
      <c r="M183" s="119"/>
    </row>
    <row r="184" spans="1:13">
      <c r="A184" s="141">
        <f t="shared" si="16"/>
        <v>45117</v>
      </c>
      <c r="B184" s="126">
        <v>45117</v>
      </c>
      <c r="C184" s="147">
        <v>11</v>
      </c>
      <c r="D184" s="122" t="s">
        <v>176</v>
      </c>
      <c r="E184" s="181"/>
      <c r="F184" s="181"/>
      <c r="G184" s="120">
        <f t="shared" si="19"/>
        <v>0</v>
      </c>
      <c r="H184" s="120">
        <f t="shared" si="18"/>
        <v>0.875</v>
      </c>
      <c r="I184" s="120">
        <f t="shared" si="17"/>
        <v>0</v>
      </c>
      <c r="L184" s="119"/>
      <c r="M184" s="119"/>
    </row>
    <row r="185" spans="1:13">
      <c r="A185" s="141">
        <f t="shared" si="16"/>
        <v>45117</v>
      </c>
      <c r="B185" s="126">
        <v>45117</v>
      </c>
      <c r="C185" s="147">
        <v>4</v>
      </c>
      <c r="D185" s="122" t="s">
        <v>177</v>
      </c>
      <c r="E185" s="181"/>
      <c r="F185" s="181"/>
      <c r="G185" s="120">
        <f t="shared" si="19"/>
        <v>0</v>
      </c>
      <c r="H185" s="120">
        <f t="shared" si="18"/>
        <v>0.875</v>
      </c>
      <c r="I185" s="120">
        <f t="shared" si="17"/>
        <v>0</v>
      </c>
      <c r="L185" s="119"/>
      <c r="M185" s="119"/>
    </row>
    <row r="186" spans="1:13">
      <c r="A186" s="141">
        <f t="shared" si="16"/>
        <v>45117</v>
      </c>
      <c r="B186" s="126">
        <v>45117</v>
      </c>
      <c r="C186" s="147">
        <v>35</v>
      </c>
      <c r="D186" s="122" t="s">
        <v>178</v>
      </c>
      <c r="E186" s="181"/>
      <c r="F186" s="181"/>
      <c r="G186" s="120">
        <f t="shared" si="19"/>
        <v>0</v>
      </c>
      <c r="H186" s="120">
        <f t="shared" si="18"/>
        <v>0.875</v>
      </c>
      <c r="I186" s="120">
        <f t="shared" si="17"/>
        <v>0</v>
      </c>
      <c r="L186" s="119"/>
      <c r="M186" s="119"/>
    </row>
    <row r="187" spans="1:13">
      <c r="A187" s="141">
        <f t="shared" si="16"/>
        <v>45117</v>
      </c>
      <c r="B187" s="126">
        <v>45117</v>
      </c>
      <c r="C187" s="147">
        <v>6</v>
      </c>
      <c r="D187" s="122" t="s">
        <v>179</v>
      </c>
      <c r="E187" s="181"/>
      <c r="F187" s="181"/>
      <c r="G187" s="120">
        <f t="shared" si="19"/>
        <v>0</v>
      </c>
      <c r="H187" s="120">
        <f t="shared" si="18"/>
        <v>0.875</v>
      </c>
      <c r="I187" s="120">
        <f t="shared" si="17"/>
        <v>0</v>
      </c>
      <c r="L187" s="119"/>
      <c r="M187" s="119"/>
    </row>
    <row r="188" spans="1:13">
      <c r="A188" s="141">
        <f t="shared" si="16"/>
        <v>45117</v>
      </c>
      <c r="B188" s="126">
        <v>45117</v>
      </c>
      <c r="C188" s="147">
        <v>41</v>
      </c>
      <c r="D188" s="122" t="s">
        <v>180</v>
      </c>
      <c r="E188" s="181"/>
      <c r="F188" s="181"/>
      <c r="G188" s="120">
        <f t="shared" si="19"/>
        <v>0</v>
      </c>
      <c r="H188" s="120">
        <f t="shared" si="18"/>
        <v>0.875</v>
      </c>
      <c r="I188" s="120">
        <f t="shared" si="17"/>
        <v>0</v>
      </c>
      <c r="L188" s="119"/>
      <c r="M188" s="119"/>
    </row>
    <row r="189" spans="1:13">
      <c r="A189" s="141">
        <f t="shared" si="16"/>
        <v>45117</v>
      </c>
      <c r="B189" s="126">
        <v>45117</v>
      </c>
      <c r="C189" s="147">
        <v>28</v>
      </c>
      <c r="D189" s="122" t="s">
        <v>181</v>
      </c>
      <c r="E189" s="181"/>
      <c r="F189" s="181"/>
      <c r="G189" s="120">
        <f t="shared" si="19"/>
        <v>0</v>
      </c>
      <c r="H189" s="120">
        <f t="shared" si="18"/>
        <v>0.875</v>
      </c>
      <c r="I189" s="120">
        <f t="shared" si="17"/>
        <v>0</v>
      </c>
      <c r="L189" s="119"/>
      <c r="M189" s="119"/>
    </row>
    <row r="190" spans="1:13">
      <c r="A190" s="141">
        <f t="shared" si="16"/>
        <v>45117</v>
      </c>
      <c r="B190" s="126">
        <v>45117</v>
      </c>
      <c r="C190" s="147">
        <v>20</v>
      </c>
      <c r="D190" s="122" t="s">
        <v>182</v>
      </c>
      <c r="E190" s="181"/>
      <c r="F190" s="181"/>
      <c r="G190" s="120">
        <f t="shared" si="19"/>
        <v>0</v>
      </c>
      <c r="H190" s="120">
        <f t="shared" si="18"/>
        <v>0.875</v>
      </c>
      <c r="I190" s="120">
        <f t="shared" si="17"/>
        <v>0</v>
      </c>
      <c r="L190" s="119"/>
      <c r="M190" s="119"/>
    </row>
    <row r="191" spans="1:13">
      <c r="A191" s="141">
        <f t="shared" si="16"/>
        <v>45117</v>
      </c>
      <c r="B191" s="126">
        <v>45117</v>
      </c>
      <c r="C191" s="147">
        <v>42</v>
      </c>
      <c r="D191" s="122" t="s">
        <v>183</v>
      </c>
      <c r="E191" s="181"/>
      <c r="F191" s="181"/>
      <c r="G191" s="120">
        <f t="shared" si="19"/>
        <v>0</v>
      </c>
      <c r="H191" s="120">
        <f t="shared" si="18"/>
        <v>0.875</v>
      </c>
      <c r="I191" s="120">
        <f t="shared" si="17"/>
        <v>0</v>
      </c>
      <c r="L191" s="119"/>
      <c r="M191" s="119"/>
    </row>
    <row r="192" spans="1:13">
      <c r="A192" s="141">
        <f t="shared" si="16"/>
        <v>45118</v>
      </c>
      <c r="B192" s="126">
        <v>45118</v>
      </c>
      <c r="C192" s="147">
        <v>15</v>
      </c>
      <c r="D192" s="130" t="s">
        <v>161</v>
      </c>
      <c r="E192" s="181"/>
      <c r="F192" s="181"/>
      <c r="G192" s="120">
        <f t="shared" si="19"/>
        <v>0</v>
      </c>
      <c r="H192" s="120">
        <f t="shared" si="18"/>
        <v>0.875</v>
      </c>
      <c r="I192" s="120">
        <f t="shared" si="17"/>
        <v>0</v>
      </c>
      <c r="L192" s="119"/>
      <c r="M192" s="119"/>
    </row>
    <row r="193" spans="1:13">
      <c r="A193" s="141">
        <f t="shared" si="16"/>
        <v>45118</v>
      </c>
      <c r="B193" s="126">
        <v>45118</v>
      </c>
      <c r="C193" s="147">
        <v>23</v>
      </c>
      <c r="D193" s="122" t="s">
        <v>162</v>
      </c>
      <c r="E193" s="181"/>
      <c r="F193" s="181"/>
      <c r="G193" s="120">
        <f t="shared" si="19"/>
        <v>0</v>
      </c>
      <c r="H193" s="120">
        <f t="shared" si="18"/>
        <v>0.875</v>
      </c>
      <c r="I193" s="120">
        <f t="shared" si="17"/>
        <v>0</v>
      </c>
      <c r="L193" s="119"/>
      <c r="M193" s="119"/>
    </row>
    <row r="194" spans="1:13">
      <c r="A194" s="141">
        <f t="shared" si="16"/>
        <v>45118</v>
      </c>
      <c r="B194" s="126">
        <v>45118</v>
      </c>
      <c r="C194" s="147">
        <v>21</v>
      </c>
      <c r="D194" s="122" t="s">
        <v>163</v>
      </c>
      <c r="E194" s="181"/>
      <c r="F194" s="181"/>
      <c r="G194" s="120">
        <f t="shared" si="19"/>
        <v>0</v>
      </c>
      <c r="H194" s="120">
        <f t="shared" si="18"/>
        <v>0.875</v>
      </c>
      <c r="I194" s="120">
        <f t="shared" si="17"/>
        <v>0</v>
      </c>
      <c r="L194" s="119"/>
      <c r="M194" s="119"/>
    </row>
    <row r="195" spans="1:13">
      <c r="A195" s="141">
        <f t="shared" si="16"/>
        <v>45118</v>
      </c>
      <c r="B195" s="126">
        <v>45118</v>
      </c>
      <c r="C195" s="99">
        <v>44</v>
      </c>
      <c r="D195" s="138" t="s">
        <v>164</v>
      </c>
      <c r="E195" s="181"/>
      <c r="F195" s="181"/>
      <c r="G195" s="120">
        <f t="shared" si="19"/>
        <v>0</v>
      </c>
      <c r="H195" s="120">
        <f t="shared" si="18"/>
        <v>0.875</v>
      </c>
      <c r="I195" s="120">
        <f t="shared" si="17"/>
        <v>0</v>
      </c>
      <c r="L195" s="119"/>
      <c r="M195" s="119"/>
    </row>
    <row r="196" spans="1:13">
      <c r="A196" s="141">
        <f t="shared" si="16"/>
        <v>45118</v>
      </c>
      <c r="B196" s="126">
        <v>45118</v>
      </c>
      <c r="C196" s="147">
        <v>27</v>
      </c>
      <c r="D196" s="122" t="s">
        <v>165</v>
      </c>
      <c r="E196" s="181"/>
      <c r="F196" s="181"/>
      <c r="G196" s="120">
        <f t="shared" si="19"/>
        <v>0</v>
      </c>
      <c r="H196" s="120">
        <f t="shared" si="18"/>
        <v>0.875</v>
      </c>
      <c r="I196" s="120">
        <f t="shared" si="17"/>
        <v>0</v>
      </c>
      <c r="L196" s="119"/>
      <c r="M196" s="119"/>
    </row>
    <row r="197" spans="1:13">
      <c r="A197" s="141">
        <f t="shared" si="16"/>
        <v>45118</v>
      </c>
      <c r="B197" s="126">
        <v>45118</v>
      </c>
      <c r="C197" s="147">
        <v>25</v>
      </c>
      <c r="D197" s="122" t="s">
        <v>166</v>
      </c>
      <c r="E197" s="181"/>
      <c r="F197" s="181"/>
      <c r="G197" s="120">
        <f t="shared" si="19"/>
        <v>0</v>
      </c>
      <c r="H197" s="120">
        <f t="shared" si="18"/>
        <v>0.875</v>
      </c>
      <c r="I197" s="120">
        <f t="shared" si="17"/>
        <v>0</v>
      </c>
      <c r="L197" s="119"/>
      <c r="M197" s="119"/>
    </row>
    <row r="198" spans="1:13">
      <c r="A198" s="141">
        <f t="shared" si="16"/>
        <v>45118</v>
      </c>
      <c r="B198" s="126">
        <v>45118</v>
      </c>
      <c r="C198" s="147">
        <v>32</v>
      </c>
      <c r="D198" s="122" t="s">
        <v>167</v>
      </c>
      <c r="E198" s="181"/>
      <c r="F198" s="181"/>
      <c r="G198" s="120">
        <f t="shared" si="19"/>
        <v>0</v>
      </c>
      <c r="H198" s="120">
        <f t="shared" si="18"/>
        <v>0.875</v>
      </c>
      <c r="I198" s="120">
        <f t="shared" si="17"/>
        <v>0</v>
      </c>
      <c r="L198" s="119"/>
      <c r="M198" s="119"/>
    </row>
    <row r="199" spans="1:13">
      <c r="A199" s="141">
        <f t="shared" si="16"/>
        <v>45118</v>
      </c>
      <c r="B199" s="126">
        <v>45118</v>
      </c>
      <c r="C199" s="147">
        <v>36</v>
      </c>
      <c r="D199" s="122" t="s">
        <v>168</v>
      </c>
      <c r="E199" s="181"/>
      <c r="F199" s="181"/>
      <c r="G199" s="120">
        <f t="shared" si="19"/>
        <v>0</v>
      </c>
      <c r="H199" s="120">
        <f t="shared" si="18"/>
        <v>0.875</v>
      </c>
      <c r="I199" s="120">
        <f t="shared" si="17"/>
        <v>0</v>
      </c>
      <c r="L199" s="119"/>
      <c r="M199" s="119"/>
    </row>
    <row r="200" spans="1:13">
      <c r="A200" s="141">
        <f t="shared" si="16"/>
        <v>45118</v>
      </c>
      <c r="B200" s="126">
        <v>45118</v>
      </c>
      <c r="C200" s="147">
        <v>16</v>
      </c>
      <c r="D200" s="122" t="s">
        <v>169</v>
      </c>
      <c r="E200" s="181"/>
      <c r="F200" s="181"/>
      <c r="G200" s="120">
        <f t="shared" si="19"/>
        <v>0</v>
      </c>
      <c r="H200" s="120">
        <f t="shared" si="18"/>
        <v>0.875</v>
      </c>
      <c r="I200" s="120">
        <f t="shared" si="17"/>
        <v>0</v>
      </c>
      <c r="L200" s="119"/>
      <c r="M200" s="119"/>
    </row>
    <row r="201" spans="1:13">
      <c r="A201" s="141">
        <f t="shared" ref="A201:A264" si="20">B201</f>
        <v>45118</v>
      </c>
      <c r="B201" s="126">
        <v>45118</v>
      </c>
      <c r="C201" s="147">
        <v>1</v>
      </c>
      <c r="D201" s="122" t="s">
        <v>170</v>
      </c>
      <c r="E201" s="181"/>
      <c r="F201" s="181"/>
      <c r="G201" s="120">
        <f t="shared" si="19"/>
        <v>0</v>
      </c>
      <c r="H201" s="120">
        <f t="shared" si="18"/>
        <v>0.875</v>
      </c>
      <c r="I201" s="120">
        <f t="shared" ref="I201:I264" si="21">IFERROR(IF((F201-$H$2)&lt;0,0,F201-$H$2),"0")</f>
        <v>0</v>
      </c>
      <c r="L201" s="119"/>
      <c r="M201" s="119"/>
    </row>
    <row r="202" spans="1:13">
      <c r="A202" s="141">
        <f t="shared" si="20"/>
        <v>45118</v>
      </c>
      <c r="B202" s="126">
        <v>45118</v>
      </c>
      <c r="C202" s="147">
        <v>19</v>
      </c>
      <c r="D202" s="122" t="s">
        <v>171</v>
      </c>
      <c r="E202" s="181"/>
      <c r="F202" s="181"/>
      <c r="G202" s="120">
        <f t="shared" si="19"/>
        <v>0</v>
      </c>
      <c r="H202" s="120">
        <f t="shared" ref="H202:H265" si="22">IF(($H$2-F202)&lt;0,0,$H$2-F202)</f>
        <v>0.875</v>
      </c>
      <c r="I202" s="120">
        <f t="shared" si="21"/>
        <v>0</v>
      </c>
      <c r="L202" s="119"/>
      <c r="M202" s="119"/>
    </row>
    <row r="203" spans="1:13">
      <c r="A203" s="141">
        <f t="shared" si="20"/>
        <v>45118</v>
      </c>
      <c r="B203" s="126">
        <v>45118</v>
      </c>
      <c r="C203" s="147">
        <v>34</v>
      </c>
      <c r="D203" s="122" t="s">
        <v>172</v>
      </c>
      <c r="E203" s="181"/>
      <c r="F203" s="181"/>
      <c r="G203" s="120">
        <f t="shared" si="19"/>
        <v>0</v>
      </c>
      <c r="H203" s="120">
        <f t="shared" si="22"/>
        <v>0.875</v>
      </c>
      <c r="I203" s="120">
        <f t="shared" si="21"/>
        <v>0</v>
      </c>
      <c r="L203" s="119"/>
      <c r="M203" s="119"/>
    </row>
    <row r="204" spans="1:13">
      <c r="A204" s="141">
        <f t="shared" si="20"/>
        <v>45118</v>
      </c>
      <c r="B204" s="126">
        <v>45118</v>
      </c>
      <c r="C204" s="147">
        <v>30</v>
      </c>
      <c r="D204" s="122" t="s">
        <v>173</v>
      </c>
      <c r="E204" s="181"/>
      <c r="F204" s="181"/>
      <c r="G204" s="120">
        <f t="shared" si="19"/>
        <v>0</v>
      </c>
      <c r="H204" s="120">
        <f t="shared" si="22"/>
        <v>0.875</v>
      </c>
      <c r="I204" s="120">
        <f t="shared" si="21"/>
        <v>0</v>
      </c>
      <c r="L204" s="119"/>
      <c r="M204" s="119"/>
    </row>
    <row r="205" spans="1:13">
      <c r="A205" s="141">
        <f t="shared" si="20"/>
        <v>45118</v>
      </c>
      <c r="B205" s="126">
        <v>45118</v>
      </c>
      <c r="C205" s="147">
        <v>3</v>
      </c>
      <c r="D205" s="122" t="s">
        <v>174</v>
      </c>
      <c r="E205" s="181"/>
      <c r="F205" s="181"/>
      <c r="G205" s="120">
        <f t="shared" si="19"/>
        <v>0</v>
      </c>
      <c r="H205" s="120">
        <f t="shared" si="22"/>
        <v>0.875</v>
      </c>
      <c r="I205" s="120">
        <f t="shared" si="21"/>
        <v>0</v>
      </c>
      <c r="L205" s="119"/>
      <c r="M205" s="119"/>
    </row>
    <row r="206" spans="1:13">
      <c r="A206" s="141">
        <f t="shared" si="20"/>
        <v>45118</v>
      </c>
      <c r="B206" s="126">
        <v>45118</v>
      </c>
      <c r="C206" s="147">
        <v>33</v>
      </c>
      <c r="D206" s="122" t="s">
        <v>175</v>
      </c>
      <c r="E206" s="181"/>
      <c r="F206" s="181"/>
      <c r="G206" s="120">
        <f t="shared" si="19"/>
        <v>0</v>
      </c>
      <c r="H206" s="120">
        <f t="shared" si="22"/>
        <v>0.875</v>
      </c>
      <c r="I206" s="120">
        <f t="shared" si="21"/>
        <v>0</v>
      </c>
      <c r="L206" s="119"/>
      <c r="M206" s="119"/>
    </row>
    <row r="207" spans="1:13">
      <c r="A207" s="141">
        <f t="shared" si="20"/>
        <v>45118</v>
      </c>
      <c r="B207" s="126">
        <v>45118</v>
      </c>
      <c r="C207" s="147">
        <v>11</v>
      </c>
      <c r="D207" s="122" t="s">
        <v>176</v>
      </c>
      <c r="E207" s="181"/>
      <c r="F207" s="181"/>
      <c r="G207" s="120">
        <f t="shared" si="19"/>
        <v>0</v>
      </c>
      <c r="H207" s="120">
        <f t="shared" si="22"/>
        <v>0.875</v>
      </c>
      <c r="I207" s="120">
        <f t="shared" si="21"/>
        <v>0</v>
      </c>
      <c r="L207" s="119"/>
      <c r="M207" s="119"/>
    </row>
    <row r="208" spans="1:13">
      <c r="A208" s="141">
        <f t="shared" si="20"/>
        <v>45118</v>
      </c>
      <c r="B208" s="126">
        <v>45118</v>
      </c>
      <c r="C208" s="147">
        <v>4</v>
      </c>
      <c r="D208" s="122" t="s">
        <v>177</v>
      </c>
      <c r="E208" s="181"/>
      <c r="F208" s="181"/>
      <c r="G208" s="120">
        <f t="shared" si="19"/>
        <v>0</v>
      </c>
      <c r="H208" s="120">
        <f t="shared" si="22"/>
        <v>0.875</v>
      </c>
      <c r="I208" s="120">
        <f t="shared" si="21"/>
        <v>0</v>
      </c>
      <c r="L208" s="119"/>
      <c r="M208" s="119"/>
    </row>
    <row r="209" spans="1:13">
      <c r="A209" s="141">
        <f t="shared" si="20"/>
        <v>45118</v>
      </c>
      <c r="B209" s="126">
        <v>45118</v>
      </c>
      <c r="C209" s="147">
        <v>35</v>
      </c>
      <c r="D209" s="122" t="s">
        <v>178</v>
      </c>
      <c r="E209" s="181"/>
      <c r="F209" s="181"/>
      <c r="G209" s="120">
        <f t="shared" si="19"/>
        <v>0</v>
      </c>
      <c r="H209" s="120">
        <f t="shared" si="22"/>
        <v>0.875</v>
      </c>
      <c r="I209" s="120">
        <f t="shared" si="21"/>
        <v>0</v>
      </c>
      <c r="L209" s="119"/>
      <c r="M209" s="119"/>
    </row>
    <row r="210" spans="1:13">
      <c r="A210" s="141">
        <f t="shared" si="20"/>
        <v>45118</v>
      </c>
      <c r="B210" s="126">
        <v>45118</v>
      </c>
      <c r="C210" s="147">
        <v>6</v>
      </c>
      <c r="D210" s="122" t="s">
        <v>179</v>
      </c>
      <c r="E210" s="181"/>
      <c r="F210" s="181"/>
      <c r="G210" s="120">
        <f t="shared" si="19"/>
        <v>0</v>
      </c>
      <c r="H210" s="120">
        <f t="shared" si="22"/>
        <v>0.875</v>
      </c>
      <c r="I210" s="120">
        <f t="shared" si="21"/>
        <v>0</v>
      </c>
      <c r="L210" s="119"/>
      <c r="M210" s="119"/>
    </row>
    <row r="211" spans="1:13">
      <c r="A211" s="141">
        <f t="shared" si="20"/>
        <v>45118</v>
      </c>
      <c r="B211" s="126">
        <v>45118</v>
      </c>
      <c r="C211" s="147">
        <v>41</v>
      </c>
      <c r="D211" s="122" t="s">
        <v>180</v>
      </c>
      <c r="E211" s="181"/>
      <c r="F211" s="181"/>
      <c r="G211" s="120">
        <f t="shared" si="19"/>
        <v>0</v>
      </c>
      <c r="H211" s="120">
        <f t="shared" si="22"/>
        <v>0.875</v>
      </c>
      <c r="I211" s="120">
        <f t="shared" si="21"/>
        <v>0</v>
      </c>
      <c r="L211" s="119"/>
      <c r="M211" s="119"/>
    </row>
    <row r="212" spans="1:13">
      <c r="A212" s="141">
        <f t="shared" si="20"/>
        <v>45118</v>
      </c>
      <c r="B212" s="126">
        <v>45118</v>
      </c>
      <c r="C212" s="147">
        <v>28</v>
      </c>
      <c r="D212" s="122" t="s">
        <v>181</v>
      </c>
      <c r="E212" s="181"/>
      <c r="F212" s="181"/>
      <c r="G212" s="120">
        <f t="shared" si="19"/>
        <v>0</v>
      </c>
      <c r="H212" s="120">
        <f t="shared" si="22"/>
        <v>0.875</v>
      </c>
      <c r="I212" s="120">
        <f t="shared" si="21"/>
        <v>0</v>
      </c>
      <c r="L212" s="119"/>
      <c r="M212" s="119"/>
    </row>
    <row r="213" spans="1:13">
      <c r="A213" s="141">
        <f t="shared" si="20"/>
        <v>45118</v>
      </c>
      <c r="B213" s="126">
        <v>45118</v>
      </c>
      <c r="C213" s="147">
        <v>20</v>
      </c>
      <c r="D213" s="122" t="s">
        <v>182</v>
      </c>
      <c r="E213" s="181"/>
      <c r="F213" s="181"/>
      <c r="G213" s="120">
        <f t="shared" si="19"/>
        <v>0</v>
      </c>
      <c r="H213" s="120">
        <f t="shared" si="22"/>
        <v>0.875</v>
      </c>
      <c r="I213" s="120">
        <f t="shared" si="21"/>
        <v>0</v>
      </c>
      <c r="L213" s="119"/>
      <c r="M213" s="119"/>
    </row>
    <row r="214" spans="1:13">
      <c r="A214" s="141">
        <f t="shared" si="20"/>
        <v>45118</v>
      </c>
      <c r="B214" s="126">
        <v>45118</v>
      </c>
      <c r="C214" s="147">
        <v>42</v>
      </c>
      <c r="D214" s="122" t="s">
        <v>183</v>
      </c>
      <c r="E214" s="181"/>
      <c r="F214" s="181"/>
      <c r="G214" s="120">
        <f t="shared" si="19"/>
        <v>0</v>
      </c>
      <c r="H214" s="120">
        <f t="shared" si="22"/>
        <v>0.875</v>
      </c>
      <c r="I214" s="120">
        <f t="shared" si="21"/>
        <v>0</v>
      </c>
      <c r="L214" s="119"/>
      <c r="M214" s="119"/>
    </row>
    <row r="215" spans="1:13">
      <c r="A215" s="141">
        <f t="shared" si="20"/>
        <v>45119</v>
      </c>
      <c r="B215" s="132">
        <v>45119</v>
      </c>
      <c r="C215" s="147">
        <v>15</v>
      </c>
      <c r="D215" s="130" t="s">
        <v>161</v>
      </c>
      <c r="E215" s="181"/>
      <c r="F215" s="181"/>
      <c r="G215" s="120">
        <f t="shared" si="19"/>
        <v>0</v>
      </c>
      <c r="H215" s="120">
        <f t="shared" si="22"/>
        <v>0.875</v>
      </c>
      <c r="I215" s="120">
        <f t="shared" si="21"/>
        <v>0</v>
      </c>
      <c r="L215" s="119"/>
      <c r="M215" s="119"/>
    </row>
    <row r="216" spans="1:13">
      <c r="A216" s="141">
        <f t="shared" si="20"/>
        <v>45119</v>
      </c>
      <c r="B216" s="132">
        <v>45119</v>
      </c>
      <c r="C216" s="147">
        <v>23</v>
      </c>
      <c r="D216" s="122" t="s">
        <v>162</v>
      </c>
      <c r="E216" s="181"/>
      <c r="F216" s="181"/>
      <c r="G216" s="120">
        <f t="shared" si="19"/>
        <v>0</v>
      </c>
      <c r="H216" s="120">
        <f t="shared" si="22"/>
        <v>0.875</v>
      </c>
      <c r="I216" s="120">
        <f t="shared" si="21"/>
        <v>0</v>
      </c>
      <c r="L216" s="119"/>
      <c r="M216" s="119"/>
    </row>
    <row r="217" spans="1:13">
      <c r="A217" s="141">
        <f t="shared" si="20"/>
        <v>45119</v>
      </c>
      <c r="B217" s="132">
        <v>45119</v>
      </c>
      <c r="C217" s="147">
        <v>21</v>
      </c>
      <c r="D217" s="122" t="s">
        <v>163</v>
      </c>
      <c r="E217" s="181"/>
      <c r="F217" s="181"/>
      <c r="G217" s="120">
        <f t="shared" si="19"/>
        <v>0</v>
      </c>
      <c r="H217" s="120">
        <f t="shared" si="22"/>
        <v>0.875</v>
      </c>
      <c r="I217" s="120">
        <f t="shared" si="21"/>
        <v>0</v>
      </c>
      <c r="L217" s="119"/>
      <c r="M217" s="119"/>
    </row>
    <row r="218" spans="1:13">
      <c r="A218" s="141">
        <f t="shared" si="20"/>
        <v>45119</v>
      </c>
      <c r="B218" s="132">
        <v>45119</v>
      </c>
      <c r="C218" s="99">
        <v>44</v>
      </c>
      <c r="D218" s="138" t="s">
        <v>164</v>
      </c>
      <c r="E218" s="181"/>
      <c r="F218" s="181"/>
      <c r="G218" s="120">
        <f t="shared" si="19"/>
        <v>0</v>
      </c>
      <c r="H218" s="120">
        <f t="shared" si="22"/>
        <v>0.875</v>
      </c>
      <c r="I218" s="120">
        <f t="shared" si="21"/>
        <v>0</v>
      </c>
      <c r="L218" s="119"/>
      <c r="M218" s="119"/>
    </row>
    <row r="219" spans="1:13">
      <c r="A219" s="141">
        <f t="shared" si="20"/>
        <v>45119</v>
      </c>
      <c r="B219" s="132">
        <v>45119</v>
      </c>
      <c r="C219" s="147">
        <v>27</v>
      </c>
      <c r="D219" s="122" t="s">
        <v>165</v>
      </c>
      <c r="E219" s="181"/>
      <c r="F219" s="181"/>
      <c r="G219" s="120">
        <f t="shared" si="19"/>
        <v>0</v>
      </c>
      <c r="H219" s="120">
        <f t="shared" si="22"/>
        <v>0.875</v>
      </c>
      <c r="I219" s="120">
        <f t="shared" si="21"/>
        <v>0</v>
      </c>
      <c r="L219" s="119"/>
      <c r="M219" s="119"/>
    </row>
    <row r="220" spans="1:13">
      <c r="A220" s="141">
        <f t="shared" si="20"/>
        <v>45119</v>
      </c>
      <c r="B220" s="132">
        <v>45119</v>
      </c>
      <c r="C220" s="147">
        <v>25</v>
      </c>
      <c r="D220" s="122" t="s">
        <v>166</v>
      </c>
      <c r="E220" s="181"/>
      <c r="F220" s="181"/>
      <c r="G220" s="120">
        <f t="shared" si="19"/>
        <v>0</v>
      </c>
      <c r="H220" s="120">
        <f t="shared" si="22"/>
        <v>0.875</v>
      </c>
      <c r="I220" s="120">
        <f t="shared" si="21"/>
        <v>0</v>
      </c>
      <c r="L220" s="119"/>
      <c r="M220" s="119"/>
    </row>
    <row r="221" spans="1:13">
      <c r="A221" s="141">
        <f t="shared" si="20"/>
        <v>45119</v>
      </c>
      <c r="B221" s="132">
        <v>45119</v>
      </c>
      <c r="C221" s="147">
        <v>32</v>
      </c>
      <c r="D221" s="122" t="s">
        <v>167</v>
      </c>
      <c r="E221" s="181"/>
      <c r="F221" s="181"/>
      <c r="G221" s="120">
        <f t="shared" si="19"/>
        <v>0</v>
      </c>
      <c r="H221" s="120">
        <f t="shared" si="22"/>
        <v>0.875</v>
      </c>
      <c r="I221" s="120">
        <f t="shared" si="21"/>
        <v>0</v>
      </c>
      <c r="L221" s="119"/>
      <c r="M221" s="119"/>
    </row>
    <row r="222" spans="1:13">
      <c r="A222" s="141">
        <f t="shared" si="20"/>
        <v>45119</v>
      </c>
      <c r="B222" s="132">
        <v>45119</v>
      </c>
      <c r="C222" s="147">
        <v>36</v>
      </c>
      <c r="D222" s="122" t="s">
        <v>168</v>
      </c>
      <c r="E222" s="181"/>
      <c r="F222" s="181"/>
      <c r="G222" s="120">
        <f t="shared" si="19"/>
        <v>0</v>
      </c>
      <c r="H222" s="120">
        <f t="shared" si="22"/>
        <v>0.875</v>
      </c>
      <c r="I222" s="120">
        <f t="shared" si="21"/>
        <v>0</v>
      </c>
      <c r="L222" s="119"/>
      <c r="M222" s="119"/>
    </row>
    <row r="223" spans="1:13">
      <c r="A223" s="141">
        <f t="shared" si="20"/>
        <v>45119</v>
      </c>
      <c r="B223" s="132">
        <v>45119</v>
      </c>
      <c r="C223" s="147">
        <v>16</v>
      </c>
      <c r="D223" s="122" t="s">
        <v>169</v>
      </c>
      <c r="E223" s="181"/>
      <c r="F223" s="181"/>
      <c r="G223" s="120">
        <f t="shared" si="19"/>
        <v>0</v>
      </c>
      <c r="H223" s="120">
        <f t="shared" si="22"/>
        <v>0.875</v>
      </c>
      <c r="I223" s="120">
        <f t="shared" si="21"/>
        <v>0</v>
      </c>
      <c r="L223" s="119"/>
      <c r="M223" s="119"/>
    </row>
    <row r="224" spans="1:13">
      <c r="A224" s="141">
        <f t="shared" si="20"/>
        <v>45119</v>
      </c>
      <c r="B224" s="132">
        <v>45119</v>
      </c>
      <c r="C224" s="147">
        <v>1</v>
      </c>
      <c r="D224" s="122" t="s">
        <v>170</v>
      </c>
      <c r="E224" s="181"/>
      <c r="F224" s="181"/>
      <c r="G224" s="120">
        <f t="shared" si="19"/>
        <v>0</v>
      </c>
      <c r="H224" s="120">
        <f t="shared" si="22"/>
        <v>0.875</v>
      </c>
      <c r="I224" s="120">
        <f t="shared" si="21"/>
        <v>0</v>
      </c>
      <c r="L224" s="119"/>
      <c r="M224" s="119"/>
    </row>
    <row r="225" spans="1:13">
      <c r="A225" s="141">
        <f t="shared" si="20"/>
        <v>45119</v>
      </c>
      <c r="B225" s="132">
        <v>45119</v>
      </c>
      <c r="C225" s="147">
        <v>19</v>
      </c>
      <c r="D225" s="122" t="s">
        <v>171</v>
      </c>
      <c r="E225" s="181"/>
      <c r="F225" s="181"/>
      <c r="G225" s="120">
        <f t="shared" si="19"/>
        <v>0</v>
      </c>
      <c r="H225" s="120">
        <f t="shared" si="22"/>
        <v>0.875</v>
      </c>
      <c r="I225" s="120">
        <f t="shared" si="21"/>
        <v>0</v>
      </c>
      <c r="L225" s="119"/>
      <c r="M225" s="119"/>
    </row>
    <row r="226" spans="1:13">
      <c r="A226" s="141">
        <f t="shared" si="20"/>
        <v>45119</v>
      </c>
      <c r="B226" s="132">
        <v>45119</v>
      </c>
      <c r="C226" s="147">
        <v>34</v>
      </c>
      <c r="D226" s="122" t="s">
        <v>172</v>
      </c>
      <c r="E226" s="181"/>
      <c r="F226" s="181"/>
      <c r="G226" s="120">
        <f t="shared" si="19"/>
        <v>0</v>
      </c>
      <c r="H226" s="120">
        <f t="shared" si="22"/>
        <v>0.875</v>
      </c>
      <c r="I226" s="120">
        <f t="shared" si="21"/>
        <v>0</v>
      </c>
      <c r="L226" s="119"/>
      <c r="M226" s="119"/>
    </row>
    <row r="227" spans="1:13">
      <c r="A227" s="141">
        <f t="shared" si="20"/>
        <v>45119</v>
      </c>
      <c r="B227" s="132">
        <v>45119</v>
      </c>
      <c r="C227" s="147">
        <v>30</v>
      </c>
      <c r="D227" s="122" t="s">
        <v>173</v>
      </c>
      <c r="E227" s="181"/>
      <c r="F227" s="181"/>
      <c r="G227" s="120">
        <f t="shared" si="19"/>
        <v>0</v>
      </c>
      <c r="H227" s="120">
        <f t="shared" si="22"/>
        <v>0.875</v>
      </c>
      <c r="I227" s="120">
        <f t="shared" si="21"/>
        <v>0</v>
      </c>
      <c r="L227" s="119"/>
      <c r="M227" s="119"/>
    </row>
    <row r="228" spans="1:13">
      <c r="A228" s="141">
        <f t="shared" si="20"/>
        <v>45119</v>
      </c>
      <c r="B228" s="132">
        <v>45119</v>
      </c>
      <c r="C228" s="147">
        <v>3</v>
      </c>
      <c r="D228" s="122" t="s">
        <v>174</v>
      </c>
      <c r="E228" s="181"/>
      <c r="F228" s="181"/>
      <c r="G228" s="120">
        <f t="shared" si="19"/>
        <v>0</v>
      </c>
      <c r="H228" s="120">
        <f t="shared" si="22"/>
        <v>0.875</v>
      </c>
      <c r="I228" s="120">
        <f t="shared" si="21"/>
        <v>0</v>
      </c>
      <c r="L228" s="119"/>
      <c r="M228" s="119"/>
    </row>
    <row r="229" spans="1:13">
      <c r="A229" s="141">
        <f t="shared" si="20"/>
        <v>45119</v>
      </c>
      <c r="B229" s="132">
        <v>45119</v>
      </c>
      <c r="C229" s="147">
        <v>33</v>
      </c>
      <c r="D229" s="122" t="s">
        <v>175</v>
      </c>
      <c r="E229" s="181"/>
      <c r="F229" s="181"/>
      <c r="G229" s="120">
        <f t="shared" si="19"/>
        <v>0</v>
      </c>
      <c r="H229" s="120">
        <f t="shared" si="22"/>
        <v>0.875</v>
      </c>
      <c r="I229" s="120">
        <f t="shared" si="21"/>
        <v>0</v>
      </c>
      <c r="L229" s="119"/>
      <c r="M229" s="119"/>
    </row>
    <row r="230" spans="1:13">
      <c r="A230" s="141">
        <f t="shared" si="20"/>
        <v>45119</v>
      </c>
      <c r="B230" s="132">
        <v>45119</v>
      </c>
      <c r="C230" s="147">
        <v>11</v>
      </c>
      <c r="D230" s="122" t="s">
        <v>176</v>
      </c>
      <c r="E230" s="181"/>
      <c r="F230" s="181"/>
      <c r="G230" s="120">
        <f t="shared" si="19"/>
        <v>0</v>
      </c>
      <c r="H230" s="120">
        <f t="shared" si="22"/>
        <v>0.875</v>
      </c>
      <c r="I230" s="120">
        <f t="shared" si="21"/>
        <v>0</v>
      </c>
      <c r="L230" s="119"/>
      <c r="M230" s="119"/>
    </row>
    <row r="231" spans="1:13">
      <c r="A231" s="141">
        <f t="shared" si="20"/>
        <v>45119</v>
      </c>
      <c r="B231" s="132">
        <v>45119</v>
      </c>
      <c r="C231" s="147">
        <v>4</v>
      </c>
      <c r="D231" s="122" t="s">
        <v>177</v>
      </c>
      <c r="E231" s="181"/>
      <c r="F231" s="181"/>
      <c r="G231" s="120">
        <f t="shared" si="19"/>
        <v>0</v>
      </c>
      <c r="H231" s="120">
        <f t="shared" si="22"/>
        <v>0.875</v>
      </c>
      <c r="I231" s="120">
        <f t="shared" si="21"/>
        <v>0</v>
      </c>
      <c r="L231" s="119"/>
      <c r="M231" s="119"/>
    </row>
    <row r="232" spans="1:13">
      <c r="A232" s="141">
        <f t="shared" si="20"/>
        <v>45119</v>
      </c>
      <c r="B232" s="132">
        <v>45119</v>
      </c>
      <c r="C232" s="147">
        <v>35</v>
      </c>
      <c r="D232" s="122" t="s">
        <v>178</v>
      </c>
      <c r="E232" s="181"/>
      <c r="F232" s="181"/>
      <c r="G232" s="120">
        <f t="shared" si="19"/>
        <v>0</v>
      </c>
      <c r="H232" s="120">
        <f t="shared" si="22"/>
        <v>0.875</v>
      </c>
      <c r="I232" s="120">
        <f t="shared" si="21"/>
        <v>0</v>
      </c>
      <c r="L232" s="119"/>
      <c r="M232" s="119"/>
    </row>
    <row r="233" spans="1:13">
      <c r="A233" s="141">
        <f t="shared" si="20"/>
        <v>45119</v>
      </c>
      <c r="B233" s="132">
        <v>45119</v>
      </c>
      <c r="C233" s="147">
        <v>6</v>
      </c>
      <c r="D233" s="122" t="s">
        <v>179</v>
      </c>
      <c r="E233" s="181"/>
      <c r="F233" s="181"/>
      <c r="G233" s="120">
        <f t="shared" si="19"/>
        <v>0</v>
      </c>
      <c r="H233" s="120">
        <f t="shared" si="22"/>
        <v>0.875</v>
      </c>
      <c r="I233" s="120">
        <f t="shared" si="21"/>
        <v>0</v>
      </c>
      <c r="L233" s="119"/>
      <c r="M233" s="119"/>
    </row>
    <row r="234" spans="1:13">
      <c r="A234" s="141">
        <f t="shared" si="20"/>
        <v>45119</v>
      </c>
      <c r="B234" s="132">
        <v>45119</v>
      </c>
      <c r="C234" s="147">
        <v>41</v>
      </c>
      <c r="D234" s="122" t="s">
        <v>180</v>
      </c>
      <c r="E234" s="181"/>
      <c r="F234" s="181"/>
      <c r="G234" s="120">
        <f t="shared" si="19"/>
        <v>0</v>
      </c>
      <c r="H234" s="120">
        <f t="shared" si="22"/>
        <v>0.875</v>
      </c>
      <c r="I234" s="120">
        <f t="shared" si="21"/>
        <v>0</v>
      </c>
      <c r="L234" s="119"/>
      <c r="M234" s="119"/>
    </row>
    <row r="235" spans="1:13">
      <c r="A235" s="141">
        <f t="shared" si="20"/>
        <v>45119</v>
      </c>
      <c r="B235" s="132">
        <v>45119</v>
      </c>
      <c r="C235" s="147">
        <v>28</v>
      </c>
      <c r="D235" s="122" t="s">
        <v>181</v>
      </c>
      <c r="E235" s="181"/>
      <c r="F235" s="181"/>
      <c r="G235" s="120">
        <f t="shared" si="19"/>
        <v>0</v>
      </c>
      <c r="H235" s="120">
        <f t="shared" si="22"/>
        <v>0.875</v>
      </c>
      <c r="I235" s="120">
        <f t="shared" si="21"/>
        <v>0</v>
      </c>
      <c r="L235" s="119"/>
      <c r="M235" s="119"/>
    </row>
    <row r="236" spans="1:13">
      <c r="A236" s="141">
        <f t="shared" si="20"/>
        <v>45119</v>
      </c>
      <c r="B236" s="132">
        <v>45119</v>
      </c>
      <c r="C236" s="147">
        <v>20</v>
      </c>
      <c r="D236" s="122" t="s">
        <v>182</v>
      </c>
      <c r="E236" s="181"/>
      <c r="F236" s="181"/>
      <c r="G236" s="120">
        <f t="shared" si="19"/>
        <v>0</v>
      </c>
      <c r="H236" s="120">
        <f t="shared" si="22"/>
        <v>0.875</v>
      </c>
      <c r="I236" s="120">
        <f t="shared" si="21"/>
        <v>0</v>
      </c>
      <c r="L236" s="119"/>
      <c r="M236" s="119"/>
    </row>
    <row r="237" spans="1:13">
      <c r="A237" s="141">
        <f t="shared" si="20"/>
        <v>45119</v>
      </c>
      <c r="B237" s="132">
        <v>45119</v>
      </c>
      <c r="C237" s="147">
        <v>42</v>
      </c>
      <c r="D237" s="122" t="s">
        <v>183</v>
      </c>
      <c r="E237" s="181"/>
      <c r="F237" s="181"/>
      <c r="G237" s="120">
        <f t="shared" si="19"/>
        <v>0</v>
      </c>
      <c r="H237" s="120">
        <f t="shared" si="22"/>
        <v>0.875</v>
      </c>
      <c r="I237" s="120">
        <f t="shared" si="21"/>
        <v>0</v>
      </c>
      <c r="L237" s="119"/>
      <c r="M237" s="119"/>
    </row>
    <row r="238" spans="1:13">
      <c r="A238" s="141">
        <f t="shared" si="20"/>
        <v>45120</v>
      </c>
      <c r="B238" s="132">
        <v>45120</v>
      </c>
      <c r="C238" s="147">
        <v>15</v>
      </c>
      <c r="D238" s="130" t="s">
        <v>161</v>
      </c>
      <c r="E238" s="181"/>
      <c r="F238" s="181"/>
      <c r="G238" s="120">
        <f t="shared" si="19"/>
        <v>0</v>
      </c>
      <c r="H238" s="120">
        <f t="shared" si="22"/>
        <v>0.875</v>
      </c>
      <c r="I238" s="120">
        <f t="shared" si="21"/>
        <v>0</v>
      </c>
      <c r="L238" s="119"/>
      <c r="M238" s="119"/>
    </row>
    <row r="239" spans="1:13">
      <c r="A239" s="141">
        <f t="shared" si="20"/>
        <v>45120</v>
      </c>
      <c r="B239" s="132">
        <v>45120</v>
      </c>
      <c r="C239" s="147">
        <v>23</v>
      </c>
      <c r="D239" s="122" t="s">
        <v>162</v>
      </c>
      <c r="E239" s="181"/>
      <c r="F239" s="181"/>
      <c r="G239" s="120">
        <f t="shared" si="19"/>
        <v>0</v>
      </c>
      <c r="H239" s="120">
        <f t="shared" si="22"/>
        <v>0.875</v>
      </c>
      <c r="I239" s="120">
        <f t="shared" si="21"/>
        <v>0</v>
      </c>
      <c r="L239" s="119"/>
      <c r="M239" s="119"/>
    </row>
    <row r="240" spans="1:13">
      <c r="A240" s="141">
        <f t="shared" si="20"/>
        <v>45120</v>
      </c>
      <c r="B240" s="132">
        <v>45120</v>
      </c>
      <c r="C240" s="147">
        <v>21</v>
      </c>
      <c r="D240" s="122" t="s">
        <v>163</v>
      </c>
      <c r="E240" s="181"/>
      <c r="F240" s="181"/>
      <c r="G240" s="120">
        <f t="shared" si="19"/>
        <v>0</v>
      </c>
      <c r="H240" s="120">
        <f t="shared" si="22"/>
        <v>0.875</v>
      </c>
      <c r="I240" s="120">
        <f t="shared" si="21"/>
        <v>0</v>
      </c>
      <c r="L240" s="119"/>
      <c r="M240" s="119"/>
    </row>
    <row r="241" spans="1:13">
      <c r="A241" s="141">
        <f t="shared" si="20"/>
        <v>45120</v>
      </c>
      <c r="B241" s="132">
        <v>45120</v>
      </c>
      <c r="C241" s="99">
        <v>44</v>
      </c>
      <c r="D241" s="138" t="s">
        <v>164</v>
      </c>
      <c r="E241" s="181"/>
      <c r="F241" s="181"/>
      <c r="G241" s="120">
        <f t="shared" si="19"/>
        <v>0</v>
      </c>
      <c r="H241" s="120">
        <f t="shared" si="22"/>
        <v>0.875</v>
      </c>
      <c r="I241" s="120">
        <f t="shared" si="21"/>
        <v>0</v>
      </c>
      <c r="L241" s="119"/>
      <c r="M241" s="119"/>
    </row>
    <row r="242" spans="1:13">
      <c r="A242" s="141">
        <f t="shared" si="20"/>
        <v>45120</v>
      </c>
      <c r="B242" s="132">
        <v>45120</v>
      </c>
      <c r="C242" s="147">
        <v>27</v>
      </c>
      <c r="D242" s="122" t="s">
        <v>165</v>
      </c>
      <c r="E242" s="181"/>
      <c r="F242" s="181"/>
      <c r="G242" s="120">
        <f t="shared" si="19"/>
        <v>0</v>
      </c>
      <c r="H242" s="120">
        <f t="shared" si="22"/>
        <v>0.875</v>
      </c>
      <c r="I242" s="120">
        <f t="shared" si="21"/>
        <v>0</v>
      </c>
      <c r="L242" s="119"/>
      <c r="M242" s="119"/>
    </row>
    <row r="243" spans="1:13">
      <c r="A243" s="141">
        <f t="shared" si="20"/>
        <v>45120</v>
      </c>
      <c r="B243" s="132">
        <v>45120</v>
      </c>
      <c r="C243" s="147">
        <v>25</v>
      </c>
      <c r="D243" s="122" t="s">
        <v>166</v>
      </c>
      <c r="E243" s="181"/>
      <c r="F243" s="181"/>
      <c r="G243" s="120">
        <f t="shared" si="19"/>
        <v>0</v>
      </c>
      <c r="H243" s="120">
        <f t="shared" si="22"/>
        <v>0.875</v>
      </c>
      <c r="I243" s="120">
        <f t="shared" si="21"/>
        <v>0</v>
      </c>
      <c r="L243" s="119"/>
      <c r="M243" s="119"/>
    </row>
    <row r="244" spans="1:13">
      <c r="A244" s="141">
        <f t="shared" si="20"/>
        <v>45120</v>
      </c>
      <c r="B244" s="132">
        <v>45120</v>
      </c>
      <c r="C244" s="147">
        <v>32</v>
      </c>
      <c r="D244" s="122" t="s">
        <v>167</v>
      </c>
      <c r="E244" s="181"/>
      <c r="F244" s="181"/>
      <c r="G244" s="120">
        <f t="shared" si="19"/>
        <v>0</v>
      </c>
      <c r="H244" s="120">
        <f t="shared" si="22"/>
        <v>0.875</v>
      </c>
      <c r="I244" s="120">
        <f t="shared" si="21"/>
        <v>0</v>
      </c>
      <c r="L244" s="119"/>
      <c r="M244" s="119"/>
    </row>
    <row r="245" spans="1:13">
      <c r="A245" s="141">
        <f t="shared" si="20"/>
        <v>45120</v>
      </c>
      <c r="B245" s="132">
        <v>45120</v>
      </c>
      <c r="C245" s="147">
        <v>36</v>
      </c>
      <c r="D245" s="122" t="s">
        <v>168</v>
      </c>
      <c r="E245" s="181"/>
      <c r="F245" s="181"/>
      <c r="G245" s="120">
        <f t="shared" si="19"/>
        <v>0</v>
      </c>
      <c r="H245" s="120">
        <f t="shared" si="22"/>
        <v>0.875</v>
      </c>
      <c r="I245" s="120">
        <f t="shared" si="21"/>
        <v>0</v>
      </c>
      <c r="L245" s="119"/>
      <c r="M245" s="119"/>
    </row>
    <row r="246" spans="1:13">
      <c r="A246" s="141">
        <f t="shared" si="20"/>
        <v>45120</v>
      </c>
      <c r="B246" s="132">
        <v>45120</v>
      </c>
      <c r="C246" s="147">
        <v>16</v>
      </c>
      <c r="D246" s="122" t="s">
        <v>169</v>
      </c>
      <c r="E246" s="181"/>
      <c r="F246" s="181"/>
      <c r="G246" s="120">
        <f t="shared" si="19"/>
        <v>0</v>
      </c>
      <c r="H246" s="120">
        <f t="shared" si="22"/>
        <v>0.875</v>
      </c>
      <c r="I246" s="120">
        <f t="shared" si="21"/>
        <v>0</v>
      </c>
      <c r="L246" s="119"/>
      <c r="M246" s="119"/>
    </row>
    <row r="247" spans="1:13">
      <c r="A247" s="141">
        <f t="shared" si="20"/>
        <v>45120</v>
      </c>
      <c r="B247" s="132">
        <v>45120</v>
      </c>
      <c r="C247" s="147">
        <v>1</v>
      </c>
      <c r="D247" s="122" t="s">
        <v>170</v>
      </c>
      <c r="E247" s="181"/>
      <c r="F247" s="181"/>
      <c r="G247" s="120">
        <f t="shared" ref="G247:G310" si="23">IFERROR(IF((E247-$F$2)&lt;=$H$3,0,E247-$F$2),"غياب")</f>
        <v>0</v>
      </c>
      <c r="H247" s="120">
        <f t="shared" si="22"/>
        <v>0.875</v>
      </c>
      <c r="I247" s="120">
        <f t="shared" si="21"/>
        <v>0</v>
      </c>
      <c r="L247" s="119"/>
      <c r="M247" s="119"/>
    </row>
    <row r="248" spans="1:13">
      <c r="A248" s="141">
        <f t="shared" si="20"/>
        <v>45120</v>
      </c>
      <c r="B248" s="132">
        <v>45120</v>
      </c>
      <c r="C248" s="147">
        <v>19</v>
      </c>
      <c r="D248" s="122" t="s">
        <v>171</v>
      </c>
      <c r="E248" s="181"/>
      <c r="F248" s="181"/>
      <c r="G248" s="120">
        <f t="shared" si="23"/>
        <v>0</v>
      </c>
      <c r="H248" s="120">
        <f t="shared" si="22"/>
        <v>0.875</v>
      </c>
      <c r="I248" s="120">
        <f t="shared" si="21"/>
        <v>0</v>
      </c>
      <c r="L248" s="119"/>
      <c r="M248" s="119"/>
    </row>
    <row r="249" spans="1:13">
      <c r="A249" s="141">
        <f t="shared" si="20"/>
        <v>45120</v>
      </c>
      <c r="B249" s="132">
        <v>45120</v>
      </c>
      <c r="C249" s="147">
        <v>34</v>
      </c>
      <c r="D249" s="122" t="s">
        <v>172</v>
      </c>
      <c r="E249" s="181"/>
      <c r="F249" s="181"/>
      <c r="G249" s="120">
        <f>IFERROR(IF((E249-$F$2)&lt;=$H$3,0,E249-$F$2),"غياب")</f>
        <v>0</v>
      </c>
      <c r="H249" s="120">
        <f t="shared" si="22"/>
        <v>0.875</v>
      </c>
      <c r="I249" s="120">
        <f t="shared" si="21"/>
        <v>0</v>
      </c>
      <c r="L249" s="119"/>
      <c r="M249" s="119"/>
    </row>
    <row r="250" spans="1:13">
      <c r="A250" s="141">
        <f t="shared" si="20"/>
        <v>45120</v>
      </c>
      <c r="B250" s="132">
        <v>45120</v>
      </c>
      <c r="C250" s="147">
        <v>30</v>
      </c>
      <c r="D250" s="122" t="s">
        <v>173</v>
      </c>
      <c r="E250" s="181"/>
      <c r="F250" s="181"/>
      <c r="G250" s="120">
        <f t="shared" si="23"/>
        <v>0</v>
      </c>
      <c r="H250" s="120">
        <f t="shared" si="22"/>
        <v>0.875</v>
      </c>
      <c r="I250" s="120">
        <f t="shared" si="21"/>
        <v>0</v>
      </c>
      <c r="L250" s="119"/>
      <c r="M250" s="119"/>
    </row>
    <row r="251" spans="1:13">
      <c r="A251" s="141">
        <f t="shared" si="20"/>
        <v>45120</v>
      </c>
      <c r="B251" s="132">
        <v>45120</v>
      </c>
      <c r="C251" s="147">
        <v>3</v>
      </c>
      <c r="D251" s="122" t="s">
        <v>174</v>
      </c>
      <c r="E251" s="181"/>
      <c r="F251" s="181"/>
      <c r="G251" s="120">
        <f t="shared" si="23"/>
        <v>0</v>
      </c>
      <c r="H251" s="120">
        <f t="shared" si="22"/>
        <v>0.875</v>
      </c>
      <c r="I251" s="120">
        <f t="shared" si="21"/>
        <v>0</v>
      </c>
      <c r="L251" s="119"/>
      <c r="M251" s="119"/>
    </row>
    <row r="252" spans="1:13">
      <c r="A252" s="141">
        <f t="shared" si="20"/>
        <v>45120</v>
      </c>
      <c r="B252" s="132">
        <v>45120</v>
      </c>
      <c r="C252" s="147">
        <v>33</v>
      </c>
      <c r="D252" s="122" t="s">
        <v>175</v>
      </c>
      <c r="E252" s="181"/>
      <c r="F252" s="181"/>
      <c r="G252" s="120">
        <f t="shared" si="23"/>
        <v>0</v>
      </c>
      <c r="H252" s="120">
        <f t="shared" si="22"/>
        <v>0.875</v>
      </c>
      <c r="I252" s="120">
        <f t="shared" si="21"/>
        <v>0</v>
      </c>
      <c r="L252" s="119"/>
      <c r="M252" s="119"/>
    </row>
    <row r="253" spans="1:13">
      <c r="A253" s="141">
        <f t="shared" si="20"/>
        <v>45120</v>
      </c>
      <c r="B253" s="132">
        <v>45120</v>
      </c>
      <c r="C253" s="147">
        <v>11</v>
      </c>
      <c r="D253" s="122" t="s">
        <v>176</v>
      </c>
      <c r="E253" s="181"/>
      <c r="F253" s="181"/>
      <c r="G253" s="120">
        <f t="shared" si="23"/>
        <v>0</v>
      </c>
      <c r="H253" s="120">
        <f t="shared" si="22"/>
        <v>0.875</v>
      </c>
      <c r="I253" s="120">
        <f t="shared" si="21"/>
        <v>0</v>
      </c>
      <c r="L253" s="119"/>
      <c r="M253" s="119"/>
    </row>
    <row r="254" spans="1:13">
      <c r="A254" s="141">
        <f t="shared" si="20"/>
        <v>45120</v>
      </c>
      <c r="B254" s="132">
        <v>45120</v>
      </c>
      <c r="C254" s="147">
        <v>4</v>
      </c>
      <c r="D254" s="122" t="s">
        <v>177</v>
      </c>
      <c r="E254" s="181"/>
      <c r="F254" s="181"/>
      <c r="G254" s="120">
        <f t="shared" si="23"/>
        <v>0</v>
      </c>
      <c r="H254" s="120">
        <f t="shared" si="22"/>
        <v>0.875</v>
      </c>
      <c r="I254" s="120">
        <f t="shared" si="21"/>
        <v>0</v>
      </c>
      <c r="L254" s="119"/>
      <c r="M254" s="119"/>
    </row>
    <row r="255" spans="1:13">
      <c r="A255" s="141">
        <f t="shared" si="20"/>
        <v>45120</v>
      </c>
      <c r="B255" s="132">
        <v>45120</v>
      </c>
      <c r="C255" s="147">
        <v>35</v>
      </c>
      <c r="D255" s="122" t="s">
        <v>178</v>
      </c>
      <c r="E255" s="181"/>
      <c r="F255" s="181"/>
      <c r="G255" s="120">
        <f t="shared" si="23"/>
        <v>0</v>
      </c>
      <c r="H255" s="120">
        <f t="shared" si="22"/>
        <v>0.875</v>
      </c>
      <c r="I255" s="120">
        <f t="shared" si="21"/>
        <v>0</v>
      </c>
      <c r="L255" s="119"/>
      <c r="M255" s="119"/>
    </row>
    <row r="256" spans="1:13">
      <c r="A256" s="141">
        <f t="shared" si="20"/>
        <v>45120</v>
      </c>
      <c r="B256" s="132">
        <v>45120</v>
      </c>
      <c r="C256" s="147">
        <v>6</v>
      </c>
      <c r="D256" s="122" t="s">
        <v>179</v>
      </c>
      <c r="E256" s="181"/>
      <c r="F256" s="181"/>
      <c r="G256" s="120">
        <f t="shared" si="23"/>
        <v>0</v>
      </c>
      <c r="H256" s="120">
        <f t="shared" si="22"/>
        <v>0.875</v>
      </c>
      <c r="I256" s="120">
        <f t="shared" si="21"/>
        <v>0</v>
      </c>
      <c r="L256" s="119"/>
      <c r="M256" s="119"/>
    </row>
    <row r="257" spans="1:13">
      <c r="A257" s="141">
        <f t="shared" si="20"/>
        <v>45120</v>
      </c>
      <c r="B257" s="132">
        <v>45120</v>
      </c>
      <c r="C257" s="147">
        <v>41</v>
      </c>
      <c r="D257" s="122" t="s">
        <v>180</v>
      </c>
      <c r="E257" s="181"/>
      <c r="F257" s="181"/>
      <c r="G257" s="120">
        <f>IFERROR(IF((E257-$F$2)&lt;=$H$3,0,E257-$F$2),"غياب")</f>
        <v>0</v>
      </c>
      <c r="H257" s="120">
        <f t="shared" si="22"/>
        <v>0.875</v>
      </c>
      <c r="I257" s="120">
        <f t="shared" si="21"/>
        <v>0</v>
      </c>
      <c r="L257" s="119"/>
      <c r="M257" s="119"/>
    </row>
    <row r="258" spans="1:13">
      <c r="A258" s="141">
        <f t="shared" si="20"/>
        <v>45120</v>
      </c>
      <c r="B258" s="132">
        <v>45120</v>
      </c>
      <c r="C258" s="147">
        <v>28</v>
      </c>
      <c r="D258" s="122" t="s">
        <v>181</v>
      </c>
      <c r="E258" s="181"/>
      <c r="F258" s="181"/>
      <c r="G258" s="120">
        <f t="shared" si="23"/>
        <v>0</v>
      </c>
      <c r="H258" s="120">
        <f t="shared" si="22"/>
        <v>0.875</v>
      </c>
      <c r="I258" s="120">
        <f t="shared" si="21"/>
        <v>0</v>
      </c>
      <c r="L258" s="119"/>
      <c r="M258" s="119"/>
    </row>
    <row r="259" spans="1:13">
      <c r="A259" s="141">
        <f t="shared" si="20"/>
        <v>45120</v>
      </c>
      <c r="B259" s="132">
        <v>45120</v>
      </c>
      <c r="C259" s="147">
        <v>20</v>
      </c>
      <c r="D259" s="122" t="s">
        <v>182</v>
      </c>
      <c r="E259" s="181"/>
      <c r="F259" s="181"/>
      <c r="G259" s="120">
        <f t="shared" si="23"/>
        <v>0</v>
      </c>
      <c r="H259" s="120">
        <f t="shared" si="22"/>
        <v>0.875</v>
      </c>
      <c r="I259" s="120">
        <f t="shared" si="21"/>
        <v>0</v>
      </c>
      <c r="L259" s="119"/>
      <c r="M259" s="119"/>
    </row>
    <row r="260" spans="1:13">
      <c r="A260" s="141">
        <f t="shared" si="20"/>
        <v>45120</v>
      </c>
      <c r="B260" s="132">
        <v>45120</v>
      </c>
      <c r="C260" s="147">
        <v>42</v>
      </c>
      <c r="D260" s="122" t="s">
        <v>183</v>
      </c>
      <c r="E260" s="181"/>
      <c r="F260" s="181"/>
      <c r="G260" s="120">
        <f t="shared" si="23"/>
        <v>0</v>
      </c>
      <c r="H260" s="120">
        <f t="shared" si="22"/>
        <v>0.875</v>
      </c>
      <c r="I260" s="120">
        <f t="shared" si="21"/>
        <v>0</v>
      </c>
      <c r="L260" s="119"/>
      <c r="M260" s="119"/>
    </row>
    <row r="261" spans="1:13">
      <c r="A261" s="141">
        <f t="shared" si="20"/>
        <v>45122</v>
      </c>
      <c r="B261" s="132">
        <v>45122</v>
      </c>
      <c r="C261" s="147">
        <v>15</v>
      </c>
      <c r="D261" s="130" t="s">
        <v>161</v>
      </c>
      <c r="E261" s="181"/>
      <c r="F261" s="181"/>
      <c r="G261" s="120">
        <f t="shared" si="23"/>
        <v>0</v>
      </c>
      <c r="H261" s="120">
        <f t="shared" si="22"/>
        <v>0.875</v>
      </c>
      <c r="I261" s="120">
        <f t="shared" si="21"/>
        <v>0</v>
      </c>
      <c r="L261" s="119"/>
      <c r="M261" s="119"/>
    </row>
    <row r="262" spans="1:13">
      <c r="A262" s="141">
        <f t="shared" si="20"/>
        <v>45122</v>
      </c>
      <c r="B262" s="132">
        <v>45122</v>
      </c>
      <c r="C262" s="147">
        <v>23</v>
      </c>
      <c r="D262" s="122" t="s">
        <v>162</v>
      </c>
      <c r="E262" s="181"/>
      <c r="F262" s="181"/>
      <c r="G262" s="120">
        <f t="shared" si="23"/>
        <v>0</v>
      </c>
      <c r="H262" s="120">
        <f t="shared" si="22"/>
        <v>0.875</v>
      </c>
      <c r="I262" s="120">
        <f t="shared" si="21"/>
        <v>0</v>
      </c>
      <c r="L262" s="119"/>
      <c r="M262" s="119"/>
    </row>
    <row r="263" spans="1:13">
      <c r="A263" s="141">
        <f t="shared" si="20"/>
        <v>45122</v>
      </c>
      <c r="B263" s="132">
        <v>45122</v>
      </c>
      <c r="C263" s="147">
        <v>21</v>
      </c>
      <c r="D263" s="122" t="s">
        <v>163</v>
      </c>
      <c r="E263" s="181"/>
      <c r="F263" s="181"/>
      <c r="G263" s="120">
        <f t="shared" si="23"/>
        <v>0</v>
      </c>
      <c r="H263" s="120">
        <f t="shared" si="22"/>
        <v>0.875</v>
      </c>
      <c r="I263" s="120">
        <f t="shared" si="21"/>
        <v>0</v>
      </c>
      <c r="L263" s="119"/>
      <c r="M263" s="119"/>
    </row>
    <row r="264" spans="1:13">
      <c r="A264" s="141">
        <f t="shared" si="20"/>
        <v>45122</v>
      </c>
      <c r="B264" s="132">
        <v>45122</v>
      </c>
      <c r="C264" s="99">
        <v>44</v>
      </c>
      <c r="D264" s="138" t="s">
        <v>164</v>
      </c>
      <c r="E264" s="181"/>
      <c r="F264" s="181"/>
      <c r="G264" s="120">
        <f t="shared" si="23"/>
        <v>0</v>
      </c>
      <c r="H264" s="120">
        <f t="shared" si="22"/>
        <v>0.875</v>
      </c>
      <c r="I264" s="120">
        <f t="shared" si="21"/>
        <v>0</v>
      </c>
      <c r="L264" s="119"/>
      <c r="M264" s="119"/>
    </row>
    <row r="265" spans="1:13">
      <c r="A265" s="141">
        <f t="shared" ref="A265:A328" si="24">B265</f>
        <v>45122</v>
      </c>
      <c r="B265" s="132">
        <v>45122</v>
      </c>
      <c r="C265" s="147">
        <v>27</v>
      </c>
      <c r="D265" s="122" t="s">
        <v>165</v>
      </c>
      <c r="E265" s="181"/>
      <c r="F265" s="181"/>
      <c r="G265" s="120">
        <f t="shared" si="23"/>
        <v>0</v>
      </c>
      <c r="H265" s="120">
        <f t="shared" si="22"/>
        <v>0.875</v>
      </c>
      <c r="I265" s="120">
        <f t="shared" ref="I265:I328" si="25">IFERROR(IF((F265-$H$2)&lt;0,0,F265-$H$2),"0")</f>
        <v>0</v>
      </c>
      <c r="L265" s="119"/>
      <c r="M265" s="119"/>
    </row>
    <row r="266" spans="1:13">
      <c r="A266" s="141">
        <f t="shared" si="24"/>
        <v>45122</v>
      </c>
      <c r="B266" s="132">
        <v>45122</v>
      </c>
      <c r="C266" s="147">
        <v>25</v>
      </c>
      <c r="D266" s="122" t="s">
        <v>166</v>
      </c>
      <c r="E266" s="181"/>
      <c r="F266" s="181"/>
      <c r="G266" s="120">
        <f t="shared" si="23"/>
        <v>0</v>
      </c>
      <c r="H266" s="120">
        <f t="shared" ref="H266:H329" si="26">IF(($H$2-F266)&lt;0,0,$H$2-F266)</f>
        <v>0.875</v>
      </c>
      <c r="I266" s="120">
        <f t="shared" si="25"/>
        <v>0</v>
      </c>
      <c r="L266" s="119"/>
      <c r="M266" s="119"/>
    </row>
    <row r="267" spans="1:13">
      <c r="A267" s="141">
        <f t="shared" si="24"/>
        <v>45122</v>
      </c>
      <c r="B267" s="132">
        <v>45122</v>
      </c>
      <c r="C267" s="147">
        <v>32</v>
      </c>
      <c r="D267" s="122" t="s">
        <v>167</v>
      </c>
      <c r="E267" s="181"/>
      <c r="F267" s="181"/>
      <c r="G267" s="120">
        <f t="shared" si="23"/>
        <v>0</v>
      </c>
      <c r="H267" s="120">
        <f t="shared" si="26"/>
        <v>0.875</v>
      </c>
      <c r="I267" s="120">
        <f t="shared" si="25"/>
        <v>0</v>
      </c>
      <c r="L267" s="119"/>
      <c r="M267" s="119"/>
    </row>
    <row r="268" spans="1:13">
      <c r="A268" s="141">
        <f t="shared" si="24"/>
        <v>45122</v>
      </c>
      <c r="B268" s="132">
        <v>45122</v>
      </c>
      <c r="C268" s="147">
        <v>36</v>
      </c>
      <c r="D268" s="122" t="s">
        <v>168</v>
      </c>
      <c r="E268" s="181"/>
      <c r="F268" s="181"/>
      <c r="G268" s="120">
        <f t="shared" si="23"/>
        <v>0</v>
      </c>
      <c r="H268" s="120">
        <f t="shared" si="26"/>
        <v>0.875</v>
      </c>
      <c r="I268" s="120">
        <f t="shared" si="25"/>
        <v>0</v>
      </c>
      <c r="L268" s="119"/>
      <c r="M268" s="119"/>
    </row>
    <row r="269" spans="1:13">
      <c r="A269" s="141">
        <f t="shared" si="24"/>
        <v>45122</v>
      </c>
      <c r="B269" s="132">
        <v>45122</v>
      </c>
      <c r="C269" s="147">
        <v>16</v>
      </c>
      <c r="D269" s="122" t="s">
        <v>169</v>
      </c>
      <c r="E269" s="181"/>
      <c r="F269" s="181"/>
      <c r="G269" s="120">
        <f t="shared" si="23"/>
        <v>0</v>
      </c>
      <c r="H269" s="120">
        <f t="shared" si="26"/>
        <v>0.875</v>
      </c>
      <c r="I269" s="120">
        <f t="shared" si="25"/>
        <v>0</v>
      </c>
      <c r="L269" s="121"/>
      <c r="M269" s="121"/>
    </row>
    <row r="270" spans="1:13">
      <c r="A270" s="141">
        <f t="shared" si="24"/>
        <v>45122</v>
      </c>
      <c r="B270" s="132">
        <v>45122</v>
      </c>
      <c r="C270" s="147">
        <v>1</v>
      </c>
      <c r="D270" s="122" t="s">
        <v>170</v>
      </c>
      <c r="E270" s="181"/>
      <c r="F270" s="181"/>
      <c r="G270" s="120">
        <f t="shared" si="23"/>
        <v>0</v>
      </c>
      <c r="H270" s="120">
        <f t="shared" si="26"/>
        <v>0.875</v>
      </c>
      <c r="I270" s="120">
        <f t="shared" si="25"/>
        <v>0</v>
      </c>
      <c r="L270" s="121"/>
      <c r="M270" s="121"/>
    </row>
    <row r="271" spans="1:13">
      <c r="A271" s="141">
        <f t="shared" si="24"/>
        <v>45122</v>
      </c>
      <c r="B271" s="132">
        <v>45122</v>
      </c>
      <c r="C271" s="147">
        <v>19</v>
      </c>
      <c r="D271" s="122" t="s">
        <v>171</v>
      </c>
      <c r="E271" s="181"/>
      <c r="F271" s="181"/>
      <c r="G271" s="120">
        <f t="shared" si="23"/>
        <v>0</v>
      </c>
      <c r="H271" s="120">
        <f t="shared" si="26"/>
        <v>0.875</v>
      </c>
      <c r="I271" s="120">
        <f t="shared" si="25"/>
        <v>0</v>
      </c>
      <c r="L271" s="121"/>
      <c r="M271" s="121"/>
    </row>
    <row r="272" spans="1:13">
      <c r="A272" s="141">
        <f t="shared" si="24"/>
        <v>45122</v>
      </c>
      <c r="B272" s="132">
        <v>45122</v>
      </c>
      <c r="C272" s="147">
        <v>34</v>
      </c>
      <c r="D272" s="122" t="s">
        <v>172</v>
      </c>
      <c r="E272" s="181"/>
      <c r="F272" s="181"/>
      <c r="G272" s="120">
        <f t="shared" si="23"/>
        <v>0</v>
      </c>
      <c r="H272" s="120">
        <f t="shared" si="26"/>
        <v>0.875</v>
      </c>
      <c r="I272" s="120">
        <f t="shared" si="25"/>
        <v>0</v>
      </c>
      <c r="L272" s="121"/>
      <c r="M272" s="121"/>
    </row>
    <row r="273" spans="1:13">
      <c r="A273" s="141">
        <f t="shared" si="24"/>
        <v>45122</v>
      </c>
      <c r="B273" s="132">
        <v>45122</v>
      </c>
      <c r="C273" s="147">
        <v>30</v>
      </c>
      <c r="D273" s="122" t="s">
        <v>173</v>
      </c>
      <c r="E273" s="181"/>
      <c r="F273" s="181"/>
      <c r="G273" s="120">
        <f t="shared" si="23"/>
        <v>0</v>
      </c>
      <c r="H273" s="120">
        <f t="shared" si="26"/>
        <v>0.875</v>
      </c>
      <c r="I273" s="120">
        <f t="shared" si="25"/>
        <v>0</v>
      </c>
      <c r="L273" s="121"/>
      <c r="M273" s="121"/>
    </row>
    <row r="274" spans="1:13">
      <c r="A274" s="141">
        <f t="shared" si="24"/>
        <v>45122</v>
      </c>
      <c r="B274" s="132">
        <v>45122</v>
      </c>
      <c r="C274" s="147">
        <v>3</v>
      </c>
      <c r="D274" s="122" t="s">
        <v>174</v>
      </c>
      <c r="E274" s="181"/>
      <c r="F274" s="181"/>
      <c r="G274" s="120">
        <f t="shared" si="23"/>
        <v>0</v>
      </c>
      <c r="H274" s="120">
        <f t="shared" si="26"/>
        <v>0.875</v>
      </c>
      <c r="I274" s="120">
        <f t="shared" si="25"/>
        <v>0</v>
      </c>
      <c r="L274" s="121"/>
      <c r="M274" s="121"/>
    </row>
    <row r="275" spans="1:13">
      <c r="A275" s="141">
        <f t="shared" si="24"/>
        <v>45122</v>
      </c>
      <c r="B275" s="132">
        <v>45122</v>
      </c>
      <c r="C275" s="147">
        <v>33</v>
      </c>
      <c r="D275" s="122" t="s">
        <v>175</v>
      </c>
      <c r="E275" s="181"/>
      <c r="F275" s="181"/>
      <c r="G275" s="120">
        <f t="shared" si="23"/>
        <v>0</v>
      </c>
      <c r="H275" s="120">
        <f t="shared" si="26"/>
        <v>0.875</v>
      </c>
      <c r="I275" s="120">
        <f t="shared" si="25"/>
        <v>0</v>
      </c>
      <c r="L275" s="121"/>
      <c r="M275" s="121"/>
    </row>
    <row r="276" spans="1:13">
      <c r="A276" s="141">
        <f t="shared" si="24"/>
        <v>45122</v>
      </c>
      <c r="B276" s="132">
        <v>45122</v>
      </c>
      <c r="C276" s="147">
        <v>11</v>
      </c>
      <c r="D276" s="122" t="s">
        <v>176</v>
      </c>
      <c r="E276" s="181"/>
      <c r="F276" s="181"/>
      <c r="G276" s="120">
        <f t="shared" si="23"/>
        <v>0</v>
      </c>
      <c r="H276" s="120">
        <f t="shared" si="26"/>
        <v>0.875</v>
      </c>
      <c r="I276" s="120">
        <f t="shared" si="25"/>
        <v>0</v>
      </c>
      <c r="L276" s="121"/>
      <c r="M276" s="121"/>
    </row>
    <row r="277" spans="1:13">
      <c r="A277" s="141">
        <f t="shared" si="24"/>
        <v>45122</v>
      </c>
      <c r="B277" s="132">
        <v>45122</v>
      </c>
      <c r="C277" s="147">
        <v>4</v>
      </c>
      <c r="D277" s="122" t="s">
        <v>177</v>
      </c>
      <c r="E277" s="181"/>
      <c r="F277" s="181"/>
      <c r="G277" s="120">
        <f t="shared" si="23"/>
        <v>0</v>
      </c>
      <c r="H277" s="120">
        <f t="shared" si="26"/>
        <v>0.875</v>
      </c>
      <c r="I277" s="120">
        <f t="shared" si="25"/>
        <v>0</v>
      </c>
      <c r="L277" s="121"/>
      <c r="M277" s="121"/>
    </row>
    <row r="278" spans="1:13">
      <c r="A278" s="141">
        <f t="shared" si="24"/>
        <v>45122</v>
      </c>
      <c r="B278" s="132">
        <v>45122</v>
      </c>
      <c r="C278" s="147">
        <v>35</v>
      </c>
      <c r="D278" s="122" t="s">
        <v>178</v>
      </c>
      <c r="E278" s="181"/>
      <c r="F278" s="181"/>
      <c r="G278" s="120">
        <f t="shared" si="23"/>
        <v>0</v>
      </c>
      <c r="H278" s="120">
        <f t="shared" si="26"/>
        <v>0.875</v>
      </c>
      <c r="I278" s="120">
        <f t="shared" si="25"/>
        <v>0</v>
      </c>
      <c r="L278" s="121"/>
      <c r="M278" s="121"/>
    </row>
    <row r="279" spans="1:13">
      <c r="A279" s="141">
        <f t="shared" si="24"/>
        <v>45122</v>
      </c>
      <c r="B279" s="132">
        <v>45122</v>
      </c>
      <c r="C279" s="147">
        <v>6</v>
      </c>
      <c r="D279" s="122" t="s">
        <v>179</v>
      </c>
      <c r="E279" s="181"/>
      <c r="F279" s="181"/>
      <c r="G279" s="120">
        <f t="shared" si="23"/>
        <v>0</v>
      </c>
      <c r="H279" s="120">
        <f t="shared" si="26"/>
        <v>0.875</v>
      </c>
      <c r="I279" s="120">
        <f t="shared" si="25"/>
        <v>0</v>
      </c>
      <c r="L279" s="121"/>
      <c r="M279" s="121"/>
    </row>
    <row r="280" spans="1:13">
      <c r="A280" s="141">
        <f t="shared" si="24"/>
        <v>45122</v>
      </c>
      <c r="B280" s="132">
        <v>45122</v>
      </c>
      <c r="C280" s="147">
        <v>41</v>
      </c>
      <c r="D280" s="122" t="s">
        <v>180</v>
      </c>
      <c r="E280" s="181"/>
      <c r="F280" s="181"/>
      <c r="G280" s="120">
        <f t="shared" si="23"/>
        <v>0</v>
      </c>
      <c r="H280" s="120">
        <f t="shared" si="26"/>
        <v>0.875</v>
      </c>
      <c r="I280" s="120">
        <f t="shared" si="25"/>
        <v>0</v>
      </c>
      <c r="L280" s="121"/>
      <c r="M280" s="121"/>
    </row>
    <row r="281" spans="1:13">
      <c r="A281" s="141">
        <f t="shared" si="24"/>
        <v>45122</v>
      </c>
      <c r="B281" s="132">
        <v>45122</v>
      </c>
      <c r="C281" s="147">
        <v>28</v>
      </c>
      <c r="D281" s="122" t="s">
        <v>181</v>
      </c>
      <c r="E281" s="181"/>
      <c r="F281" s="181"/>
      <c r="G281" s="120">
        <f t="shared" si="23"/>
        <v>0</v>
      </c>
      <c r="H281" s="120">
        <f t="shared" si="26"/>
        <v>0.875</v>
      </c>
      <c r="I281" s="120">
        <f t="shared" si="25"/>
        <v>0</v>
      </c>
      <c r="L281" s="121"/>
      <c r="M281" s="121"/>
    </row>
    <row r="282" spans="1:13">
      <c r="A282" s="141">
        <f t="shared" si="24"/>
        <v>45122</v>
      </c>
      <c r="B282" s="132">
        <v>45122</v>
      </c>
      <c r="C282" s="147">
        <v>20</v>
      </c>
      <c r="D282" s="122" t="s">
        <v>182</v>
      </c>
      <c r="E282" s="181"/>
      <c r="F282" s="181"/>
      <c r="G282" s="120">
        <f t="shared" si="23"/>
        <v>0</v>
      </c>
      <c r="H282" s="120">
        <f t="shared" si="26"/>
        <v>0.875</v>
      </c>
      <c r="I282" s="120">
        <f t="shared" si="25"/>
        <v>0</v>
      </c>
      <c r="L282" s="121"/>
      <c r="M282" s="121"/>
    </row>
    <row r="283" spans="1:13">
      <c r="A283" s="141">
        <f t="shared" si="24"/>
        <v>45122</v>
      </c>
      <c r="B283" s="132">
        <v>45122</v>
      </c>
      <c r="C283" s="147">
        <v>42</v>
      </c>
      <c r="D283" s="122" t="s">
        <v>183</v>
      </c>
      <c r="E283" s="181"/>
      <c r="F283" s="181"/>
      <c r="G283" s="120">
        <f t="shared" si="23"/>
        <v>0</v>
      </c>
      <c r="H283" s="120">
        <f t="shared" si="26"/>
        <v>0.875</v>
      </c>
      <c r="I283" s="120">
        <f t="shared" si="25"/>
        <v>0</v>
      </c>
      <c r="L283" s="121"/>
      <c r="M283" s="121"/>
    </row>
    <row r="284" spans="1:13">
      <c r="A284" s="141">
        <f t="shared" si="24"/>
        <v>0</v>
      </c>
      <c r="B284" s="132"/>
      <c r="C284" s="147">
        <v>15</v>
      </c>
      <c r="D284" s="130" t="s">
        <v>161</v>
      </c>
      <c r="E284" s="181"/>
      <c r="F284" s="181"/>
      <c r="G284" s="120">
        <f t="shared" si="23"/>
        <v>0</v>
      </c>
      <c r="H284" s="120">
        <f t="shared" si="26"/>
        <v>0.875</v>
      </c>
      <c r="I284" s="120">
        <f t="shared" si="25"/>
        <v>0</v>
      </c>
      <c r="L284" s="121"/>
      <c r="M284" s="121"/>
    </row>
    <row r="285" spans="1:13">
      <c r="A285" s="141">
        <f t="shared" si="24"/>
        <v>0</v>
      </c>
      <c r="B285" s="132"/>
      <c r="C285" s="147">
        <v>23</v>
      </c>
      <c r="D285" s="122" t="s">
        <v>162</v>
      </c>
      <c r="E285" s="181"/>
      <c r="F285" s="181"/>
      <c r="G285" s="120">
        <f t="shared" si="23"/>
        <v>0</v>
      </c>
      <c r="H285" s="120">
        <f t="shared" si="26"/>
        <v>0.875</v>
      </c>
      <c r="I285" s="120">
        <f t="shared" si="25"/>
        <v>0</v>
      </c>
      <c r="L285" s="121"/>
      <c r="M285" s="121"/>
    </row>
    <row r="286" spans="1:13">
      <c r="A286" s="141">
        <f t="shared" si="24"/>
        <v>0</v>
      </c>
      <c r="B286" s="132"/>
      <c r="C286" s="147">
        <v>21</v>
      </c>
      <c r="D286" s="122" t="s">
        <v>163</v>
      </c>
      <c r="E286" s="181"/>
      <c r="F286" s="181"/>
      <c r="G286" s="120">
        <f t="shared" si="23"/>
        <v>0</v>
      </c>
      <c r="H286" s="120">
        <f t="shared" si="26"/>
        <v>0.875</v>
      </c>
      <c r="I286" s="120">
        <f t="shared" si="25"/>
        <v>0</v>
      </c>
      <c r="L286" s="121"/>
      <c r="M286" s="121"/>
    </row>
    <row r="287" spans="1:13">
      <c r="A287" s="141">
        <f t="shared" si="24"/>
        <v>0</v>
      </c>
      <c r="B287" s="132"/>
      <c r="C287" s="99">
        <v>44</v>
      </c>
      <c r="D287" s="138" t="s">
        <v>164</v>
      </c>
      <c r="E287" s="181"/>
      <c r="F287" s="181"/>
      <c r="G287" s="120">
        <f t="shared" si="23"/>
        <v>0</v>
      </c>
      <c r="H287" s="120">
        <f t="shared" si="26"/>
        <v>0.875</v>
      </c>
      <c r="I287" s="120">
        <f t="shared" si="25"/>
        <v>0</v>
      </c>
      <c r="L287" s="121"/>
      <c r="M287" s="121"/>
    </row>
    <row r="288" spans="1:13">
      <c r="A288" s="141">
        <f t="shared" si="24"/>
        <v>0</v>
      </c>
      <c r="B288" s="132"/>
      <c r="C288" s="147">
        <v>27</v>
      </c>
      <c r="D288" s="122" t="s">
        <v>165</v>
      </c>
      <c r="E288" s="181"/>
      <c r="F288" s="181"/>
      <c r="G288" s="120">
        <f t="shared" si="23"/>
        <v>0</v>
      </c>
      <c r="H288" s="120">
        <f t="shared" si="26"/>
        <v>0.875</v>
      </c>
      <c r="I288" s="120">
        <f t="shared" si="25"/>
        <v>0</v>
      </c>
      <c r="L288" s="121"/>
      <c r="M288" s="121"/>
    </row>
    <row r="289" spans="1:14">
      <c r="A289" s="141">
        <f t="shared" si="24"/>
        <v>0</v>
      </c>
      <c r="B289" s="132"/>
      <c r="C289" s="147">
        <v>25</v>
      </c>
      <c r="D289" s="122" t="s">
        <v>166</v>
      </c>
      <c r="E289" s="181"/>
      <c r="F289" s="181"/>
      <c r="G289" s="120">
        <f>IFERROR(IF((E289-$F$2)&lt;=$H$3,0,E289-$F$2),"غياب")</f>
        <v>0</v>
      </c>
      <c r="H289" s="120">
        <f t="shared" si="26"/>
        <v>0.875</v>
      </c>
      <c r="I289" s="120">
        <f t="shared" si="25"/>
        <v>0</v>
      </c>
      <c r="L289" s="121"/>
      <c r="M289" s="121"/>
    </row>
    <row r="290" spans="1:14">
      <c r="A290" s="141">
        <f t="shared" si="24"/>
        <v>0</v>
      </c>
      <c r="B290" s="132"/>
      <c r="C290" s="147">
        <v>32</v>
      </c>
      <c r="D290" s="122" t="s">
        <v>167</v>
      </c>
      <c r="E290" s="181"/>
      <c r="F290" s="181"/>
      <c r="G290" s="120">
        <f t="shared" si="23"/>
        <v>0</v>
      </c>
      <c r="H290" s="120">
        <f t="shared" si="26"/>
        <v>0.875</v>
      </c>
      <c r="I290" s="120">
        <f t="shared" si="25"/>
        <v>0</v>
      </c>
      <c r="L290" s="121"/>
      <c r="M290" s="121"/>
      <c r="N290" s="118"/>
    </row>
    <row r="291" spans="1:14">
      <c r="A291" s="141">
        <f t="shared" si="24"/>
        <v>0</v>
      </c>
      <c r="B291" s="132"/>
      <c r="C291" s="147">
        <v>36</v>
      </c>
      <c r="D291" s="122" t="s">
        <v>168</v>
      </c>
      <c r="E291" s="181"/>
      <c r="F291" s="181"/>
      <c r="G291" s="120">
        <f t="shared" si="23"/>
        <v>0</v>
      </c>
      <c r="H291" s="120">
        <f t="shared" si="26"/>
        <v>0.875</v>
      </c>
      <c r="I291" s="120">
        <f t="shared" si="25"/>
        <v>0</v>
      </c>
      <c r="L291" s="121"/>
      <c r="M291" s="121"/>
      <c r="N291" s="118"/>
    </row>
    <row r="292" spans="1:14">
      <c r="A292" s="141">
        <f t="shared" si="24"/>
        <v>0</v>
      </c>
      <c r="B292" s="132"/>
      <c r="C292" s="147">
        <v>16</v>
      </c>
      <c r="D292" s="122" t="s">
        <v>169</v>
      </c>
      <c r="E292" s="181"/>
      <c r="F292" s="181"/>
      <c r="G292" s="120">
        <f t="shared" si="23"/>
        <v>0</v>
      </c>
      <c r="H292" s="120">
        <f t="shared" si="26"/>
        <v>0.875</v>
      </c>
      <c r="I292" s="120">
        <f t="shared" si="25"/>
        <v>0</v>
      </c>
      <c r="L292" s="121"/>
      <c r="M292" s="121"/>
      <c r="N292" s="118"/>
    </row>
    <row r="293" spans="1:14">
      <c r="A293" s="141">
        <f t="shared" si="24"/>
        <v>0</v>
      </c>
      <c r="B293" s="132"/>
      <c r="C293" s="147">
        <v>1</v>
      </c>
      <c r="D293" s="122" t="s">
        <v>170</v>
      </c>
      <c r="E293" s="181"/>
      <c r="F293" s="181"/>
      <c r="G293" s="120">
        <f t="shared" si="23"/>
        <v>0</v>
      </c>
      <c r="H293" s="120">
        <f t="shared" si="26"/>
        <v>0.875</v>
      </c>
      <c r="I293" s="120">
        <f t="shared" si="25"/>
        <v>0</v>
      </c>
      <c r="L293" s="121"/>
      <c r="M293" s="121"/>
      <c r="N293" s="118"/>
    </row>
    <row r="294" spans="1:14">
      <c r="A294" s="141">
        <f t="shared" si="24"/>
        <v>0</v>
      </c>
      <c r="B294" s="132"/>
      <c r="C294" s="147">
        <v>19</v>
      </c>
      <c r="D294" s="122" t="s">
        <v>171</v>
      </c>
      <c r="E294" s="181"/>
      <c r="F294" s="181"/>
      <c r="G294" s="120">
        <f t="shared" si="23"/>
        <v>0</v>
      </c>
      <c r="H294" s="120">
        <f t="shared" si="26"/>
        <v>0.875</v>
      </c>
      <c r="I294" s="120">
        <f t="shared" si="25"/>
        <v>0</v>
      </c>
      <c r="L294" s="121"/>
      <c r="M294" s="121"/>
      <c r="N294" s="118"/>
    </row>
    <row r="295" spans="1:14">
      <c r="A295" s="141">
        <f t="shared" si="24"/>
        <v>0</v>
      </c>
      <c r="B295" s="132"/>
      <c r="C295" s="147">
        <v>34</v>
      </c>
      <c r="D295" s="122" t="s">
        <v>172</v>
      </c>
      <c r="E295" s="181"/>
      <c r="F295" s="181"/>
      <c r="G295" s="120">
        <f t="shared" si="23"/>
        <v>0</v>
      </c>
      <c r="H295" s="120">
        <f t="shared" si="26"/>
        <v>0.875</v>
      </c>
      <c r="I295" s="120">
        <f t="shared" si="25"/>
        <v>0</v>
      </c>
      <c r="L295" s="121"/>
      <c r="M295" s="121"/>
      <c r="N295" s="118"/>
    </row>
    <row r="296" spans="1:14">
      <c r="A296" s="141">
        <f t="shared" si="24"/>
        <v>0</v>
      </c>
      <c r="B296" s="132"/>
      <c r="C296" s="147">
        <v>30</v>
      </c>
      <c r="D296" s="122" t="s">
        <v>173</v>
      </c>
      <c r="E296" s="181"/>
      <c r="F296" s="181"/>
      <c r="G296" s="120">
        <f t="shared" si="23"/>
        <v>0</v>
      </c>
      <c r="H296" s="120">
        <f t="shared" si="26"/>
        <v>0.875</v>
      </c>
      <c r="I296" s="120">
        <f t="shared" si="25"/>
        <v>0</v>
      </c>
      <c r="L296" s="121"/>
      <c r="M296" s="121"/>
      <c r="N296" s="118"/>
    </row>
    <row r="297" spans="1:14">
      <c r="A297" s="141">
        <f t="shared" si="24"/>
        <v>0</v>
      </c>
      <c r="B297" s="132"/>
      <c r="C297" s="147">
        <v>3</v>
      </c>
      <c r="D297" s="122" t="s">
        <v>174</v>
      </c>
      <c r="E297" s="181"/>
      <c r="F297" s="181"/>
      <c r="G297" s="120">
        <f t="shared" si="23"/>
        <v>0</v>
      </c>
      <c r="H297" s="120">
        <f t="shared" si="26"/>
        <v>0.875</v>
      </c>
      <c r="I297" s="120">
        <f t="shared" si="25"/>
        <v>0</v>
      </c>
      <c r="L297" s="121"/>
      <c r="M297" s="121"/>
      <c r="N297" s="118"/>
    </row>
    <row r="298" spans="1:14">
      <c r="A298" s="141">
        <f t="shared" si="24"/>
        <v>0</v>
      </c>
      <c r="B298" s="132"/>
      <c r="C298" s="147">
        <v>33</v>
      </c>
      <c r="D298" s="122" t="s">
        <v>175</v>
      </c>
      <c r="E298" s="181"/>
      <c r="F298" s="181"/>
      <c r="G298" s="120">
        <f t="shared" si="23"/>
        <v>0</v>
      </c>
      <c r="H298" s="120">
        <f t="shared" si="26"/>
        <v>0.875</v>
      </c>
      <c r="I298" s="120">
        <f t="shared" si="25"/>
        <v>0</v>
      </c>
      <c r="L298" s="121"/>
      <c r="M298" s="121"/>
      <c r="N298" s="118"/>
    </row>
    <row r="299" spans="1:14">
      <c r="A299" s="141">
        <f t="shared" si="24"/>
        <v>0</v>
      </c>
      <c r="B299" s="132"/>
      <c r="C299" s="147">
        <v>11</v>
      </c>
      <c r="D299" s="122" t="s">
        <v>176</v>
      </c>
      <c r="E299" s="181"/>
      <c r="F299" s="181"/>
      <c r="G299" s="120">
        <f t="shared" si="23"/>
        <v>0</v>
      </c>
      <c r="H299" s="120">
        <f t="shared" si="26"/>
        <v>0.875</v>
      </c>
      <c r="I299" s="120">
        <f t="shared" si="25"/>
        <v>0</v>
      </c>
      <c r="L299" s="121"/>
      <c r="M299" s="121"/>
      <c r="N299" s="118"/>
    </row>
    <row r="300" spans="1:14">
      <c r="A300" s="141">
        <f t="shared" si="24"/>
        <v>0</v>
      </c>
      <c r="B300" s="132"/>
      <c r="C300" s="147">
        <v>4</v>
      </c>
      <c r="D300" s="122" t="s">
        <v>177</v>
      </c>
      <c r="E300" s="181"/>
      <c r="F300" s="181"/>
      <c r="G300" s="120">
        <f t="shared" si="23"/>
        <v>0</v>
      </c>
      <c r="H300" s="120">
        <f t="shared" si="26"/>
        <v>0.875</v>
      </c>
      <c r="I300" s="120">
        <f t="shared" si="25"/>
        <v>0</v>
      </c>
      <c r="L300" s="121"/>
      <c r="M300" s="121"/>
      <c r="N300" s="118"/>
    </row>
    <row r="301" spans="1:14">
      <c r="A301" s="141">
        <f t="shared" si="24"/>
        <v>0</v>
      </c>
      <c r="B301" s="132"/>
      <c r="C301" s="147">
        <v>35</v>
      </c>
      <c r="D301" s="122" t="s">
        <v>178</v>
      </c>
      <c r="E301" s="181"/>
      <c r="F301" s="181"/>
      <c r="G301" s="120">
        <f t="shared" si="23"/>
        <v>0</v>
      </c>
      <c r="H301" s="120">
        <f t="shared" si="26"/>
        <v>0.875</v>
      </c>
      <c r="I301" s="120">
        <f t="shared" si="25"/>
        <v>0</v>
      </c>
      <c r="L301" s="121"/>
      <c r="M301" s="121"/>
      <c r="N301" s="118"/>
    </row>
    <row r="302" spans="1:14">
      <c r="A302" s="141">
        <f t="shared" si="24"/>
        <v>0</v>
      </c>
      <c r="B302" s="132"/>
      <c r="C302" s="147">
        <v>6</v>
      </c>
      <c r="D302" s="122" t="s">
        <v>179</v>
      </c>
      <c r="E302" s="181"/>
      <c r="F302" s="181"/>
      <c r="G302" s="120">
        <f t="shared" si="23"/>
        <v>0</v>
      </c>
      <c r="H302" s="120">
        <f t="shared" si="26"/>
        <v>0.875</v>
      </c>
      <c r="I302" s="120">
        <f t="shared" si="25"/>
        <v>0</v>
      </c>
      <c r="L302" s="121"/>
      <c r="M302" s="121"/>
      <c r="N302" s="118"/>
    </row>
    <row r="303" spans="1:14">
      <c r="A303" s="141">
        <f t="shared" si="24"/>
        <v>0</v>
      </c>
      <c r="B303" s="132"/>
      <c r="C303" s="147">
        <v>41</v>
      </c>
      <c r="D303" s="122" t="s">
        <v>180</v>
      </c>
      <c r="E303" s="181"/>
      <c r="F303" s="181"/>
      <c r="G303" s="120">
        <f t="shared" si="23"/>
        <v>0</v>
      </c>
      <c r="H303" s="120">
        <f t="shared" si="26"/>
        <v>0.875</v>
      </c>
      <c r="I303" s="120">
        <f t="shared" si="25"/>
        <v>0</v>
      </c>
      <c r="L303" s="121"/>
      <c r="M303" s="121"/>
      <c r="N303" s="118"/>
    </row>
    <row r="304" spans="1:14">
      <c r="A304" s="141">
        <f t="shared" si="24"/>
        <v>0</v>
      </c>
      <c r="B304" s="132"/>
      <c r="C304" s="147">
        <v>28</v>
      </c>
      <c r="D304" s="122" t="s">
        <v>181</v>
      </c>
      <c r="E304" s="181"/>
      <c r="F304" s="181"/>
      <c r="G304" s="120">
        <f t="shared" si="23"/>
        <v>0</v>
      </c>
      <c r="H304" s="120">
        <f t="shared" si="26"/>
        <v>0.875</v>
      </c>
      <c r="I304" s="120">
        <f t="shared" si="25"/>
        <v>0</v>
      </c>
      <c r="L304" s="121"/>
      <c r="M304" s="121"/>
      <c r="N304" s="118"/>
    </row>
    <row r="305" spans="1:14">
      <c r="A305" s="141">
        <f t="shared" si="24"/>
        <v>0</v>
      </c>
      <c r="B305" s="132"/>
      <c r="C305" s="147">
        <v>20</v>
      </c>
      <c r="D305" s="122" t="s">
        <v>182</v>
      </c>
      <c r="E305" s="181"/>
      <c r="F305" s="181"/>
      <c r="G305" s="120">
        <f t="shared" si="23"/>
        <v>0</v>
      </c>
      <c r="H305" s="120">
        <f t="shared" si="26"/>
        <v>0.875</v>
      </c>
      <c r="I305" s="120">
        <f t="shared" si="25"/>
        <v>0</v>
      </c>
      <c r="L305" s="121"/>
      <c r="M305" s="121"/>
      <c r="N305" s="118"/>
    </row>
    <row r="306" spans="1:14">
      <c r="A306" s="141">
        <f t="shared" si="24"/>
        <v>0</v>
      </c>
      <c r="B306" s="132"/>
      <c r="C306" s="147">
        <v>42</v>
      </c>
      <c r="D306" s="122" t="s">
        <v>183</v>
      </c>
      <c r="E306" s="181"/>
      <c r="F306" s="181"/>
      <c r="G306" s="120">
        <f t="shared" si="23"/>
        <v>0</v>
      </c>
      <c r="H306" s="120">
        <f t="shared" si="26"/>
        <v>0.875</v>
      </c>
      <c r="I306" s="120">
        <f t="shared" si="25"/>
        <v>0</v>
      </c>
      <c r="L306" s="121"/>
      <c r="M306" s="121"/>
      <c r="N306" s="118"/>
    </row>
    <row r="307" spans="1:14">
      <c r="A307" s="141">
        <f t="shared" si="24"/>
        <v>0</v>
      </c>
      <c r="B307" s="126"/>
      <c r="C307" s="147">
        <v>15</v>
      </c>
      <c r="D307" s="130" t="s">
        <v>161</v>
      </c>
      <c r="E307" s="181"/>
      <c r="F307" s="181"/>
      <c r="G307" s="120">
        <f t="shared" si="23"/>
        <v>0</v>
      </c>
      <c r="H307" s="120">
        <f t="shared" si="26"/>
        <v>0.875</v>
      </c>
      <c r="I307" s="120">
        <f t="shared" si="25"/>
        <v>0</v>
      </c>
      <c r="L307" s="121"/>
      <c r="M307" s="121"/>
      <c r="N307" s="118"/>
    </row>
    <row r="308" spans="1:14">
      <c r="A308" s="141">
        <f t="shared" si="24"/>
        <v>0</v>
      </c>
      <c r="B308" s="126"/>
      <c r="C308" s="147">
        <v>23</v>
      </c>
      <c r="D308" s="122" t="s">
        <v>162</v>
      </c>
      <c r="E308" s="181"/>
      <c r="F308" s="181"/>
      <c r="G308" s="120">
        <f t="shared" si="23"/>
        <v>0</v>
      </c>
      <c r="H308" s="120">
        <f t="shared" si="26"/>
        <v>0.875</v>
      </c>
      <c r="I308" s="120">
        <f t="shared" si="25"/>
        <v>0</v>
      </c>
      <c r="L308" s="121"/>
      <c r="M308" s="121"/>
      <c r="N308" s="143"/>
    </row>
    <row r="309" spans="1:14">
      <c r="A309" s="141">
        <f t="shared" si="24"/>
        <v>0</v>
      </c>
      <c r="B309" s="126"/>
      <c r="C309" s="147">
        <v>21</v>
      </c>
      <c r="D309" s="122" t="s">
        <v>163</v>
      </c>
      <c r="E309" s="181"/>
      <c r="F309" s="181"/>
      <c r="G309" s="120">
        <f t="shared" si="23"/>
        <v>0</v>
      </c>
      <c r="H309" s="120">
        <f t="shared" si="26"/>
        <v>0.875</v>
      </c>
      <c r="I309" s="120">
        <f t="shared" si="25"/>
        <v>0</v>
      </c>
      <c r="L309" s="121"/>
      <c r="M309" s="121"/>
      <c r="N309" s="118"/>
    </row>
    <row r="310" spans="1:14">
      <c r="A310" s="141">
        <f t="shared" si="24"/>
        <v>0</v>
      </c>
      <c r="B310" s="126"/>
      <c r="C310" s="99">
        <v>44</v>
      </c>
      <c r="D310" s="138" t="s">
        <v>164</v>
      </c>
      <c r="E310" s="181"/>
      <c r="F310" s="181"/>
      <c r="G310" s="120">
        <f t="shared" si="23"/>
        <v>0</v>
      </c>
      <c r="H310" s="120">
        <f t="shared" si="26"/>
        <v>0.875</v>
      </c>
      <c r="I310" s="120">
        <f t="shared" si="25"/>
        <v>0</v>
      </c>
      <c r="L310" s="121"/>
      <c r="M310" s="121"/>
      <c r="N310" s="118"/>
    </row>
    <row r="311" spans="1:14">
      <c r="A311" s="141">
        <f t="shared" si="24"/>
        <v>0</v>
      </c>
      <c r="B311" s="126"/>
      <c r="C311" s="147">
        <v>27</v>
      </c>
      <c r="D311" s="122" t="s">
        <v>165</v>
      </c>
      <c r="E311" s="181"/>
      <c r="F311" s="181"/>
      <c r="G311" s="120">
        <f t="shared" ref="G311:G374" si="27">IFERROR(IF((E311-$F$2)&lt;=$H$3,0,E311-$F$2),"غياب")</f>
        <v>0</v>
      </c>
      <c r="H311" s="120">
        <f t="shared" si="26"/>
        <v>0.875</v>
      </c>
      <c r="I311" s="120">
        <f t="shared" si="25"/>
        <v>0</v>
      </c>
      <c r="L311" s="121"/>
      <c r="M311" s="121"/>
      <c r="N311" s="143"/>
    </row>
    <row r="312" spans="1:14">
      <c r="A312" s="141">
        <f t="shared" si="24"/>
        <v>0</v>
      </c>
      <c r="B312" s="126"/>
      <c r="C312" s="147">
        <v>25</v>
      </c>
      <c r="D312" s="122" t="s">
        <v>166</v>
      </c>
      <c r="E312" s="181"/>
      <c r="F312" s="181"/>
      <c r="G312" s="120">
        <f t="shared" si="27"/>
        <v>0</v>
      </c>
      <c r="H312" s="120">
        <f t="shared" si="26"/>
        <v>0.875</v>
      </c>
      <c r="I312" s="120">
        <f t="shared" si="25"/>
        <v>0</v>
      </c>
      <c r="L312" s="121"/>
      <c r="M312" s="121"/>
      <c r="N312" s="143"/>
    </row>
    <row r="313" spans="1:14">
      <c r="A313" s="141">
        <f t="shared" si="24"/>
        <v>0</v>
      </c>
      <c r="B313" s="126"/>
      <c r="C313" s="147">
        <v>32</v>
      </c>
      <c r="D313" s="122" t="s">
        <v>167</v>
      </c>
      <c r="E313" s="181"/>
      <c r="F313" s="181"/>
      <c r="G313" s="120">
        <f t="shared" si="27"/>
        <v>0</v>
      </c>
      <c r="H313" s="120">
        <f t="shared" si="26"/>
        <v>0.875</v>
      </c>
      <c r="I313" s="120">
        <f t="shared" si="25"/>
        <v>0</v>
      </c>
      <c r="L313" s="121"/>
      <c r="M313" s="121"/>
      <c r="N313" s="143"/>
    </row>
    <row r="314" spans="1:14">
      <c r="A314" s="141">
        <f t="shared" si="24"/>
        <v>0</v>
      </c>
      <c r="B314" s="126"/>
      <c r="C314" s="147">
        <v>36</v>
      </c>
      <c r="D314" s="122" t="s">
        <v>168</v>
      </c>
      <c r="E314" s="181"/>
      <c r="F314" s="181"/>
      <c r="G314" s="120">
        <f t="shared" si="27"/>
        <v>0</v>
      </c>
      <c r="H314" s="120">
        <f t="shared" si="26"/>
        <v>0.875</v>
      </c>
      <c r="I314" s="120">
        <f t="shared" si="25"/>
        <v>0</v>
      </c>
      <c r="L314" s="121"/>
      <c r="M314" s="121"/>
      <c r="N314" s="143"/>
    </row>
    <row r="315" spans="1:14">
      <c r="A315" s="141">
        <f t="shared" si="24"/>
        <v>0</v>
      </c>
      <c r="B315" s="126"/>
      <c r="C315" s="147">
        <v>16</v>
      </c>
      <c r="D315" s="122" t="s">
        <v>169</v>
      </c>
      <c r="E315" s="181"/>
      <c r="F315" s="181"/>
      <c r="G315" s="120">
        <f t="shared" si="27"/>
        <v>0</v>
      </c>
      <c r="H315" s="120">
        <f t="shared" si="26"/>
        <v>0.875</v>
      </c>
      <c r="I315" s="120">
        <f t="shared" si="25"/>
        <v>0</v>
      </c>
      <c r="L315" s="121"/>
      <c r="M315" s="121"/>
      <c r="N315" s="118"/>
    </row>
    <row r="316" spans="1:14">
      <c r="A316" s="141">
        <f t="shared" si="24"/>
        <v>0</v>
      </c>
      <c r="B316" s="126"/>
      <c r="C316" s="147">
        <v>1</v>
      </c>
      <c r="D316" s="122" t="s">
        <v>170</v>
      </c>
      <c r="E316" s="181"/>
      <c r="F316" s="181"/>
      <c r="G316" s="120">
        <f t="shared" si="27"/>
        <v>0</v>
      </c>
      <c r="H316" s="120">
        <f t="shared" si="26"/>
        <v>0.875</v>
      </c>
      <c r="I316" s="120">
        <f t="shared" si="25"/>
        <v>0</v>
      </c>
      <c r="L316" s="121"/>
      <c r="M316" s="121"/>
    </row>
    <row r="317" spans="1:14">
      <c r="A317" s="141">
        <f t="shared" si="24"/>
        <v>0</v>
      </c>
      <c r="B317" s="126"/>
      <c r="C317" s="147">
        <v>19</v>
      </c>
      <c r="D317" s="122" t="s">
        <v>171</v>
      </c>
      <c r="E317" s="181"/>
      <c r="F317" s="181"/>
      <c r="G317" s="120">
        <f t="shared" si="27"/>
        <v>0</v>
      </c>
      <c r="H317" s="120">
        <f t="shared" si="26"/>
        <v>0.875</v>
      </c>
      <c r="I317" s="120">
        <f t="shared" si="25"/>
        <v>0</v>
      </c>
      <c r="L317" s="121"/>
      <c r="M317" s="121"/>
    </row>
    <row r="318" spans="1:14">
      <c r="A318" s="141">
        <f t="shared" si="24"/>
        <v>0</v>
      </c>
      <c r="B318" s="126"/>
      <c r="C318" s="147">
        <v>34</v>
      </c>
      <c r="D318" s="122" t="s">
        <v>172</v>
      </c>
      <c r="E318" s="181"/>
      <c r="F318" s="181"/>
      <c r="G318" s="120">
        <f t="shared" si="27"/>
        <v>0</v>
      </c>
      <c r="H318" s="120">
        <f t="shared" si="26"/>
        <v>0.875</v>
      </c>
      <c r="I318" s="120">
        <f t="shared" si="25"/>
        <v>0</v>
      </c>
      <c r="L318" s="121"/>
      <c r="M318" s="121"/>
    </row>
    <row r="319" spans="1:14">
      <c r="A319" s="141">
        <f t="shared" si="24"/>
        <v>0</v>
      </c>
      <c r="B319" s="126"/>
      <c r="C319" s="147">
        <v>30</v>
      </c>
      <c r="D319" s="122" t="s">
        <v>173</v>
      </c>
      <c r="E319" s="181"/>
      <c r="F319" s="181"/>
      <c r="G319" s="120">
        <f t="shared" si="27"/>
        <v>0</v>
      </c>
      <c r="H319" s="120">
        <f t="shared" si="26"/>
        <v>0.875</v>
      </c>
      <c r="I319" s="120">
        <f t="shared" si="25"/>
        <v>0</v>
      </c>
      <c r="L319" s="121"/>
      <c r="M319" s="121"/>
    </row>
    <row r="320" spans="1:14">
      <c r="A320" s="141">
        <f t="shared" si="24"/>
        <v>0</v>
      </c>
      <c r="B320" s="126"/>
      <c r="C320" s="147">
        <v>3</v>
      </c>
      <c r="D320" s="122" t="s">
        <v>174</v>
      </c>
      <c r="E320" s="181"/>
      <c r="F320" s="181"/>
      <c r="G320" s="120">
        <f t="shared" si="27"/>
        <v>0</v>
      </c>
      <c r="H320" s="120">
        <f t="shared" si="26"/>
        <v>0.875</v>
      </c>
      <c r="I320" s="120">
        <f t="shared" si="25"/>
        <v>0</v>
      </c>
      <c r="L320" s="121"/>
      <c r="M320" s="121"/>
    </row>
    <row r="321" spans="1:13">
      <c r="A321" s="141">
        <f t="shared" si="24"/>
        <v>0</v>
      </c>
      <c r="B321" s="126"/>
      <c r="C321" s="147">
        <v>33</v>
      </c>
      <c r="D321" s="122" t="s">
        <v>175</v>
      </c>
      <c r="E321" s="181"/>
      <c r="F321" s="181"/>
      <c r="G321" s="120">
        <f t="shared" si="27"/>
        <v>0</v>
      </c>
      <c r="H321" s="120">
        <f t="shared" si="26"/>
        <v>0.875</v>
      </c>
      <c r="I321" s="120">
        <f t="shared" si="25"/>
        <v>0</v>
      </c>
      <c r="L321" s="121"/>
      <c r="M321" s="121"/>
    </row>
    <row r="322" spans="1:13">
      <c r="A322" s="141">
        <f t="shared" si="24"/>
        <v>0</v>
      </c>
      <c r="B322" s="126"/>
      <c r="C322" s="147">
        <v>11</v>
      </c>
      <c r="D322" s="122" t="s">
        <v>176</v>
      </c>
      <c r="E322" s="181"/>
      <c r="F322" s="181"/>
      <c r="G322" s="120">
        <f t="shared" si="27"/>
        <v>0</v>
      </c>
      <c r="H322" s="120">
        <f t="shared" si="26"/>
        <v>0.875</v>
      </c>
      <c r="I322" s="120">
        <f t="shared" si="25"/>
        <v>0</v>
      </c>
      <c r="L322" s="121"/>
      <c r="M322" s="121"/>
    </row>
    <row r="323" spans="1:13">
      <c r="A323" s="141">
        <f t="shared" si="24"/>
        <v>0</v>
      </c>
      <c r="B323" s="126"/>
      <c r="C323" s="147">
        <v>4</v>
      </c>
      <c r="D323" s="122" t="s">
        <v>177</v>
      </c>
      <c r="E323" s="181"/>
      <c r="F323" s="181"/>
      <c r="G323" s="120">
        <f t="shared" si="27"/>
        <v>0</v>
      </c>
      <c r="H323" s="120">
        <f t="shared" si="26"/>
        <v>0.875</v>
      </c>
      <c r="I323" s="120">
        <f t="shared" si="25"/>
        <v>0</v>
      </c>
      <c r="L323" s="121"/>
      <c r="M323" s="121"/>
    </row>
    <row r="324" spans="1:13">
      <c r="A324" s="141">
        <f t="shared" si="24"/>
        <v>0</v>
      </c>
      <c r="B324" s="126"/>
      <c r="C324" s="147">
        <v>35</v>
      </c>
      <c r="D324" s="122" t="s">
        <v>178</v>
      </c>
      <c r="E324" s="181"/>
      <c r="F324" s="181"/>
      <c r="G324" s="120">
        <f t="shared" si="27"/>
        <v>0</v>
      </c>
      <c r="H324" s="120">
        <f t="shared" si="26"/>
        <v>0.875</v>
      </c>
      <c r="I324" s="120">
        <f t="shared" si="25"/>
        <v>0</v>
      </c>
      <c r="L324" s="121"/>
      <c r="M324" s="121"/>
    </row>
    <row r="325" spans="1:13">
      <c r="A325" s="141">
        <f t="shared" si="24"/>
        <v>0</v>
      </c>
      <c r="B325" s="126"/>
      <c r="C325" s="147">
        <v>6</v>
      </c>
      <c r="D325" s="122" t="s">
        <v>179</v>
      </c>
      <c r="E325" s="181"/>
      <c r="F325" s="181"/>
      <c r="G325" s="120">
        <f t="shared" si="27"/>
        <v>0</v>
      </c>
      <c r="H325" s="120">
        <f t="shared" si="26"/>
        <v>0.875</v>
      </c>
      <c r="I325" s="120">
        <f t="shared" si="25"/>
        <v>0</v>
      </c>
      <c r="L325" s="121"/>
      <c r="M325" s="121"/>
    </row>
    <row r="326" spans="1:13">
      <c r="A326" s="141">
        <f t="shared" si="24"/>
        <v>0</v>
      </c>
      <c r="B326" s="126"/>
      <c r="C326" s="147">
        <v>41</v>
      </c>
      <c r="D326" s="122" t="s">
        <v>180</v>
      </c>
      <c r="E326" s="181"/>
      <c r="F326" s="181"/>
      <c r="G326" s="120">
        <f t="shared" si="27"/>
        <v>0</v>
      </c>
      <c r="H326" s="120">
        <f t="shared" si="26"/>
        <v>0.875</v>
      </c>
      <c r="I326" s="120">
        <f t="shared" si="25"/>
        <v>0</v>
      </c>
      <c r="L326" s="121"/>
      <c r="M326" s="121"/>
    </row>
    <row r="327" spans="1:13">
      <c r="A327" s="141">
        <f t="shared" si="24"/>
        <v>0</v>
      </c>
      <c r="B327" s="126"/>
      <c r="C327" s="147">
        <v>28</v>
      </c>
      <c r="D327" s="122" t="s">
        <v>181</v>
      </c>
      <c r="E327" s="181"/>
      <c r="F327" s="181"/>
      <c r="G327" s="120">
        <f t="shared" si="27"/>
        <v>0</v>
      </c>
      <c r="H327" s="120">
        <f t="shared" si="26"/>
        <v>0.875</v>
      </c>
      <c r="I327" s="120">
        <f t="shared" si="25"/>
        <v>0</v>
      </c>
      <c r="L327" s="121"/>
      <c r="M327" s="121"/>
    </row>
    <row r="328" spans="1:13">
      <c r="A328" s="141">
        <f t="shared" si="24"/>
        <v>0</v>
      </c>
      <c r="B328" s="126"/>
      <c r="C328" s="147">
        <v>20</v>
      </c>
      <c r="D328" s="122" t="s">
        <v>182</v>
      </c>
      <c r="E328" s="181"/>
      <c r="F328" s="181"/>
      <c r="G328" s="120">
        <f t="shared" si="27"/>
        <v>0</v>
      </c>
      <c r="H328" s="120">
        <f t="shared" si="26"/>
        <v>0.875</v>
      </c>
      <c r="I328" s="120">
        <f t="shared" si="25"/>
        <v>0</v>
      </c>
      <c r="L328" s="121"/>
      <c r="M328" s="121"/>
    </row>
    <row r="329" spans="1:13">
      <c r="A329" s="141">
        <f t="shared" ref="A329:A392" si="28">B329</f>
        <v>0</v>
      </c>
      <c r="B329" s="126"/>
      <c r="C329" s="147">
        <v>42</v>
      </c>
      <c r="D329" s="122" t="s">
        <v>183</v>
      </c>
      <c r="E329" s="181"/>
      <c r="F329" s="181"/>
      <c r="G329" s="120">
        <f t="shared" si="27"/>
        <v>0</v>
      </c>
      <c r="H329" s="120">
        <f t="shared" si="26"/>
        <v>0.875</v>
      </c>
      <c r="I329" s="120">
        <f t="shared" ref="I329:I392" si="29">IFERROR(IF((F329-$H$2)&lt;0,0,F329-$H$2),"0")</f>
        <v>0</v>
      </c>
      <c r="L329" s="121"/>
      <c r="M329" s="121"/>
    </row>
    <row r="330" spans="1:13">
      <c r="A330" s="141">
        <f t="shared" si="28"/>
        <v>0</v>
      </c>
      <c r="B330" s="126"/>
      <c r="C330" s="147">
        <v>15</v>
      </c>
      <c r="D330" s="130" t="s">
        <v>161</v>
      </c>
      <c r="E330" s="181"/>
      <c r="F330" s="181"/>
      <c r="G330" s="120">
        <f t="shared" si="27"/>
        <v>0</v>
      </c>
      <c r="H330" s="120">
        <f t="shared" ref="H330:H393" si="30">IF(($H$2-F330)&lt;0,0,$H$2-F330)</f>
        <v>0.875</v>
      </c>
      <c r="I330" s="120">
        <f t="shared" si="29"/>
        <v>0</v>
      </c>
      <c r="L330" s="119"/>
      <c r="M330" s="119"/>
    </row>
    <row r="331" spans="1:13">
      <c r="A331" s="141">
        <f t="shared" si="28"/>
        <v>0</v>
      </c>
      <c r="B331" s="126"/>
      <c r="C331" s="147">
        <v>23</v>
      </c>
      <c r="D331" s="122" t="s">
        <v>162</v>
      </c>
      <c r="E331" s="181"/>
      <c r="F331" s="181"/>
      <c r="G331" s="120">
        <f t="shared" si="27"/>
        <v>0</v>
      </c>
      <c r="H331" s="120">
        <f t="shared" si="30"/>
        <v>0.875</v>
      </c>
      <c r="I331" s="120">
        <f t="shared" si="29"/>
        <v>0</v>
      </c>
      <c r="L331" s="119"/>
      <c r="M331" s="119"/>
    </row>
    <row r="332" spans="1:13">
      <c r="A332" s="141">
        <f t="shared" si="28"/>
        <v>0</v>
      </c>
      <c r="B332" s="126"/>
      <c r="C332" s="147">
        <v>21</v>
      </c>
      <c r="D332" s="122" t="s">
        <v>163</v>
      </c>
      <c r="E332" s="181"/>
      <c r="F332" s="181"/>
      <c r="G332" s="120">
        <f t="shared" si="27"/>
        <v>0</v>
      </c>
      <c r="H332" s="120">
        <f t="shared" si="30"/>
        <v>0.875</v>
      </c>
      <c r="I332" s="120">
        <f t="shared" si="29"/>
        <v>0</v>
      </c>
      <c r="L332" s="119"/>
      <c r="M332" s="119"/>
    </row>
    <row r="333" spans="1:13">
      <c r="A333" s="141">
        <f t="shared" si="28"/>
        <v>0</v>
      </c>
      <c r="B333" s="126"/>
      <c r="C333" s="99">
        <v>44</v>
      </c>
      <c r="D333" s="138" t="s">
        <v>164</v>
      </c>
      <c r="E333" s="181"/>
      <c r="F333" s="181"/>
      <c r="G333" s="120">
        <f t="shared" si="27"/>
        <v>0</v>
      </c>
      <c r="H333" s="120">
        <f t="shared" si="30"/>
        <v>0.875</v>
      </c>
      <c r="I333" s="120">
        <f t="shared" si="29"/>
        <v>0</v>
      </c>
      <c r="L333" s="119"/>
      <c r="M333" s="119"/>
    </row>
    <row r="334" spans="1:13">
      <c r="A334" s="141">
        <f t="shared" si="28"/>
        <v>0</v>
      </c>
      <c r="B334" s="126"/>
      <c r="C334" s="147">
        <v>27</v>
      </c>
      <c r="D334" s="122" t="s">
        <v>165</v>
      </c>
      <c r="E334" s="181"/>
      <c r="F334" s="181"/>
      <c r="G334" s="120">
        <f t="shared" si="27"/>
        <v>0</v>
      </c>
      <c r="H334" s="120">
        <f t="shared" si="30"/>
        <v>0.875</v>
      </c>
      <c r="I334" s="120">
        <f t="shared" si="29"/>
        <v>0</v>
      </c>
      <c r="L334" s="119"/>
      <c r="M334" s="119"/>
    </row>
    <row r="335" spans="1:13">
      <c r="A335" s="141">
        <f t="shared" si="28"/>
        <v>0</v>
      </c>
      <c r="B335" s="126"/>
      <c r="C335" s="147">
        <v>25</v>
      </c>
      <c r="D335" s="122" t="s">
        <v>166</v>
      </c>
      <c r="E335" s="181"/>
      <c r="F335" s="181"/>
      <c r="G335" s="120">
        <f t="shared" si="27"/>
        <v>0</v>
      </c>
      <c r="H335" s="120">
        <f t="shared" si="30"/>
        <v>0.875</v>
      </c>
      <c r="I335" s="120">
        <f t="shared" si="29"/>
        <v>0</v>
      </c>
      <c r="L335" s="119"/>
      <c r="M335" s="119"/>
    </row>
    <row r="336" spans="1:13">
      <c r="A336" s="141">
        <f t="shared" si="28"/>
        <v>0</v>
      </c>
      <c r="B336" s="126"/>
      <c r="C336" s="147">
        <v>32</v>
      </c>
      <c r="D336" s="122" t="s">
        <v>167</v>
      </c>
      <c r="E336" s="181"/>
      <c r="F336" s="181"/>
      <c r="G336" s="120">
        <f t="shared" si="27"/>
        <v>0</v>
      </c>
      <c r="H336" s="120">
        <f t="shared" si="30"/>
        <v>0.875</v>
      </c>
      <c r="I336" s="120">
        <f t="shared" si="29"/>
        <v>0</v>
      </c>
      <c r="L336" s="119"/>
      <c r="M336" s="119"/>
    </row>
    <row r="337" spans="1:13">
      <c r="A337" s="141">
        <f t="shared" si="28"/>
        <v>0</v>
      </c>
      <c r="B337" s="126"/>
      <c r="C337" s="147">
        <v>36</v>
      </c>
      <c r="D337" s="122" t="s">
        <v>168</v>
      </c>
      <c r="E337" s="181"/>
      <c r="F337" s="181"/>
      <c r="G337" s="120">
        <f t="shared" si="27"/>
        <v>0</v>
      </c>
      <c r="H337" s="120">
        <f t="shared" si="30"/>
        <v>0.875</v>
      </c>
      <c r="I337" s="120">
        <f t="shared" si="29"/>
        <v>0</v>
      </c>
      <c r="L337" s="119"/>
      <c r="M337" s="119"/>
    </row>
    <row r="338" spans="1:13">
      <c r="A338" s="141">
        <f t="shared" si="28"/>
        <v>0</v>
      </c>
      <c r="B338" s="126"/>
      <c r="C338" s="147">
        <v>16</v>
      </c>
      <c r="D338" s="122" t="s">
        <v>169</v>
      </c>
      <c r="E338" s="181"/>
      <c r="F338" s="181"/>
      <c r="G338" s="120">
        <f t="shared" si="27"/>
        <v>0</v>
      </c>
      <c r="H338" s="120">
        <f t="shared" si="30"/>
        <v>0.875</v>
      </c>
      <c r="I338" s="120">
        <f t="shared" si="29"/>
        <v>0</v>
      </c>
      <c r="L338" s="119"/>
      <c r="M338" s="119"/>
    </row>
    <row r="339" spans="1:13">
      <c r="A339" s="141">
        <f t="shared" si="28"/>
        <v>0</v>
      </c>
      <c r="B339" s="126"/>
      <c r="C339" s="147">
        <v>1</v>
      </c>
      <c r="D339" s="122" t="s">
        <v>170</v>
      </c>
      <c r="E339" s="181"/>
      <c r="F339" s="181"/>
      <c r="G339" s="120">
        <f t="shared" si="27"/>
        <v>0</v>
      </c>
      <c r="H339" s="120">
        <f t="shared" si="30"/>
        <v>0.875</v>
      </c>
      <c r="I339" s="120">
        <f t="shared" si="29"/>
        <v>0</v>
      </c>
      <c r="L339" s="119"/>
      <c r="M339" s="119"/>
    </row>
    <row r="340" spans="1:13">
      <c r="A340" s="141">
        <f t="shared" si="28"/>
        <v>0</v>
      </c>
      <c r="B340" s="126"/>
      <c r="C340" s="147">
        <v>19</v>
      </c>
      <c r="D340" s="122" t="s">
        <v>171</v>
      </c>
      <c r="E340" s="181"/>
      <c r="F340" s="181"/>
      <c r="G340" s="120">
        <f t="shared" si="27"/>
        <v>0</v>
      </c>
      <c r="H340" s="120">
        <f t="shared" si="30"/>
        <v>0.875</v>
      </c>
      <c r="I340" s="120">
        <f t="shared" si="29"/>
        <v>0</v>
      </c>
      <c r="L340" s="119"/>
      <c r="M340" s="119"/>
    </row>
    <row r="341" spans="1:13">
      <c r="A341" s="141">
        <f t="shared" si="28"/>
        <v>0</v>
      </c>
      <c r="B341" s="126"/>
      <c r="C341" s="147">
        <v>34</v>
      </c>
      <c r="D341" s="122" t="s">
        <v>172</v>
      </c>
      <c r="E341" s="181"/>
      <c r="F341" s="181"/>
      <c r="G341" s="120">
        <f t="shared" si="27"/>
        <v>0</v>
      </c>
      <c r="H341" s="120">
        <f t="shared" si="30"/>
        <v>0.875</v>
      </c>
      <c r="I341" s="120">
        <f t="shared" si="29"/>
        <v>0</v>
      </c>
      <c r="L341" s="119"/>
      <c r="M341" s="119"/>
    </row>
    <row r="342" spans="1:13">
      <c r="A342" s="141">
        <f t="shared" si="28"/>
        <v>0</v>
      </c>
      <c r="B342" s="126"/>
      <c r="C342" s="147">
        <v>30</v>
      </c>
      <c r="D342" s="122" t="s">
        <v>173</v>
      </c>
      <c r="E342" s="181"/>
      <c r="F342" s="181"/>
      <c r="G342" s="120">
        <f t="shared" si="27"/>
        <v>0</v>
      </c>
      <c r="H342" s="120">
        <f t="shared" si="30"/>
        <v>0.875</v>
      </c>
      <c r="I342" s="120">
        <f t="shared" si="29"/>
        <v>0</v>
      </c>
      <c r="L342" s="119"/>
      <c r="M342" s="119"/>
    </row>
    <row r="343" spans="1:13">
      <c r="A343" s="141">
        <f t="shared" si="28"/>
        <v>0</v>
      </c>
      <c r="B343" s="126"/>
      <c r="C343" s="147">
        <v>3</v>
      </c>
      <c r="D343" s="122" t="s">
        <v>174</v>
      </c>
      <c r="E343" s="181"/>
      <c r="F343" s="181"/>
      <c r="G343" s="120">
        <f t="shared" si="27"/>
        <v>0</v>
      </c>
      <c r="H343" s="120">
        <f t="shared" si="30"/>
        <v>0.875</v>
      </c>
      <c r="I343" s="120">
        <f t="shared" si="29"/>
        <v>0</v>
      </c>
      <c r="L343" s="119"/>
      <c r="M343" s="119"/>
    </row>
    <row r="344" spans="1:13">
      <c r="A344" s="141">
        <f t="shared" si="28"/>
        <v>0</v>
      </c>
      <c r="B344" s="126"/>
      <c r="C344" s="147">
        <v>33</v>
      </c>
      <c r="D344" s="122" t="s">
        <v>175</v>
      </c>
      <c r="E344" s="181"/>
      <c r="F344" s="181"/>
      <c r="G344" s="120">
        <f t="shared" si="27"/>
        <v>0</v>
      </c>
      <c r="H344" s="120">
        <f t="shared" si="30"/>
        <v>0.875</v>
      </c>
      <c r="I344" s="120">
        <f t="shared" si="29"/>
        <v>0</v>
      </c>
      <c r="L344" s="119"/>
      <c r="M344" s="119"/>
    </row>
    <row r="345" spans="1:13">
      <c r="A345" s="141">
        <f t="shared" si="28"/>
        <v>0</v>
      </c>
      <c r="B345" s="126"/>
      <c r="C345" s="147">
        <v>11</v>
      </c>
      <c r="D345" s="122" t="s">
        <v>176</v>
      </c>
      <c r="E345" s="181"/>
      <c r="F345" s="181"/>
      <c r="G345" s="120">
        <f t="shared" si="27"/>
        <v>0</v>
      </c>
      <c r="H345" s="120">
        <f t="shared" si="30"/>
        <v>0.875</v>
      </c>
      <c r="I345" s="120">
        <f t="shared" si="29"/>
        <v>0</v>
      </c>
      <c r="L345" s="119"/>
      <c r="M345" s="119"/>
    </row>
    <row r="346" spans="1:13">
      <c r="A346" s="141">
        <f t="shared" si="28"/>
        <v>0</v>
      </c>
      <c r="B346" s="126"/>
      <c r="C346" s="147">
        <v>4</v>
      </c>
      <c r="D346" s="122" t="s">
        <v>177</v>
      </c>
      <c r="E346" s="181"/>
      <c r="F346" s="181"/>
      <c r="G346" s="120">
        <f t="shared" si="27"/>
        <v>0</v>
      </c>
      <c r="H346" s="120">
        <f t="shared" si="30"/>
        <v>0.875</v>
      </c>
      <c r="I346" s="120">
        <f t="shared" si="29"/>
        <v>0</v>
      </c>
      <c r="L346" s="119"/>
      <c r="M346" s="119"/>
    </row>
    <row r="347" spans="1:13">
      <c r="A347" s="141">
        <f t="shared" si="28"/>
        <v>0</v>
      </c>
      <c r="B347" s="126"/>
      <c r="C347" s="147">
        <v>35</v>
      </c>
      <c r="D347" s="122" t="s">
        <v>178</v>
      </c>
      <c r="E347" s="181"/>
      <c r="F347" s="181"/>
      <c r="G347" s="120">
        <f t="shared" si="27"/>
        <v>0</v>
      </c>
      <c r="H347" s="120">
        <f t="shared" si="30"/>
        <v>0.875</v>
      </c>
      <c r="I347" s="120">
        <f t="shared" si="29"/>
        <v>0</v>
      </c>
      <c r="L347" s="119"/>
      <c r="M347" s="119"/>
    </row>
    <row r="348" spans="1:13">
      <c r="A348" s="141">
        <f t="shared" si="28"/>
        <v>0</v>
      </c>
      <c r="B348" s="126"/>
      <c r="C348" s="147">
        <v>6</v>
      </c>
      <c r="D348" s="122" t="s">
        <v>179</v>
      </c>
      <c r="E348" s="181"/>
      <c r="F348" s="181"/>
      <c r="G348" s="120">
        <f t="shared" si="27"/>
        <v>0</v>
      </c>
      <c r="H348" s="120">
        <f t="shared" si="30"/>
        <v>0.875</v>
      </c>
      <c r="I348" s="120">
        <f t="shared" si="29"/>
        <v>0</v>
      </c>
      <c r="L348" s="119"/>
      <c r="M348" s="119"/>
    </row>
    <row r="349" spans="1:13">
      <c r="A349" s="141">
        <f t="shared" si="28"/>
        <v>0</v>
      </c>
      <c r="B349" s="126"/>
      <c r="C349" s="147">
        <v>41</v>
      </c>
      <c r="D349" s="122" t="s">
        <v>180</v>
      </c>
      <c r="E349" s="181"/>
      <c r="F349" s="181"/>
      <c r="G349" s="120">
        <f t="shared" si="27"/>
        <v>0</v>
      </c>
      <c r="H349" s="120">
        <f t="shared" si="30"/>
        <v>0.875</v>
      </c>
      <c r="I349" s="120">
        <f t="shared" si="29"/>
        <v>0</v>
      </c>
      <c r="L349" s="119"/>
      <c r="M349" s="119"/>
    </row>
    <row r="350" spans="1:13">
      <c r="A350" s="141">
        <f t="shared" si="28"/>
        <v>0</v>
      </c>
      <c r="B350" s="126"/>
      <c r="C350" s="147">
        <v>28</v>
      </c>
      <c r="D350" s="122" t="s">
        <v>181</v>
      </c>
      <c r="E350" s="181"/>
      <c r="F350" s="181"/>
      <c r="G350" s="120">
        <f t="shared" si="27"/>
        <v>0</v>
      </c>
      <c r="H350" s="120">
        <f t="shared" si="30"/>
        <v>0.875</v>
      </c>
      <c r="I350" s="120">
        <f t="shared" si="29"/>
        <v>0</v>
      </c>
      <c r="L350" s="119"/>
      <c r="M350" s="119"/>
    </row>
    <row r="351" spans="1:13">
      <c r="A351" s="141">
        <f t="shared" si="28"/>
        <v>0</v>
      </c>
      <c r="B351" s="126"/>
      <c r="C351" s="147">
        <v>20</v>
      </c>
      <c r="D351" s="122" t="s">
        <v>182</v>
      </c>
      <c r="E351" s="181"/>
      <c r="F351" s="181"/>
      <c r="G351" s="120">
        <f t="shared" si="27"/>
        <v>0</v>
      </c>
      <c r="H351" s="120">
        <f t="shared" si="30"/>
        <v>0.875</v>
      </c>
      <c r="I351" s="120">
        <f t="shared" si="29"/>
        <v>0</v>
      </c>
      <c r="L351" s="119"/>
      <c r="M351" s="119"/>
    </row>
    <row r="352" spans="1:13">
      <c r="A352" s="141">
        <f t="shared" si="28"/>
        <v>0</v>
      </c>
      <c r="B352" s="126"/>
      <c r="C352" s="147">
        <v>42</v>
      </c>
      <c r="D352" s="122" t="s">
        <v>183</v>
      </c>
      <c r="E352" s="181"/>
      <c r="F352" s="181"/>
      <c r="G352" s="120">
        <f t="shared" si="27"/>
        <v>0</v>
      </c>
      <c r="H352" s="120">
        <f t="shared" si="30"/>
        <v>0.875</v>
      </c>
      <c r="I352" s="120">
        <f t="shared" si="29"/>
        <v>0</v>
      </c>
      <c r="L352" s="119"/>
      <c r="M352" s="119"/>
    </row>
    <row r="353" spans="1:13">
      <c r="A353" s="141">
        <f t="shared" si="28"/>
        <v>0</v>
      </c>
      <c r="B353" s="126"/>
      <c r="C353" s="147">
        <v>15</v>
      </c>
      <c r="D353" s="130" t="s">
        <v>161</v>
      </c>
      <c r="E353" s="181"/>
      <c r="F353" s="181"/>
      <c r="G353" s="120">
        <f t="shared" si="27"/>
        <v>0</v>
      </c>
      <c r="H353" s="120">
        <f t="shared" si="30"/>
        <v>0.875</v>
      </c>
      <c r="I353" s="120">
        <f t="shared" si="29"/>
        <v>0</v>
      </c>
      <c r="L353" s="119"/>
      <c r="M353" s="119"/>
    </row>
    <row r="354" spans="1:13">
      <c r="A354" s="141">
        <f t="shared" si="28"/>
        <v>0</v>
      </c>
      <c r="B354" s="126"/>
      <c r="C354" s="147">
        <v>23</v>
      </c>
      <c r="D354" s="122" t="s">
        <v>162</v>
      </c>
      <c r="E354" s="181"/>
      <c r="F354" s="181"/>
      <c r="G354" s="120">
        <f t="shared" si="27"/>
        <v>0</v>
      </c>
      <c r="H354" s="120">
        <f t="shared" si="30"/>
        <v>0.875</v>
      </c>
      <c r="I354" s="120">
        <f t="shared" si="29"/>
        <v>0</v>
      </c>
      <c r="L354" s="119"/>
      <c r="M354" s="119"/>
    </row>
    <row r="355" spans="1:13">
      <c r="A355" s="141">
        <f t="shared" si="28"/>
        <v>0</v>
      </c>
      <c r="B355" s="126"/>
      <c r="C355" s="147">
        <v>21</v>
      </c>
      <c r="D355" s="122" t="s">
        <v>163</v>
      </c>
      <c r="E355" s="181"/>
      <c r="F355" s="181"/>
      <c r="G355" s="120">
        <f t="shared" si="27"/>
        <v>0</v>
      </c>
      <c r="H355" s="120">
        <f t="shared" si="30"/>
        <v>0.875</v>
      </c>
      <c r="I355" s="120">
        <f t="shared" si="29"/>
        <v>0</v>
      </c>
      <c r="L355" s="119"/>
      <c r="M355" s="119"/>
    </row>
    <row r="356" spans="1:13">
      <c r="A356" s="141">
        <f t="shared" si="28"/>
        <v>0</v>
      </c>
      <c r="B356" s="126"/>
      <c r="C356" s="99">
        <v>44</v>
      </c>
      <c r="D356" s="138" t="s">
        <v>164</v>
      </c>
      <c r="E356" s="181"/>
      <c r="F356" s="181"/>
      <c r="G356" s="120">
        <f t="shared" si="27"/>
        <v>0</v>
      </c>
      <c r="H356" s="120">
        <f t="shared" si="30"/>
        <v>0.875</v>
      </c>
      <c r="I356" s="120">
        <f t="shared" si="29"/>
        <v>0</v>
      </c>
      <c r="L356" s="119"/>
      <c r="M356" s="119"/>
    </row>
    <row r="357" spans="1:13">
      <c r="A357" s="141">
        <f t="shared" si="28"/>
        <v>0</v>
      </c>
      <c r="B357" s="126"/>
      <c r="C357" s="147">
        <v>27</v>
      </c>
      <c r="D357" s="122" t="s">
        <v>165</v>
      </c>
      <c r="E357" s="181"/>
      <c r="F357" s="181"/>
      <c r="G357" s="120">
        <f t="shared" si="27"/>
        <v>0</v>
      </c>
      <c r="H357" s="120">
        <f t="shared" si="30"/>
        <v>0.875</v>
      </c>
      <c r="I357" s="120">
        <f t="shared" si="29"/>
        <v>0</v>
      </c>
      <c r="L357" s="119"/>
      <c r="M357" s="119"/>
    </row>
    <row r="358" spans="1:13">
      <c r="A358" s="141">
        <f t="shared" si="28"/>
        <v>0</v>
      </c>
      <c r="B358" s="126"/>
      <c r="C358" s="147">
        <v>25</v>
      </c>
      <c r="D358" s="122" t="s">
        <v>166</v>
      </c>
      <c r="E358" s="181"/>
      <c r="F358" s="181"/>
      <c r="G358" s="120">
        <f t="shared" si="27"/>
        <v>0</v>
      </c>
      <c r="H358" s="120">
        <f t="shared" si="30"/>
        <v>0.875</v>
      </c>
      <c r="I358" s="120">
        <f t="shared" si="29"/>
        <v>0</v>
      </c>
      <c r="L358" s="119"/>
      <c r="M358" s="119"/>
    </row>
    <row r="359" spans="1:13">
      <c r="A359" s="141">
        <f t="shared" si="28"/>
        <v>0</v>
      </c>
      <c r="B359" s="126"/>
      <c r="C359" s="147">
        <v>32</v>
      </c>
      <c r="D359" s="122" t="s">
        <v>167</v>
      </c>
      <c r="E359" s="181"/>
      <c r="F359" s="181"/>
      <c r="G359" s="120">
        <f t="shared" si="27"/>
        <v>0</v>
      </c>
      <c r="H359" s="120">
        <f t="shared" si="30"/>
        <v>0.875</v>
      </c>
      <c r="I359" s="120">
        <f t="shared" si="29"/>
        <v>0</v>
      </c>
      <c r="L359" s="119"/>
      <c r="M359" s="119"/>
    </row>
    <row r="360" spans="1:13">
      <c r="A360" s="141">
        <f t="shared" si="28"/>
        <v>0</v>
      </c>
      <c r="B360" s="126"/>
      <c r="C360" s="147">
        <v>36</v>
      </c>
      <c r="D360" s="122" t="s">
        <v>168</v>
      </c>
      <c r="E360" s="181"/>
      <c r="F360" s="181"/>
      <c r="G360" s="120">
        <f t="shared" si="27"/>
        <v>0</v>
      </c>
      <c r="H360" s="120">
        <f t="shared" si="30"/>
        <v>0.875</v>
      </c>
      <c r="I360" s="120">
        <f t="shared" si="29"/>
        <v>0</v>
      </c>
      <c r="L360" s="119"/>
      <c r="M360" s="119"/>
    </row>
    <row r="361" spans="1:13">
      <c r="A361" s="141">
        <f t="shared" si="28"/>
        <v>0</v>
      </c>
      <c r="B361" s="126"/>
      <c r="C361" s="147">
        <v>16</v>
      </c>
      <c r="D361" s="122" t="s">
        <v>169</v>
      </c>
      <c r="E361" s="181"/>
      <c r="F361" s="181"/>
      <c r="G361" s="120">
        <f t="shared" si="27"/>
        <v>0</v>
      </c>
      <c r="H361" s="120">
        <f t="shared" si="30"/>
        <v>0.875</v>
      </c>
      <c r="I361" s="120">
        <f t="shared" si="29"/>
        <v>0</v>
      </c>
      <c r="L361" s="119"/>
      <c r="M361" s="119"/>
    </row>
    <row r="362" spans="1:13">
      <c r="A362" s="141">
        <f t="shared" si="28"/>
        <v>0</v>
      </c>
      <c r="B362" s="126"/>
      <c r="C362" s="147">
        <v>1</v>
      </c>
      <c r="D362" s="122" t="s">
        <v>170</v>
      </c>
      <c r="E362" s="181"/>
      <c r="F362" s="181"/>
      <c r="G362" s="120">
        <f t="shared" si="27"/>
        <v>0</v>
      </c>
      <c r="H362" s="120">
        <f t="shared" si="30"/>
        <v>0.875</v>
      </c>
      <c r="I362" s="120">
        <f t="shared" si="29"/>
        <v>0</v>
      </c>
      <c r="L362" s="119"/>
      <c r="M362" s="119"/>
    </row>
    <row r="363" spans="1:13">
      <c r="A363" s="141">
        <f t="shared" si="28"/>
        <v>0</v>
      </c>
      <c r="B363" s="126"/>
      <c r="C363" s="147">
        <v>19</v>
      </c>
      <c r="D363" s="122" t="s">
        <v>171</v>
      </c>
      <c r="E363" s="181"/>
      <c r="F363" s="181"/>
      <c r="G363" s="120">
        <f t="shared" si="27"/>
        <v>0</v>
      </c>
      <c r="H363" s="120">
        <f t="shared" si="30"/>
        <v>0.875</v>
      </c>
      <c r="I363" s="120">
        <f t="shared" si="29"/>
        <v>0</v>
      </c>
      <c r="L363" s="119"/>
      <c r="M363" s="119"/>
    </row>
    <row r="364" spans="1:13">
      <c r="A364" s="141">
        <f t="shared" si="28"/>
        <v>0</v>
      </c>
      <c r="B364" s="126"/>
      <c r="C364" s="147">
        <v>34</v>
      </c>
      <c r="D364" s="122" t="s">
        <v>172</v>
      </c>
      <c r="E364" s="181"/>
      <c r="F364" s="181"/>
      <c r="G364" s="120">
        <f t="shared" si="27"/>
        <v>0</v>
      </c>
      <c r="H364" s="120">
        <f t="shared" si="30"/>
        <v>0.875</v>
      </c>
      <c r="I364" s="120">
        <f t="shared" si="29"/>
        <v>0</v>
      </c>
      <c r="L364" s="119"/>
      <c r="M364" s="119"/>
    </row>
    <row r="365" spans="1:13">
      <c r="A365" s="141">
        <f t="shared" si="28"/>
        <v>0</v>
      </c>
      <c r="B365" s="126"/>
      <c r="C365" s="147">
        <v>30</v>
      </c>
      <c r="D365" s="122" t="s">
        <v>173</v>
      </c>
      <c r="E365" s="181"/>
      <c r="F365" s="181"/>
      <c r="G365" s="120">
        <f t="shared" si="27"/>
        <v>0</v>
      </c>
      <c r="H365" s="120">
        <f t="shared" si="30"/>
        <v>0.875</v>
      </c>
      <c r="I365" s="120">
        <f t="shared" si="29"/>
        <v>0</v>
      </c>
      <c r="L365" s="119"/>
      <c r="M365" s="119"/>
    </row>
    <row r="366" spans="1:13">
      <c r="A366" s="141">
        <f t="shared" si="28"/>
        <v>0</v>
      </c>
      <c r="B366" s="126"/>
      <c r="C366" s="147">
        <v>3</v>
      </c>
      <c r="D366" s="122" t="s">
        <v>174</v>
      </c>
      <c r="E366" s="181"/>
      <c r="F366" s="181"/>
      <c r="G366" s="120">
        <f t="shared" si="27"/>
        <v>0</v>
      </c>
      <c r="H366" s="120">
        <f t="shared" si="30"/>
        <v>0.875</v>
      </c>
      <c r="I366" s="120">
        <f t="shared" si="29"/>
        <v>0</v>
      </c>
      <c r="L366" s="119"/>
      <c r="M366" s="119"/>
    </row>
    <row r="367" spans="1:13">
      <c r="A367" s="141">
        <f t="shared" si="28"/>
        <v>0</v>
      </c>
      <c r="B367" s="126"/>
      <c r="C367" s="147">
        <v>33</v>
      </c>
      <c r="D367" s="122" t="s">
        <v>175</v>
      </c>
      <c r="E367" s="181"/>
      <c r="F367" s="181"/>
      <c r="G367" s="120">
        <f t="shared" si="27"/>
        <v>0</v>
      </c>
      <c r="H367" s="120">
        <f t="shared" si="30"/>
        <v>0.875</v>
      </c>
      <c r="I367" s="120">
        <f t="shared" si="29"/>
        <v>0</v>
      </c>
      <c r="L367" s="119"/>
      <c r="M367" s="119"/>
    </row>
    <row r="368" spans="1:13">
      <c r="A368" s="141">
        <f t="shared" si="28"/>
        <v>0</v>
      </c>
      <c r="B368" s="126"/>
      <c r="C368" s="147">
        <v>11</v>
      </c>
      <c r="D368" s="122" t="s">
        <v>176</v>
      </c>
      <c r="E368" s="181"/>
      <c r="F368" s="181"/>
      <c r="G368" s="120">
        <f t="shared" si="27"/>
        <v>0</v>
      </c>
      <c r="H368" s="120">
        <f t="shared" si="30"/>
        <v>0.875</v>
      </c>
      <c r="I368" s="120">
        <f t="shared" si="29"/>
        <v>0</v>
      </c>
      <c r="L368" s="119"/>
      <c r="M368" s="119"/>
    </row>
    <row r="369" spans="1:13">
      <c r="A369" s="141">
        <f t="shared" si="28"/>
        <v>0</v>
      </c>
      <c r="B369" s="126"/>
      <c r="C369" s="147">
        <v>4</v>
      </c>
      <c r="D369" s="122" t="s">
        <v>177</v>
      </c>
      <c r="E369" s="181"/>
      <c r="F369" s="181"/>
      <c r="G369" s="120">
        <f t="shared" si="27"/>
        <v>0</v>
      </c>
      <c r="H369" s="120">
        <f t="shared" si="30"/>
        <v>0.875</v>
      </c>
      <c r="I369" s="120">
        <f t="shared" si="29"/>
        <v>0</v>
      </c>
      <c r="L369" s="119"/>
      <c r="M369" s="119"/>
    </row>
    <row r="370" spans="1:13">
      <c r="A370" s="141">
        <f t="shared" si="28"/>
        <v>0</v>
      </c>
      <c r="B370" s="126"/>
      <c r="C370" s="147">
        <v>35</v>
      </c>
      <c r="D370" s="122" t="s">
        <v>178</v>
      </c>
      <c r="E370" s="181"/>
      <c r="F370" s="181"/>
      <c r="G370" s="120">
        <f t="shared" si="27"/>
        <v>0</v>
      </c>
      <c r="H370" s="120">
        <f t="shared" si="30"/>
        <v>0.875</v>
      </c>
      <c r="I370" s="120">
        <f t="shared" si="29"/>
        <v>0</v>
      </c>
      <c r="L370" s="119"/>
      <c r="M370" s="119"/>
    </row>
    <row r="371" spans="1:13">
      <c r="A371" s="141">
        <f t="shared" si="28"/>
        <v>0</v>
      </c>
      <c r="B371" s="126"/>
      <c r="C371" s="147">
        <v>6</v>
      </c>
      <c r="D371" s="122" t="s">
        <v>179</v>
      </c>
      <c r="E371" s="181"/>
      <c r="F371" s="181"/>
      <c r="G371" s="120">
        <f t="shared" si="27"/>
        <v>0</v>
      </c>
      <c r="H371" s="120">
        <f t="shared" si="30"/>
        <v>0.875</v>
      </c>
      <c r="I371" s="120">
        <f t="shared" si="29"/>
        <v>0</v>
      </c>
      <c r="L371" s="119"/>
      <c r="M371" s="119"/>
    </row>
    <row r="372" spans="1:13">
      <c r="A372" s="141">
        <f t="shared" si="28"/>
        <v>0</v>
      </c>
      <c r="B372" s="126"/>
      <c r="C372" s="147">
        <v>41</v>
      </c>
      <c r="D372" s="122" t="s">
        <v>180</v>
      </c>
      <c r="E372" s="181"/>
      <c r="F372" s="181"/>
      <c r="G372" s="120">
        <f t="shared" si="27"/>
        <v>0</v>
      </c>
      <c r="H372" s="120">
        <f t="shared" si="30"/>
        <v>0.875</v>
      </c>
      <c r="I372" s="120">
        <f t="shared" si="29"/>
        <v>0</v>
      </c>
      <c r="L372" s="119"/>
      <c r="M372" s="119"/>
    </row>
    <row r="373" spans="1:13">
      <c r="A373" s="141">
        <f t="shared" si="28"/>
        <v>0</v>
      </c>
      <c r="B373" s="126"/>
      <c r="C373" s="147">
        <v>28</v>
      </c>
      <c r="D373" s="122" t="s">
        <v>181</v>
      </c>
      <c r="E373" s="181"/>
      <c r="F373" s="181"/>
      <c r="G373" s="120">
        <f t="shared" si="27"/>
        <v>0</v>
      </c>
      <c r="H373" s="120">
        <f t="shared" si="30"/>
        <v>0.875</v>
      </c>
      <c r="I373" s="120">
        <f t="shared" si="29"/>
        <v>0</v>
      </c>
      <c r="L373" s="119"/>
      <c r="M373" s="119"/>
    </row>
    <row r="374" spans="1:13">
      <c r="A374" s="141">
        <f t="shared" si="28"/>
        <v>0</v>
      </c>
      <c r="B374" s="126"/>
      <c r="C374" s="147">
        <v>20</v>
      </c>
      <c r="D374" s="122" t="s">
        <v>182</v>
      </c>
      <c r="E374" s="181"/>
      <c r="F374" s="181"/>
      <c r="G374" s="120">
        <f t="shared" si="27"/>
        <v>0</v>
      </c>
      <c r="H374" s="120">
        <f t="shared" si="30"/>
        <v>0.875</v>
      </c>
      <c r="I374" s="120">
        <f t="shared" si="29"/>
        <v>0</v>
      </c>
      <c r="L374" s="119"/>
      <c r="M374" s="119"/>
    </row>
    <row r="375" spans="1:13">
      <c r="A375" s="141">
        <f t="shared" si="28"/>
        <v>0</v>
      </c>
      <c r="B375" s="126"/>
      <c r="C375" s="147">
        <v>42</v>
      </c>
      <c r="D375" s="122" t="s">
        <v>183</v>
      </c>
      <c r="E375" s="181"/>
      <c r="F375" s="181"/>
      <c r="G375" s="120">
        <f t="shared" ref="G375:G438" si="31">IFERROR(IF((E375-$F$2)&lt;=$H$3,0,E375-$F$2),"غياب")</f>
        <v>0</v>
      </c>
      <c r="H375" s="120">
        <f t="shared" si="30"/>
        <v>0.875</v>
      </c>
      <c r="I375" s="120">
        <f t="shared" si="29"/>
        <v>0</v>
      </c>
      <c r="L375" s="119"/>
      <c r="M375" s="119"/>
    </row>
    <row r="376" spans="1:13">
      <c r="A376" s="141">
        <f t="shared" si="28"/>
        <v>0</v>
      </c>
      <c r="B376" s="132"/>
      <c r="C376" s="147">
        <v>15</v>
      </c>
      <c r="D376" s="130" t="s">
        <v>161</v>
      </c>
      <c r="E376" s="181"/>
      <c r="F376" s="181"/>
      <c r="G376" s="120">
        <f t="shared" si="31"/>
        <v>0</v>
      </c>
      <c r="H376" s="120">
        <f t="shared" si="30"/>
        <v>0.875</v>
      </c>
      <c r="I376" s="120">
        <f t="shared" si="29"/>
        <v>0</v>
      </c>
      <c r="L376" s="119"/>
      <c r="M376" s="119"/>
    </row>
    <row r="377" spans="1:13">
      <c r="A377" s="141">
        <f t="shared" si="28"/>
        <v>0</v>
      </c>
      <c r="B377" s="132"/>
      <c r="C377" s="147">
        <v>23</v>
      </c>
      <c r="D377" s="122" t="s">
        <v>162</v>
      </c>
      <c r="E377" s="181"/>
      <c r="F377" s="181"/>
      <c r="G377" s="120">
        <f t="shared" si="31"/>
        <v>0</v>
      </c>
      <c r="H377" s="120">
        <f t="shared" si="30"/>
        <v>0.875</v>
      </c>
      <c r="I377" s="120">
        <f t="shared" si="29"/>
        <v>0</v>
      </c>
      <c r="L377" s="119"/>
      <c r="M377" s="119"/>
    </row>
    <row r="378" spans="1:13">
      <c r="A378" s="141">
        <f t="shared" si="28"/>
        <v>0</v>
      </c>
      <c r="B378" s="132"/>
      <c r="C378" s="147">
        <v>21</v>
      </c>
      <c r="D378" s="122" t="s">
        <v>163</v>
      </c>
      <c r="E378" s="181"/>
      <c r="F378" s="181"/>
      <c r="G378" s="120">
        <f t="shared" si="31"/>
        <v>0</v>
      </c>
      <c r="H378" s="120">
        <f t="shared" si="30"/>
        <v>0.875</v>
      </c>
      <c r="I378" s="120">
        <f t="shared" si="29"/>
        <v>0</v>
      </c>
      <c r="L378" s="119"/>
      <c r="M378" s="119"/>
    </row>
    <row r="379" spans="1:13">
      <c r="A379" s="141">
        <f t="shared" si="28"/>
        <v>0</v>
      </c>
      <c r="B379" s="132"/>
      <c r="C379" s="99">
        <v>44</v>
      </c>
      <c r="D379" s="138" t="s">
        <v>164</v>
      </c>
      <c r="E379" s="181"/>
      <c r="F379" s="181"/>
      <c r="G379" s="120">
        <f t="shared" si="31"/>
        <v>0</v>
      </c>
      <c r="H379" s="120">
        <f t="shared" si="30"/>
        <v>0.875</v>
      </c>
      <c r="I379" s="120">
        <f t="shared" si="29"/>
        <v>0</v>
      </c>
      <c r="L379" s="119"/>
      <c r="M379" s="119"/>
    </row>
    <row r="380" spans="1:13">
      <c r="A380" s="141">
        <f t="shared" si="28"/>
        <v>0</v>
      </c>
      <c r="B380" s="132"/>
      <c r="C380" s="147">
        <v>27</v>
      </c>
      <c r="D380" s="122" t="s">
        <v>165</v>
      </c>
      <c r="E380" s="181"/>
      <c r="F380" s="181"/>
      <c r="G380" s="120">
        <f t="shared" si="31"/>
        <v>0</v>
      </c>
      <c r="H380" s="120">
        <f t="shared" si="30"/>
        <v>0.875</v>
      </c>
      <c r="I380" s="120">
        <f t="shared" si="29"/>
        <v>0</v>
      </c>
      <c r="L380" s="119"/>
      <c r="M380" s="119"/>
    </row>
    <row r="381" spans="1:13">
      <c r="A381" s="141">
        <f t="shared" si="28"/>
        <v>0</v>
      </c>
      <c r="B381" s="132"/>
      <c r="C381" s="147">
        <v>25</v>
      </c>
      <c r="D381" s="122" t="s">
        <v>166</v>
      </c>
      <c r="E381" s="181"/>
      <c r="F381" s="181"/>
      <c r="G381" s="120">
        <f t="shared" si="31"/>
        <v>0</v>
      </c>
      <c r="H381" s="120">
        <f t="shared" si="30"/>
        <v>0.875</v>
      </c>
      <c r="I381" s="120">
        <f t="shared" si="29"/>
        <v>0</v>
      </c>
      <c r="L381" s="119"/>
      <c r="M381" s="119"/>
    </row>
    <row r="382" spans="1:13">
      <c r="A382" s="141">
        <f t="shared" si="28"/>
        <v>0</v>
      </c>
      <c r="B382" s="132"/>
      <c r="C382" s="147">
        <v>32</v>
      </c>
      <c r="D382" s="122" t="s">
        <v>167</v>
      </c>
      <c r="E382" s="181"/>
      <c r="F382" s="181"/>
      <c r="G382" s="120">
        <f t="shared" si="31"/>
        <v>0</v>
      </c>
      <c r="H382" s="120">
        <f t="shared" si="30"/>
        <v>0.875</v>
      </c>
      <c r="I382" s="120">
        <f t="shared" si="29"/>
        <v>0</v>
      </c>
      <c r="L382" s="119"/>
      <c r="M382" s="119"/>
    </row>
    <row r="383" spans="1:13">
      <c r="A383" s="141">
        <f t="shared" si="28"/>
        <v>0</v>
      </c>
      <c r="B383" s="132"/>
      <c r="C383" s="147">
        <v>36</v>
      </c>
      <c r="D383" s="122" t="s">
        <v>168</v>
      </c>
      <c r="E383" s="181"/>
      <c r="F383" s="181"/>
      <c r="G383" s="120">
        <f t="shared" si="31"/>
        <v>0</v>
      </c>
      <c r="H383" s="120">
        <f t="shared" si="30"/>
        <v>0.875</v>
      </c>
      <c r="I383" s="120">
        <f t="shared" si="29"/>
        <v>0</v>
      </c>
      <c r="L383" s="119"/>
      <c r="M383" s="119"/>
    </row>
    <row r="384" spans="1:13">
      <c r="A384" s="141">
        <f t="shared" si="28"/>
        <v>0</v>
      </c>
      <c r="B384" s="132"/>
      <c r="C384" s="147">
        <v>16</v>
      </c>
      <c r="D384" s="122" t="s">
        <v>169</v>
      </c>
      <c r="E384" s="181"/>
      <c r="F384" s="181"/>
      <c r="G384" s="120">
        <f t="shared" si="31"/>
        <v>0</v>
      </c>
      <c r="H384" s="120">
        <f t="shared" si="30"/>
        <v>0.875</v>
      </c>
      <c r="I384" s="120">
        <f t="shared" si="29"/>
        <v>0</v>
      </c>
      <c r="L384" s="119"/>
      <c r="M384" s="119"/>
    </row>
    <row r="385" spans="1:13">
      <c r="A385" s="141">
        <f t="shared" si="28"/>
        <v>0</v>
      </c>
      <c r="B385" s="132"/>
      <c r="C385" s="147">
        <v>1</v>
      </c>
      <c r="D385" s="122" t="s">
        <v>170</v>
      </c>
      <c r="E385" s="181"/>
      <c r="F385" s="181"/>
      <c r="G385" s="120">
        <f t="shared" si="31"/>
        <v>0</v>
      </c>
      <c r="H385" s="120">
        <f t="shared" si="30"/>
        <v>0.875</v>
      </c>
      <c r="I385" s="120">
        <f t="shared" si="29"/>
        <v>0</v>
      </c>
      <c r="L385" s="119"/>
      <c r="M385" s="119"/>
    </row>
    <row r="386" spans="1:13">
      <c r="A386" s="141">
        <f t="shared" si="28"/>
        <v>0</v>
      </c>
      <c r="B386" s="132"/>
      <c r="C386" s="147">
        <v>19</v>
      </c>
      <c r="D386" s="122" t="s">
        <v>171</v>
      </c>
      <c r="E386" s="181"/>
      <c r="F386" s="181"/>
      <c r="G386" s="120">
        <f t="shared" si="31"/>
        <v>0</v>
      </c>
      <c r="H386" s="120">
        <f t="shared" si="30"/>
        <v>0.875</v>
      </c>
      <c r="I386" s="120">
        <f t="shared" si="29"/>
        <v>0</v>
      </c>
      <c r="L386" s="119"/>
      <c r="M386" s="119"/>
    </row>
    <row r="387" spans="1:13">
      <c r="A387" s="141">
        <f t="shared" si="28"/>
        <v>0</v>
      </c>
      <c r="B387" s="132"/>
      <c r="C387" s="147">
        <v>34</v>
      </c>
      <c r="D387" s="122" t="s">
        <v>172</v>
      </c>
      <c r="E387" s="181"/>
      <c r="F387" s="181"/>
      <c r="G387" s="120">
        <f t="shared" si="31"/>
        <v>0</v>
      </c>
      <c r="H387" s="120">
        <f t="shared" si="30"/>
        <v>0.875</v>
      </c>
      <c r="I387" s="120">
        <f t="shared" si="29"/>
        <v>0</v>
      </c>
      <c r="L387" s="119"/>
      <c r="M387" s="119"/>
    </row>
    <row r="388" spans="1:13">
      <c r="A388" s="141">
        <f t="shared" si="28"/>
        <v>0</v>
      </c>
      <c r="B388" s="132"/>
      <c r="C388" s="147">
        <v>30</v>
      </c>
      <c r="D388" s="122" t="s">
        <v>173</v>
      </c>
      <c r="E388" s="181"/>
      <c r="F388" s="181"/>
      <c r="G388" s="120">
        <f t="shared" si="31"/>
        <v>0</v>
      </c>
      <c r="H388" s="120">
        <f t="shared" si="30"/>
        <v>0.875</v>
      </c>
      <c r="I388" s="120">
        <f t="shared" si="29"/>
        <v>0</v>
      </c>
      <c r="L388" s="119"/>
      <c r="M388" s="119"/>
    </row>
    <row r="389" spans="1:13">
      <c r="A389" s="141">
        <f t="shared" si="28"/>
        <v>0</v>
      </c>
      <c r="B389" s="132"/>
      <c r="C389" s="147">
        <v>3</v>
      </c>
      <c r="D389" s="122" t="s">
        <v>174</v>
      </c>
      <c r="E389" s="181"/>
      <c r="F389" s="181"/>
      <c r="G389" s="120">
        <f t="shared" si="31"/>
        <v>0</v>
      </c>
      <c r="H389" s="120">
        <f t="shared" si="30"/>
        <v>0.875</v>
      </c>
      <c r="I389" s="120">
        <f t="shared" si="29"/>
        <v>0</v>
      </c>
      <c r="L389" s="119"/>
      <c r="M389" s="119"/>
    </row>
    <row r="390" spans="1:13">
      <c r="A390" s="141">
        <f t="shared" si="28"/>
        <v>0</v>
      </c>
      <c r="B390" s="132"/>
      <c r="C390" s="147">
        <v>33</v>
      </c>
      <c r="D390" s="122" t="s">
        <v>175</v>
      </c>
      <c r="E390" s="181"/>
      <c r="F390" s="181"/>
      <c r="G390" s="120">
        <f t="shared" si="31"/>
        <v>0</v>
      </c>
      <c r="H390" s="120">
        <f t="shared" si="30"/>
        <v>0.875</v>
      </c>
      <c r="I390" s="120">
        <f t="shared" si="29"/>
        <v>0</v>
      </c>
      <c r="L390" s="119"/>
      <c r="M390" s="119"/>
    </row>
    <row r="391" spans="1:13">
      <c r="A391" s="141">
        <f t="shared" si="28"/>
        <v>0</v>
      </c>
      <c r="B391" s="132"/>
      <c r="C391" s="147">
        <v>11</v>
      </c>
      <c r="D391" s="122" t="s">
        <v>176</v>
      </c>
      <c r="E391" s="181"/>
      <c r="F391" s="181"/>
      <c r="G391" s="120">
        <f t="shared" si="31"/>
        <v>0</v>
      </c>
      <c r="H391" s="120">
        <f t="shared" si="30"/>
        <v>0.875</v>
      </c>
      <c r="I391" s="120">
        <f t="shared" si="29"/>
        <v>0</v>
      </c>
      <c r="L391" s="119"/>
      <c r="M391" s="119"/>
    </row>
    <row r="392" spans="1:13">
      <c r="A392" s="141">
        <f t="shared" si="28"/>
        <v>0</v>
      </c>
      <c r="B392" s="132"/>
      <c r="C392" s="147">
        <v>4</v>
      </c>
      <c r="D392" s="122" t="s">
        <v>177</v>
      </c>
      <c r="E392" s="181"/>
      <c r="F392" s="181"/>
      <c r="G392" s="120">
        <f t="shared" si="31"/>
        <v>0</v>
      </c>
      <c r="H392" s="120">
        <f t="shared" si="30"/>
        <v>0.875</v>
      </c>
      <c r="I392" s="120">
        <f t="shared" si="29"/>
        <v>0</v>
      </c>
      <c r="L392" s="119"/>
      <c r="M392" s="119"/>
    </row>
    <row r="393" spans="1:13">
      <c r="A393" s="141">
        <f t="shared" ref="A393:A456" si="32">B393</f>
        <v>0</v>
      </c>
      <c r="B393" s="132"/>
      <c r="C393" s="147">
        <v>35</v>
      </c>
      <c r="D393" s="122" t="s">
        <v>178</v>
      </c>
      <c r="E393" s="181"/>
      <c r="F393" s="181"/>
      <c r="G393" s="120">
        <f t="shared" si="31"/>
        <v>0</v>
      </c>
      <c r="H393" s="120">
        <f t="shared" si="30"/>
        <v>0.875</v>
      </c>
      <c r="I393" s="120">
        <f t="shared" ref="I393:I456" si="33">IFERROR(IF((F393-$H$2)&lt;0,0,F393-$H$2),"0")</f>
        <v>0</v>
      </c>
      <c r="L393" s="119"/>
      <c r="M393" s="119"/>
    </row>
    <row r="394" spans="1:13">
      <c r="A394" s="141">
        <f t="shared" si="32"/>
        <v>0</v>
      </c>
      <c r="B394" s="132"/>
      <c r="C394" s="147">
        <v>6</v>
      </c>
      <c r="D394" s="122" t="s">
        <v>179</v>
      </c>
      <c r="E394" s="181"/>
      <c r="F394" s="181"/>
      <c r="G394" s="120">
        <f t="shared" si="31"/>
        <v>0</v>
      </c>
      <c r="H394" s="120">
        <f t="shared" ref="H394:H457" si="34">IF(($H$2-F394)&lt;0,0,$H$2-F394)</f>
        <v>0.875</v>
      </c>
      <c r="I394" s="120">
        <f t="shared" si="33"/>
        <v>0</v>
      </c>
      <c r="L394" s="119"/>
      <c r="M394" s="119"/>
    </row>
    <row r="395" spans="1:13">
      <c r="A395" s="141">
        <f t="shared" si="32"/>
        <v>0</v>
      </c>
      <c r="B395" s="132"/>
      <c r="C395" s="147">
        <v>41</v>
      </c>
      <c r="D395" s="122" t="s">
        <v>180</v>
      </c>
      <c r="E395" s="181"/>
      <c r="F395" s="181"/>
      <c r="G395" s="120">
        <f t="shared" si="31"/>
        <v>0</v>
      </c>
      <c r="H395" s="120">
        <f t="shared" si="34"/>
        <v>0.875</v>
      </c>
      <c r="I395" s="120">
        <f t="shared" si="33"/>
        <v>0</v>
      </c>
      <c r="L395" s="121"/>
      <c r="M395" s="121"/>
    </row>
    <row r="396" spans="1:13">
      <c r="A396" s="141">
        <f t="shared" si="32"/>
        <v>0</v>
      </c>
      <c r="B396" s="132"/>
      <c r="C396" s="147">
        <v>28</v>
      </c>
      <c r="D396" s="122" t="s">
        <v>181</v>
      </c>
      <c r="E396" s="181"/>
      <c r="F396" s="181"/>
      <c r="G396" s="120">
        <f t="shared" si="31"/>
        <v>0</v>
      </c>
      <c r="H396" s="120">
        <f t="shared" si="34"/>
        <v>0.875</v>
      </c>
      <c r="I396" s="120">
        <f t="shared" si="33"/>
        <v>0</v>
      </c>
      <c r="L396" s="121"/>
      <c r="M396" s="121"/>
    </row>
    <row r="397" spans="1:13">
      <c r="A397" s="141">
        <f t="shared" si="32"/>
        <v>0</v>
      </c>
      <c r="B397" s="132"/>
      <c r="C397" s="147">
        <v>20</v>
      </c>
      <c r="D397" s="122" t="s">
        <v>182</v>
      </c>
      <c r="E397" s="181"/>
      <c r="F397" s="181"/>
      <c r="G397" s="120">
        <f t="shared" si="31"/>
        <v>0</v>
      </c>
      <c r="H397" s="120">
        <f t="shared" si="34"/>
        <v>0.875</v>
      </c>
      <c r="I397" s="120">
        <f t="shared" si="33"/>
        <v>0</v>
      </c>
      <c r="L397" s="121"/>
      <c r="M397" s="121"/>
    </row>
    <row r="398" spans="1:13">
      <c r="A398" s="141">
        <f t="shared" si="32"/>
        <v>0</v>
      </c>
      <c r="B398" s="132"/>
      <c r="C398" s="147">
        <v>42</v>
      </c>
      <c r="D398" s="122" t="s">
        <v>183</v>
      </c>
      <c r="E398" s="181"/>
      <c r="F398" s="181"/>
      <c r="G398" s="120">
        <f t="shared" si="31"/>
        <v>0</v>
      </c>
      <c r="H398" s="120">
        <f t="shared" si="34"/>
        <v>0.875</v>
      </c>
      <c r="I398" s="120">
        <f t="shared" si="33"/>
        <v>0</v>
      </c>
      <c r="L398" s="121"/>
      <c r="M398" s="121"/>
    </row>
    <row r="399" spans="1:13">
      <c r="A399" s="141">
        <f t="shared" si="32"/>
        <v>0</v>
      </c>
      <c r="B399" s="132"/>
      <c r="C399" s="147">
        <v>15</v>
      </c>
      <c r="D399" s="130" t="s">
        <v>161</v>
      </c>
      <c r="E399" s="181"/>
      <c r="F399" s="181"/>
      <c r="G399" s="120">
        <f t="shared" si="31"/>
        <v>0</v>
      </c>
      <c r="H399" s="120">
        <f t="shared" si="34"/>
        <v>0.875</v>
      </c>
      <c r="I399" s="120">
        <f t="shared" si="33"/>
        <v>0</v>
      </c>
      <c r="L399" s="121"/>
      <c r="M399" s="121"/>
    </row>
    <row r="400" spans="1:13">
      <c r="A400" s="141">
        <f t="shared" si="32"/>
        <v>0</v>
      </c>
      <c r="B400" s="132"/>
      <c r="C400" s="147">
        <v>23</v>
      </c>
      <c r="D400" s="122" t="s">
        <v>162</v>
      </c>
      <c r="E400" s="181"/>
      <c r="F400" s="181"/>
      <c r="G400" s="120">
        <f t="shared" si="31"/>
        <v>0</v>
      </c>
      <c r="H400" s="120">
        <f t="shared" si="34"/>
        <v>0.875</v>
      </c>
      <c r="I400" s="120">
        <f t="shared" si="33"/>
        <v>0</v>
      </c>
      <c r="L400" s="121"/>
      <c r="M400" s="121"/>
    </row>
    <row r="401" spans="1:13">
      <c r="A401" s="141">
        <f t="shared" si="32"/>
        <v>0</v>
      </c>
      <c r="B401" s="132"/>
      <c r="C401" s="147">
        <v>21</v>
      </c>
      <c r="D401" s="122" t="s">
        <v>163</v>
      </c>
      <c r="E401" s="181"/>
      <c r="F401" s="181"/>
      <c r="G401" s="120">
        <f t="shared" si="31"/>
        <v>0</v>
      </c>
      <c r="H401" s="120">
        <f t="shared" si="34"/>
        <v>0.875</v>
      </c>
      <c r="I401" s="120">
        <f t="shared" si="33"/>
        <v>0</v>
      </c>
      <c r="L401" s="121"/>
      <c r="M401" s="121"/>
    </row>
    <row r="402" spans="1:13">
      <c r="A402" s="141">
        <f t="shared" si="32"/>
        <v>0</v>
      </c>
      <c r="B402" s="132"/>
      <c r="C402" s="99">
        <v>44</v>
      </c>
      <c r="D402" s="138" t="s">
        <v>164</v>
      </c>
      <c r="E402" s="181"/>
      <c r="F402" s="181"/>
      <c r="G402" s="120">
        <f t="shared" si="31"/>
        <v>0</v>
      </c>
      <c r="H402" s="120">
        <f t="shared" si="34"/>
        <v>0.875</v>
      </c>
      <c r="I402" s="120">
        <f t="shared" si="33"/>
        <v>0</v>
      </c>
      <c r="L402" s="121"/>
      <c r="M402" s="121"/>
    </row>
    <row r="403" spans="1:13">
      <c r="A403" s="141">
        <f t="shared" si="32"/>
        <v>0</v>
      </c>
      <c r="B403" s="132"/>
      <c r="C403" s="147">
        <v>27</v>
      </c>
      <c r="D403" s="122" t="s">
        <v>165</v>
      </c>
      <c r="E403" s="181"/>
      <c r="F403" s="181"/>
      <c r="G403" s="120">
        <f t="shared" si="31"/>
        <v>0</v>
      </c>
      <c r="H403" s="120">
        <f t="shared" si="34"/>
        <v>0.875</v>
      </c>
      <c r="I403" s="120">
        <f t="shared" si="33"/>
        <v>0</v>
      </c>
      <c r="L403" s="121"/>
      <c r="M403" s="121"/>
    </row>
    <row r="404" spans="1:13">
      <c r="A404" s="141">
        <f t="shared" si="32"/>
        <v>0</v>
      </c>
      <c r="B404" s="132"/>
      <c r="C404" s="147">
        <v>25</v>
      </c>
      <c r="D404" s="122" t="s">
        <v>166</v>
      </c>
      <c r="E404" s="181"/>
      <c r="F404" s="181"/>
      <c r="G404" s="120">
        <f t="shared" si="31"/>
        <v>0</v>
      </c>
      <c r="H404" s="120">
        <f t="shared" si="34"/>
        <v>0.875</v>
      </c>
      <c r="I404" s="120">
        <f t="shared" si="33"/>
        <v>0</v>
      </c>
      <c r="L404" s="121"/>
      <c r="M404" s="121"/>
    </row>
    <row r="405" spans="1:13">
      <c r="A405" s="141">
        <f t="shared" si="32"/>
        <v>0</v>
      </c>
      <c r="B405" s="132"/>
      <c r="C405" s="147">
        <v>32</v>
      </c>
      <c r="D405" s="122" t="s">
        <v>167</v>
      </c>
      <c r="E405" s="181"/>
      <c r="F405" s="181"/>
      <c r="G405" s="120">
        <f t="shared" si="31"/>
        <v>0</v>
      </c>
      <c r="H405" s="120">
        <f t="shared" si="34"/>
        <v>0.875</v>
      </c>
      <c r="I405" s="120">
        <f t="shared" si="33"/>
        <v>0</v>
      </c>
      <c r="L405" s="121"/>
      <c r="M405" s="121"/>
    </row>
    <row r="406" spans="1:13">
      <c r="A406" s="141">
        <f t="shared" si="32"/>
        <v>0</v>
      </c>
      <c r="B406" s="132"/>
      <c r="C406" s="147">
        <v>36</v>
      </c>
      <c r="D406" s="122" t="s">
        <v>168</v>
      </c>
      <c r="E406" s="181"/>
      <c r="F406" s="181"/>
      <c r="G406" s="120">
        <f t="shared" si="31"/>
        <v>0</v>
      </c>
      <c r="H406" s="120">
        <f t="shared" si="34"/>
        <v>0.875</v>
      </c>
      <c r="I406" s="120">
        <f t="shared" si="33"/>
        <v>0</v>
      </c>
      <c r="L406" s="121"/>
      <c r="M406" s="121"/>
    </row>
    <row r="407" spans="1:13">
      <c r="A407" s="141">
        <f t="shared" si="32"/>
        <v>0</v>
      </c>
      <c r="B407" s="132"/>
      <c r="C407" s="147">
        <v>16</v>
      </c>
      <c r="D407" s="122" t="s">
        <v>169</v>
      </c>
      <c r="E407" s="181"/>
      <c r="F407" s="181"/>
      <c r="G407" s="120">
        <f t="shared" si="31"/>
        <v>0</v>
      </c>
      <c r="H407" s="120">
        <f t="shared" si="34"/>
        <v>0.875</v>
      </c>
      <c r="I407" s="120">
        <f t="shared" si="33"/>
        <v>0</v>
      </c>
      <c r="L407" s="121"/>
      <c r="M407" s="121"/>
    </row>
    <row r="408" spans="1:13">
      <c r="A408" s="141">
        <f t="shared" si="32"/>
        <v>0</v>
      </c>
      <c r="B408" s="132"/>
      <c r="C408" s="147">
        <v>1</v>
      </c>
      <c r="D408" s="122" t="s">
        <v>170</v>
      </c>
      <c r="E408" s="181"/>
      <c r="F408" s="181"/>
      <c r="G408" s="120">
        <f t="shared" si="31"/>
        <v>0</v>
      </c>
      <c r="H408" s="120">
        <f t="shared" si="34"/>
        <v>0.875</v>
      </c>
      <c r="I408" s="120">
        <f t="shared" si="33"/>
        <v>0</v>
      </c>
      <c r="L408" s="121"/>
      <c r="M408" s="121"/>
    </row>
    <row r="409" spans="1:13">
      <c r="A409" s="141">
        <f t="shared" si="32"/>
        <v>0</v>
      </c>
      <c r="B409" s="132"/>
      <c r="C409" s="147">
        <v>19</v>
      </c>
      <c r="D409" s="122" t="s">
        <v>171</v>
      </c>
      <c r="E409" s="181"/>
      <c r="F409" s="181"/>
      <c r="G409" s="120">
        <f t="shared" si="31"/>
        <v>0</v>
      </c>
      <c r="H409" s="120">
        <f t="shared" si="34"/>
        <v>0.875</v>
      </c>
      <c r="I409" s="120">
        <f t="shared" si="33"/>
        <v>0</v>
      </c>
      <c r="L409" s="121"/>
      <c r="M409" s="121"/>
    </row>
    <row r="410" spans="1:13">
      <c r="A410" s="141">
        <f t="shared" si="32"/>
        <v>0</v>
      </c>
      <c r="B410" s="132"/>
      <c r="C410" s="147">
        <v>34</v>
      </c>
      <c r="D410" s="122" t="s">
        <v>172</v>
      </c>
      <c r="E410" s="181"/>
      <c r="F410" s="181"/>
      <c r="G410" s="120">
        <f t="shared" si="31"/>
        <v>0</v>
      </c>
      <c r="H410" s="120">
        <f t="shared" si="34"/>
        <v>0.875</v>
      </c>
      <c r="I410" s="120">
        <f t="shared" si="33"/>
        <v>0</v>
      </c>
      <c r="L410" s="121"/>
      <c r="M410" s="121"/>
    </row>
    <row r="411" spans="1:13">
      <c r="A411" s="141">
        <f t="shared" si="32"/>
        <v>0</v>
      </c>
      <c r="B411" s="132"/>
      <c r="C411" s="147">
        <v>30</v>
      </c>
      <c r="D411" s="122" t="s">
        <v>173</v>
      </c>
      <c r="E411" s="181"/>
      <c r="F411" s="181"/>
      <c r="G411" s="120">
        <f t="shared" si="31"/>
        <v>0</v>
      </c>
      <c r="H411" s="120">
        <f t="shared" si="34"/>
        <v>0.875</v>
      </c>
      <c r="I411" s="120">
        <f t="shared" si="33"/>
        <v>0</v>
      </c>
      <c r="L411" s="121"/>
      <c r="M411" s="121"/>
    </row>
    <row r="412" spans="1:13">
      <c r="A412" s="141">
        <f t="shared" si="32"/>
        <v>0</v>
      </c>
      <c r="B412" s="132"/>
      <c r="C412" s="147">
        <v>3</v>
      </c>
      <c r="D412" s="122" t="s">
        <v>174</v>
      </c>
      <c r="E412" s="181"/>
      <c r="F412" s="181"/>
      <c r="G412" s="120">
        <f t="shared" si="31"/>
        <v>0</v>
      </c>
      <c r="H412" s="120">
        <f t="shared" si="34"/>
        <v>0.875</v>
      </c>
      <c r="I412" s="120">
        <f t="shared" si="33"/>
        <v>0</v>
      </c>
      <c r="L412" s="121"/>
      <c r="M412" s="121"/>
    </row>
    <row r="413" spans="1:13">
      <c r="A413" s="141">
        <f t="shared" si="32"/>
        <v>0</v>
      </c>
      <c r="B413" s="132"/>
      <c r="C413" s="147">
        <v>33</v>
      </c>
      <c r="D413" s="122" t="s">
        <v>175</v>
      </c>
      <c r="E413" s="181"/>
      <c r="F413" s="181"/>
      <c r="G413" s="120">
        <f t="shared" si="31"/>
        <v>0</v>
      </c>
      <c r="H413" s="120">
        <f t="shared" si="34"/>
        <v>0.875</v>
      </c>
      <c r="I413" s="120">
        <f t="shared" si="33"/>
        <v>0</v>
      </c>
      <c r="L413" s="121"/>
      <c r="M413" s="121"/>
    </row>
    <row r="414" spans="1:13">
      <c r="A414" s="141">
        <f t="shared" si="32"/>
        <v>0</v>
      </c>
      <c r="B414" s="132"/>
      <c r="C414" s="147">
        <v>11</v>
      </c>
      <c r="D414" s="122" t="s">
        <v>176</v>
      </c>
      <c r="E414" s="181"/>
      <c r="F414" s="181"/>
      <c r="G414" s="120">
        <f t="shared" si="31"/>
        <v>0</v>
      </c>
      <c r="H414" s="120">
        <f t="shared" si="34"/>
        <v>0.875</v>
      </c>
      <c r="I414" s="120">
        <f t="shared" si="33"/>
        <v>0</v>
      </c>
      <c r="L414" s="121"/>
      <c r="M414" s="121"/>
    </row>
    <row r="415" spans="1:13">
      <c r="A415" s="141">
        <f t="shared" si="32"/>
        <v>0</v>
      </c>
      <c r="B415" s="132"/>
      <c r="C415" s="147">
        <v>4</v>
      </c>
      <c r="D415" s="122" t="s">
        <v>177</v>
      </c>
      <c r="E415" s="181"/>
      <c r="F415" s="181"/>
      <c r="G415" s="120">
        <f t="shared" si="31"/>
        <v>0</v>
      </c>
      <c r="H415" s="120">
        <f t="shared" si="34"/>
        <v>0.875</v>
      </c>
      <c r="I415" s="120">
        <f t="shared" si="33"/>
        <v>0</v>
      </c>
      <c r="L415" s="121"/>
      <c r="M415" s="121"/>
    </row>
    <row r="416" spans="1:13">
      <c r="A416" s="141">
        <f t="shared" si="32"/>
        <v>0</v>
      </c>
      <c r="B416" s="132"/>
      <c r="C416" s="147">
        <v>35</v>
      </c>
      <c r="D416" s="122" t="s">
        <v>178</v>
      </c>
      <c r="E416" s="181"/>
      <c r="F416" s="181"/>
      <c r="G416" s="120">
        <f t="shared" si="31"/>
        <v>0</v>
      </c>
      <c r="H416" s="120">
        <f t="shared" si="34"/>
        <v>0.875</v>
      </c>
      <c r="I416" s="120">
        <f t="shared" si="33"/>
        <v>0</v>
      </c>
      <c r="L416" s="121"/>
      <c r="M416" s="121"/>
    </row>
    <row r="417" spans="1:13">
      <c r="A417" s="141">
        <f t="shared" si="32"/>
        <v>0</v>
      </c>
      <c r="B417" s="132"/>
      <c r="C417" s="147">
        <v>6</v>
      </c>
      <c r="D417" s="122" t="s">
        <v>179</v>
      </c>
      <c r="E417" s="181"/>
      <c r="F417" s="181"/>
      <c r="G417" s="120">
        <f t="shared" si="31"/>
        <v>0</v>
      </c>
      <c r="H417" s="120">
        <f t="shared" si="34"/>
        <v>0.875</v>
      </c>
      <c r="I417" s="120">
        <f t="shared" si="33"/>
        <v>0</v>
      </c>
      <c r="L417" s="121"/>
      <c r="M417" s="121"/>
    </row>
    <row r="418" spans="1:13">
      <c r="A418" s="141">
        <f t="shared" si="32"/>
        <v>0</v>
      </c>
      <c r="B418" s="132"/>
      <c r="C418" s="147">
        <v>41</v>
      </c>
      <c r="D418" s="122" t="s">
        <v>180</v>
      </c>
      <c r="E418" s="181"/>
      <c r="F418" s="181"/>
      <c r="G418" s="120">
        <f t="shared" si="31"/>
        <v>0</v>
      </c>
      <c r="H418" s="120">
        <f t="shared" si="34"/>
        <v>0.875</v>
      </c>
      <c r="I418" s="120">
        <f t="shared" si="33"/>
        <v>0</v>
      </c>
      <c r="L418" s="121"/>
      <c r="M418" s="121"/>
    </row>
    <row r="419" spans="1:13">
      <c r="A419" s="141">
        <f t="shared" si="32"/>
        <v>0</v>
      </c>
      <c r="B419" s="132"/>
      <c r="C419" s="147">
        <v>28</v>
      </c>
      <c r="D419" s="122" t="s">
        <v>181</v>
      </c>
      <c r="E419" s="181"/>
      <c r="F419" s="181"/>
      <c r="G419" s="120">
        <f t="shared" si="31"/>
        <v>0</v>
      </c>
      <c r="H419" s="120">
        <f t="shared" si="34"/>
        <v>0.875</v>
      </c>
      <c r="I419" s="120">
        <f t="shared" si="33"/>
        <v>0</v>
      </c>
      <c r="L419" s="121"/>
      <c r="M419" s="121"/>
    </row>
    <row r="420" spans="1:13">
      <c r="A420" s="141">
        <f t="shared" si="32"/>
        <v>0</v>
      </c>
      <c r="B420" s="132"/>
      <c r="C420" s="147">
        <v>20</v>
      </c>
      <c r="D420" s="122" t="s">
        <v>182</v>
      </c>
      <c r="E420" s="181"/>
      <c r="F420" s="181"/>
      <c r="G420" s="120">
        <f t="shared" si="31"/>
        <v>0</v>
      </c>
      <c r="H420" s="120">
        <f t="shared" si="34"/>
        <v>0.875</v>
      </c>
      <c r="I420" s="120">
        <f t="shared" si="33"/>
        <v>0</v>
      </c>
      <c r="L420" s="121"/>
      <c r="M420" s="121"/>
    </row>
    <row r="421" spans="1:13">
      <c r="A421" s="141">
        <f t="shared" si="32"/>
        <v>0</v>
      </c>
      <c r="B421" s="132"/>
      <c r="C421" s="147">
        <v>42</v>
      </c>
      <c r="D421" s="122" t="s">
        <v>183</v>
      </c>
      <c r="E421" s="181"/>
      <c r="F421" s="181"/>
      <c r="G421" s="120">
        <f t="shared" si="31"/>
        <v>0</v>
      </c>
      <c r="H421" s="120">
        <f t="shared" si="34"/>
        <v>0.875</v>
      </c>
      <c r="I421" s="120">
        <f t="shared" si="33"/>
        <v>0</v>
      </c>
      <c r="L421" s="121"/>
      <c r="M421" s="121"/>
    </row>
    <row r="422" spans="1:13">
      <c r="A422" s="141">
        <f t="shared" si="32"/>
        <v>0</v>
      </c>
      <c r="B422" s="132"/>
      <c r="C422" s="147">
        <v>15</v>
      </c>
      <c r="D422" s="130" t="s">
        <v>161</v>
      </c>
      <c r="E422" s="181"/>
      <c r="F422" s="181"/>
      <c r="G422" s="120">
        <f t="shared" si="31"/>
        <v>0</v>
      </c>
      <c r="H422" s="120">
        <f t="shared" si="34"/>
        <v>0.875</v>
      </c>
      <c r="I422" s="120">
        <f t="shared" si="33"/>
        <v>0</v>
      </c>
      <c r="L422" s="121"/>
      <c r="M422" s="121"/>
    </row>
    <row r="423" spans="1:13">
      <c r="A423" s="141">
        <f t="shared" si="32"/>
        <v>0</v>
      </c>
      <c r="B423" s="132"/>
      <c r="C423" s="147">
        <v>23</v>
      </c>
      <c r="D423" s="122" t="s">
        <v>162</v>
      </c>
      <c r="E423" s="181"/>
      <c r="F423" s="181"/>
      <c r="G423" s="120">
        <f t="shared" si="31"/>
        <v>0</v>
      </c>
      <c r="H423" s="120">
        <f t="shared" si="34"/>
        <v>0.875</v>
      </c>
      <c r="I423" s="120">
        <f t="shared" si="33"/>
        <v>0</v>
      </c>
      <c r="L423" s="121"/>
      <c r="M423" s="121"/>
    </row>
    <row r="424" spans="1:13">
      <c r="A424" s="141">
        <f t="shared" si="32"/>
        <v>0</v>
      </c>
      <c r="B424" s="132"/>
      <c r="C424" s="147">
        <v>21</v>
      </c>
      <c r="D424" s="122" t="s">
        <v>163</v>
      </c>
      <c r="E424" s="181"/>
      <c r="F424" s="181"/>
      <c r="G424" s="120">
        <f t="shared" si="31"/>
        <v>0</v>
      </c>
      <c r="H424" s="120">
        <f t="shared" si="34"/>
        <v>0.875</v>
      </c>
      <c r="I424" s="120">
        <f t="shared" si="33"/>
        <v>0</v>
      </c>
      <c r="L424" s="121"/>
      <c r="M424" s="121"/>
    </row>
    <row r="425" spans="1:13">
      <c r="A425" s="141">
        <f t="shared" si="32"/>
        <v>0</v>
      </c>
      <c r="B425" s="132"/>
      <c r="C425" s="99">
        <v>44</v>
      </c>
      <c r="D425" s="138" t="s">
        <v>164</v>
      </c>
      <c r="E425" s="181"/>
      <c r="F425" s="181"/>
      <c r="G425" s="120">
        <f t="shared" si="31"/>
        <v>0</v>
      </c>
      <c r="H425" s="120">
        <f t="shared" si="34"/>
        <v>0.875</v>
      </c>
      <c r="I425" s="120">
        <f t="shared" si="33"/>
        <v>0</v>
      </c>
      <c r="L425" s="121"/>
      <c r="M425" s="121"/>
    </row>
    <row r="426" spans="1:13">
      <c r="A426" s="141">
        <f t="shared" si="32"/>
        <v>0</v>
      </c>
      <c r="B426" s="132"/>
      <c r="C426" s="147">
        <v>27</v>
      </c>
      <c r="D426" s="122" t="s">
        <v>165</v>
      </c>
      <c r="E426" s="181"/>
      <c r="F426" s="181"/>
      <c r="G426" s="120">
        <f t="shared" si="31"/>
        <v>0</v>
      </c>
      <c r="H426" s="120">
        <f t="shared" si="34"/>
        <v>0.875</v>
      </c>
      <c r="I426" s="120">
        <f t="shared" si="33"/>
        <v>0</v>
      </c>
      <c r="L426" s="121"/>
      <c r="M426" s="121"/>
    </row>
    <row r="427" spans="1:13">
      <c r="A427" s="141">
        <f t="shared" si="32"/>
        <v>0</v>
      </c>
      <c r="B427" s="132"/>
      <c r="C427" s="147">
        <v>25</v>
      </c>
      <c r="D427" s="122" t="s">
        <v>166</v>
      </c>
      <c r="E427" s="181"/>
      <c r="F427" s="181"/>
      <c r="G427" s="120">
        <f t="shared" si="31"/>
        <v>0</v>
      </c>
      <c r="H427" s="120">
        <f t="shared" si="34"/>
        <v>0.875</v>
      </c>
      <c r="I427" s="120">
        <f t="shared" si="33"/>
        <v>0</v>
      </c>
      <c r="L427" s="121"/>
      <c r="M427" s="121"/>
    </row>
    <row r="428" spans="1:13">
      <c r="A428" s="141">
        <f t="shared" si="32"/>
        <v>0</v>
      </c>
      <c r="B428" s="132"/>
      <c r="C428" s="147">
        <v>32</v>
      </c>
      <c r="D428" s="122" t="s">
        <v>167</v>
      </c>
      <c r="E428" s="181"/>
      <c r="F428" s="181"/>
      <c r="G428" s="120">
        <f t="shared" si="31"/>
        <v>0</v>
      </c>
      <c r="H428" s="120">
        <f t="shared" si="34"/>
        <v>0.875</v>
      </c>
      <c r="I428" s="120">
        <f t="shared" si="33"/>
        <v>0</v>
      </c>
      <c r="L428" s="121"/>
      <c r="M428" s="121"/>
    </row>
    <row r="429" spans="1:13">
      <c r="A429" s="141">
        <f t="shared" si="32"/>
        <v>0</v>
      </c>
      <c r="B429" s="132"/>
      <c r="C429" s="147">
        <v>36</v>
      </c>
      <c r="D429" s="122" t="s">
        <v>168</v>
      </c>
      <c r="E429" s="181"/>
      <c r="F429" s="181"/>
      <c r="G429" s="120">
        <f t="shared" si="31"/>
        <v>0</v>
      </c>
      <c r="H429" s="120">
        <f t="shared" si="34"/>
        <v>0.875</v>
      </c>
      <c r="I429" s="120">
        <f t="shared" si="33"/>
        <v>0</v>
      </c>
      <c r="L429" s="121"/>
      <c r="M429" s="121"/>
    </row>
    <row r="430" spans="1:13">
      <c r="A430" s="141">
        <f t="shared" si="32"/>
        <v>0</v>
      </c>
      <c r="B430" s="132"/>
      <c r="C430" s="147">
        <v>16</v>
      </c>
      <c r="D430" s="122" t="s">
        <v>169</v>
      </c>
      <c r="E430" s="181"/>
      <c r="F430" s="181"/>
      <c r="G430" s="120">
        <f t="shared" si="31"/>
        <v>0</v>
      </c>
      <c r="H430" s="120">
        <f t="shared" si="34"/>
        <v>0.875</v>
      </c>
      <c r="I430" s="120">
        <f t="shared" si="33"/>
        <v>0</v>
      </c>
      <c r="L430" s="121"/>
      <c r="M430" s="121"/>
    </row>
    <row r="431" spans="1:13">
      <c r="A431" s="141">
        <f t="shared" si="32"/>
        <v>0</v>
      </c>
      <c r="B431" s="132"/>
      <c r="C431" s="147">
        <v>1</v>
      </c>
      <c r="D431" s="122" t="s">
        <v>170</v>
      </c>
      <c r="E431" s="181"/>
      <c r="F431" s="181"/>
      <c r="G431" s="120">
        <f t="shared" si="31"/>
        <v>0</v>
      </c>
      <c r="H431" s="120">
        <f t="shared" si="34"/>
        <v>0.875</v>
      </c>
      <c r="I431" s="120">
        <f t="shared" si="33"/>
        <v>0</v>
      </c>
      <c r="L431" s="121"/>
      <c r="M431" s="121"/>
    </row>
    <row r="432" spans="1:13">
      <c r="A432" s="141">
        <f t="shared" si="32"/>
        <v>0</v>
      </c>
      <c r="B432" s="132"/>
      <c r="C432" s="147">
        <v>19</v>
      </c>
      <c r="D432" s="122" t="s">
        <v>171</v>
      </c>
      <c r="E432" s="181"/>
      <c r="F432" s="181"/>
      <c r="G432" s="120">
        <f t="shared" si="31"/>
        <v>0</v>
      </c>
      <c r="H432" s="120">
        <f t="shared" si="34"/>
        <v>0.875</v>
      </c>
      <c r="I432" s="120">
        <f t="shared" si="33"/>
        <v>0</v>
      </c>
      <c r="L432" s="121"/>
      <c r="M432" s="121"/>
    </row>
    <row r="433" spans="1:13">
      <c r="A433" s="141">
        <f t="shared" si="32"/>
        <v>0</v>
      </c>
      <c r="B433" s="132"/>
      <c r="C433" s="147">
        <v>34</v>
      </c>
      <c r="D433" s="122" t="s">
        <v>172</v>
      </c>
      <c r="E433" s="181"/>
      <c r="F433" s="181"/>
      <c r="G433" s="120">
        <f t="shared" si="31"/>
        <v>0</v>
      </c>
      <c r="H433" s="120">
        <f t="shared" si="34"/>
        <v>0.875</v>
      </c>
      <c r="I433" s="120">
        <f t="shared" si="33"/>
        <v>0</v>
      </c>
      <c r="L433" s="121"/>
      <c r="M433" s="121"/>
    </row>
    <row r="434" spans="1:13">
      <c r="A434" s="141">
        <f t="shared" si="32"/>
        <v>0</v>
      </c>
      <c r="B434" s="132"/>
      <c r="C434" s="147">
        <v>30</v>
      </c>
      <c r="D434" s="122" t="s">
        <v>173</v>
      </c>
      <c r="E434" s="181"/>
      <c r="F434" s="181"/>
      <c r="G434" s="120">
        <f t="shared" si="31"/>
        <v>0</v>
      </c>
      <c r="H434" s="120">
        <f t="shared" si="34"/>
        <v>0.875</v>
      </c>
      <c r="I434" s="120">
        <f t="shared" si="33"/>
        <v>0</v>
      </c>
      <c r="L434" s="121"/>
      <c r="M434" s="121"/>
    </row>
    <row r="435" spans="1:13">
      <c r="A435" s="141">
        <f t="shared" si="32"/>
        <v>0</v>
      </c>
      <c r="B435" s="132"/>
      <c r="C435" s="147">
        <v>3</v>
      </c>
      <c r="D435" s="122" t="s">
        <v>174</v>
      </c>
      <c r="E435" s="181"/>
      <c r="F435" s="181"/>
      <c r="G435" s="120">
        <f t="shared" si="31"/>
        <v>0</v>
      </c>
      <c r="H435" s="120">
        <f t="shared" si="34"/>
        <v>0.875</v>
      </c>
      <c r="I435" s="120">
        <f t="shared" si="33"/>
        <v>0</v>
      </c>
      <c r="L435" s="121"/>
      <c r="M435" s="121"/>
    </row>
    <row r="436" spans="1:13">
      <c r="A436" s="141">
        <f t="shared" si="32"/>
        <v>0</v>
      </c>
      <c r="B436" s="132"/>
      <c r="C436" s="147">
        <v>33</v>
      </c>
      <c r="D436" s="122" t="s">
        <v>175</v>
      </c>
      <c r="E436" s="181"/>
      <c r="F436" s="181"/>
      <c r="G436" s="120">
        <f t="shared" si="31"/>
        <v>0</v>
      </c>
      <c r="H436" s="120">
        <f t="shared" si="34"/>
        <v>0.875</v>
      </c>
      <c r="I436" s="120">
        <f t="shared" si="33"/>
        <v>0</v>
      </c>
      <c r="L436" s="121"/>
      <c r="M436" s="121"/>
    </row>
    <row r="437" spans="1:13">
      <c r="A437" s="141">
        <f t="shared" si="32"/>
        <v>0</v>
      </c>
      <c r="B437" s="132"/>
      <c r="C437" s="147">
        <v>11</v>
      </c>
      <c r="D437" s="122" t="s">
        <v>176</v>
      </c>
      <c r="E437" s="181"/>
      <c r="F437" s="181"/>
      <c r="G437" s="120">
        <f t="shared" si="31"/>
        <v>0</v>
      </c>
      <c r="H437" s="120">
        <f t="shared" si="34"/>
        <v>0.875</v>
      </c>
      <c r="I437" s="120">
        <f t="shared" si="33"/>
        <v>0</v>
      </c>
      <c r="L437" s="121"/>
      <c r="M437" s="121"/>
    </row>
    <row r="438" spans="1:13">
      <c r="A438" s="141">
        <f t="shared" si="32"/>
        <v>0</v>
      </c>
      <c r="B438" s="132"/>
      <c r="C438" s="147">
        <v>4</v>
      </c>
      <c r="D438" s="122" t="s">
        <v>177</v>
      </c>
      <c r="E438" s="181"/>
      <c r="F438" s="181"/>
      <c r="G438" s="120">
        <f t="shared" si="31"/>
        <v>0</v>
      </c>
      <c r="H438" s="120">
        <f t="shared" si="34"/>
        <v>0.875</v>
      </c>
      <c r="I438" s="120">
        <f t="shared" si="33"/>
        <v>0</v>
      </c>
      <c r="L438" s="121"/>
      <c r="M438" s="121"/>
    </row>
    <row r="439" spans="1:13">
      <c r="A439" s="141">
        <f t="shared" si="32"/>
        <v>0</v>
      </c>
      <c r="B439" s="132"/>
      <c r="C439" s="147">
        <v>35</v>
      </c>
      <c r="D439" s="122" t="s">
        <v>178</v>
      </c>
      <c r="E439" s="181"/>
      <c r="F439" s="181"/>
      <c r="G439" s="120">
        <f t="shared" ref="G439:G502" si="35">IFERROR(IF((E439-$F$2)&lt;=$H$3,0,E439-$F$2),"غياب")</f>
        <v>0</v>
      </c>
      <c r="H439" s="120">
        <f t="shared" si="34"/>
        <v>0.875</v>
      </c>
      <c r="I439" s="120">
        <f t="shared" si="33"/>
        <v>0</v>
      </c>
      <c r="L439" s="121"/>
      <c r="M439" s="121"/>
    </row>
    <row r="440" spans="1:13">
      <c r="A440" s="141">
        <f t="shared" si="32"/>
        <v>0</v>
      </c>
      <c r="B440" s="132"/>
      <c r="C440" s="147">
        <v>6</v>
      </c>
      <c r="D440" s="122" t="s">
        <v>179</v>
      </c>
      <c r="E440" s="181"/>
      <c r="F440" s="181"/>
      <c r="G440" s="120">
        <f t="shared" si="35"/>
        <v>0</v>
      </c>
      <c r="H440" s="120">
        <f t="shared" si="34"/>
        <v>0.875</v>
      </c>
      <c r="I440" s="120">
        <f t="shared" si="33"/>
        <v>0</v>
      </c>
      <c r="L440" s="121"/>
      <c r="M440" s="121"/>
    </row>
    <row r="441" spans="1:13">
      <c r="A441" s="141">
        <f t="shared" si="32"/>
        <v>0</v>
      </c>
      <c r="B441" s="132"/>
      <c r="C441" s="147">
        <v>41</v>
      </c>
      <c r="D441" s="122" t="s">
        <v>180</v>
      </c>
      <c r="E441" s="181"/>
      <c r="F441" s="181"/>
      <c r="G441" s="120">
        <f t="shared" si="35"/>
        <v>0</v>
      </c>
      <c r="H441" s="120">
        <f t="shared" si="34"/>
        <v>0.875</v>
      </c>
      <c r="I441" s="120">
        <f t="shared" si="33"/>
        <v>0</v>
      </c>
      <c r="L441" s="121"/>
      <c r="M441" s="121"/>
    </row>
    <row r="442" spans="1:13">
      <c r="A442" s="141">
        <f t="shared" si="32"/>
        <v>0</v>
      </c>
      <c r="B442" s="132"/>
      <c r="C442" s="147">
        <v>28</v>
      </c>
      <c r="D442" s="122" t="s">
        <v>181</v>
      </c>
      <c r="E442" s="181"/>
      <c r="F442" s="181"/>
      <c r="G442" s="120">
        <f t="shared" si="35"/>
        <v>0</v>
      </c>
      <c r="H442" s="120">
        <f t="shared" si="34"/>
        <v>0.875</v>
      </c>
      <c r="I442" s="120">
        <f t="shared" si="33"/>
        <v>0</v>
      </c>
      <c r="L442" s="121"/>
      <c r="M442" s="121"/>
    </row>
    <row r="443" spans="1:13">
      <c r="A443" s="141">
        <f t="shared" si="32"/>
        <v>0</v>
      </c>
      <c r="B443" s="132"/>
      <c r="C443" s="147">
        <v>20</v>
      </c>
      <c r="D443" s="122" t="s">
        <v>182</v>
      </c>
      <c r="E443" s="181"/>
      <c r="F443" s="181"/>
      <c r="G443" s="120">
        <f t="shared" si="35"/>
        <v>0</v>
      </c>
      <c r="H443" s="120">
        <f t="shared" si="34"/>
        <v>0.875</v>
      </c>
      <c r="I443" s="120">
        <f t="shared" si="33"/>
        <v>0</v>
      </c>
      <c r="L443" s="121"/>
      <c r="M443" s="121"/>
    </row>
    <row r="444" spans="1:13">
      <c r="A444" s="141">
        <f t="shared" si="32"/>
        <v>0</v>
      </c>
      <c r="B444" s="132"/>
      <c r="C444" s="147">
        <v>42</v>
      </c>
      <c r="D444" s="122" t="s">
        <v>183</v>
      </c>
      <c r="E444" s="181"/>
      <c r="F444" s="181"/>
      <c r="G444" s="120">
        <f t="shared" si="35"/>
        <v>0</v>
      </c>
      <c r="H444" s="120">
        <f t="shared" si="34"/>
        <v>0.875</v>
      </c>
      <c r="I444" s="120">
        <f t="shared" si="33"/>
        <v>0</v>
      </c>
      <c r="L444" s="121"/>
      <c r="M444" s="121"/>
    </row>
    <row r="445" spans="1:13">
      <c r="A445" s="141">
        <f t="shared" si="32"/>
        <v>0</v>
      </c>
      <c r="B445" s="132"/>
      <c r="C445" s="147">
        <v>15</v>
      </c>
      <c r="D445" s="130" t="s">
        <v>161</v>
      </c>
      <c r="E445" s="181"/>
      <c r="F445" s="181"/>
      <c r="G445" s="120">
        <f t="shared" si="35"/>
        <v>0</v>
      </c>
      <c r="H445" s="120">
        <f t="shared" si="34"/>
        <v>0.875</v>
      </c>
      <c r="I445" s="120">
        <f t="shared" si="33"/>
        <v>0</v>
      </c>
      <c r="L445" s="121"/>
      <c r="M445" s="121"/>
    </row>
    <row r="446" spans="1:13">
      <c r="A446" s="141">
        <f t="shared" si="32"/>
        <v>0</v>
      </c>
      <c r="B446" s="132"/>
      <c r="C446" s="147">
        <v>23</v>
      </c>
      <c r="D446" s="122" t="s">
        <v>162</v>
      </c>
      <c r="E446" s="181"/>
      <c r="F446" s="181"/>
      <c r="G446" s="120">
        <f t="shared" si="35"/>
        <v>0</v>
      </c>
      <c r="H446" s="120">
        <f t="shared" si="34"/>
        <v>0.875</v>
      </c>
      <c r="I446" s="120">
        <f t="shared" si="33"/>
        <v>0</v>
      </c>
      <c r="L446" s="121"/>
      <c r="M446" s="121"/>
    </row>
    <row r="447" spans="1:13">
      <c r="A447" s="141">
        <f t="shared" si="32"/>
        <v>0</v>
      </c>
      <c r="B447" s="132"/>
      <c r="C447" s="147">
        <v>21</v>
      </c>
      <c r="D447" s="122" t="s">
        <v>163</v>
      </c>
      <c r="E447" s="181"/>
      <c r="F447" s="181"/>
      <c r="G447" s="120">
        <f t="shared" si="35"/>
        <v>0</v>
      </c>
      <c r="H447" s="120">
        <f t="shared" si="34"/>
        <v>0.875</v>
      </c>
      <c r="I447" s="120">
        <f t="shared" si="33"/>
        <v>0</v>
      </c>
      <c r="L447" s="121"/>
      <c r="M447" s="121"/>
    </row>
    <row r="448" spans="1:13">
      <c r="A448" s="141">
        <f t="shared" si="32"/>
        <v>0</v>
      </c>
      <c r="B448" s="132"/>
      <c r="C448" s="99">
        <v>44</v>
      </c>
      <c r="D448" s="138" t="s">
        <v>164</v>
      </c>
      <c r="E448" s="181"/>
      <c r="F448" s="181"/>
      <c r="G448" s="120">
        <f t="shared" si="35"/>
        <v>0</v>
      </c>
      <c r="H448" s="120">
        <f t="shared" si="34"/>
        <v>0.875</v>
      </c>
      <c r="I448" s="120">
        <f t="shared" si="33"/>
        <v>0</v>
      </c>
      <c r="L448" s="121"/>
      <c r="M448" s="121"/>
    </row>
    <row r="449" spans="1:13">
      <c r="A449" s="141">
        <f t="shared" si="32"/>
        <v>0</v>
      </c>
      <c r="B449" s="132"/>
      <c r="C449" s="147">
        <v>27</v>
      </c>
      <c r="D449" s="122" t="s">
        <v>165</v>
      </c>
      <c r="E449" s="181"/>
      <c r="F449" s="181"/>
      <c r="G449" s="120">
        <f t="shared" si="35"/>
        <v>0</v>
      </c>
      <c r="H449" s="120">
        <f t="shared" si="34"/>
        <v>0.875</v>
      </c>
      <c r="I449" s="120">
        <f t="shared" si="33"/>
        <v>0</v>
      </c>
      <c r="L449" s="121"/>
      <c r="M449" s="121"/>
    </row>
    <row r="450" spans="1:13">
      <c r="A450" s="141">
        <f t="shared" si="32"/>
        <v>0</v>
      </c>
      <c r="B450" s="132"/>
      <c r="C450" s="147">
        <v>25</v>
      </c>
      <c r="D450" s="122" t="s">
        <v>166</v>
      </c>
      <c r="E450" s="181"/>
      <c r="F450" s="181"/>
      <c r="G450" s="120">
        <f t="shared" si="35"/>
        <v>0</v>
      </c>
      <c r="H450" s="120">
        <f t="shared" si="34"/>
        <v>0.875</v>
      </c>
      <c r="I450" s="120">
        <f t="shared" si="33"/>
        <v>0</v>
      </c>
      <c r="L450" s="121"/>
      <c r="M450" s="121"/>
    </row>
    <row r="451" spans="1:13">
      <c r="A451" s="141">
        <f t="shared" si="32"/>
        <v>0</v>
      </c>
      <c r="B451" s="132"/>
      <c r="C451" s="147">
        <v>32</v>
      </c>
      <c r="D451" s="122" t="s">
        <v>167</v>
      </c>
      <c r="E451" s="181"/>
      <c r="F451" s="181"/>
      <c r="G451" s="120">
        <f t="shared" si="35"/>
        <v>0</v>
      </c>
      <c r="H451" s="120">
        <f t="shared" si="34"/>
        <v>0.875</v>
      </c>
      <c r="I451" s="120">
        <f t="shared" si="33"/>
        <v>0</v>
      </c>
      <c r="L451" s="121"/>
      <c r="M451" s="121"/>
    </row>
    <row r="452" spans="1:13">
      <c r="A452" s="141">
        <f t="shared" si="32"/>
        <v>0</v>
      </c>
      <c r="B452" s="132"/>
      <c r="C452" s="147">
        <v>36</v>
      </c>
      <c r="D452" s="122" t="s">
        <v>168</v>
      </c>
      <c r="E452" s="181"/>
      <c r="F452" s="181"/>
      <c r="G452" s="120">
        <f t="shared" si="35"/>
        <v>0</v>
      </c>
      <c r="H452" s="120">
        <f t="shared" si="34"/>
        <v>0.875</v>
      </c>
      <c r="I452" s="120">
        <f t="shared" si="33"/>
        <v>0</v>
      </c>
      <c r="L452" s="121"/>
      <c r="M452" s="121"/>
    </row>
    <row r="453" spans="1:13">
      <c r="A453" s="141">
        <f t="shared" si="32"/>
        <v>0</v>
      </c>
      <c r="B453" s="132"/>
      <c r="C453" s="147">
        <v>16</v>
      </c>
      <c r="D453" s="122" t="s">
        <v>169</v>
      </c>
      <c r="E453" s="181"/>
      <c r="F453" s="181"/>
      <c r="G453" s="120">
        <f t="shared" si="35"/>
        <v>0</v>
      </c>
      <c r="H453" s="120">
        <f t="shared" si="34"/>
        <v>0.875</v>
      </c>
      <c r="I453" s="120">
        <f t="shared" si="33"/>
        <v>0</v>
      </c>
      <c r="L453" s="121"/>
      <c r="M453" s="121"/>
    </row>
    <row r="454" spans="1:13">
      <c r="A454" s="141">
        <f t="shared" si="32"/>
        <v>0</v>
      </c>
      <c r="B454" s="132"/>
      <c r="C454" s="147">
        <v>1</v>
      </c>
      <c r="D454" s="122" t="s">
        <v>170</v>
      </c>
      <c r="E454" s="181"/>
      <c r="F454" s="181"/>
      <c r="G454" s="120">
        <f t="shared" si="35"/>
        <v>0</v>
      </c>
      <c r="H454" s="120">
        <f t="shared" si="34"/>
        <v>0.875</v>
      </c>
      <c r="I454" s="120">
        <f t="shared" si="33"/>
        <v>0</v>
      </c>
      <c r="L454" s="121"/>
      <c r="M454" s="121"/>
    </row>
    <row r="455" spans="1:13">
      <c r="A455" s="141">
        <f t="shared" si="32"/>
        <v>0</v>
      </c>
      <c r="B455" s="132"/>
      <c r="C455" s="147">
        <v>19</v>
      </c>
      <c r="D455" s="122" t="s">
        <v>171</v>
      </c>
      <c r="E455" s="181"/>
      <c r="F455" s="181"/>
      <c r="G455" s="120">
        <f t="shared" si="35"/>
        <v>0</v>
      </c>
      <c r="H455" s="120">
        <f t="shared" si="34"/>
        <v>0.875</v>
      </c>
      <c r="I455" s="120">
        <f t="shared" si="33"/>
        <v>0</v>
      </c>
      <c r="L455" s="121"/>
      <c r="M455" s="121"/>
    </row>
    <row r="456" spans="1:13">
      <c r="A456" s="141">
        <f t="shared" si="32"/>
        <v>0</v>
      </c>
      <c r="B456" s="132"/>
      <c r="C456" s="147">
        <v>34</v>
      </c>
      <c r="D456" s="122" t="s">
        <v>172</v>
      </c>
      <c r="E456" s="181"/>
      <c r="F456" s="181"/>
      <c r="G456" s="120">
        <f t="shared" si="35"/>
        <v>0</v>
      </c>
      <c r="H456" s="120">
        <f t="shared" si="34"/>
        <v>0.875</v>
      </c>
      <c r="I456" s="120">
        <f t="shared" si="33"/>
        <v>0</v>
      </c>
      <c r="L456" s="121"/>
      <c r="M456" s="121"/>
    </row>
    <row r="457" spans="1:13">
      <c r="A457" s="141">
        <f t="shared" ref="A457:A520" si="36">B457</f>
        <v>0</v>
      </c>
      <c r="B457" s="132"/>
      <c r="C457" s="147">
        <v>30</v>
      </c>
      <c r="D457" s="122" t="s">
        <v>173</v>
      </c>
      <c r="E457" s="181"/>
      <c r="F457" s="181"/>
      <c r="G457" s="120">
        <f t="shared" si="35"/>
        <v>0</v>
      </c>
      <c r="H457" s="120">
        <f t="shared" si="34"/>
        <v>0.875</v>
      </c>
      <c r="I457" s="120">
        <f t="shared" ref="I457:I520" si="37">IFERROR(IF((F457-$H$2)&lt;0,0,F457-$H$2),"0")</f>
        <v>0</v>
      </c>
      <c r="L457" s="121"/>
      <c r="M457" s="121"/>
    </row>
    <row r="458" spans="1:13">
      <c r="A458" s="141">
        <f t="shared" si="36"/>
        <v>0</v>
      </c>
      <c r="B458" s="132"/>
      <c r="C458" s="147">
        <v>3</v>
      </c>
      <c r="D458" s="122" t="s">
        <v>174</v>
      </c>
      <c r="E458" s="181"/>
      <c r="F458" s="181"/>
      <c r="G458" s="120">
        <f t="shared" si="35"/>
        <v>0</v>
      </c>
      <c r="H458" s="120">
        <f t="shared" ref="H458:H521" si="38">IF(($H$2-F458)&lt;0,0,$H$2-F458)</f>
        <v>0.875</v>
      </c>
      <c r="I458" s="120">
        <f t="shared" si="37"/>
        <v>0</v>
      </c>
      <c r="L458" s="121"/>
      <c r="M458" s="121"/>
    </row>
    <row r="459" spans="1:13">
      <c r="A459" s="141">
        <f t="shared" si="36"/>
        <v>0</v>
      </c>
      <c r="B459" s="132"/>
      <c r="C459" s="147">
        <v>33</v>
      </c>
      <c r="D459" s="122" t="s">
        <v>175</v>
      </c>
      <c r="E459" s="181"/>
      <c r="F459" s="181"/>
      <c r="G459" s="120">
        <f t="shared" si="35"/>
        <v>0</v>
      </c>
      <c r="H459" s="120">
        <f t="shared" si="38"/>
        <v>0.875</v>
      </c>
      <c r="I459" s="120">
        <f t="shared" si="37"/>
        <v>0</v>
      </c>
      <c r="L459" s="121"/>
      <c r="M459" s="121"/>
    </row>
    <row r="460" spans="1:13">
      <c r="A460" s="141">
        <f t="shared" si="36"/>
        <v>0</v>
      </c>
      <c r="B460" s="132"/>
      <c r="C460" s="147">
        <v>11</v>
      </c>
      <c r="D460" s="122" t="s">
        <v>176</v>
      </c>
      <c r="E460" s="181"/>
      <c r="F460" s="181"/>
      <c r="G460" s="120">
        <f t="shared" si="35"/>
        <v>0</v>
      </c>
      <c r="H460" s="120">
        <f t="shared" si="38"/>
        <v>0.875</v>
      </c>
      <c r="I460" s="120">
        <f t="shared" si="37"/>
        <v>0</v>
      </c>
      <c r="L460" s="121"/>
      <c r="M460" s="121"/>
    </row>
    <row r="461" spans="1:13">
      <c r="A461" s="141">
        <f t="shared" si="36"/>
        <v>0</v>
      </c>
      <c r="B461" s="132"/>
      <c r="C461" s="147">
        <v>4</v>
      </c>
      <c r="D461" s="122" t="s">
        <v>177</v>
      </c>
      <c r="E461" s="181"/>
      <c r="F461" s="181"/>
      <c r="G461" s="120">
        <f t="shared" si="35"/>
        <v>0</v>
      </c>
      <c r="H461" s="120">
        <f t="shared" si="38"/>
        <v>0.875</v>
      </c>
      <c r="I461" s="120">
        <f t="shared" si="37"/>
        <v>0</v>
      </c>
      <c r="L461" s="121"/>
      <c r="M461" s="121"/>
    </row>
    <row r="462" spans="1:13">
      <c r="A462" s="141">
        <f t="shared" si="36"/>
        <v>0</v>
      </c>
      <c r="B462" s="132"/>
      <c r="C462" s="147">
        <v>35</v>
      </c>
      <c r="D462" s="122" t="s">
        <v>178</v>
      </c>
      <c r="E462" s="181"/>
      <c r="F462" s="181"/>
      <c r="G462" s="120">
        <f t="shared" si="35"/>
        <v>0</v>
      </c>
      <c r="H462" s="120">
        <f t="shared" si="38"/>
        <v>0.875</v>
      </c>
      <c r="I462" s="120">
        <f t="shared" si="37"/>
        <v>0</v>
      </c>
      <c r="L462" s="121"/>
      <c r="M462" s="121"/>
    </row>
    <row r="463" spans="1:13">
      <c r="A463" s="141">
        <f t="shared" si="36"/>
        <v>0</v>
      </c>
      <c r="B463" s="132"/>
      <c r="C463" s="147">
        <v>6</v>
      </c>
      <c r="D463" s="122" t="s">
        <v>179</v>
      </c>
      <c r="E463" s="181"/>
      <c r="F463" s="181"/>
      <c r="G463" s="120">
        <f t="shared" si="35"/>
        <v>0</v>
      </c>
      <c r="H463" s="120">
        <f t="shared" si="38"/>
        <v>0.875</v>
      </c>
      <c r="I463" s="120">
        <f t="shared" si="37"/>
        <v>0</v>
      </c>
      <c r="L463" s="121"/>
      <c r="M463" s="121"/>
    </row>
    <row r="464" spans="1:13">
      <c r="A464" s="141">
        <f t="shared" si="36"/>
        <v>0</v>
      </c>
      <c r="B464" s="132"/>
      <c r="C464" s="147">
        <v>41</v>
      </c>
      <c r="D464" s="122" t="s">
        <v>180</v>
      </c>
      <c r="E464" s="181"/>
      <c r="F464" s="181"/>
      <c r="G464" s="120">
        <f t="shared" si="35"/>
        <v>0</v>
      </c>
      <c r="H464" s="120">
        <f t="shared" si="38"/>
        <v>0.875</v>
      </c>
      <c r="I464" s="120">
        <f t="shared" si="37"/>
        <v>0</v>
      </c>
      <c r="L464" s="121"/>
      <c r="M464" s="121"/>
    </row>
    <row r="465" spans="1:13">
      <c r="A465" s="141">
        <f t="shared" si="36"/>
        <v>0</v>
      </c>
      <c r="B465" s="132"/>
      <c r="C465" s="147">
        <v>28</v>
      </c>
      <c r="D465" s="122" t="s">
        <v>181</v>
      </c>
      <c r="E465" s="181"/>
      <c r="F465" s="181"/>
      <c r="G465" s="120">
        <f t="shared" si="35"/>
        <v>0</v>
      </c>
      <c r="H465" s="120">
        <f t="shared" si="38"/>
        <v>0.875</v>
      </c>
      <c r="I465" s="120">
        <f t="shared" si="37"/>
        <v>0</v>
      </c>
      <c r="L465" s="121"/>
      <c r="M465" s="121"/>
    </row>
    <row r="466" spans="1:13">
      <c r="A466" s="141">
        <f t="shared" si="36"/>
        <v>0</v>
      </c>
      <c r="B466" s="132"/>
      <c r="C466" s="147">
        <v>20</v>
      </c>
      <c r="D466" s="122" t="s">
        <v>182</v>
      </c>
      <c r="E466" s="181"/>
      <c r="F466" s="181"/>
      <c r="G466" s="120">
        <f t="shared" si="35"/>
        <v>0</v>
      </c>
      <c r="H466" s="120">
        <f t="shared" si="38"/>
        <v>0.875</v>
      </c>
      <c r="I466" s="120">
        <f t="shared" si="37"/>
        <v>0</v>
      </c>
      <c r="L466" s="121"/>
      <c r="M466" s="121"/>
    </row>
    <row r="467" spans="1:13">
      <c r="A467" s="141">
        <f t="shared" si="36"/>
        <v>0</v>
      </c>
      <c r="B467" s="132"/>
      <c r="C467" s="147">
        <v>42</v>
      </c>
      <c r="D467" s="122" t="s">
        <v>183</v>
      </c>
      <c r="E467" s="181"/>
      <c r="F467" s="181"/>
      <c r="G467" s="120">
        <f t="shared" si="35"/>
        <v>0</v>
      </c>
      <c r="H467" s="120">
        <f t="shared" si="38"/>
        <v>0.875</v>
      </c>
      <c r="I467" s="120">
        <f t="shared" si="37"/>
        <v>0</v>
      </c>
      <c r="L467" s="121"/>
      <c r="M467" s="121"/>
    </row>
    <row r="468" spans="1:13">
      <c r="A468" s="141">
        <f t="shared" si="36"/>
        <v>0</v>
      </c>
      <c r="B468" s="126"/>
      <c r="C468" s="147">
        <v>15</v>
      </c>
      <c r="D468" s="130" t="s">
        <v>161</v>
      </c>
      <c r="E468" s="181"/>
      <c r="F468" s="181"/>
      <c r="G468" s="120">
        <f t="shared" si="35"/>
        <v>0</v>
      </c>
      <c r="H468" s="120">
        <f t="shared" si="38"/>
        <v>0.875</v>
      </c>
      <c r="I468" s="120">
        <f t="shared" si="37"/>
        <v>0</v>
      </c>
      <c r="L468" s="121"/>
      <c r="M468" s="121"/>
    </row>
    <row r="469" spans="1:13">
      <c r="A469" s="141">
        <f t="shared" si="36"/>
        <v>0</v>
      </c>
      <c r="B469" s="126"/>
      <c r="C469" s="147">
        <v>23</v>
      </c>
      <c r="D469" s="122" t="s">
        <v>162</v>
      </c>
      <c r="E469" s="181"/>
      <c r="F469" s="181"/>
      <c r="G469" s="120">
        <f t="shared" si="35"/>
        <v>0</v>
      </c>
      <c r="H469" s="120">
        <f t="shared" si="38"/>
        <v>0.875</v>
      </c>
      <c r="I469" s="120">
        <f t="shared" si="37"/>
        <v>0</v>
      </c>
      <c r="L469" s="121"/>
      <c r="M469" s="121"/>
    </row>
    <row r="470" spans="1:13">
      <c r="A470" s="141">
        <f t="shared" si="36"/>
        <v>0</v>
      </c>
      <c r="B470" s="126"/>
      <c r="C470" s="147">
        <v>21</v>
      </c>
      <c r="D470" s="122" t="s">
        <v>163</v>
      </c>
      <c r="E470" s="181"/>
      <c r="F470" s="181"/>
      <c r="G470" s="120">
        <f t="shared" si="35"/>
        <v>0</v>
      </c>
      <c r="H470" s="120">
        <f t="shared" si="38"/>
        <v>0.875</v>
      </c>
      <c r="I470" s="120">
        <f t="shared" si="37"/>
        <v>0</v>
      </c>
      <c r="L470" s="121"/>
      <c r="M470" s="121"/>
    </row>
    <row r="471" spans="1:13">
      <c r="A471" s="141">
        <f t="shared" si="36"/>
        <v>0</v>
      </c>
      <c r="B471" s="126"/>
      <c r="C471" s="99">
        <v>44</v>
      </c>
      <c r="D471" s="138" t="s">
        <v>164</v>
      </c>
      <c r="E471" s="181"/>
      <c r="F471" s="181"/>
      <c r="G471" s="120">
        <f t="shared" si="35"/>
        <v>0</v>
      </c>
      <c r="H471" s="120">
        <f t="shared" si="38"/>
        <v>0.875</v>
      </c>
      <c r="I471" s="120">
        <f t="shared" si="37"/>
        <v>0</v>
      </c>
      <c r="L471" s="119"/>
      <c r="M471" s="119"/>
    </row>
    <row r="472" spans="1:13">
      <c r="A472" s="141">
        <f t="shared" si="36"/>
        <v>0</v>
      </c>
      <c r="B472" s="126"/>
      <c r="C472" s="147">
        <v>27</v>
      </c>
      <c r="D472" s="122" t="s">
        <v>165</v>
      </c>
      <c r="E472" s="181"/>
      <c r="F472" s="181"/>
      <c r="G472" s="120">
        <f t="shared" si="35"/>
        <v>0</v>
      </c>
      <c r="H472" s="120">
        <f t="shared" si="38"/>
        <v>0.875</v>
      </c>
      <c r="I472" s="120">
        <f t="shared" si="37"/>
        <v>0</v>
      </c>
      <c r="L472" s="119"/>
      <c r="M472" s="119"/>
    </row>
    <row r="473" spans="1:13">
      <c r="A473" s="141">
        <f t="shared" si="36"/>
        <v>0</v>
      </c>
      <c r="B473" s="126"/>
      <c r="C473" s="147">
        <v>25</v>
      </c>
      <c r="D473" s="122" t="s">
        <v>166</v>
      </c>
      <c r="E473" s="181"/>
      <c r="F473" s="181"/>
      <c r="G473" s="120">
        <f t="shared" si="35"/>
        <v>0</v>
      </c>
      <c r="H473" s="120">
        <f t="shared" si="38"/>
        <v>0.875</v>
      </c>
      <c r="I473" s="120">
        <f t="shared" si="37"/>
        <v>0</v>
      </c>
      <c r="L473" s="119"/>
      <c r="M473" s="119"/>
    </row>
    <row r="474" spans="1:13" ht="17.25" customHeight="1">
      <c r="A474" s="141">
        <f t="shared" si="36"/>
        <v>0</v>
      </c>
      <c r="B474" s="126"/>
      <c r="C474" s="147">
        <v>32</v>
      </c>
      <c r="D474" s="122" t="s">
        <v>167</v>
      </c>
      <c r="E474" s="181"/>
      <c r="F474" s="181"/>
      <c r="G474" s="120">
        <f t="shared" si="35"/>
        <v>0</v>
      </c>
      <c r="H474" s="120">
        <f t="shared" si="38"/>
        <v>0.875</v>
      </c>
      <c r="I474" s="120">
        <f t="shared" si="37"/>
        <v>0</v>
      </c>
      <c r="L474" s="128"/>
      <c r="M474" s="128"/>
    </row>
    <row r="475" spans="1:13">
      <c r="A475" s="141">
        <f t="shared" si="36"/>
        <v>0</v>
      </c>
      <c r="B475" s="126"/>
      <c r="C475" s="147">
        <v>36</v>
      </c>
      <c r="D475" s="122" t="s">
        <v>168</v>
      </c>
      <c r="E475" s="181"/>
      <c r="F475" s="181"/>
      <c r="G475" s="120">
        <f t="shared" si="35"/>
        <v>0</v>
      </c>
      <c r="H475" s="120">
        <f t="shared" si="38"/>
        <v>0.875</v>
      </c>
      <c r="I475" s="120">
        <f t="shared" si="37"/>
        <v>0</v>
      </c>
      <c r="L475" s="128"/>
      <c r="M475" s="128"/>
    </row>
    <row r="476" spans="1:13">
      <c r="A476" s="141">
        <f t="shared" si="36"/>
        <v>0</v>
      </c>
      <c r="B476" s="126"/>
      <c r="C476" s="147">
        <v>16</v>
      </c>
      <c r="D476" s="122" t="s">
        <v>169</v>
      </c>
      <c r="E476" s="181"/>
      <c r="F476" s="181"/>
      <c r="G476" s="120">
        <f t="shared" si="35"/>
        <v>0</v>
      </c>
      <c r="H476" s="120">
        <f t="shared" si="38"/>
        <v>0.875</v>
      </c>
      <c r="I476" s="120">
        <f t="shared" si="37"/>
        <v>0</v>
      </c>
      <c r="L476" s="128"/>
      <c r="M476" s="128"/>
    </row>
    <row r="477" spans="1:13">
      <c r="A477" s="141">
        <f t="shared" si="36"/>
        <v>0</v>
      </c>
      <c r="B477" s="126"/>
      <c r="C477" s="147">
        <v>1</v>
      </c>
      <c r="D477" s="122" t="s">
        <v>170</v>
      </c>
      <c r="E477" s="181"/>
      <c r="F477" s="181"/>
      <c r="G477" s="120">
        <f t="shared" si="35"/>
        <v>0</v>
      </c>
      <c r="H477" s="120">
        <f t="shared" si="38"/>
        <v>0.875</v>
      </c>
      <c r="I477" s="120">
        <f t="shared" si="37"/>
        <v>0</v>
      </c>
      <c r="L477" s="128"/>
      <c r="M477" s="128"/>
    </row>
    <row r="478" spans="1:13">
      <c r="A478" s="141">
        <f t="shared" si="36"/>
        <v>0</v>
      </c>
      <c r="B478" s="126"/>
      <c r="C478" s="147">
        <v>19</v>
      </c>
      <c r="D478" s="122" t="s">
        <v>171</v>
      </c>
      <c r="E478" s="181"/>
      <c r="F478" s="181"/>
      <c r="G478" s="120">
        <f t="shared" si="35"/>
        <v>0</v>
      </c>
      <c r="H478" s="120">
        <f t="shared" si="38"/>
        <v>0.875</v>
      </c>
      <c r="I478" s="120">
        <f t="shared" si="37"/>
        <v>0</v>
      </c>
      <c r="L478" s="128"/>
      <c r="M478" s="128"/>
    </row>
    <row r="479" spans="1:13">
      <c r="A479" s="141">
        <f t="shared" si="36"/>
        <v>0</v>
      </c>
      <c r="B479" s="126"/>
      <c r="C479" s="147">
        <v>34</v>
      </c>
      <c r="D479" s="122" t="s">
        <v>172</v>
      </c>
      <c r="E479" s="181"/>
      <c r="F479" s="181"/>
      <c r="G479" s="120">
        <f t="shared" si="35"/>
        <v>0</v>
      </c>
      <c r="H479" s="120">
        <f t="shared" si="38"/>
        <v>0.875</v>
      </c>
      <c r="I479" s="120">
        <f t="shared" si="37"/>
        <v>0</v>
      </c>
      <c r="L479" s="128"/>
      <c r="M479" s="128"/>
    </row>
    <row r="480" spans="1:13">
      <c r="A480" s="141">
        <f t="shared" si="36"/>
        <v>0</v>
      </c>
      <c r="B480" s="126"/>
      <c r="C480" s="147">
        <v>30</v>
      </c>
      <c r="D480" s="122" t="s">
        <v>173</v>
      </c>
      <c r="E480" s="181"/>
      <c r="F480" s="181"/>
      <c r="G480" s="120">
        <f t="shared" si="35"/>
        <v>0</v>
      </c>
      <c r="H480" s="120">
        <f t="shared" si="38"/>
        <v>0.875</v>
      </c>
      <c r="I480" s="120">
        <f t="shared" si="37"/>
        <v>0</v>
      </c>
      <c r="L480" s="128"/>
      <c r="M480" s="128"/>
    </row>
    <row r="481" spans="1:13">
      <c r="A481" s="141">
        <f t="shared" si="36"/>
        <v>0</v>
      </c>
      <c r="B481" s="126"/>
      <c r="C481" s="147">
        <v>3</v>
      </c>
      <c r="D481" s="122" t="s">
        <v>174</v>
      </c>
      <c r="E481" s="181"/>
      <c r="F481" s="181"/>
      <c r="G481" s="120">
        <f t="shared" si="35"/>
        <v>0</v>
      </c>
      <c r="H481" s="120">
        <f t="shared" si="38"/>
        <v>0.875</v>
      </c>
      <c r="I481" s="120">
        <f t="shared" si="37"/>
        <v>0</v>
      </c>
      <c r="L481" s="128"/>
      <c r="M481" s="128"/>
    </row>
    <row r="482" spans="1:13">
      <c r="A482" s="141">
        <f t="shared" si="36"/>
        <v>0</v>
      </c>
      <c r="B482" s="126"/>
      <c r="C482" s="147">
        <v>33</v>
      </c>
      <c r="D482" s="122" t="s">
        <v>175</v>
      </c>
      <c r="E482" s="181"/>
      <c r="F482" s="181"/>
      <c r="G482" s="120">
        <f t="shared" si="35"/>
        <v>0</v>
      </c>
      <c r="H482" s="120">
        <f t="shared" si="38"/>
        <v>0.875</v>
      </c>
      <c r="I482" s="120">
        <f t="shared" si="37"/>
        <v>0</v>
      </c>
      <c r="L482" s="128"/>
      <c r="M482" s="128"/>
    </row>
    <row r="483" spans="1:13">
      <c r="A483" s="141">
        <f t="shared" si="36"/>
        <v>0</v>
      </c>
      <c r="B483" s="126"/>
      <c r="C483" s="147">
        <v>11</v>
      </c>
      <c r="D483" s="122" t="s">
        <v>176</v>
      </c>
      <c r="E483" s="181"/>
      <c r="F483" s="181"/>
      <c r="G483" s="120">
        <f t="shared" si="35"/>
        <v>0</v>
      </c>
      <c r="H483" s="120">
        <f t="shared" si="38"/>
        <v>0.875</v>
      </c>
      <c r="I483" s="120">
        <f t="shared" si="37"/>
        <v>0</v>
      </c>
      <c r="L483" s="128"/>
      <c r="M483" s="128"/>
    </row>
    <row r="484" spans="1:13">
      <c r="A484" s="141">
        <f t="shared" si="36"/>
        <v>0</v>
      </c>
      <c r="B484" s="126"/>
      <c r="C484" s="147">
        <v>4</v>
      </c>
      <c r="D484" s="122" t="s">
        <v>177</v>
      </c>
      <c r="E484" s="181"/>
      <c r="F484" s="181"/>
      <c r="G484" s="120">
        <f t="shared" si="35"/>
        <v>0</v>
      </c>
      <c r="H484" s="120">
        <f t="shared" si="38"/>
        <v>0.875</v>
      </c>
      <c r="I484" s="120">
        <f t="shared" si="37"/>
        <v>0</v>
      </c>
      <c r="L484" s="128"/>
      <c r="M484" s="128"/>
    </row>
    <row r="485" spans="1:13">
      <c r="A485" s="141">
        <f t="shared" si="36"/>
        <v>0</v>
      </c>
      <c r="B485" s="126"/>
      <c r="C485" s="147">
        <v>35</v>
      </c>
      <c r="D485" s="122" t="s">
        <v>178</v>
      </c>
      <c r="E485" s="181"/>
      <c r="F485" s="181"/>
      <c r="G485" s="120">
        <f t="shared" si="35"/>
        <v>0</v>
      </c>
      <c r="H485" s="120">
        <f t="shared" si="38"/>
        <v>0.875</v>
      </c>
      <c r="I485" s="120">
        <f t="shared" si="37"/>
        <v>0</v>
      </c>
      <c r="L485" s="128"/>
      <c r="M485" s="128"/>
    </row>
    <row r="486" spans="1:13">
      <c r="A486" s="141">
        <f t="shared" si="36"/>
        <v>0</v>
      </c>
      <c r="B486" s="126"/>
      <c r="C486" s="147">
        <v>6</v>
      </c>
      <c r="D486" s="122" t="s">
        <v>179</v>
      </c>
      <c r="E486" s="181"/>
      <c r="F486" s="181"/>
      <c r="G486" s="120">
        <f t="shared" si="35"/>
        <v>0</v>
      </c>
      <c r="H486" s="120">
        <f t="shared" si="38"/>
        <v>0.875</v>
      </c>
      <c r="I486" s="120">
        <f t="shared" si="37"/>
        <v>0</v>
      </c>
      <c r="L486" s="128"/>
      <c r="M486" s="128"/>
    </row>
    <row r="487" spans="1:13">
      <c r="A487" s="141">
        <f t="shared" si="36"/>
        <v>0</v>
      </c>
      <c r="B487" s="126"/>
      <c r="C487" s="147">
        <v>41</v>
      </c>
      <c r="D487" s="122" t="s">
        <v>180</v>
      </c>
      <c r="E487" s="181"/>
      <c r="F487" s="181"/>
      <c r="G487" s="120">
        <f t="shared" si="35"/>
        <v>0</v>
      </c>
      <c r="H487" s="120">
        <f t="shared" si="38"/>
        <v>0.875</v>
      </c>
      <c r="I487" s="120">
        <f t="shared" si="37"/>
        <v>0</v>
      </c>
      <c r="L487" s="128"/>
      <c r="M487" s="128"/>
    </row>
    <row r="488" spans="1:13">
      <c r="A488" s="141">
        <f t="shared" si="36"/>
        <v>0</v>
      </c>
      <c r="B488" s="126"/>
      <c r="C488" s="147">
        <v>28</v>
      </c>
      <c r="D488" s="122" t="s">
        <v>181</v>
      </c>
      <c r="E488" s="181"/>
      <c r="F488" s="181"/>
      <c r="G488" s="120">
        <f t="shared" si="35"/>
        <v>0</v>
      </c>
      <c r="H488" s="120">
        <f t="shared" si="38"/>
        <v>0.875</v>
      </c>
      <c r="I488" s="120">
        <f t="shared" si="37"/>
        <v>0</v>
      </c>
      <c r="L488" s="128"/>
      <c r="M488" s="128"/>
    </row>
    <row r="489" spans="1:13">
      <c r="A489" s="141">
        <f t="shared" si="36"/>
        <v>0</v>
      </c>
      <c r="B489" s="126"/>
      <c r="C489" s="147">
        <v>20</v>
      </c>
      <c r="D489" s="122" t="s">
        <v>182</v>
      </c>
      <c r="E489" s="181"/>
      <c r="F489" s="181"/>
      <c r="G489" s="120">
        <f t="shared" si="35"/>
        <v>0</v>
      </c>
      <c r="H489" s="120">
        <f t="shared" si="38"/>
        <v>0.875</v>
      </c>
      <c r="I489" s="120">
        <f t="shared" si="37"/>
        <v>0</v>
      </c>
      <c r="L489" s="128"/>
      <c r="M489" s="128"/>
    </row>
    <row r="490" spans="1:13">
      <c r="A490" s="141">
        <f t="shared" si="36"/>
        <v>0</v>
      </c>
      <c r="B490" s="126"/>
      <c r="C490" s="147">
        <v>42</v>
      </c>
      <c r="D490" s="122" t="s">
        <v>183</v>
      </c>
      <c r="E490" s="181"/>
      <c r="F490" s="181"/>
      <c r="G490" s="120">
        <f t="shared" si="35"/>
        <v>0</v>
      </c>
      <c r="H490" s="120">
        <f t="shared" si="38"/>
        <v>0.875</v>
      </c>
      <c r="I490" s="120">
        <f t="shared" si="37"/>
        <v>0</v>
      </c>
      <c r="L490" s="128"/>
      <c r="M490" s="128"/>
    </row>
    <row r="491" spans="1:13">
      <c r="A491" s="141">
        <f t="shared" si="36"/>
        <v>0</v>
      </c>
      <c r="B491" s="132"/>
      <c r="C491" s="147">
        <v>15</v>
      </c>
      <c r="D491" s="130" t="s">
        <v>161</v>
      </c>
      <c r="E491" s="181"/>
      <c r="F491" s="181"/>
      <c r="G491" s="120">
        <f t="shared" si="35"/>
        <v>0</v>
      </c>
      <c r="H491" s="120">
        <f t="shared" si="38"/>
        <v>0.875</v>
      </c>
      <c r="I491" s="120">
        <f t="shared" si="37"/>
        <v>0</v>
      </c>
      <c r="L491" s="128"/>
      <c r="M491" s="128"/>
    </row>
    <row r="492" spans="1:13">
      <c r="A492" s="141">
        <f t="shared" si="36"/>
        <v>0</v>
      </c>
      <c r="B492" s="132"/>
      <c r="C492" s="147">
        <v>23</v>
      </c>
      <c r="D492" s="122" t="s">
        <v>162</v>
      </c>
      <c r="E492" s="181"/>
      <c r="F492" s="181"/>
      <c r="G492" s="120">
        <f>IFERROR(IF((E492-$F$2)&lt;=$H$3,0,E492-$F$2),"غياب")</f>
        <v>0</v>
      </c>
      <c r="H492" s="120">
        <f t="shared" si="38"/>
        <v>0.875</v>
      </c>
      <c r="I492" s="120">
        <f t="shared" si="37"/>
        <v>0</v>
      </c>
      <c r="L492" s="128"/>
      <c r="M492" s="128"/>
    </row>
    <row r="493" spans="1:13">
      <c r="A493" s="141">
        <f t="shared" si="36"/>
        <v>0</v>
      </c>
      <c r="B493" s="132"/>
      <c r="C493" s="147">
        <v>21</v>
      </c>
      <c r="D493" s="122" t="s">
        <v>163</v>
      </c>
      <c r="E493" s="181"/>
      <c r="F493" s="181"/>
      <c r="G493" s="120">
        <f t="shared" si="35"/>
        <v>0</v>
      </c>
      <c r="H493" s="120">
        <f t="shared" si="38"/>
        <v>0.875</v>
      </c>
      <c r="I493" s="120">
        <f t="shared" si="37"/>
        <v>0</v>
      </c>
      <c r="L493" s="128"/>
      <c r="M493" s="128"/>
    </row>
    <row r="494" spans="1:13">
      <c r="A494" s="141">
        <f t="shared" si="36"/>
        <v>0</v>
      </c>
      <c r="B494" s="132"/>
      <c r="C494" s="99">
        <v>44</v>
      </c>
      <c r="D494" s="138" t="s">
        <v>164</v>
      </c>
      <c r="E494" s="181"/>
      <c r="F494" s="181"/>
      <c r="G494" s="120">
        <f t="shared" si="35"/>
        <v>0</v>
      </c>
      <c r="H494" s="120">
        <f t="shared" si="38"/>
        <v>0.875</v>
      </c>
      <c r="I494" s="120">
        <f t="shared" si="37"/>
        <v>0</v>
      </c>
      <c r="L494" s="128"/>
      <c r="M494" s="128"/>
    </row>
    <row r="495" spans="1:13">
      <c r="A495" s="141">
        <f t="shared" si="36"/>
        <v>0</v>
      </c>
      <c r="B495" s="132"/>
      <c r="C495" s="147">
        <v>27</v>
      </c>
      <c r="D495" s="122" t="s">
        <v>165</v>
      </c>
      <c r="E495" s="181"/>
      <c r="F495" s="181"/>
      <c r="G495" s="120">
        <f t="shared" si="35"/>
        <v>0</v>
      </c>
      <c r="H495" s="120">
        <f t="shared" si="38"/>
        <v>0.875</v>
      </c>
      <c r="I495" s="120">
        <f t="shared" si="37"/>
        <v>0</v>
      </c>
      <c r="L495" s="128"/>
      <c r="M495" s="128"/>
    </row>
    <row r="496" spans="1:13">
      <c r="A496" s="141">
        <f t="shared" si="36"/>
        <v>0</v>
      </c>
      <c r="B496" s="132"/>
      <c r="C496" s="147">
        <v>25</v>
      </c>
      <c r="D496" s="122" t="s">
        <v>166</v>
      </c>
      <c r="E496" s="181"/>
      <c r="F496" s="181"/>
      <c r="G496" s="120">
        <f t="shared" si="35"/>
        <v>0</v>
      </c>
      <c r="H496" s="120">
        <f t="shared" si="38"/>
        <v>0.875</v>
      </c>
      <c r="I496" s="120">
        <f t="shared" si="37"/>
        <v>0</v>
      </c>
      <c r="L496" s="128"/>
      <c r="M496" s="129"/>
    </row>
    <row r="497" spans="1:13">
      <c r="A497" s="141">
        <f t="shared" si="36"/>
        <v>0</v>
      </c>
      <c r="B497" s="132"/>
      <c r="C497" s="147">
        <v>32</v>
      </c>
      <c r="D497" s="122" t="s">
        <v>167</v>
      </c>
      <c r="E497" s="181"/>
      <c r="F497" s="181"/>
      <c r="G497" s="120">
        <f t="shared" si="35"/>
        <v>0</v>
      </c>
      <c r="H497" s="120">
        <f t="shared" si="38"/>
        <v>0.875</v>
      </c>
      <c r="I497" s="120">
        <f t="shared" si="37"/>
        <v>0</v>
      </c>
      <c r="L497" s="128"/>
      <c r="M497" s="129"/>
    </row>
    <row r="498" spans="1:13">
      <c r="A498" s="141">
        <f t="shared" si="36"/>
        <v>0</v>
      </c>
      <c r="B498" s="132"/>
      <c r="C498" s="147">
        <v>36</v>
      </c>
      <c r="D498" s="122" t="s">
        <v>168</v>
      </c>
      <c r="E498" s="181"/>
      <c r="F498" s="181"/>
      <c r="G498" s="120">
        <f t="shared" si="35"/>
        <v>0</v>
      </c>
      <c r="H498" s="120">
        <f t="shared" si="38"/>
        <v>0.875</v>
      </c>
      <c r="I498" s="120">
        <f t="shared" si="37"/>
        <v>0</v>
      </c>
      <c r="L498" s="128"/>
      <c r="M498" s="129"/>
    </row>
    <row r="499" spans="1:13">
      <c r="A499" s="141">
        <f t="shared" si="36"/>
        <v>0</v>
      </c>
      <c r="B499" s="132"/>
      <c r="C499" s="147">
        <v>16</v>
      </c>
      <c r="D499" s="122" t="s">
        <v>169</v>
      </c>
      <c r="E499" s="181"/>
      <c r="F499" s="181"/>
      <c r="G499" s="120">
        <f t="shared" si="35"/>
        <v>0</v>
      </c>
      <c r="H499" s="120">
        <f t="shared" si="38"/>
        <v>0.875</v>
      </c>
      <c r="I499" s="120">
        <f t="shared" si="37"/>
        <v>0</v>
      </c>
      <c r="L499" s="128"/>
      <c r="M499" s="129"/>
    </row>
    <row r="500" spans="1:13">
      <c r="A500" s="141">
        <f t="shared" si="36"/>
        <v>0</v>
      </c>
      <c r="B500" s="132"/>
      <c r="C500" s="147">
        <v>1</v>
      </c>
      <c r="D500" s="122" t="s">
        <v>170</v>
      </c>
      <c r="E500" s="181"/>
      <c r="F500" s="181"/>
      <c r="G500" s="120">
        <f t="shared" si="35"/>
        <v>0</v>
      </c>
      <c r="H500" s="120">
        <f t="shared" si="38"/>
        <v>0.875</v>
      </c>
      <c r="I500" s="120">
        <f t="shared" si="37"/>
        <v>0</v>
      </c>
      <c r="L500" s="128"/>
      <c r="M500" s="129"/>
    </row>
    <row r="501" spans="1:13">
      <c r="A501" s="141">
        <f t="shared" si="36"/>
        <v>0</v>
      </c>
      <c r="B501" s="132"/>
      <c r="C501" s="147">
        <v>19</v>
      </c>
      <c r="D501" s="122" t="s">
        <v>171</v>
      </c>
      <c r="E501" s="181"/>
      <c r="F501" s="181"/>
      <c r="G501" s="120">
        <f t="shared" si="35"/>
        <v>0</v>
      </c>
      <c r="H501" s="120">
        <f t="shared" si="38"/>
        <v>0.875</v>
      </c>
      <c r="I501" s="120">
        <f t="shared" si="37"/>
        <v>0</v>
      </c>
      <c r="L501" s="128"/>
      <c r="M501" s="129"/>
    </row>
    <row r="502" spans="1:13">
      <c r="A502" s="141">
        <f t="shared" si="36"/>
        <v>0</v>
      </c>
      <c r="B502" s="132"/>
      <c r="C502" s="147">
        <v>34</v>
      </c>
      <c r="D502" s="122" t="s">
        <v>172</v>
      </c>
      <c r="E502" s="181"/>
      <c r="F502" s="181"/>
      <c r="G502" s="120">
        <f t="shared" si="35"/>
        <v>0</v>
      </c>
      <c r="H502" s="120">
        <f t="shared" si="38"/>
        <v>0.875</v>
      </c>
      <c r="I502" s="120">
        <f t="shared" si="37"/>
        <v>0</v>
      </c>
      <c r="L502" s="128"/>
      <c r="M502" s="129"/>
    </row>
    <row r="503" spans="1:13">
      <c r="A503" s="141">
        <f t="shared" si="36"/>
        <v>0</v>
      </c>
      <c r="B503" s="132"/>
      <c r="C503" s="147">
        <v>30</v>
      </c>
      <c r="D503" s="122" t="s">
        <v>173</v>
      </c>
      <c r="E503" s="181"/>
      <c r="F503" s="181"/>
      <c r="G503" s="120">
        <f t="shared" ref="G503:G566" si="39">IFERROR(IF((E503-$F$2)&lt;=$H$3,0,E503-$F$2),"غياب")</f>
        <v>0</v>
      </c>
      <c r="H503" s="120">
        <f t="shared" si="38"/>
        <v>0.875</v>
      </c>
      <c r="I503" s="120">
        <f t="shared" si="37"/>
        <v>0</v>
      </c>
      <c r="L503" s="128"/>
      <c r="M503" s="129"/>
    </row>
    <row r="504" spans="1:13">
      <c r="A504" s="141">
        <f t="shared" si="36"/>
        <v>0</v>
      </c>
      <c r="B504" s="132"/>
      <c r="C504" s="147">
        <v>3</v>
      </c>
      <c r="D504" s="122" t="s">
        <v>174</v>
      </c>
      <c r="E504" s="181"/>
      <c r="F504" s="181"/>
      <c r="G504" s="120">
        <f t="shared" si="39"/>
        <v>0</v>
      </c>
      <c r="H504" s="120">
        <f t="shared" si="38"/>
        <v>0.875</v>
      </c>
      <c r="I504" s="120">
        <f t="shared" si="37"/>
        <v>0</v>
      </c>
      <c r="L504" s="128"/>
      <c r="M504" s="129"/>
    </row>
    <row r="505" spans="1:13">
      <c r="A505" s="141">
        <f t="shared" si="36"/>
        <v>0</v>
      </c>
      <c r="B505" s="132"/>
      <c r="C505" s="147">
        <v>33</v>
      </c>
      <c r="D505" s="122" t="s">
        <v>175</v>
      </c>
      <c r="E505" s="181"/>
      <c r="F505" s="181"/>
      <c r="G505" s="120">
        <f t="shared" si="39"/>
        <v>0</v>
      </c>
      <c r="H505" s="120">
        <f t="shared" si="38"/>
        <v>0.875</v>
      </c>
      <c r="I505" s="120">
        <f t="shared" si="37"/>
        <v>0</v>
      </c>
      <c r="L505" s="128"/>
      <c r="M505" s="129"/>
    </row>
    <row r="506" spans="1:13">
      <c r="A506" s="141">
        <f t="shared" si="36"/>
        <v>0</v>
      </c>
      <c r="B506" s="132"/>
      <c r="C506" s="147">
        <v>11</v>
      </c>
      <c r="D506" s="122" t="s">
        <v>176</v>
      </c>
      <c r="E506" s="181"/>
      <c r="F506" s="181"/>
      <c r="G506" s="120">
        <f t="shared" si="39"/>
        <v>0</v>
      </c>
      <c r="H506" s="120">
        <f t="shared" si="38"/>
        <v>0.875</v>
      </c>
      <c r="I506" s="120">
        <f t="shared" si="37"/>
        <v>0</v>
      </c>
      <c r="L506" s="128"/>
      <c r="M506" s="129"/>
    </row>
    <row r="507" spans="1:13">
      <c r="A507" s="141">
        <f t="shared" si="36"/>
        <v>0</v>
      </c>
      <c r="B507" s="132"/>
      <c r="C507" s="147">
        <v>4</v>
      </c>
      <c r="D507" s="122" t="s">
        <v>177</v>
      </c>
      <c r="E507" s="181"/>
      <c r="F507" s="181"/>
      <c r="G507" s="120">
        <f t="shared" si="39"/>
        <v>0</v>
      </c>
      <c r="H507" s="120">
        <f t="shared" si="38"/>
        <v>0.875</v>
      </c>
      <c r="I507" s="120">
        <f t="shared" si="37"/>
        <v>0</v>
      </c>
      <c r="L507" s="128"/>
      <c r="M507" s="129"/>
    </row>
    <row r="508" spans="1:13">
      <c r="A508" s="141">
        <f t="shared" si="36"/>
        <v>0</v>
      </c>
      <c r="B508" s="132"/>
      <c r="C508" s="147">
        <v>35</v>
      </c>
      <c r="D508" s="122" t="s">
        <v>178</v>
      </c>
      <c r="E508" s="181"/>
      <c r="F508" s="181"/>
      <c r="G508" s="120">
        <f t="shared" si="39"/>
        <v>0</v>
      </c>
      <c r="H508" s="120">
        <f t="shared" si="38"/>
        <v>0.875</v>
      </c>
      <c r="I508" s="120">
        <f t="shared" si="37"/>
        <v>0</v>
      </c>
      <c r="L508" s="128"/>
      <c r="M508" s="129"/>
    </row>
    <row r="509" spans="1:13">
      <c r="A509" s="141">
        <f t="shared" si="36"/>
        <v>0</v>
      </c>
      <c r="B509" s="132"/>
      <c r="C509" s="147">
        <v>6</v>
      </c>
      <c r="D509" s="122" t="s">
        <v>179</v>
      </c>
      <c r="E509" s="181"/>
      <c r="F509" s="181"/>
      <c r="G509" s="120">
        <f t="shared" si="39"/>
        <v>0</v>
      </c>
      <c r="H509" s="120">
        <f t="shared" si="38"/>
        <v>0.875</v>
      </c>
      <c r="I509" s="120">
        <f t="shared" si="37"/>
        <v>0</v>
      </c>
      <c r="L509" s="128"/>
      <c r="M509" s="129"/>
    </row>
    <row r="510" spans="1:13">
      <c r="A510" s="141">
        <f t="shared" si="36"/>
        <v>0</v>
      </c>
      <c r="B510" s="132"/>
      <c r="C510" s="147">
        <v>41</v>
      </c>
      <c r="D510" s="122" t="s">
        <v>180</v>
      </c>
      <c r="E510" s="181"/>
      <c r="F510" s="181"/>
      <c r="G510" s="120">
        <f>IFERROR(IF((E510-$F$2)&lt;=$H$3,0,E510-$F$2),"غياب")</f>
        <v>0</v>
      </c>
      <c r="H510" s="120">
        <f t="shared" si="38"/>
        <v>0.875</v>
      </c>
      <c r="I510" s="120">
        <f t="shared" si="37"/>
        <v>0</v>
      </c>
      <c r="L510" s="128"/>
      <c r="M510" s="129"/>
    </row>
    <row r="511" spans="1:13">
      <c r="A511" s="141">
        <f t="shared" si="36"/>
        <v>0</v>
      </c>
      <c r="B511" s="132"/>
      <c r="C511" s="147">
        <v>28</v>
      </c>
      <c r="D511" s="122" t="s">
        <v>181</v>
      </c>
      <c r="E511" s="181"/>
      <c r="F511" s="181"/>
      <c r="G511" s="120">
        <f t="shared" si="39"/>
        <v>0</v>
      </c>
      <c r="H511" s="120">
        <f t="shared" si="38"/>
        <v>0.875</v>
      </c>
      <c r="I511" s="120">
        <f t="shared" si="37"/>
        <v>0</v>
      </c>
      <c r="L511" s="128"/>
      <c r="M511" s="129"/>
    </row>
    <row r="512" spans="1:13">
      <c r="A512" s="141">
        <f t="shared" si="36"/>
        <v>0</v>
      </c>
      <c r="B512" s="132"/>
      <c r="C512" s="147">
        <v>20</v>
      </c>
      <c r="D512" s="122" t="s">
        <v>182</v>
      </c>
      <c r="E512" s="181"/>
      <c r="F512" s="181"/>
      <c r="G512" s="120">
        <f t="shared" si="39"/>
        <v>0</v>
      </c>
      <c r="H512" s="120">
        <f t="shared" si="38"/>
        <v>0.875</v>
      </c>
      <c r="I512" s="120">
        <f t="shared" si="37"/>
        <v>0</v>
      </c>
      <c r="L512" s="128"/>
      <c r="M512" s="129"/>
    </row>
    <row r="513" spans="1:13">
      <c r="A513" s="141">
        <f t="shared" si="36"/>
        <v>0</v>
      </c>
      <c r="B513" s="132"/>
      <c r="C513" s="147">
        <v>42</v>
      </c>
      <c r="D513" s="122" t="s">
        <v>183</v>
      </c>
      <c r="E513" s="181"/>
      <c r="F513" s="181"/>
      <c r="G513" s="120">
        <f t="shared" si="39"/>
        <v>0</v>
      </c>
      <c r="H513" s="120">
        <f t="shared" si="38"/>
        <v>0.875</v>
      </c>
      <c r="I513" s="120">
        <f t="shared" si="37"/>
        <v>0</v>
      </c>
      <c r="L513" s="128"/>
      <c r="M513" s="129"/>
    </row>
    <row r="514" spans="1:13">
      <c r="A514" s="141">
        <f t="shared" si="36"/>
        <v>0</v>
      </c>
      <c r="B514" s="126"/>
      <c r="C514" s="147">
        <v>15</v>
      </c>
      <c r="D514" s="130" t="s">
        <v>161</v>
      </c>
      <c r="E514" s="181"/>
      <c r="F514" s="181"/>
      <c r="G514" s="120">
        <f t="shared" si="39"/>
        <v>0</v>
      </c>
      <c r="H514" s="120">
        <f t="shared" si="38"/>
        <v>0.875</v>
      </c>
      <c r="I514" s="120">
        <f t="shared" si="37"/>
        <v>0</v>
      </c>
      <c r="L514" s="128"/>
      <c r="M514" s="129"/>
    </row>
    <row r="515" spans="1:13">
      <c r="A515" s="141">
        <f t="shared" si="36"/>
        <v>0</v>
      </c>
      <c r="B515" s="126"/>
      <c r="C515" s="147">
        <v>23</v>
      </c>
      <c r="D515" s="122" t="s">
        <v>162</v>
      </c>
      <c r="E515" s="181"/>
      <c r="F515" s="181"/>
      <c r="G515" s="120">
        <f t="shared" si="39"/>
        <v>0</v>
      </c>
      <c r="H515" s="120">
        <f t="shared" si="38"/>
        <v>0.875</v>
      </c>
      <c r="I515" s="120">
        <f t="shared" si="37"/>
        <v>0</v>
      </c>
      <c r="L515" s="128"/>
      <c r="M515" s="128"/>
    </row>
    <row r="516" spans="1:13">
      <c r="A516" s="141">
        <f t="shared" si="36"/>
        <v>0</v>
      </c>
      <c r="B516" s="126"/>
      <c r="C516" s="147">
        <v>21</v>
      </c>
      <c r="D516" s="122" t="s">
        <v>163</v>
      </c>
      <c r="E516" s="181"/>
      <c r="F516" s="181"/>
      <c r="G516" s="120">
        <f t="shared" si="39"/>
        <v>0</v>
      </c>
      <c r="H516" s="120">
        <f t="shared" si="38"/>
        <v>0.875</v>
      </c>
      <c r="I516" s="120">
        <f t="shared" si="37"/>
        <v>0</v>
      </c>
      <c r="L516" s="128"/>
      <c r="M516" s="128"/>
    </row>
    <row r="517" spans="1:13">
      <c r="A517" s="141">
        <f t="shared" si="36"/>
        <v>0</v>
      </c>
      <c r="B517" s="126"/>
      <c r="C517" s="99">
        <v>44</v>
      </c>
      <c r="D517" s="138" t="s">
        <v>164</v>
      </c>
      <c r="E517" s="181"/>
      <c r="F517" s="181"/>
      <c r="G517" s="120">
        <f t="shared" si="39"/>
        <v>0</v>
      </c>
      <c r="H517" s="120">
        <f t="shared" si="38"/>
        <v>0.875</v>
      </c>
      <c r="I517" s="120">
        <f t="shared" si="37"/>
        <v>0</v>
      </c>
      <c r="L517" s="128"/>
      <c r="M517" s="128"/>
    </row>
    <row r="518" spans="1:13">
      <c r="A518" s="141">
        <f t="shared" si="36"/>
        <v>0</v>
      </c>
      <c r="B518" s="126"/>
      <c r="C518" s="147">
        <v>27</v>
      </c>
      <c r="D518" s="122" t="s">
        <v>165</v>
      </c>
      <c r="E518" s="181"/>
      <c r="F518" s="181"/>
      <c r="G518" s="120">
        <f t="shared" si="39"/>
        <v>0</v>
      </c>
      <c r="H518" s="120">
        <f t="shared" si="38"/>
        <v>0.875</v>
      </c>
      <c r="I518" s="120">
        <f t="shared" si="37"/>
        <v>0</v>
      </c>
      <c r="L518" s="128"/>
      <c r="M518" s="128"/>
    </row>
    <row r="519" spans="1:13">
      <c r="A519" s="141">
        <f t="shared" si="36"/>
        <v>0</v>
      </c>
      <c r="B519" s="126"/>
      <c r="C519" s="147">
        <v>25</v>
      </c>
      <c r="D519" s="122" t="s">
        <v>166</v>
      </c>
      <c r="E519" s="181"/>
      <c r="F519" s="181"/>
      <c r="G519" s="120">
        <f t="shared" si="39"/>
        <v>0</v>
      </c>
      <c r="H519" s="120">
        <f t="shared" si="38"/>
        <v>0.875</v>
      </c>
      <c r="I519" s="120">
        <f t="shared" si="37"/>
        <v>0</v>
      </c>
      <c r="L519" s="128"/>
      <c r="M519" s="128"/>
    </row>
    <row r="520" spans="1:13">
      <c r="A520" s="141">
        <f t="shared" si="36"/>
        <v>0</v>
      </c>
      <c r="B520" s="126"/>
      <c r="C520" s="147">
        <v>32</v>
      </c>
      <c r="D520" s="122" t="s">
        <v>167</v>
      </c>
      <c r="E520" s="181"/>
      <c r="F520" s="181"/>
      <c r="G520" s="120">
        <f t="shared" si="39"/>
        <v>0</v>
      </c>
      <c r="H520" s="120">
        <f t="shared" si="38"/>
        <v>0.875</v>
      </c>
      <c r="I520" s="120">
        <f t="shared" si="37"/>
        <v>0</v>
      </c>
      <c r="L520" s="128"/>
      <c r="M520" s="128"/>
    </row>
    <row r="521" spans="1:13">
      <c r="A521" s="141">
        <f t="shared" ref="A521:A584" si="40">B521</f>
        <v>0</v>
      </c>
      <c r="B521" s="126"/>
      <c r="C521" s="147">
        <v>36</v>
      </c>
      <c r="D521" s="122" t="s">
        <v>168</v>
      </c>
      <c r="E521" s="181"/>
      <c r="F521" s="181"/>
      <c r="G521" s="120">
        <f t="shared" si="39"/>
        <v>0</v>
      </c>
      <c r="H521" s="120">
        <f t="shared" si="38"/>
        <v>0.875</v>
      </c>
      <c r="I521" s="120">
        <f t="shared" ref="I521:I584" si="41">IFERROR(IF((F521-$H$2)&lt;0,0,F521-$H$2),"0")</f>
        <v>0</v>
      </c>
      <c r="L521" s="128"/>
      <c r="M521" s="128"/>
    </row>
    <row r="522" spans="1:13">
      <c r="A522" s="141">
        <f t="shared" si="40"/>
        <v>0</v>
      </c>
      <c r="B522" s="126"/>
      <c r="C522" s="147">
        <v>16</v>
      </c>
      <c r="D522" s="122" t="s">
        <v>169</v>
      </c>
      <c r="E522" s="181"/>
      <c r="F522" s="181"/>
      <c r="G522" s="120">
        <f t="shared" si="39"/>
        <v>0</v>
      </c>
      <c r="H522" s="120">
        <f t="shared" ref="H522:H585" si="42">IF(($H$2-F522)&lt;0,0,$H$2-F522)</f>
        <v>0.875</v>
      </c>
      <c r="I522" s="120">
        <f t="shared" si="41"/>
        <v>0</v>
      </c>
      <c r="L522" s="128"/>
      <c r="M522" s="128"/>
    </row>
    <row r="523" spans="1:13">
      <c r="A523" s="141">
        <f t="shared" si="40"/>
        <v>0</v>
      </c>
      <c r="B523" s="126"/>
      <c r="C523" s="147">
        <v>1</v>
      </c>
      <c r="D523" s="122" t="s">
        <v>170</v>
      </c>
      <c r="E523" s="181"/>
      <c r="F523" s="181"/>
      <c r="G523" s="120">
        <f t="shared" si="39"/>
        <v>0</v>
      </c>
      <c r="H523" s="120">
        <f t="shared" si="42"/>
        <v>0.875</v>
      </c>
      <c r="I523" s="120">
        <f t="shared" si="41"/>
        <v>0</v>
      </c>
      <c r="L523" s="128"/>
      <c r="M523" s="128"/>
    </row>
    <row r="524" spans="1:13">
      <c r="A524" s="141">
        <f t="shared" si="40"/>
        <v>0</v>
      </c>
      <c r="B524" s="126"/>
      <c r="C524" s="147">
        <v>19</v>
      </c>
      <c r="D524" s="122" t="s">
        <v>171</v>
      </c>
      <c r="E524" s="181"/>
      <c r="F524" s="181"/>
      <c r="G524" s="120">
        <f t="shared" si="39"/>
        <v>0</v>
      </c>
      <c r="H524" s="120">
        <f t="shared" si="42"/>
        <v>0.875</v>
      </c>
      <c r="I524" s="120">
        <f t="shared" si="41"/>
        <v>0</v>
      </c>
      <c r="L524" s="128"/>
      <c r="M524" s="128"/>
    </row>
    <row r="525" spans="1:13">
      <c r="A525" s="141">
        <f t="shared" si="40"/>
        <v>0</v>
      </c>
      <c r="B525" s="126"/>
      <c r="C525" s="147">
        <v>34</v>
      </c>
      <c r="D525" s="122" t="s">
        <v>172</v>
      </c>
      <c r="E525" s="181"/>
      <c r="F525" s="181"/>
      <c r="G525" s="120">
        <f t="shared" si="39"/>
        <v>0</v>
      </c>
      <c r="H525" s="120">
        <f t="shared" si="42"/>
        <v>0.875</v>
      </c>
      <c r="I525" s="120">
        <f t="shared" si="41"/>
        <v>0</v>
      </c>
      <c r="L525" s="128"/>
      <c r="M525" s="128"/>
    </row>
    <row r="526" spans="1:13">
      <c r="A526" s="141">
        <f t="shared" si="40"/>
        <v>0</v>
      </c>
      <c r="B526" s="126"/>
      <c r="C526" s="147">
        <v>30</v>
      </c>
      <c r="D526" s="122" t="s">
        <v>173</v>
      </c>
      <c r="E526" s="181"/>
      <c r="F526" s="181"/>
      <c r="G526" s="120">
        <f t="shared" si="39"/>
        <v>0</v>
      </c>
      <c r="H526" s="120">
        <f t="shared" si="42"/>
        <v>0.875</v>
      </c>
      <c r="I526" s="120">
        <f t="shared" si="41"/>
        <v>0</v>
      </c>
      <c r="L526" s="128"/>
      <c r="M526" s="128"/>
    </row>
    <row r="527" spans="1:13">
      <c r="A527" s="141">
        <f t="shared" si="40"/>
        <v>0</v>
      </c>
      <c r="B527" s="126"/>
      <c r="C527" s="147">
        <v>3</v>
      </c>
      <c r="D527" s="122" t="s">
        <v>174</v>
      </c>
      <c r="E527" s="181"/>
      <c r="F527" s="181"/>
      <c r="G527" s="120">
        <f t="shared" si="39"/>
        <v>0</v>
      </c>
      <c r="H527" s="120">
        <f t="shared" si="42"/>
        <v>0.875</v>
      </c>
      <c r="I527" s="120">
        <f t="shared" si="41"/>
        <v>0</v>
      </c>
      <c r="L527" s="128"/>
      <c r="M527" s="128"/>
    </row>
    <row r="528" spans="1:13">
      <c r="A528" s="141">
        <f t="shared" si="40"/>
        <v>0</v>
      </c>
      <c r="B528" s="126"/>
      <c r="C528" s="147">
        <v>33</v>
      </c>
      <c r="D528" s="122" t="s">
        <v>175</v>
      </c>
      <c r="E528" s="181"/>
      <c r="F528" s="181"/>
      <c r="G528" s="120">
        <f t="shared" si="39"/>
        <v>0</v>
      </c>
      <c r="H528" s="120">
        <f t="shared" si="42"/>
        <v>0.875</v>
      </c>
      <c r="I528" s="120">
        <f t="shared" si="41"/>
        <v>0</v>
      </c>
      <c r="L528" s="128"/>
      <c r="M528" s="128"/>
    </row>
    <row r="529" spans="1:13">
      <c r="A529" s="141">
        <f t="shared" si="40"/>
        <v>0</v>
      </c>
      <c r="B529" s="126"/>
      <c r="C529" s="147">
        <v>11</v>
      </c>
      <c r="D529" s="122" t="s">
        <v>176</v>
      </c>
      <c r="E529" s="181"/>
      <c r="F529" s="181"/>
      <c r="G529" s="120">
        <f t="shared" si="39"/>
        <v>0</v>
      </c>
      <c r="H529" s="120">
        <f t="shared" si="42"/>
        <v>0.875</v>
      </c>
      <c r="I529" s="120">
        <f t="shared" si="41"/>
        <v>0</v>
      </c>
      <c r="L529" s="119"/>
      <c r="M529" s="119"/>
    </row>
    <row r="530" spans="1:13">
      <c r="A530" s="141">
        <f t="shared" si="40"/>
        <v>0</v>
      </c>
      <c r="B530" s="126"/>
      <c r="C530" s="147">
        <v>4</v>
      </c>
      <c r="D530" s="122" t="s">
        <v>177</v>
      </c>
      <c r="E530" s="181"/>
      <c r="F530" s="181"/>
      <c r="G530" s="120">
        <f t="shared" si="39"/>
        <v>0</v>
      </c>
      <c r="H530" s="120">
        <f t="shared" si="42"/>
        <v>0.875</v>
      </c>
      <c r="I530" s="120">
        <f t="shared" si="41"/>
        <v>0</v>
      </c>
      <c r="L530" s="128"/>
      <c r="M530" s="128"/>
    </row>
    <row r="531" spans="1:13">
      <c r="A531" s="141">
        <f t="shared" si="40"/>
        <v>0</v>
      </c>
      <c r="B531" s="126"/>
      <c r="C531" s="147">
        <v>35</v>
      </c>
      <c r="D531" s="122" t="s">
        <v>178</v>
      </c>
      <c r="E531" s="181"/>
      <c r="F531" s="181"/>
      <c r="G531" s="120">
        <f t="shared" si="39"/>
        <v>0</v>
      </c>
      <c r="H531" s="120">
        <f t="shared" si="42"/>
        <v>0.875</v>
      </c>
      <c r="I531" s="120">
        <f t="shared" si="41"/>
        <v>0</v>
      </c>
      <c r="L531" s="128"/>
      <c r="M531" s="128"/>
    </row>
    <row r="532" spans="1:13">
      <c r="A532" s="141">
        <f t="shared" si="40"/>
        <v>0</v>
      </c>
      <c r="B532" s="126"/>
      <c r="C532" s="147">
        <v>6</v>
      </c>
      <c r="D532" s="122" t="s">
        <v>179</v>
      </c>
      <c r="E532" s="181"/>
      <c r="F532" s="181"/>
      <c r="G532" s="120">
        <f t="shared" si="39"/>
        <v>0</v>
      </c>
      <c r="H532" s="120">
        <f t="shared" si="42"/>
        <v>0.875</v>
      </c>
      <c r="I532" s="120">
        <f t="shared" si="41"/>
        <v>0</v>
      </c>
      <c r="L532" s="128"/>
      <c r="M532" s="128"/>
    </row>
    <row r="533" spans="1:13">
      <c r="A533" s="141">
        <f t="shared" si="40"/>
        <v>0</v>
      </c>
      <c r="B533" s="126"/>
      <c r="C533" s="147">
        <v>41</v>
      </c>
      <c r="D533" s="122" t="s">
        <v>180</v>
      </c>
      <c r="E533" s="181"/>
      <c r="F533" s="181"/>
      <c r="G533" s="120">
        <f t="shared" si="39"/>
        <v>0</v>
      </c>
      <c r="H533" s="120">
        <f t="shared" si="42"/>
        <v>0.875</v>
      </c>
      <c r="I533" s="120">
        <f t="shared" si="41"/>
        <v>0</v>
      </c>
      <c r="L533" s="128"/>
      <c r="M533" s="128"/>
    </row>
    <row r="534" spans="1:13">
      <c r="A534" s="141">
        <f t="shared" si="40"/>
        <v>0</v>
      </c>
      <c r="B534" s="126"/>
      <c r="C534" s="147">
        <v>20</v>
      </c>
      <c r="D534" s="122" t="s">
        <v>182</v>
      </c>
      <c r="E534" s="181"/>
      <c r="F534" s="181"/>
      <c r="G534" s="120">
        <f t="shared" si="39"/>
        <v>0</v>
      </c>
      <c r="H534" s="120">
        <f t="shared" si="42"/>
        <v>0.875</v>
      </c>
      <c r="I534" s="120">
        <f t="shared" si="41"/>
        <v>0</v>
      </c>
      <c r="L534" s="128"/>
      <c r="M534" s="128"/>
    </row>
    <row r="535" spans="1:13">
      <c r="A535" s="141">
        <f t="shared" si="40"/>
        <v>0</v>
      </c>
      <c r="B535" s="126"/>
      <c r="C535" s="147">
        <v>42</v>
      </c>
      <c r="D535" s="122" t="s">
        <v>183</v>
      </c>
      <c r="E535" s="181"/>
      <c r="F535" s="181"/>
      <c r="G535" s="120">
        <f t="shared" si="39"/>
        <v>0</v>
      </c>
      <c r="H535" s="120">
        <f t="shared" si="42"/>
        <v>0.875</v>
      </c>
      <c r="I535" s="120">
        <f t="shared" si="41"/>
        <v>0</v>
      </c>
      <c r="L535" s="128"/>
      <c r="M535" s="128"/>
    </row>
    <row r="536" spans="1:13">
      <c r="A536" s="141">
        <f t="shared" si="40"/>
        <v>0</v>
      </c>
      <c r="B536" s="126"/>
      <c r="C536" s="147">
        <v>15</v>
      </c>
      <c r="D536" s="130" t="s">
        <v>161</v>
      </c>
      <c r="E536" s="181"/>
      <c r="F536" s="181"/>
      <c r="G536" s="120">
        <f t="shared" si="39"/>
        <v>0</v>
      </c>
      <c r="H536" s="120">
        <f t="shared" si="42"/>
        <v>0.875</v>
      </c>
      <c r="I536" s="120">
        <f t="shared" si="41"/>
        <v>0</v>
      </c>
      <c r="L536" s="128"/>
      <c r="M536" s="128"/>
    </row>
    <row r="537" spans="1:13">
      <c r="A537" s="141">
        <f t="shared" si="40"/>
        <v>0</v>
      </c>
      <c r="B537" s="126"/>
      <c r="C537" s="147">
        <v>23</v>
      </c>
      <c r="D537" s="122" t="s">
        <v>162</v>
      </c>
      <c r="E537" s="181"/>
      <c r="F537" s="181"/>
      <c r="G537" s="120">
        <f t="shared" si="39"/>
        <v>0</v>
      </c>
      <c r="H537" s="120">
        <f t="shared" si="42"/>
        <v>0.875</v>
      </c>
      <c r="I537" s="120">
        <f t="shared" si="41"/>
        <v>0</v>
      </c>
      <c r="L537" s="128"/>
      <c r="M537" s="128"/>
    </row>
    <row r="538" spans="1:13">
      <c r="A538" s="141">
        <f t="shared" si="40"/>
        <v>0</v>
      </c>
      <c r="B538" s="126"/>
      <c r="C538" s="147">
        <v>21</v>
      </c>
      <c r="D538" s="122" t="s">
        <v>163</v>
      </c>
      <c r="E538" s="181"/>
      <c r="F538" s="181"/>
      <c r="G538" s="120">
        <f t="shared" si="39"/>
        <v>0</v>
      </c>
      <c r="H538" s="120">
        <f t="shared" si="42"/>
        <v>0.875</v>
      </c>
      <c r="I538" s="120">
        <f t="shared" si="41"/>
        <v>0</v>
      </c>
      <c r="L538" s="128"/>
      <c r="M538" s="128"/>
    </row>
    <row r="539" spans="1:13">
      <c r="A539" s="141">
        <f t="shared" si="40"/>
        <v>0</v>
      </c>
      <c r="B539" s="126"/>
      <c r="C539" s="99">
        <v>44</v>
      </c>
      <c r="D539" s="138" t="s">
        <v>164</v>
      </c>
      <c r="E539" s="181"/>
      <c r="F539" s="181"/>
      <c r="G539" s="120">
        <f t="shared" si="39"/>
        <v>0</v>
      </c>
      <c r="H539" s="120">
        <f t="shared" si="42"/>
        <v>0.875</v>
      </c>
      <c r="I539" s="120">
        <f t="shared" si="41"/>
        <v>0</v>
      </c>
      <c r="L539" s="128"/>
      <c r="M539" s="128"/>
    </row>
    <row r="540" spans="1:13">
      <c r="A540" s="141">
        <f t="shared" si="40"/>
        <v>0</v>
      </c>
      <c r="B540" s="126"/>
      <c r="C540" s="147">
        <v>27</v>
      </c>
      <c r="D540" s="122" t="s">
        <v>165</v>
      </c>
      <c r="E540" s="181"/>
      <c r="F540" s="181"/>
      <c r="G540" s="120">
        <f t="shared" si="39"/>
        <v>0</v>
      </c>
      <c r="H540" s="120">
        <f t="shared" si="42"/>
        <v>0.875</v>
      </c>
      <c r="I540" s="120">
        <f t="shared" si="41"/>
        <v>0</v>
      </c>
      <c r="L540" s="128"/>
      <c r="M540" s="128"/>
    </row>
    <row r="541" spans="1:13">
      <c r="A541" s="141">
        <f t="shared" si="40"/>
        <v>0</v>
      </c>
      <c r="B541" s="126"/>
      <c r="C541" s="147">
        <v>25</v>
      </c>
      <c r="D541" s="122" t="s">
        <v>166</v>
      </c>
      <c r="E541" s="181"/>
      <c r="F541" s="181"/>
      <c r="G541" s="120">
        <f t="shared" si="39"/>
        <v>0</v>
      </c>
      <c r="H541" s="120">
        <f t="shared" si="42"/>
        <v>0.875</v>
      </c>
      <c r="I541" s="120">
        <f t="shared" si="41"/>
        <v>0</v>
      </c>
      <c r="L541" s="128"/>
      <c r="M541" s="128"/>
    </row>
    <row r="542" spans="1:13">
      <c r="A542" s="141">
        <f t="shared" si="40"/>
        <v>0</v>
      </c>
      <c r="B542" s="126"/>
      <c r="C542" s="147">
        <v>32</v>
      </c>
      <c r="D542" s="122" t="s">
        <v>167</v>
      </c>
      <c r="E542" s="181"/>
      <c r="F542" s="181"/>
      <c r="G542" s="120">
        <f t="shared" si="39"/>
        <v>0</v>
      </c>
      <c r="H542" s="120">
        <f t="shared" si="42"/>
        <v>0.875</v>
      </c>
      <c r="I542" s="120">
        <f t="shared" si="41"/>
        <v>0</v>
      </c>
      <c r="L542" s="128"/>
      <c r="M542" s="128"/>
    </row>
    <row r="543" spans="1:13">
      <c r="A543" s="141">
        <f t="shared" si="40"/>
        <v>0</v>
      </c>
      <c r="B543" s="126"/>
      <c r="C543" s="147">
        <v>36</v>
      </c>
      <c r="D543" s="122" t="s">
        <v>168</v>
      </c>
      <c r="E543" s="181"/>
      <c r="F543" s="181"/>
      <c r="G543" s="120">
        <f t="shared" si="39"/>
        <v>0</v>
      </c>
      <c r="H543" s="120">
        <f t="shared" si="42"/>
        <v>0.875</v>
      </c>
      <c r="I543" s="120">
        <f t="shared" si="41"/>
        <v>0</v>
      </c>
      <c r="L543" s="128"/>
      <c r="M543" s="128"/>
    </row>
    <row r="544" spans="1:13">
      <c r="A544" s="141">
        <f t="shared" si="40"/>
        <v>0</v>
      </c>
      <c r="B544" s="126"/>
      <c r="C544" s="147">
        <v>16</v>
      </c>
      <c r="D544" s="122" t="s">
        <v>169</v>
      </c>
      <c r="E544" s="181"/>
      <c r="F544" s="181"/>
      <c r="G544" s="120">
        <f t="shared" si="39"/>
        <v>0</v>
      </c>
      <c r="H544" s="120">
        <f t="shared" si="42"/>
        <v>0.875</v>
      </c>
      <c r="I544" s="120">
        <f t="shared" si="41"/>
        <v>0</v>
      </c>
      <c r="L544" s="128"/>
      <c r="M544" s="128"/>
    </row>
    <row r="545" spans="1:13">
      <c r="A545" s="141">
        <f t="shared" si="40"/>
        <v>0</v>
      </c>
      <c r="B545" s="126"/>
      <c r="C545" s="147">
        <v>1</v>
      </c>
      <c r="D545" s="122" t="s">
        <v>170</v>
      </c>
      <c r="E545" s="181"/>
      <c r="F545" s="181"/>
      <c r="G545" s="120">
        <f t="shared" si="39"/>
        <v>0</v>
      </c>
      <c r="H545" s="120">
        <f t="shared" si="42"/>
        <v>0.875</v>
      </c>
      <c r="I545" s="120">
        <f t="shared" si="41"/>
        <v>0</v>
      </c>
      <c r="L545" s="128"/>
      <c r="M545" s="128"/>
    </row>
    <row r="546" spans="1:13">
      <c r="A546" s="141">
        <f t="shared" si="40"/>
        <v>0</v>
      </c>
      <c r="B546" s="126"/>
      <c r="C546" s="147">
        <v>19</v>
      </c>
      <c r="D546" s="122" t="s">
        <v>171</v>
      </c>
      <c r="E546" s="181"/>
      <c r="F546" s="181"/>
      <c r="G546" s="120">
        <f t="shared" si="39"/>
        <v>0</v>
      </c>
      <c r="H546" s="120">
        <f t="shared" si="42"/>
        <v>0.875</v>
      </c>
      <c r="I546" s="120">
        <f t="shared" si="41"/>
        <v>0</v>
      </c>
      <c r="L546" s="128"/>
      <c r="M546" s="128"/>
    </row>
    <row r="547" spans="1:13">
      <c r="A547" s="141">
        <f t="shared" si="40"/>
        <v>0</v>
      </c>
      <c r="B547" s="126"/>
      <c r="C547" s="147">
        <v>34</v>
      </c>
      <c r="D547" s="122" t="s">
        <v>172</v>
      </c>
      <c r="E547" s="181"/>
      <c r="F547" s="181"/>
      <c r="G547" s="120">
        <f t="shared" si="39"/>
        <v>0</v>
      </c>
      <c r="H547" s="120">
        <f t="shared" si="42"/>
        <v>0.875</v>
      </c>
      <c r="I547" s="120">
        <f t="shared" si="41"/>
        <v>0</v>
      </c>
      <c r="L547" s="128"/>
      <c r="M547" s="128"/>
    </row>
    <row r="548" spans="1:13">
      <c r="A548" s="141">
        <f t="shared" si="40"/>
        <v>0</v>
      </c>
      <c r="B548" s="126"/>
      <c r="C548" s="147">
        <v>30</v>
      </c>
      <c r="D548" s="122" t="s">
        <v>173</v>
      </c>
      <c r="E548" s="181"/>
      <c r="F548" s="181"/>
      <c r="G548" s="120">
        <f t="shared" si="39"/>
        <v>0</v>
      </c>
      <c r="H548" s="120">
        <f t="shared" si="42"/>
        <v>0.875</v>
      </c>
      <c r="I548" s="120">
        <f t="shared" si="41"/>
        <v>0</v>
      </c>
      <c r="L548" s="128"/>
      <c r="M548" s="128"/>
    </row>
    <row r="549" spans="1:13">
      <c r="A549" s="141">
        <f t="shared" si="40"/>
        <v>0</v>
      </c>
      <c r="B549" s="126"/>
      <c r="C549" s="147">
        <v>3</v>
      </c>
      <c r="D549" s="122" t="s">
        <v>174</v>
      </c>
      <c r="E549" s="181"/>
      <c r="F549" s="181"/>
      <c r="G549" s="120">
        <f t="shared" si="39"/>
        <v>0</v>
      </c>
      <c r="H549" s="120">
        <f t="shared" si="42"/>
        <v>0.875</v>
      </c>
      <c r="I549" s="120">
        <f t="shared" si="41"/>
        <v>0</v>
      </c>
      <c r="L549" s="128"/>
      <c r="M549" s="128"/>
    </row>
    <row r="550" spans="1:13">
      <c r="A550" s="141">
        <f t="shared" si="40"/>
        <v>0</v>
      </c>
      <c r="B550" s="126"/>
      <c r="C550" s="147">
        <v>33</v>
      </c>
      <c r="D550" s="122" t="s">
        <v>175</v>
      </c>
      <c r="E550" s="181"/>
      <c r="F550" s="181"/>
      <c r="G550" s="120">
        <f t="shared" si="39"/>
        <v>0</v>
      </c>
      <c r="H550" s="120">
        <f t="shared" si="42"/>
        <v>0.875</v>
      </c>
      <c r="I550" s="120">
        <f t="shared" si="41"/>
        <v>0</v>
      </c>
      <c r="L550" s="128"/>
      <c r="M550" s="128"/>
    </row>
    <row r="551" spans="1:13">
      <c r="A551" s="141">
        <f t="shared" si="40"/>
        <v>0</v>
      </c>
      <c r="B551" s="126"/>
      <c r="C551" s="147">
        <v>11</v>
      </c>
      <c r="D551" s="122" t="s">
        <v>176</v>
      </c>
      <c r="E551" s="181"/>
      <c r="F551" s="181"/>
      <c r="G551" s="120">
        <f t="shared" si="39"/>
        <v>0</v>
      </c>
      <c r="H551" s="120">
        <f t="shared" si="42"/>
        <v>0.875</v>
      </c>
      <c r="I551" s="120">
        <f t="shared" si="41"/>
        <v>0</v>
      </c>
      <c r="L551" s="128"/>
      <c r="M551" s="128"/>
    </row>
    <row r="552" spans="1:13">
      <c r="A552" s="141">
        <f t="shared" si="40"/>
        <v>0</v>
      </c>
      <c r="B552" s="126"/>
      <c r="C552" s="147">
        <v>4</v>
      </c>
      <c r="D552" s="122" t="s">
        <v>177</v>
      </c>
      <c r="E552" s="181"/>
      <c r="F552" s="181"/>
      <c r="G552" s="120">
        <f t="shared" si="39"/>
        <v>0</v>
      </c>
      <c r="H552" s="120">
        <f t="shared" si="42"/>
        <v>0.875</v>
      </c>
      <c r="I552" s="120">
        <f t="shared" si="41"/>
        <v>0</v>
      </c>
      <c r="L552" s="128"/>
      <c r="M552" s="128"/>
    </row>
    <row r="553" spans="1:13">
      <c r="A553" s="141">
        <f t="shared" si="40"/>
        <v>0</v>
      </c>
      <c r="B553" s="126"/>
      <c r="C553" s="147">
        <v>35</v>
      </c>
      <c r="D553" s="122" t="s">
        <v>178</v>
      </c>
      <c r="E553" s="181"/>
      <c r="F553" s="181"/>
      <c r="G553" s="120">
        <f t="shared" si="39"/>
        <v>0</v>
      </c>
      <c r="H553" s="120">
        <f t="shared" si="42"/>
        <v>0.875</v>
      </c>
      <c r="I553" s="120">
        <f t="shared" si="41"/>
        <v>0</v>
      </c>
      <c r="L553" s="128"/>
      <c r="M553" s="128"/>
    </row>
    <row r="554" spans="1:13">
      <c r="A554" s="141">
        <f t="shared" si="40"/>
        <v>0</v>
      </c>
      <c r="B554" s="126"/>
      <c r="C554" s="147">
        <v>6</v>
      </c>
      <c r="D554" s="122" t="s">
        <v>179</v>
      </c>
      <c r="E554" s="181"/>
      <c r="F554" s="181"/>
      <c r="G554" s="120">
        <f t="shared" si="39"/>
        <v>0</v>
      </c>
      <c r="H554" s="120">
        <f t="shared" si="42"/>
        <v>0.875</v>
      </c>
      <c r="I554" s="120">
        <f t="shared" si="41"/>
        <v>0</v>
      </c>
      <c r="L554" s="128"/>
      <c r="M554" s="128"/>
    </row>
    <row r="555" spans="1:13">
      <c r="A555" s="141">
        <f t="shared" si="40"/>
        <v>0</v>
      </c>
      <c r="B555" s="126"/>
      <c r="C555" s="147">
        <v>41</v>
      </c>
      <c r="D555" s="122" t="s">
        <v>180</v>
      </c>
      <c r="E555" s="181"/>
      <c r="F555" s="181"/>
      <c r="G555" s="120">
        <f t="shared" si="39"/>
        <v>0</v>
      </c>
      <c r="H555" s="120">
        <f t="shared" si="42"/>
        <v>0.875</v>
      </c>
      <c r="I555" s="120">
        <f t="shared" si="41"/>
        <v>0</v>
      </c>
      <c r="L555" s="128"/>
      <c r="M555" s="128"/>
    </row>
    <row r="556" spans="1:13">
      <c r="A556" s="141">
        <f t="shared" si="40"/>
        <v>0</v>
      </c>
      <c r="B556" s="126"/>
      <c r="C556" s="147">
        <v>28</v>
      </c>
      <c r="D556" s="122" t="s">
        <v>181</v>
      </c>
      <c r="E556" s="181"/>
      <c r="F556" s="181"/>
      <c r="G556" s="120">
        <f t="shared" si="39"/>
        <v>0</v>
      </c>
      <c r="H556" s="120">
        <f t="shared" si="42"/>
        <v>0.875</v>
      </c>
      <c r="I556" s="120">
        <f t="shared" si="41"/>
        <v>0</v>
      </c>
      <c r="L556" s="128"/>
      <c r="M556" s="128"/>
    </row>
    <row r="557" spans="1:13">
      <c r="A557" s="141">
        <f t="shared" si="40"/>
        <v>0</v>
      </c>
      <c r="B557" s="126"/>
      <c r="C557" s="147">
        <v>20</v>
      </c>
      <c r="D557" s="122" t="s">
        <v>182</v>
      </c>
      <c r="E557" s="181"/>
      <c r="F557" s="181"/>
      <c r="G557" s="120">
        <f t="shared" si="39"/>
        <v>0</v>
      </c>
      <c r="H557" s="120">
        <f t="shared" si="42"/>
        <v>0.875</v>
      </c>
      <c r="I557" s="120">
        <f t="shared" si="41"/>
        <v>0</v>
      </c>
      <c r="L557" s="128"/>
      <c r="M557" s="128"/>
    </row>
    <row r="558" spans="1:13">
      <c r="A558" s="141">
        <f t="shared" si="40"/>
        <v>0</v>
      </c>
      <c r="B558" s="126"/>
      <c r="C558" s="147">
        <v>42</v>
      </c>
      <c r="D558" s="122" t="s">
        <v>183</v>
      </c>
      <c r="E558" s="181"/>
      <c r="F558" s="181"/>
      <c r="G558" s="120">
        <f t="shared" si="39"/>
        <v>0</v>
      </c>
      <c r="H558" s="120">
        <f t="shared" si="42"/>
        <v>0.875</v>
      </c>
      <c r="I558" s="120">
        <f t="shared" si="41"/>
        <v>0</v>
      </c>
      <c r="L558" s="128"/>
      <c r="M558" s="128"/>
    </row>
    <row r="559" spans="1:13">
      <c r="A559" s="141">
        <f t="shared" si="40"/>
        <v>0</v>
      </c>
      <c r="B559" s="132"/>
      <c r="C559" s="147">
        <v>15</v>
      </c>
      <c r="D559" s="130" t="s">
        <v>161</v>
      </c>
      <c r="E559" s="181"/>
      <c r="F559" s="181"/>
      <c r="G559" s="120">
        <f t="shared" si="39"/>
        <v>0</v>
      </c>
      <c r="H559" s="120">
        <f t="shared" si="42"/>
        <v>0.875</v>
      </c>
      <c r="I559" s="120">
        <f t="shared" si="41"/>
        <v>0</v>
      </c>
      <c r="L559" s="128"/>
      <c r="M559" s="128"/>
    </row>
    <row r="560" spans="1:13">
      <c r="A560" s="141">
        <f t="shared" si="40"/>
        <v>0</v>
      </c>
      <c r="B560" s="132"/>
      <c r="C560" s="147">
        <v>23</v>
      </c>
      <c r="D560" s="122" t="s">
        <v>162</v>
      </c>
      <c r="E560" s="181"/>
      <c r="F560" s="181"/>
      <c r="G560" s="120">
        <f t="shared" si="39"/>
        <v>0</v>
      </c>
      <c r="H560" s="120">
        <f t="shared" si="42"/>
        <v>0.875</v>
      </c>
      <c r="I560" s="120">
        <f t="shared" si="41"/>
        <v>0</v>
      </c>
      <c r="L560" s="128"/>
      <c r="M560" s="128"/>
    </row>
    <row r="561" spans="1:13">
      <c r="A561" s="141">
        <f t="shared" si="40"/>
        <v>0</v>
      </c>
      <c r="B561" s="132"/>
      <c r="C561" s="147">
        <v>21</v>
      </c>
      <c r="D561" s="122" t="s">
        <v>163</v>
      </c>
      <c r="E561" s="181"/>
      <c r="F561" s="181"/>
      <c r="G561" s="120">
        <f t="shared" si="39"/>
        <v>0</v>
      </c>
      <c r="H561" s="120">
        <f t="shared" si="42"/>
        <v>0.875</v>
      </c>
      <c r="I561" s="120">
        <f t="shared" si="41"/>
        <v>0</v>
      </c>
      <c r="L561" s="128"/>
      <c r="M561" s="128"/>
    </row>
    <row r="562" spans="1:13">
      <c r="A562" s="141">
        <f t="shared" si="40"/>
        <v>0</v>
      </c>
      <c r="B562" s="132"/>
      <c r="C562" s="99">
        <v>44</v>
      </c>
      <c r="D562" s="138" t="s">
        <v>164</v>
      </c>
      <c r="E562" s="181"/>
      <c r="F562" s="181"/>
      <c r="G562" s="120">
        <f t="shared" si="39"/>
        <v>0</v>
      </c>
      <c r="H562" s="120">
        <f t="shared" si="42"/>
        <v>0.875</v>
      </c>
      <c r="I562" s="120">
        <f t="shared" si="41"/>
        <v>0</v>
      </c>
      <c r="L562" s="128"/>
      <c r="M562" s="128"/>
    </row>
    <row r="563" spans="1:13">
      <c r="A563" s="141">
        <f t="shared" si="40"/>
        <v>0</v>
      </c>
      <c r="B563" s="132"/>
      <c r="C563" s="147">
        <v>27</v>
      </c>
      <c r="D563" s="122" t="s">
        <v>165</v>
      </c>
      <c r="E563" s="181"/>
      <c r="F563" s="181"/>
      <c r="G563" s="120">
        <f t="shared" si="39"/>
        <v>0</v>
      </c>
      <c r="H563" s="120">
        <f t="shared" si="42"/>
        <v>0.875</v>
      </c>
      <c r="I563" s="120">
        <f t="shared" si="41"/>
        <v>0</v>
      </c>
      <c r="L563" s="128"/>
      <c r="M563" s="128"/>
    </row>
    <row r="564" spans="1:13">
      <c r="A564" s="141">
        <f t="shared" si="40"/>
        <v>0</v>
      </c>
      <c r="B564" s="132"/>
      <c r="C564" s="147">
        <v>25</v>
      </c>
      <c r="D564" s="122" t="s">
        <v>166</v>
      </c>
      <c r="E564" s="181"/>
      <c r="F564" s="181"/>
      <c r="G564" s="120">
        <f t="shared" si="39"/>
        <v>0</v>
      </c>
      <c r="H564" s="120">
        <f t="shared" si="42"/>
        <v>0.875</v>
      </c>
      <c r="I564" s="120">
        <f t="shared" si="41"/>
        <v>0</v>
      </c>
      <c r="L564" s="128"/>
      <c r="M564" s="128"/>
    </row>
    <row r="565" spans="1:13">
      <c r="A565" s="141">
        <f t="shared" si="40"/>
        <v>0</v>
      </c>
      <c r="B565" s="132"/>
      <c r="C565" s="147">
        <v>32</v>
      </c>
      <c r="D565" s="122" t="s">
        <v>167</v>
      </c>
      <c r="E565" s="181"/>
      <c r="F565" s="181"/>
      <c r="G565" s="120">
        <f t="shared" si="39"/>
        <v>0</v>
      </c>
      <c r="H565" s="120">
        <f t="shared" si="42"/>
        <v>0.875</v>
      </c>
      <c r="I565" s="120">
        <f t="shared" si="41"/>
        <v>0</v>
      </c>
      <c r="L565" s="128"/>
      <c r="M565" s="128"/>
    </row>
    <row r="566" spans="1:13">
      <c r="A566" s="141">
        <f t="shared" si="40"/>
        <v>0</v>
      </c>
      <c r="B566" s="132"/>
      <c r="C566" s="147">
        <v>36</v>
      </c>
      <c r="D566" s="122" t="s">
        <v>168</v>
      </c>
      <c r="E566" s="181"/>
      <c r="F566" s="181"/>
      <c r="G566" s="120">
        <f t="shared" si="39"/>
        <v>0</v>
      </c>
      <c r="H566" s="120">
        <f t="shared" si="42"/>
        <v>0.875</v>
      </c>
      <c r="I566" s="120">
        <f t="shared" si="41"/>
        <v>0</v>
      </c>
      <c r="L566" s="128"/>
      <c r="M566" s="128"/>
    </row>
    <row r="567" spans="1:13">
      <c r="A567" s="141">
        <f t="shared" si="40"/>
        <v>0</v>
      </c>
      <c r="B567" s="132"/>
      <c r="C567" s="147">
        <v>16</v>
      </c>
      <c r="D567" s="122" t="s">
        <v>169</v>
      </c>
      <c r="E567" s="181"/>
      <c r="F567" s="181"/>
      <c r="G567" s="120">
        <f t="shared" ref="G567:G630" si="43">IFERROR(IF((E567-$F$2)&lt;=$H$3,0,E567-$F$2),"غياب")</f>
        <v>0</v>
      </c>
      <c r="H567" s="120">
        <f t="shared" si="42"/>
        <v>0.875</v>
      </c>
      <c r="I567" s="120">
        <f t="shared" si="41"/>
        <v>0</v>
      </c>
      <c r="L567" s="128"/>
      <c r="M567" s="128"/>
    </row>
    <row r="568" spans="1:13">
      <c r="A568" s="141">
        <f t="shared" si="40"/>
        <v>0</v>
      </c>
      <c r="B568" s="132"/>
      <c r="C568" s="147">
        <v>1</v>
      </c>
      <c r="D568" s="122" t="s">
        <v>170</v>
      </c>
      <c r="E568" s="181"/>
      <c r="F568" s="181"/>
      <c r="G568" s="120">
        <f t="shared" si="43"/>
        <v>0</v>
      </c>
      <c r="H568" s="120">
        <f t="shared" si="42"/>
        <v>0.875</v>
      </c>
      <c r="I568" s="120">
        <f t="shared" si="41"/>
        <v>0</v>
      </c>
      <c r="L568" s="128"/>
      <c r="M568" s="128"/>
    </row>
    <row r="569" spans="1:13">
      <c r="A569" s="141">
        <f t="shared" si="40"/>
        <v>0</v>
      </c>
      <c r="B569" s="132"/>
      <c r="C569" s="147">
        <v>19</v>
      </c>
      <c r="D569" s="122" t="s">
        <v>171</v>
      </c>
      <c r="E569" s="181"/>
      <c r="F569" s="181"/>
      <c r="G569" s="120">
        <f t="shared" si="43"/>
        <v>0</v>
      </c>
      <c r="H569" s="120">
        <f t="shared" si="42"/>
        <v>0.875</v>
      </c>
      <c r="I569" s="120">
        <f t="shared" si="41"/>
        <v>0</v>
      </c>
      <c r="L569" s="128"/>
      <c r="M569" s="128"/>
    </row>
    <row r="570" spans="1:13">
      <c r="A570" s="141">
        <f t="shared" si="40"/>
        <v>0</v>
      </c>
      <c r="B570" s="132"/>
      <c r="C570" s="147">
        <v>34</v>
      </c>
      <c r="D570" s="122" t="s">
        <v>172</v>
      </c>
      <c r="E570" s="181"/>
      <c r="F570" s="181"/>
      <c r="G570" s="120">
        <f t="shared" si="43"/>
        <v>0</v>
      </c>
      <c r="H570" s="120">
        <f t="shared" si="42"/>
        <v>0.875</v>
      </c>
      <c r="I570" s="120">
        <f t="shared" si="41"/>
        <v>0</v>
      </c>
      <c r="L570" s="128"/>
      <c r="M570" s="128"/>
    </row>
    <row r="571" spans="1:13">
      <c r="A571" s="141">
        <f t="shared" si="40"/>
        <v>0</v>
      </c>
      <c r="B571" s="132"/>
      <c r="C571" s="147">
        <v>30</v>
      </c>
      <c r="D571" s="122" t="s">
        <v>173</v>
      </c>
      <c r="E571" s="181"/>
      <c r="F571" s="181"/>
      <c r="G571" s="120">
        <f t="shared" si="43"/>
        <v>0</v>
      </c>
      <c r="H571" s="120">
        <f t="shared" si="42"/>
        <v>0.875</v>
      </c>
      <c r="I571" s="120">
        <f t="shared" si="41"/>
        <v>0</v>
      </c>
      <c r="L571" s="128"/>
      <c r="M571" s="128"/>
    </row>
    <row r="572" spans="1:13">
      <c r="A572" s="141">
        <f t="shared" si="40"/>
        <v>0</v>
      </c>
      <c r="B572" s="132"/>
      <c r="C572" s="147">
        <v>3</v>
      </c>
      <c r="D572" s="122" t="s">
        <v>174</v>
      </c>
      <c r="E572" s="181"/>
      <c r="F572" s="181"/>
      <c r="G572" s="120">
        <f t="shared" si="43"/>
        <v>0</v>
      </c>
      <c r="H572" s="120">
        <f t="shared" si="42"/>
        <v>0.875</v>
      </c>
      <c r="I572" s="120">
        <f t="shared" si="41"/>
        <v>0</v>
      </c>
      <c r="L572" s="128"/>
      <c r="M572" s="128"/>
    </row>
    <row r="573" spans="1:13">
      <c r="A573" s="141">
        <f t="shared" si="40"/>
        <v>0</v>
      </c>
      <c r="B573" s="132"/>
      <c r="C573" s="147">
        <v>33</v>
      </c>
      <c r="D573" s="122" t="s">
        <v>175</v>
      </c>
      <c r="E573" s="181"/>
      <c r="F573" s="181"/>
      <c r="G573" s="120">
        <f t="shared" si="43"/>
        <v>0</v>
      </c>
      <c r="H573" s="120">
        <f t="shared" si="42"/>
        <v>0.875</v>
      </c>
      <c r="I573" s="120">
        <f t="shared" si="41"/>
        <v>0</v>
      </c>
      <c r="L573" s="128"/>
      <c r="M573" s="128"/>
    </row>
    <row r="574" spans="1:13">
      <c r="A574" s="141">
        <f t="shared" si="40"/>
        <v>0</v>
      </c>
      <c r="B574" s="132"/>
      <c r="C574" s="147">
        <v>11</v>
      </c>
      <c r="D574" s="122" t="s">
        <v>176</v>
      </c>
      <c r="E574" s="181"/>
      <c r="F574" s="181"/>
      <c r="G574" s="120">
        <f t="shared" si="43"/>
        <v>0</v>
      </c>
      <c r="H574" s="120">
        <f t="shared" si="42"/>
        <v>0.875</v>
      </c>
      <c r="I574" s="120">
        <f t="shared" si="41"/>
        <v>0</v>
      </c>
      <c r="L574" s="128"/>
      <c r="M574" s="128"/>
    </row>
    <row r="575" spans="1:13">
      <c r="A575" s="141">
        <f t="shared" si="40"/>
        <v>0</v>
      </c>
      <c r="B575" s="132"/>
      <c r="C575" s="147">
        <v>4</v>
      </c>
      <c r="D575" s="122" t="s">
        <v>177</v>
      </c>
      <c r="E575" s="181"/>
      <c r="F575" s="181"/>
      <c r="G575" s="120">
        <f t="shared" si="43"/>
        <v>0</v>
      </c>
      <c r="H575" s="120">
        <f t="shared" si="42"/>
        <v>0.875</v>
      </c>
      <c r="I575" s="120">
        <f t="shared" si="41"/>
        <v>0</v>
      </c>
      <c r="L575" s="128"/>
      <c r="M575" s="128"/>
    </row>
    <row r="576" spans="1:13">
      <c r="A576" s="141">
        <f t="shared" si="40"/>
        <v>0</v>
      </c>
      <c r="B576" s="132"/>
      <c r="C576" s="147">
        <v>35</v>
      </c>
      <c r="D576" s="122" t="s">
        <v>178</v>
      </c>
      <c r="E576" s="181"/>
      <c r="F576" s="181"/>
      <c r="G576" s="120">
        <f t="shared" si="43"/>
        <v>0</v>
      </c>
      <c r="H576" s="120">
        <f t="shared" si="42"/>
        <v>0.875</v>
      </c>
      <c r="I576" s="120">
        <f t="shared" si="41"/>
        <v>0</v>
      </c>
      <c r="L576" s="128"/>
      <c r="M576" s="128"/>
    </row>
    <row r="577" spans="1:13">
      <c r="A577" s="141">
        <f t="shared" si="40"/>
        <v>0</v>
      </c>
      <c r="B577" s="132"/>
      <c r="C577" s="147">
        <v>6</v>
      </c>
      <c r="D577" s="122" t="s">
        <v>179</v>
      </c>
      <c r="E577" s="181"/>
      <c r="F577" s="181"/>
      <c r="G577" s="120">
        <f t="shared" si="43"/>
        <v>0</v>
      </c>
      <c r="H577" s="120">
        <f t="shared" si="42"/>
        <v>0.875</v>
      </c>
      <c r="I577" s="120">
        <f t="shared" si="41"/>
        <v>0</v>
      </c>
      <c r="L577" s="128"/>
      <c r="M577" s="128"/>
    </row>
    <row r="578" spans="1:13">
      <c r="A578" s="141">
        <f t="shared" si="40"/>
        <v>0</v>
      </c>
      <c r="B578" s="132"/>
      <c r="C578" s="147">
        <v>41</v>
      </c>
      <c r="D578" s="122" t="s">
        <v>180</v>
      </c>
      <c r="E578" s="181"/>
      <c r="F578" s="181"/>
      <c r="G578" s="120">
        <f t="shared" si="43"/>
        <v>0</v>
      </c>
      <c r="H578" s="120">
        <f t="shared" si="42"/>
        <v>0.875</v>
      </c>
      <c r="I578" s="120">
        <f t="shared" si="41"/>
        <v>0</v>
      </c>
      <c r="L578" s="128"/>
      <c r="M578" s="128"/>
    </row>
    <row r="579" spans="1:13">
      <c r="A579" s="141">
        <f t="shared" si="40"/>
        <v>0</v>
      </c>
      <c r="B579" s="132"/>
      <c r="C579" s="147">
        <v>28</v>
      </c>
      <c r="D579" s="122" t="s">
        <v>181</v>
      </c>
      <c r="E579" s="181"/>
      <c r="F579" s="181"/>
      <c r="G579" s="120">
        <f t="shared" si="43"/>
        <v>0</v>
      </c>
      <c r="H579" s="120">
        <f t="shared" si="42"/>
        <v>0.875</v>
      </c>
      <c r="I579" s="120">
        <f t="shared" si="41"/>
        <v>0</v>
      </c>
      <c r="L579" s="128"/>
      <c r="M579" s="128"/>
    </row>
    <row r="580" spans="1:13">
      <c r="A580" s="141">
        <f t="shared" si="40"/>
        <v>0</v>
      </c>
      <c r="B580" s="132"/>
      <c r="C580" s="147">
        <v>20</v>
      </c>
      <c r="D580" s="122" t="s">
        <v>182</v>
      </c>
      <c r="E580" s="181"/>
      <c r="F580" s="181"/>
      <c r="G580" s="120">
        <f t="shared" si="43"/>
        <v>0</v>
      </c>
      <c r="H580" s="120">
        <f t="shared" si="42"/>
        <v>0.875</v>
      </c>
      <c r="I580" s="120">
        <f t="shared" si="41"/>
        <v>0</v>
      </c>
      <c r="L580" s="128"/>
      <c r="M580" s="128"/>
    </row>
    <row r="581" spans="1:13">
      <c r="A581" s="141">
        <f t="shared" si="40"/>
        <v>0</v>
      </c>
      <c r="B581" s="132"/>
      <c r="C581" s="147">
        <v>42</v>
      </c>
      <c r="D581" s="122" t="s">
        <v>183</v>
      </c>
      <c r="E581" s="181"/>
      <c r="F581" s="181"/>
      <c r="G581" s="120">
        <f t="shared" si="43"/>
        <v>0</v>
      </c>
      <c r="H581" s="120">
        <f t="shared" si="42"/>
        <v>0.875</v>
      </c>
      <c r="I581" s="120">
        <f t="shared" si="41"/>
        <v>0</v>
      </c>
      <c r="L581" s="128"/>
      <c r="M581" s="128"/>
    </row>
    <row r="582" spans="1:13">
      <c r="A582" s="141">
        <f t="shared" si="40"/>
        <v>0</v>
      </c>
      <c r="B582" s="132"/>
      <c r="C582" s="147">
        <v>15</v>
      </c>
      <c r="D582" s="130" t="s">
        <v>161</v>
      </c>
      <c r="E582" s="181"/>
      <c r="F582" s="181"/>
      <c r="G582" s="120">
        <f t="shared" si="43"/>
        <v>0</v>
      </c>
      <c r="H582" s="120">
        <f t="shared" si="42"/>
        <v>0.875</v>
      </c>
      <c r="I582" s="120">
        <f t="shared" si="41"/>
        <v>0</v>
      </c>
      <c r="L582" s="128"/>
      <c r="M582" s="128"/>
    </row>
    <row r="583" spans="1:13">
      <c r="A583" s="141">
        <f t="shared" si="40"/>
        <v>0</v>
      </c>
      <c r="B583" s="132"/>
      <c r="C583" s="147">
        <v>23</v>
      </c>
      <c r="D583" s="122" t="s">
        <v>162</v>
      </c>
      <c r="E583" s="181"/>
      <c r="F583" s="181"/>
      <c r="G583" s="120">
        <f t="shared" si="43"/>
        <v>0</v>
      </c>
      <c r="H583" s="120">
        <f t="shared" si="42"/>
        <v>0.875</v>
      </c>
      <c r="I583" s="120">
        <f t="shared" si="41"/>
        <v>0</v>
      </c>
      <c r="L583" s="128"/>
      <c r="M583" s="128"/>
    </row>
    <row r="584" spans="1:13">
      <c r="A584" s="141">
        <f t="shared" si="40"/>
        <v>0</v>
      </c>
      <c r="B584" s="132"/>
      <c r="C584" s="147">
        <v>21</v>
      </c>
      <c r="D584" s="122" t="s">
        <v>163</v>
      </c>
      <c r="E584" s="181"/>
      <c r="F584" s="181"/>
      <c r="G584" s="120">
        <f t="shared" si="43"/>
        <v>0</v>
      </c>
      <c r="H584" s="120">
        <f t="shared" si="42"/>
        <v>0.875</v>
      </c>
      <c r="I584" s="120">
        <f t="shared" si="41"/>
        <v>0</v>
      </c>
      <c r="L584" s="128"/>
      <c r="M584" s="128"/>
    </row>
    <row r="585" spans="1:13">
      <c r="A585" s="141">
        <f t="shared" ref="A585:A648" si="44">B585</f>
        <v>0</v>
      </c>
      <c r="B585" s="132"/>
      <c r="C585" s="99">
        <v>44</v>
      </c>
      <c r="D585" s="138" t="s">
        <v>164</v>
      </c>
      <c r="E585" s="181"/>
      <c r="F585" s="181"/>
      <c r="G585" s="120">
        <f t="shared" si="43"/>
        <v>0</v>
      </c>
      <c r="H585" s="120">
        <f t="shared" si="42"/>
        <v>0.875</v>
      </c>
      <c r="I585" s="120">
        <f t="shared" ref="I585:I624" si="45">IFERROR(IF((F585-$H$2)&lt;0,0,F585-$H$2),"0")</f>
        <v>0</v>
      </c>
      <c r="L585" s="128"/>
      <c r="M585" s="128"/>
    </row>
    <row r="586" spans="1:13">
      <c r="A586" s="141">
        <f t="shared" si="44"/>
        <v>0</v>
      </c>
      <c r="B586" s="132"/>
      <c r="C586" s="147">
        <v>27</v>
      </c>
      <c r="D586" s="122" t="s">
        <v>165</v>
      </c>
      <c r="E586" s="181"/>
      <c r="F586" s="181"/>
      <c r="G586" s="120">
        <f t="shared" si="43"/>
        <v>0</v>
      </c>
      <c r="H586" s="120">
        <f t="shared" ref="H586:H649" si="46">IF(($H$2-F586)&lt;0,0,$H$2-F586)</f>
        <v>0.875</v>
      </c>
      <c r="I586" s="120">
        <f t="shared" si="45"/>
        <v>0</v>
      </c>
      <c r="L586" s="128"/>
      <c r="M586" s="128"/>
    </row>
    <row r="587" spans="1:13">
      <c r="A587" s="141">
        <f t="shared" si="44"/>
        <v>0</v>
      </c>
      <c r="B587" s="132"/>
      <c r="C587" s="147">
        <v>25</v>
      </c>
      <c r="D587" s="122" t="s">
        <v>166</v>
      </c>
      <c r="E587" s="181"/>
      <c r="F587" s="181"/>
      <c r="G587" s="120">
        <f t="shared" si="43"/>
        <v>0</v>
      </c>
      <c r="H587" s="120">
        <f t="shared" si="46"/>
        <v>0.875</v>
      </c>
      <c r="I587" s="120">
        <f t="shared" si="45"/>
        <v>0</v>
      </c>
      <c r="L587" s="128"/>
      <c r="M587" s="128"/>
    </row>
    <row r="588" spans="1:13">
      <c r="A588" s="141">
        <f t="shared" si="44"/>
        <v>0</v>
      </c>
      <c r="B588" s="132"/>
      <c r="C588" s="147">
        <v>32</v>
      </c>
      <c r="D588" s="122" t="s">
        <v>167</v>
      </c>
      <c r="E588" s="181"/>
      <c r="F588" s="181"/>
      <c r="G588" s="120">
        <f t="shared" si="43"/>
        <v>0</v>
      </c>
      <c r="H588" s="120">
        <f t="shared" si="46"/>
        <v>0.875</v>
      </c>
      <c r="I588" s="120">
        <f t="shared" si="45"/>
        <v>0</v>
      </c>
      <c r="L588" s="128"/>
      <c r="M588" s="128"/>
    </row>
    <row r="589" spans="1:13">
      <c r="A589" s="141">
        <f t="shared" si="44"/>
        <v>0</v>
      </c>
      <c r="B589" s="132"/>
      <c r="C589" s="147">
        <v>36</v>
      </c>
      <c r="D589" s="122" t="s">
        <v>168</v>
      </c>
      <c r="E589" s="181"/>
      <c r="F589" s="181"/>
      <c r="G589" s="120">
        <f t="shared" si="43"/>
        <v>0</v>
      </c>
      <c r="H589" s="120">
        <f t="shared" si="46"/>
        <v>0.875</v>
      </c>
      <c r="I589" s="120">
        <f t="shared" si="45"/>
        <v>0</v>
      </c>
      <c r="L589" s="128"/>
      <c r="M589" s="128"/>
    </row>
    <row r="590" spans="1:13">
      <c r="A590" s="141">
        <f t="shared" si="44"/>
        <v>0</v>
      </c>
      <c r="B590" s="132"/>
      <c r="C590" s="147">
        <v>16</v>
      </c>
      <c r="D590" s="122" t="s">
        <v>169</v>
      </c>
      <c r="E590" s="181"/>
      <c r="F590" s="181"/>
      <c r="G590" s="120">
        <f t="shared" si="43"/>
        <v>0</v>
      </c>
      <c r="H590" s="120">
        <f t="shared" si="46"/>
        <v>0.875</v>
      </c>
      <c r="I590" s="120">
        <f t="shared" si="45"/>
        <v>0</v>
      </c>
      <c r="L590" s="128"/>
      <c r="M590" s="128"/>
    </row>
    <row r="591" spans="1:13">
      <c r="A591" s="141">
        <f t="shared" si="44"/>
        <v>0</v>
      </c>
      <c r="B591" s="132"/>
      <c r="C591" s="147">
        <v>1</v>
      </c>
      <c r="D591" s="122" t="s">
        <v>170</v>
      </c>
      <c r="E591" s="181"/>
      <c r="F591" s="181"/>
      <c r="G591" s="120">
        <f t="shared" si="43"/>
        <v>0</v>
      </c>
      <c r="H591" s="120">
        <f t="shared" si="46"/>
        <v>0.875</v>
      </c>
      <c r="I591" s="120">
        <f t="shared" si="45"/>
        <v>0</v>
      </c>
      <c r="L591" s="128"/>
      <c r="M591" s="128"/>
    </row>
    <row r="592" spans="1:13">
      <c r="A592" s="141">
        <f t="shared" si="44"/>
        <v>0</v>
      </c>
      <c r="B592" s="132"/>
      <c r="C592" s="147">
        <v>19</v>
      </c>
      <c r="D592" s="122" t="s">
        <v>171</v>
      </c>
      <c r="E592" s="181"/>
      <c r="F592" s="181"/>
      <c r="G592" s="120">
        <f t="shared" si="43"/>
        <v>0</v>
      </c>
      <c r="H592" s="120">
        <f t="shared" si="46"/>
        <v>0.875</v>
      </c>
      <c r="I592" s="120">
        <f t="shared" si="45"/>
        <v>0</v>
      </c>
      <c r="L592" s="128"/>
      <c r="M592" s="128"/>
    </row>
    <row r="593" spans="1:13">
      <c r="A593" s="141">
        <f t="shared" si="44"/>
        <v>0</v>
      </c>
      <c r="B593" s="132"/>
      <c r="C593" s="147">
        <v>34</v>
      </c>
      <c r="D593" s="122" t="s">
        <v>172</v>
      </c>
      <c r="E593" s="181"/>
      <c r="F593" s="181"/>
      <c r="G593" s="120">
        <f t="shared" si="43"/>
        <v>0</v>
      </c>
      <c r="H593" s="120">
        <f t="shared" si="46"/>
        <v>0.875</v>
      </c>
      <c r="I593" s="120">
        <f t="shared" si="45"/>
        <v>0</v>
      </c>
      <c r="L593" s="128"/>
      <c r="M593" s="128"/>
    </row>
    <row r="594" spans="1:13">
      <c r="A594" s="141">
        <f t="shared" si="44"/>
        <v>0</v>
      </c>
      <c r="B594" s="132"/>
      <c r="C594" s="147">
        <v>30</v>
      </c>
      <c r="D594" s="122" t="s">
        <v>173</v>
      </c>
      <c r="E594" s="181"/>
      <c r="F594" s="181"/>
      <c r="G594" s="120">
        <f t="shared" si="43"/>
        <v>0</v>
      </c>
      <c r="H594" s="120">
        <f t="shared" si="46"/>
        <v>0.875</v>
      </c>
      <c r="I594" s="120">
        <f t="shared" si="45"/>
        <v>0</v>
      </c>
      <c r="L594" s="128"/>
      <c r="M594" s="128"/>
    </row>
    <row r="595" spans="1:13">
      <c r="A595" s="141">
        <f t="shared" si="44"/>
        <v>0</v>
      </c>
      <c r="B595" s="132"/>
      <c r="C595" s="147">
        <v>3</v>
      </c>
      <c r="D595" s="122" t="s">
        <v>174</v>
      </c>
      <c r="E595" s="181"/>
      <c r="F595" s="181"/>
      <c r="G595" s="120">
        <f t="shared" si="43"/>
        <v>0</v>
      </c>
      <c r="H595" s="120">
        <f t="shared" si="46"/>
        <v>0.875</v>
      </c>
      <c r="I595" s="120">
        <f t="shared" si="45"/>
        <v>0</v>
      </c>
      <c r="L595" s="128"/>
      <c r="M595" s="128"/>
    </row>
    <row r="596" spans="1:13">
      <c r="A596" s="141">
        <f t="shared" si="44"/>
        <v>0</v>
      </c>
      <c r="B596" s="132"/>
      <c r="C596" s="147">
        <v>33</v>
      </c>
      <c r="D596" s="122" t="s">
        <v>175</v>
      </c>
      <c r="E596" s="181"/>
      <c r="F596" s="181"/>
      <c r="G596" s="120">
        <f t="shared" si="43"/>
        <v>0</v>
      </c>
      <c r="H596" s="120">
        <f t="shared" si="46"/>
        <v>0.875</v>
      </c>
      <c r="I596" s="120">
        <f t="shared" si="45"/>
        <v>0</v>
      </c>
      <c r="L596" s="128"/>
      <c r="M596" s="128"/>
    </row>
    <row r="597" spans="1:13">
      <c r="A597" s="141">
        <f t="shared" si="44"/>
        <v>0</v>
      </c>
      <c r="B597" s="132"/>
      <c r="C597" s="147">
        <v>11</v>
      </c>
      <c r="D597" s="122" t="s">
        <v>176</v>
      </c>
      <c r="E597" s="181"/>
      <c r="F597" s="181"/>
      <c r="G597" s="120">
        <f t="shared" si="43"/>
        <v>0</v>
      </c>
      <c r="H597" s="120">
        <f t="shared" si="46"/>
        <v>0.875</v>
      </c>
      <c r="I597" s="120">
        <f t="shared" si="45"/>
        <v>0</v>
      </c>
      <c r="L597" s="128"/>
      <c r="M597" s="128"/>
    </row>
    <row r="598" spans="1:13">
      <c r="A598" s="141">
        <f t="shared" si="44"/>
        <v>0</v>
      </c>
      <c r="B598" s="132"/>
      <c r="C598" s="147">
        <v>4</v>
      </c>
      <c r="D598" s="122" t="s">
        <v>177</v>
      </c>
      <c r="E598" s="181"/>
      <c r="F598" s="181"/>
      <c r="G598" s="120">
        <f t="shared" si="43"/>
        <v>0</v>
      </c>
      <c r="H598" s="120">
        <f t="shared" si="46"/>
        <v>0.875</v>
      </c>
      <c r="I598" s="120">
        <f t="shared" si="45"/>
        <v>0</v>
      </c>
      <c r="L598" s="128"/>
      <c r="M598" s="128"/>
    </row>
    <row r="599" spans="1:13">
      <c r="A599" s="141">
        <f t="shared" si="44"/>
        <v>0</v>
      </c>
      <c r="B599" s="132"/>
      <c r="C599" s="147">
        <v>35</v>
      </c>
      <c r="D599" s="122" t="s">
        <v>178</v>
      </c>
      <c r="E599" s="181"/>
      <c r="F599" s="181"/>
      <c r="G599" s="120">
        <f t="shared" si="43"/>
        <v>0</v>
      </c>
      <c r="H599" s="120">
        <f t="shared" si="46"/>
        <v>0.875</v>
      </c>
      <c r="I599" s="120">
        <f t="shared" si="45"/>
        <v>0</v>
      </c>
      <c r="L599" s="128"/>
      <c r="M599" s="128"/>
    </row>
    <row r="600" spans="1:13">
      <c r="A600" s="141">
        <f t="shared" si="44"/>
        <v>0</v>
      </c>
      <c r="B600" s="132"/>
      <c r="C600" s="147">
        <v>6</v>
      </c>
      <c r="D600" s="122" t="s">
        <v>179</v>
      </c>
      <c r="E600" s="181"/>
      <c r="F600" s="181"/>
      <c r="G600" s="120">
        <f t="shared" si="43"/>
        <v>0</v>
      </c>
      <c r="H600" s="120">
        <f t="shared" si="46"/>
        <v>0.875</v>
      </c>
      <c r="I600" s="120">
        <f t="shared" si="45"/>
        <v>0</v>
      </c>
      <c r="L600" s="128"/>
      <c r="M600" s="128"/>
    </row>
    <row r="601" spans="1:13">
      <c r="A601" s="141">
        <f t="shared" si="44"/>
        <v>0</v>
      </c>
      <c r="B601" s="132"/>
      <c r="C601" s="147">
        <v>41</v>
      </c>
      <c r="D601" s="122" t="s">
        <v>180</v>
      </c>
      <c r="E601" s="181"/>
      <c r="F601" s="181"/>
      <c r="G601" s="120">
        <f t="shared" si="43"/>
        <v>0</v>
      </c>
      <c r="H601" s="120">
        <f t="shared" si="46"/>
        <v>0.875</v>
      </c>
      <c r="I601" s="120">
        <f t="shared" si="45"/>
        <v>0</v>
      </c>
      <c r="L601" s="128"/>
      <c r="M601" s="128"/>
    </row>
    <row r="602" spans="1:13">
      <c r="A602" s="141">
        <f t="shared" si="44"/>
        <v>0</v>
      </c>
      <c r="B602" s="132"/>
      <c r="C602" s="147">
        <v>28</v>
      </c>
      <c r="D602" s="122" t="s">
        <v>181</v>
      </c>
      <c r="E602" s="181"/>
      <c r="F602" s="181"/>
      <c r="G602" s="120">
        <f t="shared" si="43"/>
        <v>0</v>
      </c>
      <c r="H602" s="120">
        <f t="shared" si="46"/>
        <v>0.875</v>
      </c>
      <c r="I602" s="120">
        <f t="shared" si="45"/>
        <v>0</v>
      </c>
      <c r="L602" s="128"/>
      <c r="M602" s="128"/>
    </row>
    <row r="603" spans="1:13">
      <c r="A603" s="141">
        <f t="shared" si="44"/>
        <v>0</v>
      </c>
      <c r="B603" s="132"/>
      <c r="C603" s="147">
        <v>20</v>
      </c>
      <c r="D603" s="122" t="s">
        <v>182</v>
      </c>
      <c r="E603" s="181"/>
      <c r="F603" s="181"/>
      <c r="G603" s="120">
        <f t="shared" si="43"/>
        <v>0</v>
      </c>
      <c r="H603" s="120">
        <f t="shared" si="46"/>
        <v>0.875</v>
      </c>
      <c r="I603" s="120">
        <f t="shared" si="45"/>
        <v>0</v>
      </c>
      <c r="L603" s="128"/>
      <c r="M603" s="128"/>
    </row>
    <row r="604" spans="1:13">
      <c r="A604" s="141">
        <f t="shared" si="44"/>
        <v>0</v>
      </c>
      <c r="B604" s="132"/>
      <c r="C604" s="147">
        <v>42</v>
      </c>
      <c r="D604" s="122" t="s">
        <v>183</v>
      </c>
      <c r="E604" s="181"/>
      <c r="F604" s="181"/>
      <c r="G604" s="120">
        <f t="shared" si="43"/>
        <v>0</v>
      </c>
      <c r="H604" s="120">
        <f t="shared" si="46"/>
        <v>0.875</v>
      </c>
      <c r="I604" s="120">
        <f t="shared" si="45"/>
        <v>0</v>
      </c>
      <c r="L604" s="128"/>
      <c r="M604" s="128"/>
    </row>
    <row r="605" spans="1:13">
      <c r="A605" s="141">
        <f t="shared" si="44"/>
        <v>0</v>
      </c>
      <c r="B605" s="126"/>
      <c r="C605" s="147">
        <v>15</v>
      </c>
      <c r="D605" s="130" t="s">
        <v>161</v>
      </c>
      <c r="E605" s="181"/>
      <c r="F605" s="181"/>
      <c r="G605" s="120">
        <f t="shared" si="43"/>
        <v>0</v>
      </c>
      <c r="H605" s="120">
        <f t="shared" si="46"/>
        <v>0.875</v>
      </c>
      <c r="I605" s="120">
        <f t="shared" si="45"/>
        <v>0</v>
      </c>
      <c r="L605" s="128"/>
      <c r="M605" s="128"/>
    </row>
    <row r="606" spans="1:13">
      <c r="A606" s="141">
        <f t="shared" si="44"/>
        <v>0</v>
      </c>
      <c r="B606" s="126"/>
      <c r="C606" s="147">
        <v>23</v>
      </c>
      <c r="D606" s="122" t="s">
        <v>162</v>
      </c>
      <c r="E606" s="181"/>
      <c r="F606" s="181"/>
      <c r="G606" s="120">
        <f t="shared" si="43"/>
        <v>0</v>
      </c>
      <c r="H606" s="120">
        <f t="shared" si="46"/>
        <v>0.875</v>
      </c>
      <c r="I606" s="120">
        <f t="shared" si="45"/>
        <v>0</v>
      </c>
      <c r="L606" s="128"/>
      <c r="M606" s="128"/>
    </row>
    <row r="607" spans="1:13">
      <c r="A607" s="141">
        <f t="shared" si="44"/>
        <v>0</v>
      </c>
      <c r="B607" s="126"/>
      <c r="C607" s="147">
        <v>21</v>
      </c>
      <c r="D607" s="122" t="s">
        <v>163</v>
      </c>
      <c r="E607" s="181"/>
      <c r="F607" s="181"/>
      <c r="G607" s="120">
        <f t="shared" si="43"/>
        <v>0</v>
      </c>
      <c r="H607" s="120">
        <f t="shared" si="46"/>
        <v>0.875</v>
      </c>
      <c r="I607" s="120">
        <f t="shared" si="45"/>
        <v>0</v>
      </c>
      <c r="L607" s="128"/>
      <c r="M607" s="128"/>
    </row>
    <row r="608" spans="1:13">
      <c r="A608" s="141">
        <f t="shared" si="44"/>
        <v>0</v>
      </c>
      <c r="B608" s="126"/>
      <c r="C608" s="99">
        <v>44</v>
      </c>
      <c r="D608" s="138" t="s">
        <v>164</v>
      </c>
      <c r="E608" s="181"/>
      <c r="F608" s="181"/>
      <c r="G608" s="120">
        <f t="shared" si="43"/>
        <v>0</v>
      </c>
      <c r="H608" s="120">
        <f t="shared" si="46"/>
        <v>0.875</v>
      </c>
      <c r="I608" s="120">
        <f t="shared" si="45"/>
        <v>0</v>
      </c>
      <c r="L608" s="128"/>
      <c r="M608" s="128"/>
    </row>
    <row r="609" spans="1:13">
      <c r="A609" s="141">
        <f t="shared" si="44"/>
        <v>0</v>
      </c>
      <c r="B609" s="126"/>
      <c r="C609" s="147">
        <v>27</v>
      </c>
      <c r="D609" s="122" t="s">
        <v>165</v>
      </c>
      <c r="E609" s="181"/>
      <c r="F609" s="181"/>
      <c r="G609" s="120">
        <f t="shared" si="43"/>
        <v>0</v>
      </c>
      <c r="H609" s="120">
        <f t="shared" si="46"/>
        <v>0.875</v>
      </c>
      <c r="I609" s="120">
        <f t="shared" si="45"/>
        <v>0</v>
      </c>
      <c r="L609" s="128"/>
      <c r="M609" s="128"/>
    </row>
    <row r="610" spans="1:13">
      <c r="A610" s="141">
        <f t="shared" si="44"/>
        <v>0</v>
      </c>
      <c r="B610" s="126"/>
      <c r="C610" s="147">
        <v>25</v>
      </c>
      <c r="D610" s="122" t="s">
        <v>166</v>
      </c>
      <c r="E610" s="181"/>
      <c r="F610" s="181"/>
      <c r="G610" s="120">
        <f t="shared" si="43"/>
        <v>0</v>
      </c>
      <c r="H610" s="120">
        <f t="shared" si="46"/>
        <v>0.875</v>
      </c>
      <c r="I610" s="120">
        <f t="shared" si="45"/>
        <v>0</v>
      </c>
      <c r="L610" s="128"/>
      <c r="M610" s="128"/>
    </row>
    <row r="611" spans="1:13">
      <c r="A611" s="141">
        <f t="shared" si="44"/>
        <v>0</v>
      </c>
      <c r="B611" s="126"/>
      <c r="C611" s="147">
        <v>32</v>
      </c>
      <c r="D611" s="122" t="s">
        <v>167</v>
      </c>
      <c r="E611" s="181"/>
      <c r="F611" s="181"/>
      <c r="G611" s="120">
        <f t="shared" si="43"/>
        <v>0</v>
      </c>
      <c r="H611" s="120">
        <f t="shared" si="46"/>
        <v>0.875</v>
      </c>
      <c r="I611" s="120">
        <f t="shared" si="45"/>
        <v>0</v>
      </c>
      <c r="L611" s="128"/>
      <c r="M611" s="128"/>
    </row>
    <row r="612" spans="1:13">
      <c r="A612" s="141">
        <f t="shared" si="44"/>
        <v>0</v>
      </c>
      <c r="B612" s="126"/>
      <c r="C612" s="147">
        <v>36</v>
      </c>
      <c r="D612" s="122" t="s">
        <v>168</v>
      </c>
      <c r="E612" s="181"/>
      <c r="F612" s="181"/>
      <c r="G612" s="120">
        <f t="shared" si="43"/>
        <v>0</v>
      </c>
      <c r="H612" s="120">
        <f t="shared" si="46"/>
        <v>0.875</v>
      </c>
      <c r="I612" s="120">
        <f t="shared" si="45"/>
        <v>0</v>
      </c>
      <c r="L612" s="128"/>
      <c r="M612" s="128"/>
    </row>
    <row r="613" spans="1:13">
      <c r="A613" s="141">
        <f t="shared" si="44"/>
        <v>0</v>
      </c>
      <c r="B613" s="126"/>
      <c r="C613" s="147">
        <v>16</v>
      </c>
      <c r="D613" s="122" t="s">
        <v>169</v>
      </c>
      <c r="E613" s="181"/>
      <c r="F613" s="181"/>
      <c r="G613" s="120">
        <f t="shared" si="43"/>
        <v>0</v>
      </c>
      <c r="H613" s="120">
        <f t="shared" si="46"/>
        <v>0.875</v>
      </c>
      <c r="I613" s="120">
        <f t="shared" si="45"/>
        <v>0</v>
      </c>
      <c r="L613" s="128"/>
      <c r="M613" s="128"/>
    </row>
    <row r="614" spans="1:13">
      <c r="A614" s="141">
        <f t="shared" si="44"/>
        <v>0</v>
      </c>
      <c r="B614" s="126"/>
      <c r="C614" s="147">
        <v>1</v>
      </c>
      <c r="D614" s="122" t="s">
        <v>170</v>
      </c>
      <c r="E614" s="181"/>
      <c r="F614" s="181"/>
      <c r="G614" s="120">
        <f t="shared" si="43"/>
        <v>0</v>
      </c>
      <c r="H614" s="120">
        <f t="shared" si="46"/>
        <v>0.875</v>
      </c>
      <c r="I614" s="120">
        <f t="shared" si="45"/>
        <v>0</v>
      </c>
      <c r="L614" s="128"/>
      <c r="M614" s="128"/>
    </row>
    <row r="615" spans="1:13">
      <c r="A615" s="141">
        <f t="shared" si="44"/>
        <v>0</v>
      </c>
      <c r="B615" s="126"/>
      <c r="C615" s="147">
        <v>19</v>
      </c>
      <c r="D615" s="122" t="s">
        <v>171</v>
      </c>
      <c r="E615" s="181"/>
      <c r="F615" s="181"/>
      <c r="G615" s="120">
        <f t="shared" si="43"/>
        <v>0</v>
      </c>
      <c r="H615" s="120">
        <f t="shared" si="46"/>
        <v>0.875</v>
      </c>
      <c r="I615" s="120">
        <f t="shared" si="45"/>
        <v>0</v>
      </c>
      <c r="L615" s="128"/>
      <c r="M615" s="128"/>
    </row>
    <row r="616" spans="1:13">
      <c r="A616" s="141">
        <f t="shared" si="44"/>
        <v>0</v>
      </c>
      <c r="B616" s="126"/>
      <c r="C616" s="147">
        <v>34</v>
      </c>
      <c r="D616" s="122" t="s">
        <v>172</v>
      </c>
      <c r="E616" s="181"/>
      <c r="F616" s="181"/>
      <c r="G616" s="120">
        <f t="shared" si="43"/>
        <v>0</v>
      </c>
      <c r="H616" s="120">
        <f t="shared" si="46"/>
        <v>0.875</v>
      </c>
      <c r="I616" s="120">
        <f t="shared" si="45"/>
        <v>0</v>
      </c>
      <c r="L616" s="128"/>
      <c r="M616" s="128"/>
    </row>
    <row r="617" spans="1:13">
      <c r="A617" s="141">
        <f t="shared" si="44"/>
        <v>0</v>
      </c>
      <c r="B617" s="126"/>
      <c r="C617" s="147">
        <v>30</v>
      </c>
      <c r="D617" s="122" t="s">
        <v>173</v>
      </c>
      <c r="E617" s="181"/>
      <c r="F617" s="181"/>
      <c r="G617" s="120">
        <f t="shared" si="43"/>
        <v>0</v>
      </c>
      <c r="H617" s="120">
        <f t="shared" si="46"/>
        <v>0.875</v>
      </c>
      <c r="I617" s="120">
        <f t="shared" si="45"/>
        <v>0</v>
      </c>
      <c r="L617" s="128"/>
      <c r="M617" s="128"/>
    </row>
    <row r="618" spans="1:13">
      <c r="A618" s="141">
        <f t="shared" si="44"/>
        <v>0</v>
      </c>
      <c r="B618" s="126"/>
      <c r="C618" s="147">
        <v>3</v>
      </c>
      <c r="D618" s="122" t="s">
        <v>174</v>
      </c>
      <c r="E618" s="181"/>
      <c r="F618" s="181"/>
      <c r="G618" s="120">
        <f t="shared" si="43"/>
        <v>0</v>
      </c>
      <c r="H618" s="120">
        <f t="shared" si="46"/>
        <v>0.875</v>
      </c>
      <c r="I618" s="120">
        <f t="shared" si="45"/>
        <v>0</v>
      </c>
      <c r="L618" s="128"/>
      <c r="M618" s="128"/>
    </row>
    <row r="619" spans="1:13">
      <c r="A619" s="141">
        <f t="shared" si="44"/>
        <v>0</v>
      </c>
      <c r="B619" s="126"/>
      <c r="C619" s="147">
        <v>33</v>
      </c>
      <c r="D619" s="122" t="s">
        <v>175</v>
      </c>
      <c r="E619" s="181"/>
      <c r="F619" s="181"/>
      <c r="G619" s="120">
        <f t="shared" si="43"/>
        <v>0</v>
      </c>
      <c r="H619" s="120">
        <f t="shared" si="46"/>
        <v>0.875</v>
      </c>
      <c r="I619" s="120">
        <f t="shared" si="45"/>
        <v>0</v>
      </c>
      <c r="L619" s="128"/>
      <c r="M619" s="128"/>
    </row>
    <row r="620" spans="1:13">
      <c r="A620" s="141">
        <f t="shared" si="44"/>
        <v>0</v>
      </c>
      <c r="B620" s="126"/>
      <c r="C620" s="147">
        <v>11</v>
      </c>
      <c r="D620" s="122" t="s">
        <v>176</v>
      </c>
      <c r="E620" s="181"/>
      <c r="F620" s="181"/>
      <c r="G620" s="120">
        <f t="shared" si="43"/>
        <v>0</v>
      </c>
      <c r="H620" s="120">
        <f t="shared" si="46"/>
        <v>0.875</v>
      </c>
      <c r="I620" s="120">
        <f t="shared" si="45"/>
        <v>0</v>
      </c>
      <c r="L620" s="128"/>
      <c r="M620" s="128"/>
    </row>
    <row r="621" spans="1:13">
      <c r="A621" s="141">
        <f t="shared" si="44"/>
        <v>0</v>
      </c>
      <c r="B621" s="126"/>
      <c r="C621" s="147">
        <v>4</v>
      </c>
      <c r="D621" s="122" t="s">
        <v>177</v>
      </c>
      <c r="E621" s="181"/>
      <c r="F621" s="181"/>
      <c r="G621" s="120">
        <f t="shared" si="43"/>
        <v>0</v>
      </c>
      <c r="H621" s="120">
        <f t="shared" si="46"/>
        <v>0.875</v>
      </c>
      <c r="I621" s="120">
        <f t="shared" si="45"/>
        <v>0</v>
      </c>
      <c r="L621" s="128"/>
      <c r="M621" s="128"/>
    </row>
    <row r="622" spans="1:13">
      <c r="A622" s="141">
        <f t="shared" si="44"/>
        <v>0</v>
      </c>
      <c r="B622" s="126"/>
      <c r="C622" s="147">
        <v>35</v>
      </c>
      <c r="D622" s="122" t="s">
        <v>178</v>
      </c>
      <c r="E622" s="181"/>
      <c r="F622" s="181"/>
      <c r="G622" s="120">
        <f t="shared" si="43"/>
        <v>0</v>
      </c>
      <c r="H622" s="120">
        <f t="shared" si="46"/>
        <v>0.875</v>
      </c>
      <c r="I622" s="120">
        <f t="shared" si="45"/>
        <v>0</v>
      </c>
      <c r="L622" s="128"/>
      <c r="M622" s="128"/>
    </row>
    <row r="623" spans="1:13">
      <c r="A623" s="141">
        <f t="shared" si="44"/>
        <v>0</v>
      </c>
      <c r="B623" s="126"/>
      <c r="C623" s="147">
        <v>6</v>
      </c>
      <c r="D623" s="122" t="s">
        <v>179</v>
      </c>
      <c r="E623" s="181"/>
      <c r="F623" s="181"/>
      <c r="G623" s="120">
        <f t="shared" si="43"/>
        <v>0</v>
      </c>
      <c r="H623" s="120">
        <f t="shared" si="46"/>
        <v>0.875</v>
      </c>
      <c r="I623" s="120">
        <f t="shared" si="45"/>
        <v>0</v>
      </c>
      <c r="L623" s="128"/>
      <c r="M623" s="128"/>
    </row>
    <row r="624" spans="1:13">
      <c r="A624" s="141">
        <f t="shared" si="44"/>
        <v>0</v>
      </c>
      <c r="B624" s="126"/>
      <c r="C624" s="147">
        <v>41</v>
      </c>
      <c r="D624" s="122" t="s">
        <v>180</v>
      </c>
      <c r="E624" s="181"/>
      <c r="F624" s="181"/>
      <c r="G624" s="120">
        <f t="shared" si="43"/>
        <v>0</v>
      </c>
      <c r="H624" s="120">
        <f t="shared" si="46"/>
        <v>0.875</v>
      </c>
      <c r="I624" s="120">
        <f t="shared" si="45"/>
        <v>0</v>
      </c>
      <c r="L624" s="128"/>
      <c r="M624" s="128"/>
    </row>
    <row r="625" spans="1:13">
      <c r="A625" s="141"/>
      <c r="B625" s="126"/>
      <c r="C625" s="147"/>
      <c r="D625" s="122"/>
      <c r="E625" s="181"/>
      <c r="F625" s="181"/>
      <c r="G625" s="120"/>
      <c r="H625" s="120"/>
      <c r="I625" s="120"/>
      <c r="L625" s="128"/>
      <c r="M625" s="128"/>
    </row>
    <row r="626" spans="1:13">
      <c r="A626" s="141">
        <f t="shared" si="44"/>
        <v>0</v>
      </c>
      <c r="B626" s="126"/>
      <c r="C626" s="147">
        <v>28</v>
      </c>
      <c r="D626" s="122" t="s">
        <v>181</v>
      </c>
      <c r="E626" s="181"/>
      <c r="F626" s="181"/>
      <c r="G626" s="120">
        <f t="shared" si="43"/>
        <v>0</v>
      </c>
      <c r="H626" s="120">
        <f t="shared" si="46"/>
        <v>0.875</v>
      </c>
      <c r="I626" s="120">
        <f t="shared" ref="I626:I679" si="47">IFERROR(IF((F627-$H$2)&lt;0,0,F627-$H$2),"0")</f>
        <v>0</v>
      </c>
      <c r="L626" s="128"/>
      <c r="M626" s="128"/>
    </row>
    <row r="627" spans="1:13">
      <c r="A627" s="141">
        <f t="shared" si="44"/>
        <v>0</v>
      </c>
      <c r="B627" s="126"/>
      <c r="C627" s="147">
        <v>20</v>
      </c>
      <c r="D627" s="122" t="s">
        <v>182</v>
      </c>
      <c r="E627" s="181"/>
      <c r="F627" s="181"/>
      <c r="G627" s="120">
        <f t="shared" si="43"/>
        <v>0</v>
      </c>
      <c r="H627" s="120">
        <f t="shared" si="46"/>
        <v>0.875</v>
      </c>
      <c r="I627" s="120">
        <f t="shared" si="47"/>
        <v>0</v>
      </c>
      <c r="L627" s="128"/>
      <c r="M627" s="128"/>
    </row>
    <row r="628" spans="1:13">
      <c r="A628" s="141">
        <f t="shared" si="44"/>
        <v>0</v>
      </c>
      <c r="B628" s="126"/>
      <c r="C628" s="147">
        <v>42</v>
      </c>
      <c r="D628" s="122" t="s">
        <v>183</v>
      </c>
      <c r="E628" s="181"/>
      <c r="F628" s="181"/>
      <c r="G628" s="120">
        <f t="shared" si="43"/>
        <v>0</v>
      </c>
      <c r="H628" s="120">
        <f t="shared" si="46"/>
        <v>0.875</v>
      </c>
      <c r="I628" s="120">
        <f t="shared" si="47"/>
        <v>0</v>
      </c>
      <c r="L628" s="128"/>
      <c r="M628" s="128"/>
    </row>
    <row r="629" spans="1:13">
      <c r="A629" s="141">
        <f t="shared" si="44"/>
        <v>0</v>
      </c>
      <c r="B629" s="132"/>
      <c r="C629" s="147"/>
      <c r="D629" s="130"/>
      <c r="E629" s="181"/>
      <c r="F629" s="181"/>
      <c r="G629" s="120">
        <f t="shared" si="43"/>
        <v>0</v>
      </c>
      <c r="H629" s="120">
        <f t="shared" si="46"/>
        <v>0.875</v>
      </c>
      <c r="I629" s="120">
        <f t="shared" si="47"/>
        <v>0</v>
      </c>
      <c r="L629" s="128"/>
      <c r="M629" s="128"/>
    </row>
    <row r="630" spans="1:13">
      <c r="A630" s="141">
        <f t="shared" si="44"/>
        <v>0</v>
      </c>
      <c r="B630" s="132"/>
      <c r="C630" s="147"/>
      <c r="D630" s="122"/>
      <c r="E630" s="181"/>
      <c r="F630" s="181"/>
      <c r="G630" s="120">
        <f t="shared" si="43"/>
        <v>0</v>
      </c>
      <c r="H630" s="120">
        <f t="shared" si="46"/>
        <v>0.875</v>
      </c>
      <c r="I630" s="120">
        <f t="shared" si="47"/>
        <v>0</v>
      </c>
      <c r="L630" s="128"/>
      <c r="M630" s="128"/>
    </row>
    <row r="631" spans="1:13">
      <c r="A631" s="141">
        <f t="shared" si="44"/>
        <v>0</v>
      </c>
      <c r="B631" s="132"/>
      <c r="C631" s="147"/>
      <c r="D631" s="122"/>
      <c r="E631" s="181"/>
      <c r="F631" s="181"/>
      <c r="G631" s="120">
        <f t="shared" ref="G631:G694" si="48">IFERROR(IF((E631-$F$2)&lt;=$H$3,0,E631-$F$2),"غياب")</f>
        <v>0</v>
      </c>
      <c r="H631" s="120">
        <f t="shared" si="46"/>
        <v>0.875</v>
      </c>
      <c r="I631" s="120">
        <f t="shared" si="47"/>
        <v>0</v>
      </c>
      <c r="L631" s="128"/>
      <c r="M631" s="128"/>
    </row>
    <row r="632" spans="1:13">
      <c r="A632" s="141">
        <f t="shared" si="44"/>
        <v>0</v>
      </c>
      <c r="B632" s="132"/>
      <c r="C632" s="99"/>
      <c r="D632" s="138"/>
      <c r="E632" s="181"/>
      <c r="F632" s="181"/>
      <c r="G632" s="120">
        <f t="shared" si="48"/>
        <v>0</v>
      </c>
      <c r="H632" s="120">
        <f t="shared" si="46"/>
        <v>0.875</v>
      </c>
      <c r="I632" s="120">
        <f t="shared" si="47"/>
        <v>0</v>
      </c>
      <c r="L632" s="128"/>
      <c r="M632" s="128"/>
    </row>
    <row r="633" spans="1:13">
      <c r="A633" s="141">
        <f t="shared" si="44"/>
        <v>0</v>
      </c>
      <c r="B633" s="132"/>
      <c r="C633" s="147"/>
      <c r="D633" s="122"/>
      <c r="E633" s="181"/>
      <c r="F633" s="181"/>
      <c r="G633" s="120">
        <f t="shared" si="48"/>
        <v>0</v>
      </c>
      <c r="H633" s="120">
        <f t="shared" si="46"/>
        <v>0.875</v>
      </c>
      <c r="I633" s="120">
        <f t="shared" si="47"/>
        <v>0</v>
      </c>
      <c r="L633" s="128"/>
      <c r="M633" s="128"/>
    </row>
    <row r="634" spans="1:13">
      <c r="A634" s="141">
        <f t="shared" si="44"/>
        <v>0</v>
      </c>
      <c r="B634" s="132"/>
      <c r="C634" s="147"/>
      <c r="D634" s="122"/>
      <c r="E634" s="181"/>
      <c r="F634" s="181"/>
      <c r="G634" s="120">
        <f t="shared" si="48"/>
        <v>0</v>
      </c>
      <c r="H634" s="120">
        <f t="shared" si="46"/>
        <v>0.875</v>
      </c>
      <c r="I634" s="120">
        <f t="shared" si="47"/>
        <v>0</v>
      </c>
      <c r="L634" s="128"/>
      <c r="M634" s="128"/>
    </row>
    <row r="635" spans="1:13">
      <c r="A635" s="141">
        <f t="shared" si="44"/>
        <v>0</v>
      </c>
      <c r="B635" s="132"/>
      <c r="C635" s="147"/>
      <c r="D635" s="122"/>
      <c r="E635" s="181"/>
      <c r="F635" s="181"/>
      <c r="G635" s="120">
        <f t="shared" si="48"/>
        <v>0</v>
      </c>
      <c r="H635" s="120">
        <f t="shared" si="46"/>
        <v>0.875</v>
      </c>
      <c r="I635" s="120">
        <f t="shared" si="47"/>
        <v>0</v>
      </c>
      <c r="L635" s="128"/>
      <c r="M635" s="128"/>
    </row>
    <row r="636" spans="1:13">
      <c r="A636" s="141">
        <f t="shared" si="44"/>
        <v>0</v>
      </c>
      <c r="B636" s="132"/>
      <c r="C636" s="147"/>
      <c r="D636" s="122"/>
      <c r="E636" s="181"/>
      <c r="F636" s="181"/>
      <c r="G636" s="120">
        <f t="shared" si="48"/>
        <v>0</v>
      </c>
      <c r="H636" s="120">
        <f t="shared" si="46"/>
        <v>0.875</v>
      </c>
      <c r="I636" s="120">
        <f t="shared" si="47"/>
        <v>0</v>
      </c>
      <c r="L636" s="128"/>
      <c r="M636" s="128"/>
    </row>
    <row r="637" spans="1:13">
      <c r="A637" s="141">
        <f t="shared" si="44"/>
        <v>0</v>
      </c>
      <c r="B637" s="132"/>
      <c r="C637" s="147"/>
      <c r="D637" s="122"/>
      <c r="E637" s="181"/>
      <c r="F637" s="181"/>
      <c r="G637" s="120">
        <f t="shared" si="48"/>
        <v>0</v>
      </c>
      <c r="H637" s="120">
        <f t="shared" si="46"/>
        <v>0.875</v>
      </c>
      <c r="I637" s="120">
        <f t="shared" si="47"/>
        <v>0</v>
      </c>
      <c r="L637" s="128"/>
      <c r="M637" s="128"/>
    </row>
    <row r="638" spans="1:13">
      <c r="A638" s="141">
        <f t="shared" si="44"/>
        <v>0</v>
      </c>
      <c r="B638" s="132"/>
      <c r="C638" s="147"/>
      <c r="D638" s="122"/>
      <c r="E638" s="181"/>
      <c r="F638" s="181"/>
      <c r="G638" s="120">
        <f t="shared" si="48"/>
        <v>0</v>
      </c>
      <c r="H638" s="120">
        <f t="shared" si="46"/>
        <v>0.875</v>
      </c>
      <c r="I638" s="120">
        <f t="shared" si="47"/>
        <v>0</v>
      </c>
      <c r="L638" s="128"/>
      <c r="M638" s="128"/>
    </row>
    <row r="639" spans="1:13">
      <c r="A639" s="141">
        <f t="shared" si="44"/>
        <v>0</v>
      </c>
      <c r="B639" s="132"/>
      <c r="C639" s="147"/>
      <c r="D639" s="122"/>
      <c r="E639" s="181"/>
      <c r="F639" s="181"/>
      <c r="G639" s="120">
        <f t="shared" si="48"/>
        <v>0</v>
      </c>
      <c r="H639" s="120">
        <f t="shared" si="46"/>
        <v>0.875</v>
      </c>
      <c r="I639" s="120">
        <f t="shared" si="47"/>
        <v>0</v>
      </c>
      <c r="L639" s="128"/>
      <c r="M639" s="128"/>
    </row>
    <row r="640" spans="1:13">
      <c r="A640" s="141">
        <f t="shared" si="44"/>
        <v>0</v>
      </c>
      <c r="B640" s="132"/>
      <c r="C640" s="147"/>
      <c r="D640" s="122"/>
      <c r="E640" s="181"/>
      <c r="F640" s="181"/>
      <c r="G640" s="120">
        <f t="shared" si="48"/>
        <v>0</v>
      </c>
      <c r="H640" s="120">
        <f t="shared" si="46"/>
        <v>0.875</v>
      </c>
      <c r="I640" s="120">
        <f t="shared" si="47"/>
        <v>0</v>
      </c>
      <c r="L640" s="128"/>
      <c r="M640" s="128"/>
    </row>
    <row r="641" spans="1:13">
      <c r="A641" s="141">
        <f t="shared" si="44"/>
        <v>0</v>
      </c>
      <c r="B641" s="132"/>
      <c r="C641" s="147"/>
      <c r="D641" s="122"/>
      <c r="E641" s="181"/>
      <c r="F641" s="181"/>
      <c r="G641" s="120">
        <f t="shared" si="48"/>
        <v>0</v>
      </c>
      <c r="H641" s="120">
        <f t="shared" si="46"/>
        <v>0.875</v>
      </c>
      <c r="I641" s="120">
        <f t="shared" si="47"/>
        <v>0</v>
      </c>
      <c r="L641" s="128"/>
      <c r="M641" s="128"/>
    </row>
    <row r="642" spans="1:13">
      <c r="A642" s="141">
        <f t="shared" si="44"/>
        <v>0</v>
      </c>
      <c r="B642" s="132"/>
      <c r="C642" s="147"/>
      <c r="D642" s="122"/>
      <c r="E642" s="181"/>
      <c r="F642" s="181"/>
      <c r="G642" s="120">
        <f t="shared" si="48"/>
        <v>0</v>
      </c>
      <c r="H642" s="120">
        <f t="shared" si="46"/>
        <v>0.875</v>
      </c>
      <c r="I642" s="120">
        <f t="shared" si="47"/>
        <v>0</v>
      </c>
      <c r="L642" s="128"/>
      <c r="M642" s="128"/>
    </row>
    <row r="643" spans="1:13">
      <c r="A643" s="141">
        <f t="shared" si="44"/>
        <v>0</v>
      </c>
      <c r="B643" s="132"/>
      <c r="C643" s="147"/>
      <c r="D643" s="122"/>
      <c r="E643" s="181"/>
      <c r="F643" s="181"/>
      <c r="G643" s="120">
        <f t="shared" si="48"/>
        <v>0</v>
      </c>
      <c r="H643" s="120">
        <f t="shared" si="46"/>
        <v>0.875</v>
      </c>
      <c r="I643" s="120">
        <f t="shared" si="47"/>
        <v>0</v>
      </c>
      <c r="L643" s="128"/>
      <c r="M643" s="128"/>
    </row>
    <row r="644" spans="1:13">
      <c r="A644" s="141">
        <f t="shared" si="44"/>
        <v>0</v>
      </c>
      <c r="B644" s="132"/>
      <c r="C644" s="147"/>
      <c r="D644" s="122"/>
      <c r="E644" s="181"/>
      <c r="F644" s="181"/>
      <c r="G644" s="120">
        <f t="shared" si="48"/>
        <v>0</v>
      </c>
      <c r="H644" s="120">
        <f t="shared" si="46"/>
        <v>0.875</v>
      </c>
      <c r="I644" s="120">
        <f t="shared" si="47"/>
        <v>0</v>
      </c>
      <c r="L644" s="128"/>
      <c r="M644" s="128"/>
    </row>
    <row r="645" spans="1:13">
      <c r="A645" s="141">
        <f t="shared" si="44"/>
        <v>0</v>
      </c>
      <c r="B645" s="132"/>
      <c r="C645" s="147"/>
      <c r="D645" s="122"/>
      <c r="E645" s="181"/>
      <c r="F645" s="181"/>
      <c r="G645" s="120">
        <f t="shared" si="48"/>
        <v>0</v>
      </c>
      <c r="H645" s="120">
        <f t="shared" si="46"/>
        <v>0.875</v>
      </c>
      <c r="I645" s="120">
        <f t="shared" si="47"/>
        <v>0</v>
      </c>
      <c r="L645" s="128"/>
      <c r="M645" s="128"/>
    </row>
    <row r="646" spans="1:13">
      <c r="A646" s="141">
        <f t="shared" si="44"/>
        <v>0</v>
      </c>
      <c r="B646" s="132"/>
      <c r="C646" s="147"/>
      <c r="D646" s="122"/>
      <c r="E646" s="181"/>
      <c r="F646" s="181"/>
      <c r="G646" s="120">
        <f t="shared" si="48"/>
        <v>0</v>
      </c>
      <c r="H646" s="120">
        <f t="shared" si="46"/>
        <v>0.875</v>
      </c>
      <c r="I646" s="120">
        <f t="shared" si="47"/>
        <v>0</v>
      </c>
      <c r="L646" s="128"/>
      <c r="M646" s="128"/>
    </row>
    <row r="647" spans="1:13">
      <c r="A647" s="141">
        <f t="shared" si="44"/>
        <v>0</v>
      </c>
      <c r="B647" s="132"/>
      <c r="C647" s="147"/>
      <c r="D647" s="122"/>
      <c r="E647" s="181"/>
      <c r="F647" s="181"/>
      <c r="G647" s="120">
        <f t="shared" si="48"/>
        <v>0</v>
      </c>
      <c r="H647" s="120">
        <f t="shared" si="46"/>
        <v>0.875</v>
      </c>
      <c r="I647" s="120">
        <f t="shared" si="47"/>
        <v>0</v>
      </c>
      <c r="L647" s="128"/>
      <c r="M647" s="128"/>
    </row>
    <row r="648" spans="1:13">
      <c r="A648" s="141">
        <f t="shared" si="44"/>
        <v>0</v>
      </c>
      <c r="B648" s="132"/>
      <c r="C648" s="147"/>
      <c r="D648" s="122"/>
      <c r="E648" s="181"/>
      <c r="F648" s="181"/>
      <c r="G648" s="120">
        <f t="shared" si="48"/>
        <v>0</v>
      </c>
      <c r="H648" s="120">
        <f t="shared" si="46"/>
        <v>0.875</v>
      </c>
      <c r="I648" s="120">
        <f t="shared" si="47"/>
        <v>0</v>
      </c>
      <c r="L648" s="128"/>
      <c r="M648" s="128"/>
    </row>
    <row r="649" spans="1:13">
      <c r="A649" s="141">
        <f t="shared" ref="A649:A712" si="49">B649</f>
        <v>0</v>
      </c>
      <c r="B649" s="132"/>
      <c r="C649" s="147"/>
      <c r="D649" s="122"/>
      <c r="E649" s="181"/>
      <c r="F649" s="181"/>
      <c r="G649" s="120">
        <f t="shared" si="48"/>
        <v>0</v>
      </c>
      <c r="H649" s="120">
        <f t="shared" si="46"/>
        <v>0.875</v>
      </c>
      <c r="I649" s="120">
        <f t="shared" si="47"/>
        <v>0</v>
      </c>
      <c r="L649" s="128"/>
      <c r="M649" s="128"/>
    </row>
    <row r="650" spans="1:13">
      <c r="A650" s="141">
        <f t="shared" si="49"/>
        <v>0</v>
      </c>
      <c r="B650" s="132"/>
      <c r="C650" s="147"/>
      <c r="D650" s="122"/>
      <c r="E650" s="181"/>
      <c r="F650" s="181"/>
      <c r="G650" s="120">
        <f t="shared" si="48"/>
        <v>0</v>
      </c>
      <c r="H650" s="120">
        <f t="shared" ref="H650:H713" si="50">IF(($H$2-F650)&lt;0,0,$H$2-F650)</f>
        <v>0.875</v>
      </c>
      <c r="I650" s="120">
        <f t="shared" si="47"/>
        <v>0</v>
      </c>
      <c r="L650" s="128"/>
      <c r="M650" s="128"/>
    </row>
    <row r="651" spans="1:13">
      <c r="A651" s="141">
        <f t="shared" si="49"/>
        <v>0</v>
      </c>
      <c r="B651" s="132"/>
      <c r="C651" s="147"/>
      <c r="D651" s="122"/>
      <c r="E651" s="181"/>
      <c r="F651" s="181"/>
      <c r="G651" s="120">
        <f t="shared" si="48"/>
        <v>0</v>
      </c>
      <c r="H651" s="120">
        <f t="shared" si="50"/>
        <v>0.875</v>
      </c>
      <c r="I651" s="120">
        <f t="shared" si="47"/>
        <v>0</v>
      </c>
      <c r="L651" s="128"/>
      <c r="M651" s="128"/>
    </row>
    <row r="652" spans="1:13">
      <c r="A652" s="141">
        <f t="shared" si="49"/>
        <v>0</v>
      </c>
      <c r="B652" s="132"/>
      <c r="C652" s="147"/>
      <c r="D652" s="122"/>
      <c r="E652" s="181"/>
      <c r="F652" s="181"/>
      <c r="G652" s="120">
        <f t="shared" si="48"/>
        <v>0</v>
      </c>
      <c r="H652" s="120">
        <f t="shared" si="50"/>
        <v>0.875</v>
      </c>
      <c r="I652" s="120">
        <f t="shared" si="47"/>
        <v>0</v>
      </c>
      <c r="L652" s="128"/>
      <c r="M652" s="128"/>
    </row>
    <row r="653" spans="1:13">
      <c r="A653" s="141">
        <f t="shared" si="49"/>
        <v>0</v>
      </c>
      <c r="B653" s="132"/>
      <c r="C653" s="147"/>
      <c r="D653" s="130"/>
      <c r="E653" s="181"/>
      <c r="F653" s="181"/>
      <c r="G653" s="120">
        <f t="shared" si="48"/>
        <v>0</v>
      </c>
      <c r="H653" s="120">
        <f t="shared" si="50"/>
        <v>0.875</v>
      </c>
      <c r="I653" s="120">
        <f t="shared" si="47"/>
        <v>0</v>
      </c>
      <c r="L653" s="128"/>
      <c r="M653" s="128"/>
    </row>
    <row r="654" spans="1:13">
      <c r="A654" s="141">
        <f t="shared" si="49"/>
        <v>0</v>
      </c>
      <c r="B654" s="132"/>
      <c r="C654" s="147"/>
      <c r="D654" s="122"/>
      <c r="E654" s="181"/>
      <c r="F654" s="181"/>
      <c r="G654" s="120">
        <f t="shared" si="48"/>
        <v>0</v>
      </c>
      <c r="H654" s="120">
        <f t="shared" si="50"/>
        <v>0.875</v>
      </c>
      <c r="I654" s="120">
        <f t="shared" si="47"/>
        <v>0</v>
      </c>
      <c r="L654" s="128"/>
      <c r="M654" s="128"/>
    </row>
    <row r="655" spans="1:13">
      <c r="A655" s="141">
        <f t="shared" si="49"/>
        <v>0</v>
      </c>
      <c r="B655" s="132"/>
      <c r="C655" s="147"/>
      <c r="D655" s="122"/>
      <c r="E655" s="181"/>
      <c r="F655" s="181"/>
      <c r="G655" s="120">
        <f t="shared" si="48"/>
        <v>0</v>
      </c>
      <c r="H655" s="120">
        <f t="shared" si="50"/>
        <v>0.875</v>
      </c>
      <c r="I655" s="120">
        <f t="shared" si="47"/>
        <v>0</v>
      </c>
      <c r="L655" s="128"/>
      <c r="M655" s="128"/>
    </row>
    <row r="656" spans="1:13">
      <c r="A656" s="141">
        <f t="shared" si="49"/>
        <v>0</v>
      </c>
      <c r="B656" s="132"/>
      <c r="C656" s="99"/>
      <c r="D656" s="138"/>
      <c r="E656" s="181"/>
      <c r="F656" s="181"/>
      <c r="G656" s="120">
        <f t="shared" si="48"/>
        <v>0</v>
      </c>
      <c r="H656" s="120">
        <f t="shared" si="50"/>
        <v>0.875</v>
      </c>
      <c r="I656" s="120">
        <f t="shared" si="47"/>
        <v>0</v>
      </c>
      <c r="L656" s="128"/>
      <c r="M656" s="128"/>
    </row>
    <row r="657" spans="1:13">
      <c r="A657" s="141">
        <f t="shared" si="49"/>
        <v>0</v>
      </c>
      <c r="B657" s="132"/>
      <c r="C657" s="147"/>
      <c r="D657" s="122"/>
      <c r="E657" s="181"/>
      <c r="F657" s="181"/>
      <c r="G657" s="120">
        <f t="shared" si="48"/>
        <v>0</v>
      </c>
      <c r="H657" s="120">
        <f t="shared" si="50"/>
        <v>0.875</v>
      </c>
      <c r="I657" s="120">
        <f t="shared" si="47"/>
        <v>0</v>
      </c>
      <c r="L657" s="128"/>
      <c r="M657" s="128"/>
    </row>
    <row r="658" spans="1:13">
      <c r="A658" s="141">
        <f t="shared" si="49"/>
        <v>0</v>
      </c>
      <c r="B658" s="132"/>
      <c r="C658" s="147"/>
      <c r="D658" s="122"/>
      <c r="E658" s="181"/>
      <c r="F658" s="181"/>
      <c r="G658" s="120">
        <f t="shared" si="48"/>
        <v>0</v>
      </c>
      <c r="H658" s="120">
        <f t="shared" si="50"/>
        <v>0.875</v>
      </c>
      <c r="I658" s="120">
        <f t="shared" si="47"/>
        <v>0</v>
      </c>
      <c r="L658" s="128"/>
      <c r="M658" s="128"/>
    </row>
    <row r="659" spans="1:13">
      <c r="A659" s="141">
        <f t="shared" si="49"/>
        <v>0</v>
      </c>
      <c r="B659" s="132"/>
      <c r="C659" s="147"/>
      <c r="D659" s="122"/>
      <c r="E659" s="181"/>
      <c r="F659" s="181"/>
      <c r="G659" s="120">
        <f t="shared" si="48"/>
        <v>0</v>
      </c>
      <c r="H659" s="120">
        <f t="shared" si="50"/>
        <v>0.875</v>
      </c>
      <c r="I659" s="120">
        <f t="shared" si="47"/>
        <v>0</v>
      </c>
      <c r="L659" s="128"/>
      <c r="M659" s="128"/>
    </row>
    <row r="660" spans="1:13">
      <c r="A660" s="141">
        <f t="shared" si="49"/>
        <v>0</v>
      </c>
      <c r="B660" s="132"/>
      <c r="C660" s="147"/>
      <c r="D660" s="122"/>
      <c r="E660" s="181"/>
      <c r="F660" s="181"/>
      <c r="G660" s="120">
        <f t="shared" si="48"/>
        <v>0</v>
      </c>
      <c r="H660" s="120">
        <f t="shared" si="50"/>
        <v>0.875</v>
      </c>
      <c r="I660" s="120">
        <f t="shared" si="47"/>
        <v>0</v>
      </c>
      <c r="L660" s="128"/>
      <c r="M660" s="128"/>
    </row>
    <row r="661" spans="1:13">
      <c r="A661" s="141">
        <f t="shared" si="49"/>
        <v>0</v>
      </c>
      <c r="B661" s="132"/>
      <c r="C661" s="147"/>
      <c r="D661" s="122"/>
      <c r="E661" s="181"/>
      <c r="F661" s="181"/>
      <c r="G661" s="120">
        <f t="shared" si="48"/>
        <v>0</v>
      </c>
      <c r="H661" s="120">
        <f t="shared" si="50"/>
        <v>0.875</v>
      </c>
      <c r="I661" s="120">
        <f t="shared" si="47"/>
        <v>0</v>
      </c>
      <c r="L661" s="128"/>
      <c r="M661" s="128"/>
    </row>
    <row r="662" spans="1:13">
      <c r="A662" s="141">
        <f t="shared" si="49"/>
        <v>0</v>
      </c>
      <c r="B662" s="132"/>
      <c r="C662" s="147"/>
      <c r="D662" s="122"/>
      <c r="E662" s="181"/>
      <c r="F662" s="181"/>
      <c r="G662" s="120">
        <f t="shared" si="48"/>
        <v>0</v>
      </c>
      <c r="H662" s="120">
        <f t="shared" si="50"/>
        <v>0.875</v>
      </c>
      <c r="I662" s="120">
        <f t="shared" si="47"/>
        <v>0</v>
      </c>
      <c r="L662" s="128"/>
      <c r="M662" s="128"/>
    </row>
    <row r="663" spans="1:13">
      <c r="A663" s="141">
        <f t="shared" si="49"/>
        <v>0</v>
      </c>
      <c r="B663" s="132"/>
      <c r="C663" s="147"/>
      <c r="D663" s="122"/>
      <c r="E663" s="181"/>
      <c r="F663" s="181"/>
      <c r="G663" s="120">
        <f t="shared" si="48"/>
        <v>0</v>
      </c>
      <c r="H663" s="120">
        <f t="shared" si="50"/>
        <v>0.875</v>
      </c>
      <c r="I663" s="120">
        <f t="shared" si="47"/>
        <v>0</v>
      </c>
      <c r="L663" s="128"/>
      <c r="M663" s="128"/>
    </row>
    <row r="664" spans="1:13">
      <c r="A664" s="141">
        <f t="shared" si="49"/>
        <v>0</v>
      </c>
      <c r="B664" s="132"/>
      <c r="C664" s="147"/>
      <c r="D664" s="122"/>
      <c r="E664" s="181"/>
      <c r="F664" s="181"/>
      <c r="G664" s="120">
        <f t="shared" si="48"/>
        <v>0</v>
      </c>
      <c r="H664" s="120">
        <f t="shared" si="50"/>
        <v>0.875</v>
      </c>
      <c r="I664" s="120">
        <f t="shared" si="47"/>
        <v>0</v>
      </c>
      <c r="L664" s="128"/>
      <c r="M664" s="128"/>
    </row>
    <row r="665" spans="1:13">
      <c r="A665" s="141">
        <f t="shared" si="49"/>
        <v>0</v>
      </c>
      <c r="B665" s="132"/>
      <c r="C665" s="147"/>
      <c r="D665" s="122"/>
      <c r="E665" s="181"/>
      <c r="F665" s="181"/>
      <c r="G665" s="120">
        <f t="shared" si="48"/>
        <v>0</v>
      </c>
      <c r="H665" s="120">
        <f t="shared" si="50"/>
        <v>0.875</v>
      </c>
      <c r="I665" s="120">
        <f t="shared" si="47"/>
        <v>0</v>
      </c>
      <c r="L665" s="128"/>
      <c r="M665" s="128"/>
    </row>
    <row r="666" spans="1:13">
      <c r="A666" s="141">
        <f t="shared" si="49"/>
        <v>0</v>
      </c>
      <c r="B666" s="132"/>
      <c r="C666" s="147"/>
      <c r="D666" s="122"/>
      <c r="E666" s="181"/>
      <c r="F666" s="181"/>
      <c r="G666" s="120">
        <f t="shared" si="48"/>
        <v>0</v>
      </c>
      <c r="H666" s="120">
        <f t="shared" si="50"/>
        <v>0.875</v>
      </c>
      <c r="I666" s="120">
        <f t="shared" si="47"/>
        <v>0</v>
      </c>
      <c r="L666" s="128"/>
      <c r="M666" s="128"/>
    </row>
    <row r="667" spans="1:13">
      <c r="A667" s="141">
        <f t="shared" si="49"/>
        <v>0</v>
      </c>
      <c r="B667" s="132"/>
      <c r="C667" s="147"/>
      <c r="D667" s="122"/>
      <c r="E667" s="181"/>
      <c r="F667" s="181"/>
      <c r="G667" s="120">
        <f t="shared" si="48"/>
        <v>0</v>
      </c>
      <c r="H667" s="120">
        <f t="shared" si="50"/>
        <v>0.875</v>
      </c>
      <c r="I667" s="120">
        <f t="shared" si="47"/>
        <v>0</v>
      </c>
      <c r="L667" s="128"/>
      <c r="M667" s="128"/>
    </row>
    <row r="668" spans="1:13">
      <c r="A668" s="141">
        <f t="shared" si="49"/>
        <v>0</v>
      </c>
      <c r="B668" s="132"/>
      <c r="C668" s="147"/>
      <c r="D668" s="122"/>
      <c r="E668" s="181"/>
      <c r="F668" s="181"/>
      <c r="G668" s="120">
        <f t="shared" si="48"/>
        <v>0</v>
      </c>
      <c r="H668" s="120">
        <f t="shared" si="50"/>
        <v>0.875</v>
      </c>
      <c r="I668" s="120">
        <f t="shared" si="47"/>
        <v>0</v>
      </c>
      <c r="L668" s="128"/>
      <c r="M668" s="128"/>
    </row>
    <row r="669" spans="1:13">
      <c r="A669" s="141">
        <f t="shared" si="49"/>
        <v>0</v>
      </c>
      <c r="B669" s="132"/>
      <c r="C669" s="147"/>
      <c r="D669" s="122"/>
      <c r="E669" s="181"/>
      <c r="F669" s="181"/>
      <c r="G669" s="120">
        <f t="shared" si="48"/>
        <v>0</v>
      </c>
      <c r="H669" s="120">
        <f t="shared" si="50"/>
        <v>0.875</v>
      </c>
      <c r="I669" s="120">
        <f t="shared" si="47"/>
        <v>0</v>
      </c>
      <c r="L669" s="128"/>
      <c r="M669" s="128"/>
    </row>
    <row r="670" spans="1:13">
      <c r="A670" s="141">
        <f t="shared" si="49"/>
        <v>0</v>
      </c>
      <c r="B670" s="132"/>
      <c r="C670" s="147"/>
      <c r="D670" s="122"/>
      <c r="E670" s="181"/>
      <c r="F670" s="181"/>
      <c r="G670" s="120">
        <f t="shared" si="48"/>
        <v>0</v>
      </c>
      <c r="H670" s="120">
        <f t="shared" si="50"/>
        <v>0.875</v>
      </c>
      <c r="I670" s="120">
        <f t="shared" si="47"/>
        <v>0</v>
      </c>
      <c r="L670" s="128"/>
      <c r="M670" s="128"/>
    </row>
    <row r="671" spans="1:13">
      <c r="A671" s="141">
        <f t="shared" si="49"/>
        <v>0</v>
      </c>
      <c r="B671" s="126"/>
      <c r="C671" s="147"/>
      <c r="D671" s="122"/>
      <c r="E671" s="181"/>
      <c r="F671" s="181"/>
      <c r="G671" s="120">
        <f t="shared" si="48"/>
        <v>0</v>
      </c>
      <c r="H671" s="120">
        <f t="shared" si="50"/>
        <v>0.875</v>
      </c>
      <c r="I671" s="120">
        <f t="shared" si="47"/>
        <v>0</v>
      </c>
      <c r="L671" s="128"/>
      <c r="M671" s="128"/>
    </row>
    <row r="672" spans="1:13">
      <c r="A672" s="141">
        <f t="shared" si="49"/>
        <v>0</v>
      </c>
      <c r="B672" s="126"/>
      <c r="C672" s="147"/>
      <c r="D672" s="122"/>
      <c r="E672" s="181"/>
      <c r="F672" s="181"/>
      <c r="G672" s="120">
        <f t="shared" si="48"/>
        <v>0</v>
      </c>
      <c r="H672" s="120">
        <f t="shared" si="50"/>
        <v>0.875</v>
      </c>
      <c r="I672" s="120">
        <f t="shared" si="47"/>
        <v>0</v>
      </c>
      <c r="L672" s="128"/>
      <c r="M672" s="128"/>
    </row>
    <row r="673" spans="1:13">
      <c r="A673" s="141">
        <f t="shared" si="49"/>
        <v>0</v>
      </c>
      <c r="B673" s="126"/>
      <c r="C673" s="147"/>
      <c r="D673" s="122"/>
      <c r="E673" s="181"/>
      <c r="F673" s="181"/>
      <c r="G673" s="120">
        <f t="shared" si="48"/>
        <v>0</v>
      </c>
      <c r="H673" s="120">
        <f t="shared" si="50"/>
        <v>0.875</v>
      </c>
      <c r="I673" s="120">
        <f t="shared" si="47"/>
        <v>0</v>
      </c>
      <c r="L673" s="128"/>
      <c r="M673" s="128"/>
    </row>
    <row r="674" spans="1:13">
      <c r="A674" s="141">
        <f t="shared" si="49"/>
        <v>0</v>
      </c>
      <c r="B674" s="126"/>
      <c r="C674" s="147"/>
      <c r="D674" s="122"/>
      <c r="E674" s="181"/>
      <c r="F674" s="181"/>
      <c r="G674" s="120">
        <f t="shared" si="48"/>
        <v>0</v>
      </c>
      <c r="H674" s="120">
        <f t="shared" si="50"/>
        <v>0.875</v>
      </c>
      <c r="I674" s="120">
        <f t="shared" si="47"/>
        <v>0</v>
      </c>
      <c r="L674" s="128"/>
      <c r="M674" s="128"/>
    </row>
    <row r="675" spans="1:13">
      <c r="A675" s="141">
        <f t="shared" si="49"/>
        <v>0</v>
      </c>
      <c r="B675" s="126"/>
      <c r="C675" s="147"/>
      <c r="D675" s="122"/>
      <c r="E675" s="181"/>
      <c r="F675" s="181"/>
      <c r="G675" s="120">
        <f t="shared" si="48"/>
        <v>0</v>
      </c>
      <c r="H675" s="120">
        <f t="shared" si="50"/>
        <v>0.875</v>
      </c>
      <c r="I675" s="120">
        <f t="shared" si="47"/>
        <v>0</v>
      </c>
      <c r="L675" s="128"/>
      <c r="M675" s="128"/>
    </row>
    <row r="676" spans="1:13">
      <c r="A676" s="141">
        <f t="shared" si="49"/>
        <v>0</v>
      </c>
      <c r="B676" s="126"/>
      <c r="C676" s="147"/>
      <c r="D676" s="122"/>
      <c r="E676" s="181"/>
      <c r="F676" s="181"/>
      <c r="G676" s="120">
        <f t="shared" si="48"/>
        <v>0</v>
      </c>
      <c r="H676" s="120">
        <f t="shared" si="50"/>
        <v>0.875</v>
      </c>
      <c r="I676" s="120">
        <f t="shared" si="47"/>
        <v>0</v>
      </c>
      <c r="L676" s="128"/>
      <c r="M676" s="128"/>
    </row>
    <row r="677" spans="1:13">
      <c r="A677" s="141">
        <f t="shared" si="49"/>
        <v>0</v>
      </c>
      <c r="B677" s="126"/>
      <c r="C677" s="147"/>
      <c r="D677" s="122"/>
      <c r="E677" s="181"/>
      <c r="F677" s="181"/>
      <c r="G677" s="120">
        <f t="shared" si="48"/>
        <v>0</v>
      </c>
      <c r="H677" s="120">
        <f t="shared" si="50"/>
        <v>0.875</v>
      </c>
      <c r="I677" s="120">
        <f t="shared" si="47"/>
        <v>0</v>
      </c>
      <c r="L677" s="128"/>
      <c r="M677" s="128"/>
    </row>
    <row r="678" spans="1:13">
      <c r="A678" s="141">
        <f t="shared" si="49"/>
        <v>0</v>
      </c>
      <c r="B678" s="126"/>
      <c r="C678" s="99"/>
      <c r="D678" s="138"/>
      <c r="E678" s="181"/>
      <c r="F678" s="181"/>
      <c r="G678" s="120">
        <f t="shared" si="48"/>
        <v>0</v>
      </c>
      <c r="H678" s="120">
        <f t="shared" si="50"/>
        <v>0.875</v>
      </c>
      <c r="I678" s="120">
        <f t="shared" si="47"/>
        <v>0</v>
      </c>
      <c r="L678" s="128"/>
      <c r="M678" s="128"/>
    </row>
    <row r="679" spans="1:13">
      <c r="A679" s="141">
        <f t="shared" si="49"/>
        <v>0</v>
      </c>
      <c r="B679" s="126"/>
      <c r="C679" s="147"/>
      <c r="D679" s="130"/>
      <c r="E679" s="181"/>
      <c r="F679" s="181"/>
      <c r="G679" s="120">
        <f t="shared" si="48"/>
        <v>0</v>
      </c>
      <c r="H679" s="120">
        <f t="shared" si="50"/>
        <v>0.875</v>
      </c>
      <c r="I679" s="120">
        <f t="shared" si="47"/>
        <v>0</v>
      </c>
      <c r="L679" s="128"/>
      <c r="M679" s="128"/>
    </row>
    <row r="680" spans="1:13">
      <c r="A680" s="141">
        <f t="shared" si="49"/>
        <v>0</v>
      </c>
      <c r="B680" s="126"/>
      <c r="C680" s="147"/>
      <c r="D680" s="122"/>
      <c r="E680" s="181"/>
      <c r="F680" s="181"/>
      <c r="G680" s="120">
        <f t="shared" si="48"/>
        <v>0</v>
      </c>
      <c r="H680" s="120">
        <f t="shared" si="50"/>
        <v>0.875</v>
      </c>
      <c r="I680" s="120">
        <f t="shared" ref="I680:I743" si="51">IFERROR(IF((F681-$H$2)&lt;0,0,F681-$H$2),"0")</f>
        <v>0</v>
      </c>
      <c r="L680" s="128"/>
      <c r="M680" s="128"/>
    </row>
    <row r="681" spans="1:13">
      <c r="A681" s="141">
        <f t="shared" si="49"/>
        <v>0</v>
      </c>
      <c r="B681" s="126"/>
      <c r="C681" s="147"/>
      <c r="D681" s="122"/>
      <c r="E681" s="181"/>
      <c r="F681" s="181"/>
      <c r="G681" s="120">
        <f t="shared" si="48"/>
        <v>0</v>
      </c>
      <c r="H681" s="120">
        <f t="shared" si="50"/>
        <v>0.875</v>
      </c>
      <c r="I681" s="120">
        <f t="shared" si="51"/>
        <v>0</v>
      </c>
      <c r="L681" s="128"/>
      <c r="M681" s="128"/>
    </row>
    <row r="682" spans="1:13">
      <c r="A682" s="141">
        <f t="shared" si="49"/>
        <v>0</v>
      </c>
      <c r="B682" s="126"/>
      <c r="C682" s="99"/>
      <c r="D682" s="138"/>
      <c r="E682" s="181"/>
      <c r="F682" s="181"/>
      <c r="G682" s="120">
        <f t="shared" si="48"/>
        <v>0</v>
      </c>
      <c r="H682" s="120">
        <f t="shared" si="50"/>
        <v>0.875</v>
      </c>
      <c r="I682" s="120">
        <f t="shared" si="51"/>
        <v>0</v>
      </c>
      <c r="L682" s="128"/>
      <c r="M682" s="128"/>
    </row>
    <row r="683" spans="1:13">
      <c r="A683" s="141">
        <f t="shared" si="49"/>
        <v>0</v>
      </c>
      <c r="B683" s="126"/>
      <c r="C683" s="147"/>
      <c r="D683" s="122"/>
      <c r="E683" s="181"/>
      <c r="F683" s="181"/>
      <c r="G683" s="120">
        <f t="shared" si="48"/>
        <v>0</v>
      </c>
      <c r="H683" s="120">
        <f t="shared" si="50"/>
        <v>0.875</v>
      </c>
      <c r="I683" s="120">
        <f t="shared" si="51"/>
        <v>0</v>
      </c>
      <c r="L683" s="128"/>
      <c r="M683" s="128"/>
    </row>
    <row r="684" spans="1:13">
      <c r="A684" s="141">
        <f t="shared" si="49"/>
        <v>0</v>
      </c>
      <c r="B684" s="126"/>
      <c r="C684" s="147"/>
      <c r="D684" s="122"/>
      <c r="E684" s="181"/>
      <c r="F684" s="181"/>
      <c r="G684" s="120">
        <f t="shared" si="48"/>
        <v>0</v>
      </c>
      <c r="H684" s="120">
        <f t="shared" si="50"/>
        <v>0.875</v>
      </c>
      <c r="I684" s="120">
        <f t="shared" si="51"/>
        <v>0</v>
      </c>
      <c r="L684" s="128"/>
      <c r="M684" s="128"/>
    </row>
    <row r="685" spans="1:13">
      <c r="A685" s="141">
        <f t="shared" si="49"/>
        <v>0</v>
      </c>
      <c r="B685" s="126"/>
      <c r="C685" s="147"/>
      <c r="D685" s="122"/>
      <c r="E685" s="181"/>
      <c r="F685" s="181"/>
      <c r="G685" s="120">
        <f t="shared" si="48"/>
        <v>0</v>
      </c>
      <c r="H685" s="120">
        <f t="shared" si="50"/>
        <v>0.875</v>
      </c>
      <c r="I685" s="120">
        <f t="shared" si="51"/>
        <v>0</v>
      </c>
      <c r="L685" s="128"/>
      <c r="M685" s="128"/>
    </row>
    <row r="686" spans="1:13">
      <c r="A686" s="141">
        <f t="shared" si="49"/>
        <v>0</v>
      </c>
      <c r="B686" s="126"/>
      <c r="C686" s="147"/>
      <c r="D686" s="122"/>
      <c r="E686" s="181"/>
      <c r="F686" s="181"/>
      <c r="G686" s="120">
        <f t="shared" si="48"/>
        <v>0</v>
      </c>
      <c r="H686" s="120">
        <f t="shared" si="50"/>
        <v>0.875</v>
      </c>
      <c r="I686" s="120">
        <f t="shared" si="51"/>
        <v>0</v>
      </c>
      <c r="L686" s="128"/>
      <c r="M686" s="128"/>
    </row>
    <row r="687" spans="1:13">
      <c r="A687" s="141">
        <f t="shared" si="49"/>
        <v>0</v>
      </c>
      <c r="B687" s="126"/>
      <c r="C687" s="147"/>
      <c r="D687" s="122"/>
      <c r="E687" s="181"/>
      <c r="F687" s="181"/>
      <c r="G687" s="120">
        <f t="shared" si="48"/>
        <v>0</v>
      </c>
      <c r="H687" s="120">
        <f t="shared" si="50"/>
        <v>0.875</v>
      </c>
      <c r="I687" s="120">
        <f t="shared" si="51"/>
        <v>0</v>
      </c>
      <c r="L687" s="128"/>
      <c r="M687" s="128"/>
    </row>
    <row r="688" spans="1:13">
      <c r="A688" s="141">
        <f t="shared" si="49"/>
        <v>0</v>
      </c>
      <c r="B688" s="126"/>
      <c r="C688" s="147"/>
      <c r="D688" s="122"/>
      <c r="E688" s="181"/>
      <c r="F688" s="181"/>
      <c r="G688" s="120">
        <f t="shared" si="48"/>
        <v>0</v>
      </c>
      <c r="H688" s="120">
        <f t="shared" si="50"/>
        <v>0.875</v>
      </c>
      <c r="I688" s="120">
        <f t="shared" si="51"/>
        <v>0</v>
      </c>
      <c r="L688" s="128"/>
      <c r="M688" s="128"/>
    </row>
    <row r="689" spans="1:13">
      <c r="A689" s="141">
        <f t="shared" si="49"/>
        <v>0</v>
      </c>
      <c r="B689" s="126"/>
      <c r="C689" s="147"/>
      <c r="D689" s="122"/>
      <c r="E689" s="181"/>
      <c r="F689" s="181"/>
      <c r="G689" s="120">
        <f t="shared" si="48"/>
        <v>0</v>
      </c>
      <c r="H689" s="120">
        <f t="shared" si="50"/>
        <v>0.875</v>
      </c>
      <c r="I689" s="120">
        <f t="shared" si="51"/>
        <v>0</v>
      </c>
      <c r="L689" s="128"/>
      <c r="M689" s="128"/>
    </row>
    <row r="690" spans="1:13">
      <c r="A690" s="141">
        <f t="shared" si="49"/>
        <v>0</v>
      </c>
      <c r="B690" s="126"/>
      <c r="C690" s="147"/>
      <c r="D690" s="122"/>
      <c r="E690" s="181"/>
      <c r="F690" s="181"/>
      <c r="G690" s="120">
        <f t="shared" si="48"/>
        <v>0</v>
      </c>
      <c r="H690" s="120">
        <f t="shared" si="50"/>
        <v>0.875</v>
      </c>
      <c r="I690" s="120">
        <f t="shared" si="51"/>
        <v>0</v>
      </c>
      <c r="L690" s="128"/>
      <c r="M690" s="128"/>
    </row>
    <row r="691" spans="1:13">
      <c r="A691" s="141">
        <f t="shared" si="49"/>
        <v>0</v>
      </c>
      <c r="B691" s="126"/>
      <c r="C691" s="147"/>
      <c r="D691" s="122"/>
      <c r="E691" s="181"/>
      <c r="F691" s="181"/>
      <c r="G691" s="120">
        <f t="shared" si="48"/>
        <v>0</v>
      </c>
      <c r="H691" s="120">
        <f t="shared" si="50"/>
        <v>0.875</v>
      </c>
      <c r="I691" s="120">
        <f t="shared" si="51"/>
        <v>0</v>
      </c>
      <c r="L691" s="128"/>
      <c r="M691" s="128"/>
    </row>
    <row r="692" spans="1:13">
      <c r="A692" s="141">
        <f t="shared" si="49"/>
        <v>0</v>
      </c>
      <c r="B692" s="126"/>
      <c r="C692" s="147"/>
      <c r="D692" s="122"/>
      <c r="E692" s="181"/>
      <c r="F692" s="181"/>
      <c r="G692" s="120">
        <f t="shared" si="48"/>
        <v>0</v>
      </c>
      <c r="H692" s="120">
        <f t="shared" si="50"/>
        <v>0.875</v>
      </c>
      <c r="I692" s="120">
        <f t="shared" si="51"/>
        <v>0</v>
      </c>
      <c r="L692" s="128"/>
      <c r="M692" s="128"/>
    </row>
    <row r="693" spans="1:13">
      <c r="A693" s="141">
        <f t="shared" si="49"/>
        <v>0</v>
      </c>
      <c r="B693" s="126"/>
      <c r="C693" s="147"/>
      <c r="D693" s="122"/>
      <c r="E693" s="181"/>
      <c r="F693" s="181"/>
      <c r="G693" s="120">
        <f t="shared" si="48"/>
        <v>0</v>
      </c>
      <c r="H693" s="120">
        <f t="shared" si="50"/>
        <v>0.875</v>
      </c>
      <c r="I693" s="120">
        <f t="shared" si="51"/>
        <v>0</v>
      </c>
      <c r="L693" s="128"/>
      <c r="M693" s="128"/>
    </row>
    <row r="694" spans="1:13">
      <c r="A694" s="141">
        <f t="shared" si="49"/>
        <v>0</v>
      </c>
      <c r="B694" s="126"/>
      <c r="C694" s="147"/>
      <c r="D694" s="122"/>
      <c r="E694" s="181"/>
      <c r="F694" s="181"/>
      <c r="G694" s="120">
        <f t="shared" si="48"/>
        <v>0</v>
      </c>
      <c r="H694" s="120">
        <f t="shared" si="50"/>
        <v>0.875</v>
      </c>
      <c r="I694" s="120">
        <f t="shared" si="51"/>
        <v>0</v>
      </c>
      <c r="L694" s="128"/>
      <c r="M694" s="128"/>
    </row>
    <row r="695" spans="1:13">
      <c r="A695" s="141">
        <f t="shared" si="49"/>
        <v>0</v>
      </c>
      <c r="B695" s="126"/>
      <c r="C695" s="147"/>
      <c r="D695" s="122"/>
      <c r="E695" s="181"/>
      <c r="F695" s="181"/>
      <c r="G695" s="120">
        <f t="shared" ref="G695:G758" si="52">IFERROR(IF((E695-$F$2)&lt;=$H$3,0,E695-$F$2),"غياب")</f>
        <v>0</v>
      </c>
      <c r="H695" s="120">
        <f t="shared" si="50"/>
        <v>0.875</v>
      </c>
      <c r="I695" s="120">
        <f t="shared" si="51"/>
        <v>0</v>
      </c>
      <c r="L695" s="128"/>
      <c r="M695" s="128"/>
    </row>
    <row r="696" spans="1:13">
      <c r="A696" s="141">
        <f t="shared" si="49"/>
        <v>0</v>
      </c>
      <c r="B696" s="126"/>
      <c r="C696" s="147"/>
      <c r="D696" s="122"/>
      <c r="E696" s="181"/>
      <c r="F696" s="181"/>
      <c r="G696" s="120">
        <f t="shared" si="52"/>
        <v>0</v>
      </c>
      <c r="H696" s="120">
        <f t="shared" si="50"/>
        <v>0.875</v>
      </c>
      <c r="I696" s="120">
        <f t="shared" si="51"/>
        <v>0</v>
      </c>
      <c r="L696" s="128"/>
      <c r="M696" s="128"/>
    </row>
    <row r="697" spans="1:13">
      <c r="A697" s="141">
        <f t="shared" si="49"/>
        <v>0</v>
      </c>
      <c r="B697" s="126"/>
      <c r="C697" s="147"/>
      <c r="D697" s="122"/>
      <c r="E697" s="181"/>
      <c r="F697" s="181"/>
      <c r="G697" s="120">
        <f t="shared" si="52"/>
        <v>0</v>
      </c>
      <c r="H697" s="120">
        <f t="shared" si="50"/>
        <v>0.875</v>
      </c>
      <c r="I697" s="120">
        <f t="shared" si="51"/>
        <v>0</v>
      </c>
      <c r="L697" s="128"/>
      <c r="M697" s="128"/>
    </row>
    <row r="698" spans="1:13">
      <c r="A698" s="141">
        <f t="shared" si="49"/>
        <v>0</v>
      </c>
      <c r="B698" s="126"/>
      <c r="C698" s="147"/>
      <c r="D698" s="122"/>
      <c r="E698" s="181"/>
      <c r="F698" s="181"/>
      <c r="G698" s="120">
        <f t="shared" si="52"/>
        <v>0</v>
      </c>
      <c r="H698" s="120">
        <f t="shared" si="50"/>
        <v>0.875</v>
      </c>
      <c r="I698" s="120">
        <f t="shared" si="51"/>
        <v>0</v>
      </c>
      <c r="L698" s="128"/>
      <c r="M698" s="128"/>
    </row>
    <row r="699" spans="1:13">
      <c r="A699" s="141">
        <f t="shared" si="49"/>
        <v>0</v>
      </c>
      <c r="B699" s="126"/>
      <c r="C699" s="147"/>
      <c r="D699" s="122"/>
      <c r="E699" s="181"/>
      <c r="F699" s="181"/>
      <c r="G699" s="120">
        <f t="shared" si="52"/>
        <v>0</v>
      </c>
      <c r="H699" s="120">
        <f t="shared" si="50"/>
        <v>0.875</v>
      </c>
      <c r="I699" s="120">
        <f t="shared" si="51"/>
        <v>0</v>
      </c>
      <c r="L699" s="128"/>
      <c r="M699" s="128"/>
    </row>
    <row r="700" spans="1:13">
      <c r="A700" s="141">
        <f t="shared" si="49"/>
        <v>0</v>
      </c>
      <c r="B700" s="126"/>
      <c r="C700" s="147"/>
      <c r="D700" s="122"/>
      <c r="E700" s="181"/>
      <c r="F700" s="181"/>
      <c r="G700" s="120">
        <f t="shared" si="52"/>
        <v>0</v>
      </c>
      <c r="H700" s="120">
        <f t="shared" si="50"/>
        <v>0.875</v>
      </c>
      <c r="I700" s="120">
        <f t="shared" si="51"/>
        <v>0</v>
      </c>
      <c r="L700" s="128"/>
      <c r="M700" s="128"/>
    </row>
    <row r="701" spans="1:13">
      <c r="A701" s="141">
        <f t="shared" si="49"/>
        <v>0</v>
      </c>
      <c r="B701" s="126"/>
      <c r="C701" s="147"/>
      <c r="D701" s="122"/>
      <c r="E701" s="181"/>
      <c r="F701" s="181"/>
      <c r="G701" s="120">
        <f t="shared" si="52"/>
        <v>0</v>
      </c>
      <c r="H701" s="120">
        <f t="shared" si="50"/>
        <v>0.875</v>
      </c>
      <c r="I701" s="120">
        <f t="shared" si="51"/>
        <v>0</v>
      </c>
      <c r="L701" s="128"/>
      <c r="M701" s="128"/>
    </row>
    <row r="702" spans="1:13">
      <c r="A702" s="141">
        <f t="shared" si="49"/>
        <v>0</v>
      </c>
      <c r="B702" s="126"/>
      <c r="C702" s="147"/>
      <c r="D702" s="122"/>
      <c r="E702" s="181"/>
      <c r="F702" s="181"/>
      <c r="G702" s="120">
        <f t="shared" si="52"/>
        <v>0</v>
      </c>
      <c r="H702" s="120">
        <f t="shared" si="50"/>
        <v>0.875</v>
      </c>
      <c r="I702" s="120">
        <f t="shared" si="51"/>
        <v>0</v>
      </c>
      <c r="L702" s="128"/>
      <c r="M702" s="128"/>
    </row>
    <row r="703" spans="1:13">
      <c r="A703" s="141">
        <f t="shared" si="49"/>
        <v>0</v>
      </c>
      <c r="B703" s="126"/>
      <c r="C703" s="99"/>
      <c r="D703" s="138"/>
      <c r="E703" s="181"/>
      <c r="F703" s="181"/>
      <c r="G703" s="120">
        <f t="shared" si="52"/>
        <v>0</v>
      </c>
      <c r="H703" s="120">
        <f t="shared" si="50"/>
        <v>0.875</v>
      </c>
      <c r="I703" s="120">
        <f t="shared" si="51"/>
        <v>0</v>
      </c>
      <c r="L703" s="128"/>
      <c r="M703" s="128"/>
    </row>
    <row r="704" spans="1:13">
      <c r="A704" s="141">
        <f t="shared" si="49"/>
        <v>0</v>
      </c>
      <c r="B704" s="126"/>
      <c r="C704" s="147"/>
      <c r="D704" s="130"/>
      <c r="E704" s="181"/>
      <c r="F704" s="181"/>
      <c r="G704" s="120">
        <f t="shared" si="52"/>
        <v>0</v>
      </c>
      <c r="H704" s="120">
        <f t="shared" si="50"/>
        <v>0.875</v>
      </c>
      <c r="I704" s="120">
        <f t="shared" si="51"/>
        <v>0</v>
      </c>
      <c r="L704" s="128"/>
      <c r="M704" s="128"/>
    </row>
    <row r="705" spans="1:13">
      <c r="A705" s="141">
        <f t="shared" si="49"/>
        <v>0</v>
      </c>
      <c r="B705" s="126"/>
      <c r="C705" s="147"/>
      <c r="D705" s="122"/>
      <c r="E705" s="181"/>
      <c r="F705" s="181"/>
      <c r="G705" s="120">
        <f t="shared" si="52"/>
        <v>0</v>
      </c>
      <c r="H705" s="120">
        <f t="shared" si="50"/>
        <v>0.875</v>
      </c>
      <c r="I705" s="120">
        <f t="shared" si="51"/>
        <v>0</v>
      </c>
      <c r="L705" s="128"/>
      <c r="M705" s="128"/>
    </row>
    <row r="706" spans="1:13">
      <c r="A706" s="141">
        <f t="shared" si="49"/>
        <v>0</v>
      </c>
      <c r="B706" s="126"/>
      <c r="C706" s="147"/>
      <c r="D706" s="122"/>
      <c r="E706" s="181"/>
      <c r="F706" s="181"/>
      <c r="G706" s="120">
        <f t="shared" si="52"/>
        <v>0</v>
      </c>
      <c r="H706" s="120">
        <f t="shared" si="50"/>
        <v>0.875</v>
      </c>
      <c r="I706" s="120">
        <f t="shared" si="51"/>
        <v>0</v>
      </c>
      <c r="L706" s="128"/>
      <c r="M706" s="128"/>
    </row>
    <row r="707" spans="1:13">
      <c r="A707" s="141">
        <f t="shared" si="49"/>
        <v>0</v>
      </c>
      <c r="B707" s="126"/>
      <c r="C707" s="99"/>
      <c r="D707" s="138"/>
      <c r="E707" s="181"/>
      <c r="F707" s="181"/>
      <c r="G707" s="120">
        <f t="shared" si="52"/>
        <v>0</v>
      </c>
      <c r="H707" s="120">
        <f t="shared" si="50"/>
        <v>0.875</v>
      </c>
      <c r="I707" s="120">
        <f t="shared" si="51"/>
        <v>0</v>
      </c>
      <c r="L707" s="128"/>
      <c r="M707" s="128"/>
    </row>
    <row r="708" spans="1:13">
      <c r="A708" s="141">
        <f t="shared" si="49"/>
        <v>0</v>
      </c>
      <c r="B708" s="126"/>
      <c r="C708" s="147"/>
      <c r="D708" s="122"/>
      <c r="E708" s="181"/>
      <c r="F708" s="181"/>
      <c r="G708" s="120">
        <f t="shared" si="52"/>
        <v>0</v>
      </c>
      <c r="H708" s="120">
        <f t="shared" si="50"/>
        <v>0.875</v>
      </c>
      <c r="I708" s="120">
        <f t="shared" si="51"/>
        <v>0</v>
      </c>
      <c r="L708" s="128"/>
      <c r="M708" s="128"/>
    </row>
    <row r="709" spans="1:13">
      <c r="A709" s="141">
        <f t="shared" si="49"/>
        <v>0</v>
      </c>
      <c r="B709" s="126"/>
      <c r="C709" s="147"/>
      <c r="D709" s="122"/>
      <c r="E709" s="181"/>
      <c r="F709" s="181"/>
      <c r="G709" s="120">
        <f t="shared" si="52"/>
        <v>0</v>
      </c>
      <c r="H709" s="120">
        <f t="shared" si="50"/>
        <v>0.875</v>
      </c>
      <c r="I709" s="120">
        <f t="shared" si="51"/>
        <v>0</v>
      </c>
      <c r="L709" s="128"/>
      <c r="M709" s="128"/>
    </row>
    <row r="710" spans="1:13">
      <c r="A710" s="141">
        <f t="shared" si="49"/>
        <v>0</v>
      </c>
      <c r="B710" s="126"/>
      <c r="C710" s="147"/>
      <c r="D710" s="122"/>
      <c r="E710" s="181"/>
      <c r="F710" s="181"/>
      <c r="G710" s="120">
        <f t="shared" si="52"/>
        <v>0</v>
      </c>
      <c r="H710" s="120">
        <f t="shared" si="50"/>
        <v>0.875</v>
      </c>
      <c r="I710" s="120">
        <f t="shared" si="51"/>
        <v>0</v>
      </c>
      <c r="L710" s="128"/>
      <c r="M710" s="128"/>
    </row>
    <row r="711" spans="1:13">
      <c r="A711" s="141">
        <f t="shared" si="49"/>
        <v>0</v>
      </c>
      <c r="B711" s="126"/>
      <c r="C711" s="147"/>
      <c r="D711" s="122"/>
      <c r="E711" s="181"/>
      <c r="F711" s="181"/>
      <c r="G711" s="120">
        <f t="shared" si="52"/>
        <v>0</v>
      </c>
      <c r="H711" s="120">
        <f t="shared" si="50"/>
        <v>0.875</v>
      </c>
      <c r="I711" s="120">
        <f t="shared" si="51"/>
        <v>0</v>
      </c>
      <c r="L711" s="128"/>
      <c r="M711" s="128"/>
    </row>
    <row r="712" spans="1:13">
      <c r="A712" s="141">
        <f t="shared" si="49"/>
        <v>0</v>
      </c>
      <c r="B712" s="126"/>
      <c r="C712" s="147"/>
      <c r="D712" s="122"/>
      <c r="E712" s="181"/>
      <c r="F712" s="181"/>
      <c r="G712" s="120">
        <f t="shared" si="52"/>
        <v>0</v>
      </c>
      <c r="H712" s="120">
        <f t="shared" si="50"/>
        <v>0.875</v>
      </c>
      <c r="I712" s="120">
        <f t="shared" si="51"/>
        <v>0</v>
      </c>
      <c r="L712" s="128"/>
      <c r="M712" s="128"/>
    </row>
    <row r="713" spans="1:13">
      <c r="A713" s="141">
        <f t="shared" ref="A713:A728" si="53">B713</f>
        <v>0</v>
      </c>
      <c r="B713" s="126"/>
      <c r="C713" s="147"/>
      <c r="D713" s="122"/>
      <c r="E713" s="181"/>
      <c r="F713" s="181"/>
      <c r="G713" s="120">
        <f t="shared" si="52"/>
        <v>0</v>
      </c>
      <c r="H713" s="120">
        <f t="shared" si="50"/>
        <v>0.875</v>
      </c>
      <c r="I713" s="120">
        <f t="shared" si="51"/>
        <v>0</v>
      </c>
      <c r="L713" s="128"/>
      <c r="M713" s="128"/>
    </row>
    <row r="714" spans="1:13">
      <c r="A714" s="141">
        <f t="shared" si="53"/>
        <v>0</v>
      </c>
      <c r="B714" s="126"/>
      <c r="C714" s="147"/>
      <c r="D714" s="122"/>
      <c r="E714" s="181"/>
      <c r="F714" s="181"/>
      <c r="G714" s="120">
        <f t="shared" si="52"/>
        <v>0</v>
      </c>
      <c r="H714" s="120">
        <f t="shared" ref="H714:H777" si="54">IF(($H$2-F714)&lt;0,0,$H$2-F714)</f>
        <v>0.875</v>
      </c>
      <c r="I714" s="120">
        <f t="shared" si="51"/>
        <v>0</v>
      </c>
      <c r="L714" s="128"/>
      <c r="M714" s="128"/>
    </row>
    <row r="715" spans="1:13">
      <c r="A715" s="141">
        <f t="shared" si="53"/>
        <v>0</v>
      </c>
      <c r="B715" s="126"/>
      <c r="C715" s="147"/>
      <c r="D715" s="122"/>
      <c r="E715" s="181"/>
      <c r="F715" s="181"/>
      <c r="G715" s="120">
        <f t="shared" si="52"/>
        <v>0</v>
      </c>
      <c r="H715" s="120">
        <f t="shared" si="54"/>
        <v>0.875</v>
      </c>
      <c r="I715" s="120">
        <f t="shared" si="51"/>
        <v>0</v>
      </c>
      <c r="L715" s="128"/>
      <c r="M715" s="128"/>
    </row>
    <row r="716" spans="1:13">
      <c r="A716" s="141">
        <f t="shared" si="53"/>
        <v>0</v>
      </c>
      <c r="B716" s="126"/>
      <c r="C716" s="147"/>
      <c r="D716" s="122"/>
      <c r="E716" s="181"/>
      <c r="F716" s="181"/>
      <c r="G716" s="120">
        <f t="shared" si="52"/>
        <v>0</v>
      </c>
      <c r="H716" s="120">
        <f t="shared" si="54"/>
        <v>0.875</v>
      </c>
      <c r="I716" s="120">
        <f t="shared" si="51"/>
        <v>0</v>
      </c>
      <c r="L716" s="128"/>
      <c r="M716" s="128"/>
    </row>
    <row r="717" spans="1:13">
      <c r="A717" s="141">
        <f t="shared" si="53"/>
        <v>0</v>
      </c>
      <c r="B717" s="126"/>
      <c r="C717" s="147"/>
      <c r="D717" s="122"/>
      <c r="E717" s="181"/>
      <c r="F717" s="181"/>
      <c r="G717" s="120">
        <f t="shared" si="52"/>
        <v>0</v>
      </c>
      <c r="H717" s="120">
        <f t="shared" si="54"/>
        <v>0.875</v>
      </c>
      <c r="I717" s="120">
        <f t="shared" si="51"/>
        <v>0</v>
      </c>
      <c r="L717" s="128"/>
      <c r="M717" s="128"/>
    </row>
    <row r="718" spans="1:13">
      <c r="A718" s="141">
        <f t="shared" si="53"/>
        <v>0</v>
      </c>
      <c r="B718" s="126"/>
      <c r="C718" s="147"/>
      <c r="D718" s="122"/>
      <c r="E718" s="181"/>
      <c r="F718" s="181"/>
      <c r="G718" s="120">
        <f t="shared" si="52"/>
        <v>0</v>
      </c>
      <c r="H718" s="120">
        <f t="shared" si="54"/>
        <v>0.875</v>
      </c>
      <c r="I718" s="120">
        <f t="shared" si="51"/>
        <v>0</v>
      </c>
      <c r="L718" s="128"/>
      <c r="M718" s="128"/>
    </row>
    <row r="719" spans="1:13">
      <c r="A719" s="141">
        <f t="shared" si="53"/>
        <v>0</v>
      </c>
      <c r="B719" s="126"/>
      <c r="C719" s="147"/>
      <c r="D719" s="122"/>
      <c r="E719" s="181"/>
      <c r="F719" s="181"/>
      <c r="G719" s="120">
        <f t="shared" si="52"/>
        <v>0</v>
      </c>
      <c r="H719" s="120">
        <f t="shared" si="54"/>
        <v>0.875</v>
      </c>
      <c r="I719" s="120">
        <f t="shared" si="51"/>
        <v>0</v>
      </c>
      <c r="L719" s="128"/>
      <c r="M719" s="128"/>
    </row>
    <row r="720" spans="1:13">
      <c r="A720" s="141">
        <f t="shared" si="53"/>
        <v>0</v>
      </c>
      <c r="B720" s="126"/>
      <c r="C720" s="147"/>
      <c r="D720" s="122"/>
      <c r="E720" s="181"/>
      <c r="F720" s="181"/>
      <c r="G720" s="120">
        <f t="shared" si="52"/>
        <v>0</v>
      </c>
      <c r="H720" s="120">
        <f t="shared" si="54"/>
        <v>0.875</v>
      </c>
      <c r="I720" s="120">
        <f t="shared" si="51"/>
        <v>0</v>
      </c>
      <c r="L720" s="128"/>
      <c r="M720" s="128"/>
    </row>
    <row r="721" spans="1:13">
      <c r="A721" s="141">
        <f t="shared" si="53"/>
        <v>0</v>
      </c>
      <c r="B721" s="126"/>
      <c r="C721" s="147"/>
      <c r="D721" s="122"/>
      <c r="E721" s="181"/>
      <c r="F721" s="181"/>
      <c r="G721" s="120">
        <f t="shared" si="52"/>
        <v>0</v>
      </c>
      <c r="H721" s="120">
        <f t="shared" si="54"/>
        <v>0.875</v>
      </c>
      <c r="I721" s="120">
        <f t="shared" si="51"/>
        <v>0</v>
      </c>
      <c r="L721" s="128"/>
      <c r="M721" s="128"/>
    </row>
    <row r="722" spans="1:13" ht="17.25" customHeight="1">
      <c r="A722" s="141">
        <f t="shared" si="53"/>
        <v>0</v>
      </c>
      <c r="B722" s="126"/>
      <c r="C722" s="147"/>
      <c r="D722" s="122"/>
      <c r="E722" s="181"/>
      <c r="F722" s="181"/>
      <c r="G722" s="120">
        <f t="shared" si="52"/>
        <v>0</v>
      </c>
      <c r="H722" s="120">
        <f t="shared" si="54"/>
        <v>0.875</v>
      </c>
      <c r="I722" s="120">
        <f t="shared" si="51"/>
        <v>0</v>
      </c>
      <c r="L722" s="128"/>
      <c r="M722" s="128"/>
    </row>
    <row r="723" spans="1:13">
      <c r="A723" s="141">
        <f t="shared" si="53"/>
        <v>0</v>
      </c>
      <c r="B723" s="126"/>
      <c r="C723" s="147"/>
      <c r="D723" s="122"/>
      <c r="E723" s="181"/>
      <c r="F723" s="181"/>
      <c r="G723" s="120">
        <f t="shared" si="52"/>
        <v>0</v>
      </c>
      <c r="H723" s="120">
        <f t="shared" si="54"/>
        <v>0.875</v>
      </c>
      <c r="I723" s="120">
        <f t="shared" si="51"/>
        <v>0</v>
      </c>
      <c r="L723" s="128"/>
      <c r="M723" s="128"/>
    </row>
    <row r="724" spans="1:13">
      <c r="A724" s="141">
        <f t="shared" si="53"/>
        <v>0</v>
      </c>
      <c r="B724" s="126"/>
      <c r="C724" s="147"/>
      <c r="D724" s="122"/>
      <c r="E724" s="181"/>
      <c r="F724" s="181"/>
      <c r="G724" s="120">
        <f t="shared" si="52"/>
        <v>0</v>
      </c>
      <c r="H724" s="120">
        <f t="shared" si="54"/>
        <v>0.875</v>
      </c>
      <c r="I724" s="120">
        <f t="shared" si="51"/>
        <v>0</v>
      </c>
      <c r="L724" s="128"/>
      <c r="M724" s="128"/>
    </row>
    <row r="725" spans="1:13" ht="14.25" customHeight="1">
      <c r="A725" s="141">
        <f t="shared" si="53"/>
        <v>0</v>
      </c>
      <c r="B725" s="126"/>
      <c r="C725" s="147"/>
      <c r="D725" s="122"/>
      <c r="E725" s="181"/>
      <c r="F725" s="181"/>
      <c r="G725" s="120">
        <f t="shared" si="52"/>
        <v>0</v>
      </c>
      <c r="H725" s="120">
        <f t="shared" si="54"/>
        <v>0.875</v>
      </c>
      <c r="I725" s="120">
        <f t="shared" si="51"/>
        <v>0</v>
      </c>
      <c r="L725" s="128"/>
      <c r="M725" s="128"/>
    </row>
    <row r="726" spans="1:13">
      <c r="A726" s="141">
        <f t="shared" si="53"/>
        <v>0</v>
      </c>
      <c r="B726" s="126"/>
      <c r="C726" s="147"/>
      <c r="D726" s="122"/>
      <c r="E726" s="181"/>
      <c r="F726" s="181"/>
      <c r="G726" s="120">
        <f t="shared" si="52"/>
        <v>0</v>
      </c>
      <c r="H726" s="120">
        <f t="shared" si="54"/>
        <v>0.875</v>
      </c>
      <c r="I726" s="120">
        <f t="shared" si="51"/>
        <v>0</v>
      </c>
      <c r="L726" s="128"/>
      <c r="M726" s="128"/>
    </row>
    <row r="727" spans="1:13">
      <c r="A727" s="141">
        <f t="shared" si="53"/>
        <v>0</v>
      </c>
      <c r="B727" s="126"/>
      <c r="C727" s="147"/>
      <c r="D727" s="122"/>
      <c r="E727" s="181"/>
      <c r="F727" s="181"/>
      <c r="G727" s="120">
        <f t="shared" si="52"/>
        <v>0</v>
      </c>
      <c r="H727" s="120">
        <f t="shared" si="54"/>
        <v>0.875</v>
      </c>
      <c r="I727" s="120">
        <f t="shared" si="51"/>
        <v>0</v>
      </c>
      <c r="L727" s="128"/>
      <c r="M727" s="128"/>
    </row>
    <row r="728" spans="1:13">
      <c r="A728" s="141">
        <f t="shared" si="53"/>
        <v>0</v>
      </c>
      <c r="B728" s="126"/>
      <c r="C728" s="99"/>
      <c r="D728" s="138"/>
      <c r="E728" s="181"/>
      <c r="F728" s="181"/>
      <c r="G728" s="120">
        <f t="shared" si="52"/>
        <v>0</v>
      </c>
      <c r="H728" s="120">
        <f t="shared" si="54"/>
        <v>0.875</v>
      </c>
      <c r="I728" s="120">
        <f t="shared" si="51"/>
        <v>0</v>
      </c>
      <c r="L728" s="128"/>
      <c r="M728" s="128"/>
    </row>
    <row r="729" spans="1:13">
      <c r="A729" s="117"/>
      <c r="B729" s="126"/>
      <c r="C729" s="147"/>
      <c r="D729" s="130"/>
      <c r="E729" s="181"/>
      <c r="F729" s="181"/>
      <c r="G729" s="120">
        <f t="shared" si="52"/>
        <v>0</v>
      </c>
      <c r="H729" s="120">
        <f t="shared" si="54"/>
        <v>0.875</v>
      </c>
      <c r="I729" s="120">
        <f t="shared" si="51"/>
        <v>0</v>
      </c>
      <c r="L729" s="128"/>
      <c r="M729" s="128"/>
    </row>
    <row r="730" spans="1:13">
      <c r="A730" s="117"/>
      <c r="B730" s="126"/>
      <c r="C730" s="147"/>
      <c r="D730" s="122"/>
      <c r="E730" s="181"/>
      <c r="F730" s="181"/>
      <c r="G730" s="120">
        <f t="shared" si="52"/>
        <v>0</v>
      </c>
      <c r="H730" s="120">
        <f t="shared" si="54"/>
        <v>0.875</v>
      </c>
      <c r="I730" s="120">
        <f t="shared" si="51"/>
        <v>0</v>
      </c>
      <c r="L730" s="128"/>
      <c r="M730" s="128"/>
    </row>
    <row r="731" spans="1:13">
      <c r="A731" s="117"/>
      <c r="B731" s="126"/>
      <c r="C731" s="147"/>
      <c r="D731" s="122"/>
      <c r="E731" s="181"/>
      <c r="F731" s="181"/>
      <c r="G731" s="120">
        <f t="shared" si="52"/>
        <v>0</v>
      </c>
      <c r="H731" s="120">
        <f t="shared" si="54"/>
        <v>0.875</v>
      </c>
      <c r="I731" s="120">
        <f t="shared" si="51"/>
        <v>0</v>
      </c>
      <c r="L731" s="128"/>
      <c r="M731" s="128"/>
    </row>
    <row r="732" spans="1:13">
      <c r="A732" s="117"/>
      <c r="B732" s="126"/>
      <c r="C732" s="99"/>
      <c r="D732" s="138"/>
      <c r="E732" s="181"/>
      <c r="F732" s="181"/>
      <c r="G732" s="120">
        <f t="shared" si="52"/>
        <v>0</v>
      </c>
      <c r="H732" s="120">
        <f t="shared" si="54"/>
        <v>0.875</v>
      </c>
      <c r="I732" s="120">
        <f t="shared" si="51"/>
        <v>0</v>
      </c>
      <c r="L732" s="128"/>
      <c r="M732" s="128"/>
    </row>
    <row r="733" spans="1:13">
      <c r="A733" s="117"/>
      <c r="B733" s="126"/>
      <c r="C733" s="147"/>
      <c r="D733" s="122"/>
      <c r="E733" s="181"/>
      <c r="F733" s="181"/>
      <c r="G733" s="120">
        <f t="shared" si="52"/>
        <v>0</v>
      </c>
      <c r="H733" s="120">
        <f t="shared" si="54"/>
        <v>0.875</v>
      </c>
      <c r="I733" s="120">
        <f t="shared" si="51"/>
        <v>0</v>
      </c>
      <c r="L733" s="128"/>
      <c r="M733" s="128"/>
    </row>
    <row r="734" spans="1:13">
      <c r="A734" s="117"/>
      <c r="B734" s="126"/>
      <c r="C734" s="147"/>
      <c r="D734" s="122"/>
      <c r="E734" s="181"/>
      <c r="F734" s="181"/>
      <c r="G734" s="120">
        <f t="shared" si="52"/>
        <v>0</v>
      </c>
      <c r="H734" s="120">
        <f t="shared" si="54"/>
        <v>0.875</v>
      </c>
      <c r="I734" s="120">
        <f t="shared" si="51"/>
        <v>0</v>
      </c>
      <c r="L734" s="128"/>
      <c r="M734" s="128"/>
    </row>
    <row r="735" spans="1:13">
      <c r="A735" s="117"/>
      <c r="B735" s="126"/>
      <c r="C735" s="147"/>
      <c r="D735" s="122"/>
      <c r="E735" s="181"/>
      <c r="F735" s="181"/>
      <c r="G735" s="120">
        <f t="shared" si="52"/>
        <v>0</v>
      </c>
      <c r="H735" s="120">
        <f t="shared" si="54"/>
        <v>0.875</v>
      </c>
      <c r="I735" s="120">
        <f t="shared" si="51"/>
        <v>0</v>
      </c>
      <c r="L735" s="128"/>
      <c r="M735" s="128"/>
    </row>
    <row r="736" spans="1:13">
      <c r="A736" s="117"/>
      <c r="B736" s="126"/>
      <c r="C736" s="147"/>
      <c r="D736" s="122"/>
      <c r="E736" s="181"/>
      <c r="F736" s="181"/>
      <c r="G736" s="120">
        <f t="shared" si="52"/>
        <v>0</v>
      </c>
      <c r="H736" s="120">
        <f t="shared" si="54"/>
        <v>0.875</v>
      </c>
      <c r="I736" s="120">
        <f t="shared" si="51"/>
        <v>0</v>
      </c>
      <c r="L736" s="128"/>
      <c r="M736" s="128"/>
    </row>
    <row r="737" spans="1:13">
      <c r="A737" s="117"/>
      <c r="B737" s="126"/>
      <c r="C737" s="147"/>
      <c r="D737" s="122"/>
      <c r="E737" s="181"/>
      <c r="F737" s="181"/>
      <c r="G737" s="120">
        <f t="shared" si="52"/>
        <v>0</v>
      </c>
      <c r="H737" s="120">
        <f t="shared" si="54"/>
        <v>0.875</v>
      </c>
      <c r="I737" s="120">
        <f t="shared" si="51"/>
        <v>0</v>
      </c>
      <c r="L737" s="128"/>
      <c r="M737" s="128"/>
    </row>
    <row r="738" spans="1:13">
      <c r="A738" s="117"/>
      <c r="B738" s="126"/>
      <c r="C738" s="147"/>
      <c r="D738" s="122"/>
      <c r="E738" s="181"/>
      <c r="F738" s="181"/>
      <c r="G738" s="120">
        <f t="shared" si="52"/>
        <v>0</v>
      </c>
      <c r="H738" s="120">
        <f t="shared" si="54"/>
        <v>0.875</v>
      </c>
      <c r="I738" s="120">
        <f t="shared" si="51"/>
        <v>0</v>
      </c>
      <c r="L738" s="128"/>
      <c r="M738" s="128"/>
    </row>
    <row r="739" spans="1:13">
      <c r="A739" s="117"/>
      <c r="B739" s="126"/>
      <c r="C739" s="147"/>
      <c r="D739" s="122"/>
      <c r="E739" s="181"/>
      <c r="F739" s="181"/>
      <c r="G739" s="120">
        <f t="shared" si="52"/>
        <v>0</v>
      </c>
      <c r="H739" s="120">
        <f t="shared" si="54"/>
        <v>0.875</v>
      </c>
      <c r="I739" s="120">
        <f t="shared" si="51"/>
        <v>0</v>
      </c>
      <c r="L739" s="128"/>
      <c r="M739" s="128"/>
    </row>
    <row r="740" spans="1:13">
      <c r="A740" s="117"/>
      <c r="B740" s="126"/>
      <c r="C740" s="147"/>
      <c r="D740" s="122"/>
      <c r="E740" s="181"/>
      <c r="F740" s="181"/>
      <c r="G740" s="120">
        <f t="shared" si="52"/>
        <v>0</v>
      </c>
      <c r="H740" s="120">
        <f t="shared" si="54"/>
        <v>0.875</v>
      </c>
      <c r="I740" s="120">
        <f t="shared" si="51"/>
        <v>0</v>
      </c>
      <c r="L740" s="128"/>
      <c r="M740" s="128"/>
    </row>
    <row r="741" spans="1:13">
      <c r="A741" s="117"/>
      <c r="B741" s="126"/>
      <c r="C741" s="147"/>
      <c r="D741" s="122"/>
      <c r="E741" s="181"/>
      <c r="F741" s="181"/>
      <c r="G741" s="120">
        <f t="shared" si="52"/>
        <v>0</v>
      </c>
      <c r="H741" s="120">
        <f t="shared" si="54"/>
        <v>0.875</v>
      </c>
      <c r="I741" s="120">
        <f t="shared" si="51"/>
        <v>0</v>
      </c>
      <c r="L741" s="128"/>
      <c r="M741" s="128"/>
    </row>
    <row r="742" spans="1:13">
      <c r="A742" s="117"/>
      <c r="B742" s="126"/>
      <c r="C742" s="147"/>
      <c r="D742" s="122"/>
      <c r="E742" s="181"/>
      <c r="F742" s="181"/>
      <c r="G742" s="120">
        <f t="shared" si="52"/>
        <v>0</v>
      </c>
      <c r="H742" s="120">
        <f t="shared" si="54"/>
        <v>0.875</v>
      </c>
      <c r="I742" s="120">
        <f t="shared" si="51"/>
        <v>0</v>
      </c>
      <c r="L742" s="128"/>
      <c r="M742" s="128"/>
    </row>
    <row r="743" spans="1:13">
      <c r="A743" s="117"/>
      <c r="B743" s="126"/>
      <c r="C743" s="147"/>
      <c r="D743" s="122"/>
      <c r="E743" s="181"/>
      <c r="F743" s="181"/>
      <c r="G743" s="120">
        <f t="shared" si="52"/>
        <v>0</v>
      </c>
      <c r="H743" s="120">
        <f t="shared" si="54"/>
        <v>0.875</v>
      </c>
      <c r="I743" s="120">
        <f t="shared" si="51"/>
        <v>0</v>
      </c>
      <c r="L743" s="128"/>
      <c r="M743" s="128"/>
    </row>
    <row r="744" spans="1:13">
      <c r="A744" s="117"/>
      <c r="B744" s="126"/>
      <c r="C744" s="147"/>
      <c r="D744" s="122"/>
      <c r="E744" s="181"/>
      <c r="F744" s="181"/>
      <c r="G744" s="120">
        <f t="shared" si="52"/>
        <v>0</v>
      </c>
      <c r="H744" s="120">
        <f t="shared" si="54"/>
        <v>0.875</v>
      </c>
      <c r="I744" s="120">
        <f t="shared" ref="I744:I807" si="55">IFERROR(IF((F745-$H$2)&lt;0,0,F745-$H$2),"0")</f>
        <v>0</v>
      </c>
      <c r="L744" s="128"/>
      <c r="M744" s="128"/>
    </row>
    <row r="745" spans="1:13">
      <c r="A745" s="117"/>
      <c r="B745" s="126"/>
      <c r="C745" s="147"/>
      <c r="D745" s="122"/>
      <c r="E745" s="181"/>
      <c r="F745" s="181"/>
      <c r="G745" s="120">
        <f t="shared" si="52"/>
        <v>0</v>
      </c>
      <c r="H745" s="120">
        <f t="shared" si="54"/>
        <v>0.875</v>
      </c>
      <c r="I745" s="120">
        <f t="shared" si="55"/>
        <v>0</v>
      </c>
      <c r="L745" s="128"/>
      <c r="M745" s="128"/>
    </row>
    <row r="746" spans="1:13">
      <c r="A746" s="117"/>
      <c r="B746" s="126"/>
      <c r="C746" s="147"/>
      <c r="D746" s="122"/>
      <c r="E746" s="181"/>
      <c r="F746" s="181"/>
      <c r="G746" s="120">
        <f t="shared" si="52"/>
        <v>0</v>
      </c>
      <c r="H746" s="120">
        <f t="shared" si="54"/>
        <v>0.875</v>
      </c>
      <c r="I746" s="120">
        <f t="shared" si="55"/>
        <v>0</v>
      </c>
      <c r="L746" s="128"/>
      <c r="M746" s="128"/>
    </row>
    <row r="747" spans="1:13">
      <c r="A747" s="117"/>
      <c r="B747" s="126"/>
      <c r="C747" s="147"/>
      <c r="D747" s="122"/>
      <c r="E747" s="181"/>
      <c r="F747" s="181"/>
      <c r="G747" s="120">
        <f t="shared" si="52"/>
        <v>0</v>
      </c>
      <c r="H747" s="120">
        <f t="shared" si="54"/>
        <v>0.875</v>
      </c>
      <c r="I747" s="120">
        <f t="shared" si="55"/>
        <v>0</v>
      </c>
      <c r="L747" s="128"/>
      <c r="M747" s="128"/>
    </row>
    <row r="748" spans="1:13">
      <c r="A748" s="117"/>
      <c r="B748" s="126"/>
      <c r="C748" s="147"/>
      <c r="D748" s="122"/>
      <c r="E748" s="181"/>
      <c r="F748" s="181"/>
      <c r="G748" s="120">
        <f t="shared" si="52"/>
        <v>0</v>
      </c>
      <c r="H748" s="120">
        <f t="shared" si="54"/>
        <v>0.875</v>
      </c>
      <c r="I748" s="120">
        <f t="shared" si="55"/>
        <v>0</v>
      </c>
      <c r="L748" s="128"/>
      <c r="M748" s="128"/>
    </row>
    <row r="749" spans="1:13">
      <c r="A749" s="117"/>
      <c r="B749" s="126"/>
      <c r="C749" s="147"/>
      <c r="D749" s="122"/>
      <c r="E749" s="181"/>
      <c r="F749" s="181"/>
      <c r="G749" s="120">
        <f t="shared" si="52"/>
        <v>0</v>
      </c>
      <c r="H749" s="120">
        <f t="shared" si="54"/>
        <v>0.875</v>
      </c>
      <c r="I749" s="120">
        <f t="shared" si="55"/>
        <v>0</v>
      </c>
      <c r="L749" s="128"/>
      <c r="M749" s="128"/>
    </row>
    <row r="750" spans="1:13">
      <c r="A750" s="117"/>
      <c r="B750" s="126"/>
      <c r="C750" s="147"/>
      <c r="D750" s="122"/>
      <c r="E750" s="181"/>
      <c r="F750" s="181"/>
      <c r="G750" s="120">
        <f t="shared" si="52"/>
        <v>0</v>
      </c>
      <c r="H750" s="120">
        <f t="shared" si="54"/>
        <v>0.875</v>
      </c>
      <c r="I750" s="120">
        <f t="shared" si="55"/>
        <v>0</v>
      </c>
      <c r="L750" s="128"/>
      <c r="M750" s="128"/>
    </row>
    <row r="751" spans="1:13">
      <c r="A751" s="117"/>
      <c r="B751" s="126"/>
      <c r="C751" s="147"/>
      <c r="D751" s="122"/>
      <c r="E751" s="181"/>
      <c r="F751" s="181"/>
      <c r="G751" s="120">
        <f t="shared" si="52"/>
        <v>0</v>
      </c>
      <c r="H751" s="120">
        <f t="shared" si="54"/>
        <v>0.875</v>
      </c>
      <c r="I751" s="120">
        <f t="shared" si="55"/>
        <v>0</v>
      </c>
      <c r="L751" s="128"/>
      <c r="M751" s="128"/>
    </row>
    <row r="752" spans="1:13">
      <c r="A752" s="117"/>
      <c r="B752" s="126"/>
      <c r="C752" s="147"/>
      <c r="D752" s="122"/>
      <c r="E752" s="181"/>
      <c r="F752" s="181"/>
      <c r="G752" s="120">
        <f t="shared" si="52"/>
        <v>0</v>
      </c>
      <c r="H752" s="120">
        <f t="shared" si="54"/>
        <v>0.875</v>
      </c>
      <c r="I752" s="120">
        <f t="shared" si="55"/>
        <v>0</v>
      </c>
      <c r="L752" s="128"/>
      <c r="M752" s="128"/>
    </row>
    <row r="753" spans="1:13">
      <c r="A753" s="117"/>
      <c r="B753" s="126"/>
      <c r="C753" s="99"/>
      <c r="D753" s="138"/>
      <c r="E753" s="181"/>
      <c r="F753" s="181"/>
      <c r="G753" s="120">
        <f t="shared" si="52"/>
        <v>0</v>
      </c>
      <c r="H753" s="120">
        <f t="shared" si="54"/>
        <v>0.875</v>
      </c>
      <c r="I753" s="120">
        <f t="shared" si="55"/>
        <v>0</v>
      </c>
      <c r="L753" s="128"/>
      <c r="M753" s="128"/>
    </row>
    <row r="754" spans="1:13">
      <c r="A754" s="117"/>
      <c r="B754" s="126"/>
      <c r="C754" s="147"/>
      <c r="D754" s="122"/>
      <c r="E754" s="181"/>
      <c r="F754" s="181"/>
      <c r="G754" s="120">
        <f t="shared" si="52"/>
        <v>0</v>
      </c>
      <c r="H754" s="120">
        <f t="shared" si="54"/>
        <v>0.875</v>
      </c>
      <c r="I754" s="120">
        <f t="shared" si="55"/>
        <v>0</v>
      </c>
      <c r="L754" s="128"/>
      <c r="M754" s="128"/>
    </row>
    <row r="755" spans="1:13">
      <c r="A755" s="117"/>
      <c r="B755" s="126"/>
      <c r="C755" s="99"/>
      <c r="D755" s="122"/>
      <c r="E755" s="181"/>
      <c r="F755" s="181"/>
      <c r="G755" s="120">
        <f t="shared" si="52"/>
        <v>0</v>
      </c>
      <c r="H755" s="120">
        <f t="shared" si="54"/>
        <v>0.875</v>
      </c>
      <c r="I755" s="120">
        <f t="shared" si="55"/>
        <v>0</v>
      </c>
      <c r="L755" s="128"/>
      <c r="M755" s="128"/>
    </row>
    <row r="756" spans="1:13">
      <c r="A756" s="117"/>
      <c r="B756" s="126"/>
      <c r="C756" s="147"/>
      <c r="D756" s="122"/>
      <c r="E756" s="181"/>
      <c r="F756" s="181"/>
      <c r="G756" s="120">
        <f t="shared" si="52"/>
        <v>0</v>
      </c>
      <c r="H756" s="120">
        <f t="shared" si="54"/>
        <v>0.875</v>
      </c>
      <c r="I756" s="120">
        <f t="shared" si="55"/>
        <v>0</v>
      </c>
      <c r="L756" s="128"/>
      <c r="M756" s="128"/>
    </row>
    <row r="757" spans="1:13">
      <c r="A757" s="117"/>
      <c r="B757" s="126"/>
      <c r="C757" s="147"/>
      <c r="D757" s="138"/>
      <c r="E757" s="181"/>
      <c r="F757" s="181"/>
      <c r="G757" s="120">
        <f t="shared" si="52"/>
        <v>0</v>
      </c>
      <c r="H757" s="120">
        <f t="shared" si="54"/>
        <v>0.875</v>
      </c>
      <c r="I757" s="120">
        <f t="shared" si="55"/>
        <v>0</v>
      </c>
      <c r="L757" s="128"/>
      <c r="M757" s="128"/>
    </row>
    <row r="758" spans="1:13">
      <c r="A758" s="117"/>
      <c r="B758" s="126"/>
      <c r="C758" s="147"/>
      <c r="D758" s="122"/>
      <c r="E758" s="181"/>
      <c r="F758" s="181"/>
      <c r="G758" s="120">
        <f t="shared" si="52"/>
        <v>0</v>
      </c>
      <c r="H758" s="120">
        <f t="shared" si="54"/>
        <v>0.875</v>
      </c>
      <c r="I758" s="120">
        <f t="shared" si="55"/>
        <v>0</v>
      </c>
      <c r="L758" s="128"/>
      <c r="M758" s="128"/>
    </row>
    <row r="759" spans="1:13">
      <c r="A759" s="117"/>
      <c r="B759" s="126"/>
      <c r="C759" s="147"/>
      <c r="D759" s="122"/>
      <c r="E759" s="181"/>
      <c r="F759" s="181"/>
      <c r="G759" s="120">
        <f t="shared" ref="G759:G822" si="56">IFERROR(IF((E759-$F$2)&lt;=$H$3,0,E759-$F$2),"غياب")</f>
        <v>0</v>
      </c>
      <c r="H759" s="120">
        <f t="shared" si="54"/>
        <v>0.875</v>
      </c>
      <c r="I759" s="120">
        <f t="shared" si="55"/>
        <v>0</v>
      </c>
      <c r="L759" s="128"/>
      <c r="M759" s="128"/>
    </row>
    <row r="760" spans="1:13">
      <c r="A760" s="117"/>
      <c r="B760" s="126"/>
      <c r="C760" s="147"/>
      <c r="D760" s="122"/>
      <c r="E760" s="181"/>
      <c r="F760" s="181"/>
      <c r="G760" s="120">
        <f t="shared" si="56"/>
        <v>0</v>
      </c>
      <c r="H760" s="120">
        <f t="shared" si="54"/>
        <v>0.875</v>
      </c>
      <c r="I760" s="120">
        <f t="shared" si="55"/>
        <v>0</v>
      </c>
      <c r="L760" s="128"/>
      <c r="M760" s="128"/>
    </row>
    <row r="761" spans="1:13">
      <c r="A761" s="117"/>
      <c r="B761" s="126"/>
      <c r="C761" s="147"/>
      <c r="D761" s="122"/>
      <c r="E761" s="181"/>
      <c r="F761" s="181"/>
      <c r="G761" s="120">
        <f t="shared" si="56"/>
        <v>0</v>
      </c>
      <c r="H761" s="120">
        <f t="shared" si="54"/>
        <v>0.875</v>
      </c>
      <c r="I761" s="120">
        <f t="shared" si="55"/>
        <v>0</v>
      </c>
      <c r="L761" s="128"/>
      <c r="M761" s="128"/>
    </row>
    <row r="762" spans="1:13">
      <c r="A762" s="117"/>
      <c r="B762" s="126"/>
      <c r="C762" s="147"/>
      <c r="D762" s="122"/>
      <c r="E762" s="181"/>
      <c r="F762" s="181"/>
      <c r="G762" s="120">
        <f t="shared" si="56"/>
        <v>0</v>
      </c>
      <c r="H762" s="120">
        <f t="shared" si="54"/>
        <v>0.875</v>
      </c>
      <c r="I762" s="120">
        <f t="shared" si="55"/>
        <v>0</v>
      </c>
      <c r="L762" s="128"/>
      <c r="M762" s="128"/>
    </row>
    <row r="763" spans="1:13">
      <c r="A763" s="117"/>
      <c r="B763" s="126"/>
      <c r="C763" s="147"/>
      <c r="D763" s="122"/>
      <c r="E763" s="181"/>
      <c r="F763" s="181"/>
      <c r="G763" s="120">
        <f t="shared" si="56"/>
        <v>0</v>
      </c>
      <c r="H763" s="120">
        <f t="shared" si="54"/>
        <v>0.875</v>
      </c>
      <c r="I763" s="120">
        <f t="shared" si="55"/>
        <v>0</v>
      </c>
      <c r="L763" s="128"/>
      <c r="M763" s="128"/>
    </row>
    <row r="764" spans="1:13">
      <c r="A764" s="117"/>
      <c r="B764" s="126"/>
      <c r="C764" s="147"/>
      <c r="D764" s="122"/>
      <c r="E764" s="181"/>
      <c r="F764" s="181"/>
      <c r="G764" s="120">
        <f t="shared" si="56"/>
        <v>0</v>
      </c>
      <c r="H764" s="120">
        <f t="shared" si="54"/>
        <v>0.875</v>
      </c>
      <c r="I764" s="120">
        <f t="shared" si="55"/>
        <v>0</v>
      </c>
      <c r="L764" s="128"/>
      <c r="M764" s="128"/>
    </row>
    <row r="765" spans="1:13">
      <c r="A765" s="117"/>
      <c r="B765" s="126"/>
      <c r="C765" s="147"/>
      <c r="D765" s="122"/>
      <c r="E765" s="181"/>
      <c r="F765" s="181"/>
      <c r="G765" s="120">
        <f t="shared" si="56"/>
        <v>0</v>
      </c>
      <c r="H765" s="120">
        <f t="shared" si="54"/>
        <v>0.875</v>
      </c>
      <c r="I765" s="120">
        <f t="shared" si="55"/>
        <v>0</v>
      </c>
      <c r="L765" s="128"/>
      <c r="M765" s="128"/>
    </row>
    <row r="766" spans="1:13">
      <c r="A766" s="117"/>
      <c r="B766" s="126"/>
      <c r="C766" s="147"/>
      <c r="D766" s="122"/>
      <c r="E766" s="181"/>
      <c r="F766" s="181"/>
      <c r="G766" s="120">
        <f t="shared" si="56"/>
        <v>0</v>
      </c>
      <c r="H766" s="120">
        <f t="shared" si="54"/>
        <v>0.875</v>
      </c>
      <c r="I766" s="120">
        <f t="shared" si="55"/>
        <v>0</v>
      </c>
      <c r="L766" s="128"/>
      <c r="M766" s="128"/>
    </row>
    <row r="767" spans="1:13">
      <c r="A767" s="117"/>
      <c r="B767" s="126"/>
      <c r="C767" s="147"/>
      <c r="D767" s="122"/>
      <c r="E767" s="181"/>
      <c r="F767" s="181"/>
      <c r="G767" s="120">
        <f t="shared" si="56"/>
        <v>0</v>
      </c>
      <c r="H767" s="120">
        <f t="shared" si="54"/>
        <v>0.875</v>
      </c>
      <c r="I767" s="120">
        <f t="shared" si="55"/>
        <v>0</v>
      </c>
      <c r="L767" s="128"/>
      <c r="M767" s="128"/>
    </row>
    <row r="768" spans="1:13">
      <c r="A768" s="117"/>
      <c r="B768" s="126"/>
      <c r="C768" s="147"/>
      <c r="D768" s="122"/>
      <c r="E768" s="181"/>
      <c r="F768" s="181"/>
      <c r="G768" s="120">
        <f t="shared" si="56"/>
        <v>0</v>
      </c>
      <c r="H768" s="120">
        <f t="shared" si="54"/>
        <v>0.875</v>
      </c>
      <c r="I768" s="120">
        <f t="shared" si="55"/>
        <v>0</v>
      </c>
      <c r="L768" s="128"/>
      <c r="M768" s="128"/>
    </row>
    <row r="769" spans="1:13">
      <c r="A769" s="117"/>
      <c r="B769" s="126"/>
      <c r="C769" s="147"/>
      <c r="D769" s="122"/>
      <c r="E769" s="181"/>
      <c r="F769" s="181"/>
      <c r="G769" s="120">
        <f t="shared" si="56"/>
        <v>0</v>
      </c>
      <c r="H769" s="120">
        <f t="shared" si="54"/>
        <v>0.875</v>
      </c>
      <c r="I769" s="120">
        <f t="shared" si="55"/>
        <v>0</v>
      </c>
      <c r="L769" s="128"/>
      <c r="M769" s="128"/>
    </row>
    <row r="770" spans="1:13">
      <c r="A770" s="117"/>
      <c r="B770" s="126"/>
      <c r="C770" s="147"/>
      <c r="D770" s="122"/>
      <c r="E770" s="181"/>
      <c r="F770" s="181"/>
      <c r="G770" s="120">
        <f t="shared" si="56"/>
        <v>0</v>
      </c>
      <c r="H770" s="120">
        <f t="shared" si="54"/>
        <v>0.875</v>
      </c>
      <c r="I770" s="120">
        <f t="shared" si="55"/>
        <v>0</v>
      </c>
      <c r="L770" s="128"/>
      <c r="M770" s="128"/>
    </row>
    <row r="771" spans="1:13">
      <c r="A771" s="117"/>
      <c r="B771" s="126"/>
      <c r="C771" s="147"/>
      <c r="D771" s="122"/>
      <c r="E771" s="181"/>
      <c r="F771" s="181"/>
      <c r="G771" s="120">
        <f t="shared" si="56"/>
        <v>0</v>
      </c>
      <c r="H771" s="120">
        <f t="shared" si="54"/>
        <v>0.875</v>
      </c>
      <c r="I771" s="120">
        <f t="shared" si="55"/>
        <v>0</v>
      </c>
      <c r="L771" s="128"/>
      <c r="M771" s="128"/>
    </row>
    <row r="772" spans="1:13">
      <c r="A772" s="117"/>
      <c r="B772" s="126"/>
      <c r="C772" s="147"/>
      <c r="D772" s="122"/>
      <c r="E772" s="181"/>
      <c r="F772" s="181"/>
      <c r="G772" s="120">
        <f t="shared" si="56"/>
        <v>0</v>
      </c>
      <c r="H772" s="120">
        <f t="shared" si="54"/>
        <v>0.875</v>
      </c>
      <c r="I772" s="120">
        <f t="shared" si="55"/>
        <v>0</v>
      </c>
      <c r="L772" s="128"/>
      <c r="M772" s="128"/>
    </row>
    <row r="773" spans="1:13">
      <c r="A773" s="117"/>
      <c r="B773" s="126"/>
      <c r="C773" s="147"/>
      <c r="D773" s="122"/>
      <c r="E773" s="181"/>
      <c r="F773" s="181"/>
      <c r="G773" s="120">
        <f t="shared" si="56"/>
        <v>0</v>
      </c>
      <c r="H773" s="120">
        <f t="shared" si="54"/>
        <v>0.875</v>
      </c>
      <c r="I773" s="120">
        <f t="shared" si="55"/>
        <v>0</v>
      </c>
      <c r="L773" s="128"/>
      <c r="M773" s="128"/>
    </row>
    <row r="774" spans="1:13">
      <c r="A774" s="117"/>
      <c r="B774" s="126"/>
      <c r="C774" s="147"/>
      <c r="D774" s="122"/>
      <c r="E774" s="181"/>
      <c r="F774" s="181"/>
      <c r="G774" s="120">
        <f t="shared" si="56"/>
        <v>0</v>
      </c>
      <c r="H774" s="120">
        <f t="shared" si="54"/>
        <v>0.875</v>
      </c>
      <c r="I774" s="120">
        <f t="shared" si="55"/>
        <v>0</v>
      </c>
      <c r="L774" s="128"/>
      <c r="M774" s="128"/>
    </row>
    <row r="775" spans="1:13">
      <c r="A775" s="117"/>
      <c r="B775" s="126"/>
      <c r="C775" s="147"/>
      <c r="D775" s="122"/>
      <c r="E775" s="181"/>
      <c r="F775" s="181"/>
      <c r="G775" s="120">
        <f t="shared" si="56"/>
        <v>0</v>
      </c>
      <c r="H775" s="120">
        <f t="shared" si="54"/>
        <v>0.875</v>
      </c>
      <c r="I775" s="120">
        <f t="shared" si="55"/>
        <v>0</v>
      </c>
      <c r="L775" s="128"/>
      <c r="M775" s="128"/>
    </row>
    <row r="776" spans="1:13">
      <c r="A776" s="117"/>
      <c r="B776" s="126"/>
      <c r="C776" s="99"/>
      <c r="D776" s="122"/>
      <c r="E776" s="181"/>
      <c r="F776" s="181"/>
      <c r="G776" s="120">
        <f t="shared" si="56"/>
        <v>0</v>
      </c>
      <c r="H776" s="120">
        <f t="shared" si="54"/>
        <v>0.875</v>
      </c>
      <c r="I776" s="120">
        <f t="shared" si="55"/>
        <v>0</v>
      </c>
      <c r="L776" s="128"/>
      <c r="M776" s="128"/>
    </row>
    <row r="777" spans="1:13">
      <c r="A777" s="117"/>
      <c r="B777" s="126"/>
      <c r="C777" s="99"/>
      <c r="D777" s="130"/>
      <c r="E777" s="181"/>
      <c r="F777" s="181"/>
      <c r="G777" s="120">
        <f t="shared" si="56"/>
        <v>0</v>
      </c>
      <c r="H777" s="120">
        <f t="shared" si="54"/>
        <v>0.875</v>
      </c>
      <c r="I777" s="120">
        <f t="shared" si="55"/>
        <v>0</v>
      </c>
      <c r="L777" s="128"/>
      <c r="M777" s="128"/>
    </row>
    <row r="778" spans="1:13">
      <c r="A778" s="117"/>
      <c r="B778" s="126"/>
      <c r="C778" s="146"/>
      <c r="D778" s="122"/>
      <c r="E778" s="181"/>
      <c r="F778" s="181"/>
      <c r="G778" s="120">
        <f t="shared" si="56"/>
        <v>0</v>
      </c>
      <c r="H778" s="120">
        <f t="shared" ref="H778:H841" si="57">IF(($H$2-F778)&lt;0,0,$H$2-F778)</f>
        <v>0.875</v>
      </c>
      <c r="I778" s="120">
        <f t="shared" si="55"/>
        <v>0</v>
      </c>
      <c r="L778" s="128"/>
      <c r="M778" s="128"/>
    </row>
    <row r="779" spans="1:13">
      <c r="A779" s="117"/>
      <c r="B779" s="126"/>
      <c r="C779" s="13"/>
      <c r="D779" s="122"/>
      <c r="E779" s="181"/>
      <c r="F779" s="181"/>
      <c r="G779" s="120">
        <f t="shared" si="56"/>
        <v>0</v>
      </c>
      <c r="H779" s="120">
        <f t="shared" si="57"/>
        <v>0.875</v>
      </c>
      <c r="I779" s="120">
        <f t="shared" si="55"/>
        <v>0</v>
      </c>
      <c r="L779" s="128"/>
      <c r="M779" s="128"/>
    </row>
    <row r="780" spans="1:13">
      <c r="A780" s="117"/>
      <c r="B780" s="126"/>
      <c r="C780" s="146"/>
      <c r="D780" s="122"/>
      <c r="E780" s="181"/>
      <c r="F780" s="181"/>
      <c r="G780" s="120">
        <f t="shared" si="56"/>
        <v>0</v>
      </c>
      <c r="H780" s="120">
        <f t="shared" si="57"/>
        <v>0.875</v>
      </c>
      <c r="I780" s="120">
        <f t="shared" si="55"/>
        <v>0</v>
      </c>
      <c r="L780" s="128"/>
      <c r="M780" s="128"/>
    </row>
    <row r="781" spans="1:13">
      <c r="A781" s="117"/>
      <c r="B781" s="126"/>
      <c r="C781" s="13"/>
      <c r="D781" s="138"/>
      <c r="E781" s="181"/>
      <c r="F781" s="181"/>
      <c r="G781" s="120">
        <f t="shared" si="56"/>
        <v>0</v>
      </c>
      <c r="H781" s="120">
        <f t="shared" si="57"/>
        <v>0.875</v>
      </c>
      <c r="I781" s="120">
        <f t="shared" si="55"/>
        <v>0</v>
      </c>
      <c r="L781" s="128"/>
      <c r="M781" s="128"/>
    </row>
    <row r="782" spans="1:13">
      <c r="A782" s="117"/>
      <c r="B782" s="126"/>
      <c r="C782" s="13"/>
      <c r="D782" s="122"/>
      <c r="E782" s="181"/>
      <c r="F782" s="181"/>
      <c r="G782" s="120">
        <f t="shared" si="56"/>
        <v>0</v>
      </c>
      <c r="H782" s="120">
        <f t="shared" si="57"/>
        <v>0.875</v>
      </c>
      <c r="I782" s="120">
        <f t="shared" si="55"/>
        <v>0</v>
      </c>
      <c r="L782" s="128"/>
      <c r="M782" s="128"/>
    </row>
    <row r="783" spans="1:13">
      <c r="A783" s="117"/>
      <c r="B783" s="126"/>
      <c r="C783" s="146"/>
      <c r="D783" s="122"/>
      <c r="E783" s="181"/>
      <c r="F783" s="181"/>
      <c r="G783" s="120">
        <f t="shared" si="56"/>
        <v>0</v>
      </c>
      <c r="H783" s="120">
        <f t="shared" si="57"/>
        <v>0.875</v>
      </c>
      <c r="I783" s="120">
        <f t="shared" si="55"/>
        <v>0</v>
      </c>
      <c r="L783" s="128"/>
      <c r="M783" s="128"/>
    </row>
    <row r="784" spans="1:13">
      <c r="A784" s="117"/>
      <c r="B784" s="126"/>
      <c r="C784" s="146"/>
      <c r="D784" s="122"/>
      <c r="E784" s="181"/>
      <c r="F784" s="181"/>
      <c r="G784" s="120">
        <f t="shared" si="56"/>
        <v>0</v>
      </c>
      <c r="H784" s="120">
        <f t="shared" si="57"/>
        <v>0.875</v>
      </c>
      <c r="I784" s="120">
        <f t="shared" si="55"/>
        <v>0</v>
      </c>
      <c r="L784" s="128"/>
      <c r="M784" s="128"/>
    </row>
    <row r="785" spans="1:13">
      <c r="A785" s="117"/>
      <c r="B785" s="126"/>
      <c r="C785" s="146"/>
      <c r="D785" s="122"/>
      <c r="E785" s="181"/>
      <c r="F785" s="181"/>
      <c r="G785" s="120">
        <f t="shared" si="56"/>
        <v>0</v>
      </c>
      <c r="H785" s="120">
        <f t="shared" si="57"/>
        <v>0.875</v>
      </c>
      <c r="I785" s="120">
        <f t="shared" si="55"/>
        <v>0</v>
      </c>
      <c r="L785" s="128"/>
      <c r="M785" s="128"/>
    </row>
    <row r="786" spans="1:13">
      <c r="A786" s="117"/>
      <c r="B786" s="126"/>
      <c r="C786" s="146"/>
      <c r="D786" s="122"/>
      <c r="E786" s="181"/>
      <c r="F786" s="181"/>
      <c r="G786" s="120">
        <f t="shared" si="56"/>
        <v>0</v>
      </c>
      <c r="H786" s="120">
        <f t="shared" si="57"/>
        <v>0.875</v>
      </c>
      <c r="I786" s="120">
        <f t="shared" si="55"/>
        <v>0</v>
      </c>
      <c r="L786" s="128"/>
      <c r="M786" s="128"/>
    </row>
    <row r="787" spans="1:13">
      <c r="A787" s="117"/>
      <c r="B787" s="126"/>
      <c r="C787" s="146"/>
      <c r="D787" s="122"/>
      <c r="E787" s="181"/>
      <c r="F787" s="181"/>
      <c r="G787" s="120">
        <f t="shared" si="56"/>
        <v>0</v>
      </c>
      <c r="H787" s="120">
        <f t="shared" si="57"/>
        <v>0.875</v>
      </c>
      <c r="I787" s="120">
        <f t="shared" si="55"/>
        <v>0</v>
      </c>
      <c r="L787" s="128"/>
      <c r="M787" s="128"/>
    </row>
    <row r="788" spans="1:13">
      <c r="A788" s="117"/>
      <c r="B788" s="126"/>
      <c r="C788" s="146"/>
      <c r="D788" s="122"/>
      <c r="E788" s="181"/>
      <c r="F788" s="181"/>
      <c r="G788" s="120">
        <f t="shared" si="56"/>
        <v>0</v>
      </c>
      <c r="H788" s="120">
        <f t="shared" si="57"/>
        <v>0.875</v>
      </c>
      <c r="I788" s="120">
        <f t="shared" si="55"/>
        <v>0</v>
      </c>
      <c r="L788" s="128"/>
      <c r="M788" s="128"/>
    </row>
    <row r="789" spans="1:13">
      <c r="A789" s="117"/>
      <c r="B789" s="126"/>
      <c r="C789" s="146"/>
      <c r="D789" s="122"/>
      <c r="E789" s="181"/>
      <c r="F789" s="181"/>
      <c r="G789" s="120">
        <f t="shared" si="56"/>
        <v>0</v>
      </c>
      <c r="H789" s="120">
        <f t="shared" si="57"/>
        <v>0.875</v>
      </c>
      <c r="I789" s="120">
        <f t="shared" si="55"/>
        <v>0</v>
      </c>
      <c r="L789" s="128"/>
      <c r="M789" s="128"/>
    </row>
    <row r="790" spans="1:13">
      <c r="A790" s="117"/>
      <c r="B790" s="126"/>
      <c r="C790" s="146"/>
      <c r="D790" s="122"/>
      <c r="E790" s="181"/>
      <c r="F790" s="181"/>
      <c r="G790" s="120">
        <f t="shared" si="56"/>
        <v>0</v>
      </c>
      <c r="H790" s="120">
        <f t="shared" si="57"/>
        <v>0.875</v>
      </c>
      <c r="I790" s="120">
        <f t="shared" si="55"/>
        <v>0</v>
      </c>
      <c r="L790" s="128"/>
      <c r="M790" s="128"/>
    </row>
    <row r="791" spans="1:13">
      <c r="A791" s="117"/>
      <c r="B791" s="126"/>
      <c r="C791" s="146"/>
      <c r="D791" s="122"/>
      <c r="E791" s="181"/>
      <c r="F791" s="181"/>
      <c r="G791" s="120">
        <f t="shared" si="56"/>
        <v>0</v>
      </c>
      <c r="H791" s="120">
        <f t="shared" si="57"/>
        <v>0.875</v>
      </c>
      <c r="I791" s="120">
        <f t="shared" si="55"/>
        <v>0</v>
      </c>
      <c r="L791" s="128"/>
      <c r="M791" s="128"/>
    </row>
    <row r="792" spans="1:13">
      <c r="A792" s="117"/>
      <c r="B792" s="126"/>
      <c r="C792" s="146"/>
      <c r="D792" s="122"/>
      <c r="E792" s="181"/>
      <c r="F792" s="181"/>
      <c r="G792" s="120">
        <f t="shared" si="56"/>
        <v>0</v>
      </c>
      <c r="H792" s="120">
        <f t="shared" si="57"/>
        <v>0.875</v>
      </c>
      <c r="I792" s="120">
        <f t="shared" si="55"/>
        <v>0</v>
      </c>
      <c r="L792" s="128"/>
      <c r="M792" s="128"/>
    </row>
    <row r="793" spans="1:13">
      <c r="A793" s="117"/>
      <c r="B793" s="126"/>
      <c r="C793" s="146"/>
      <c r="D793" s="122"/>
      <c r="E793" s="181"/>
      <c r="F793" s="181"/>
      <c r="G793" s="120">
        <f t="shared" si="56"/>
        <v>0</v>
      </c>
      <c r="H793" s="120">
        <f t="shared" si="57"/>
        <v>0.875</v>
      </c>
      <c r="I793" s="120">
        <f t="shared" si="55"/>
        <v>0</v>
      </c>
      <c r="L793" s="128"/>
      <c r="M793" s="128"/>
    </row>
    <row r="794" spans="1:13">
      <c r="A794" s="117"/>
      <c r="B794" s="126"/>
      <c r="C794" s="146"/>
      <c r="D794" s="122"/>
      <c r="E794" s="181"/>
      <c r="F794" s="181"/>
      <c r="G794" s="120">
        <f t="shared" si="56"/>
        <v>0</v>
      </c>
      <c r="H794" s="120">
        <f t="shared" si="57"/>
        <v>0.875</v>
      </c>
      <c r="I794" s="120">
        <f t="shared" si="55"/>
        <v>0</v>
      </c>
      <c r="L794" s="128"/>
      <c r="M794" s="128"/>
    </row>
    <row r="795" spans="1:13">
      <c r="A795" s="117"/>
      <c r="B795" s="126"/>
      <c r="C795" s="146"/>
      <c r="D795" s="122"/>
      <c r="E795" s="181"/>
      <c r="F795" s="181"/>
      <c r="G795" s="120">
        <f t="shared" si="56"/>
        <v>0</v>
      </c>
      <c r="H795" s="120">
        <f t="shared" si="57"/>
        <v>0.875</v>
      </c>
      <c r="I795" s="120">
        <f t="shared" si="55"/>
        <v>0</v>
      </c>
      <c r="L795" s="128"/>
      <c r="M795" s="128"/>
    </row>
    <row r="796" spans="1:13">
      <c r="A796" s="117"/>
      <c r="B796" s="126"/>
      <c r="C796" s="146"/>
      <c r="D796" s="122"/>
      <c r="E796" s="181"/>
      <c r="F796" s="181"/>
      <c r="G796" s="120">
        <f t="shared" si="56"/>
        <v>0</v>
      </c>
      <c r="H796" s="120">
        <f t="shared" si="57"/>
        <v>0.875</v>
      </c>
      <c r="I796" s="120">
        <f t="shared" si="55"/>
        <v>0</v>
      </c>
      <c r="L796" s="128"/>
      <c r="M796" s="128"/>
    </row>
    <row r="797" spans="1:13">
      <c r="A797" s="117"/>
      <c r="B797" s="126"/>
      <c r="C797" s="146"/>
      <c r="D797" s="122"/>
      <c r="E797" s="181"/>
      <c r="F797" s="181"/>
      <c r="G797" s="120">
        <f t="shared" si="56"/>
        <v>0</v>
      </c>
      <c r="H797" s="120">
        <f t="shared" si="57"/>
        <v>0.875</v>
      </c>
      <c r="I797" s="120">
        <f t="shared" si="55"/>
        <v>0</v>
      </c>
      <c r="L797" s="128"/>
      <c r="M797" s="128"/>
    </row>
    <row r="798" spans="1:13">
      <c r="A798" s="117"/>
      <c r="B798" s="126"/>
      <c r="C798" s="146"/>
      <c r="D798" s="122"/>
      <c r="E798" s="181"/>
      <c r="F798" s="181"/>
      <c r="G798" s="120">
        <f t="shared" si="56"/>
        <v>0</v>
      </c>
      <c r="H798" s="120">
        <f t="shared" si="57"/>
        <v>0.875</v>
      </c>
      <c r="I798" s="120">
        <f t="shared" si="55"/>
        <v>0</v>
      </c>
      <c r="L798" s="128"/>
      <c r="M798" s="128"/>
    </row>
    <row r="799" spans="1:13">
      <c r="A799" s="117"/>
      <c r="B799" s="126"/>
      <c r="C799" s="146"/>
      <c r="D799" s="122"/>
      <c r="E799" s="181"/>
      <c r="F799" s="181"/>
      <c r="G799" s="120">
        <f t="shared" si="56"/>
        <v>0</v>
      </c>
      <c r="H799" s="120">
        <f t="shared" si="57"/>
        <v>0.875</v>
      </c>
      <c r="I799" s="120">
        <f t="shared" si="55"/>
        <v>0</v>
      </c>
      <c r="L799" s="128"/>
      <c r="M799" s="128"/>
    </row>
    <row r="800" spans="1:13">
      <c r="A800" s="117"/>
      <c r="B800" s="126"/>
      <c r="C800" s="146"/>
      <c r="D800" s="122"/>
      <c r="E800" s="181"/>
      <c r="F800" s="181"/>
      <c r="G800" s="120">
        <f t="shared" si="56"/>
        <v>0</v>
      </c>
      <c r="H800" s="120">
        <f t="shared" si="57"/>
        <v>0.875</v>
      </c>
      <c r="I800" s="120">
        <f t="shared" si="55"/>
        <v>0</v>
      </c>
      <c r="L800" s="128"/>
      <c r="M800" s="128"/>
    </row>
    <row r="801" spans="1:13">
      <c r="A801" s="117"/>
      <c r="B801" s="126"/>
      <c r="C801" s="146"/>
      <c r="D801" s="122"/>
      <c r="E801" s="181"/>
      <c r="F801" s="181"/>
      <c r="G801" s="120">
        <f t="shared" si="56"/>
        <v>0</v>
      </c>
      <c r="H801" s="120">
        <f t="shared" si="57"/>
        <v>0.875</v>
      </c>
      <c r="I801" s="120">
        <f t="shared" si="55"/>
        <v>0</v>
      </c>
      <c r="L801" s="128"/>
      <c r="M801" s="128"/>
    </row>
    <row r="802" spans="1:13">
      <c r="A802" s="117"/>
      <c r="B802" s="126"/>
      <c r="C802" s="146"/>
      <c r="D802" s="138"/>
      <c r="E802" s="181"/>
      <c r="F802" s="181"/>
      <c r="G802" s="120">
        <f t="shared" si="56"/>
        <v>0</v>
      </c>
      <c r="H802" s="120">
        <f t="shared" si="57"/>
        <v>0.875</v>
      </c>
      <c r="I802" s="120">
        <f t="shared" si="55"/>
        <v>0</v>
      </c>
      <c r="L802" s="121"/>
      <c r="M802" s="121"/>
    </row>
    <row r="803" spans="1:13">
      <c r="A803" s="117"/>
      <c r="B803" s="126"/>
      <c r="C803" s="146"/>
      <c r="D803" s="142"/>
      <c r="E803" s="181"/>
      <c r="F803" s="181"/>
      <c r="G803" s="120">
        <f t="shared" si="56"/>
        <v>0</v>
      </c>
      <c r="H803" s="120">
        <f t="shared" si="57"/>
        <v>0.875</v>
      </c>
      <c r="I803" s="120">
        <f t="shared" si="55"/>
        <v>0</v>
      </c>
      <c r="L803" s="121"/>
      <c r="M803" s="121"/>
    </row>
    <row r="804" spans="1:13">
      <c r="A804" s="117"/>
      <c r="B804" s="126"/>
      <c r="C804" s="146"/>
      <c r="D804" s="138"/>
      <c r="E804" s="181"/>
      <c r="F804" s="181"/>
      <c r="G804" s="120">
        <f t="shared" si="56"/>
        <v>0</v>
      </c>
      <c r="H804" s="120">
        <f t="shared" si="57"/>
        <v>0.875</v>
      </c>
      <c r="I804" s="120">
        <f t="shared" si="55"/>
        <v>0</v>
      </c>
      <c r="L804" s="121"/>
      <c r="M804" s="121"/>
    </row>
    <row r="805" spans="1:13">
      <c r="A805" s="117"/>
      <c r="B805" s="126"/>
      <c r="C805" s="146"/>
      <c r="D805" s="122"/>
      <c r="E805" s="181"/>
      <c r="F805" s="181"/>
      <c r="G805" s="120">
        <f t="shared" si="56"/>
        <v>0</v>
      </c>
      <c r="H805" s="120">
        <f t="shared" si="57"/>
        <v>0.875</v>
      </c>
      <c r="I805" s="120">
        <f t="shared" si="55"/>
        <v>0</v>
      </c>
      <c r="L805" s="121"/>
      <c r="M805" s="121"/>
    </row>
    <row r="806" spans="1:13">
      <c r="A806" s="117"/>
      <c r="B806" s="126"/>
      <c r="C806" s="146"/>
      <c r="D806" s="122"/>
      <c r="E806" s="181"/>
      <c r="F806" s="181"/>
      <c r="G806" s="120">
        <f t="shared" si="56"/>
        <v>0</v>
      </c>
      <c r="H806" s="120">
        <f t="shared" si="57"/>
        <v>0.875</v>
      </c>
      <c r="I806" s="120">
        <f t="shared" si="55"/>
        <v>0</v>
      </c>
      <c r="L806" s="121"/>
      <c r="M806" s="121"/>
    </row>
    <row r="807" spans="1:13">
      <c r="A807" s="117"/>
      <c r="B807" s="126"/>
      <c r="C807" s="143"/>
      <c r="D807" s="122"/>
      <c r="E807" s="181"/>
      <c r="F807" s="181"/>
      <c r="G807" s="120">
        <f t="shared" si="56"/>
        <v>0</v>
      </c>
      <c r="H807" s="120">
        <f t="shared" si="57"/>
        <v>0.875</v>
      </c>
      <c r="I807" s="120">
        <f t="shared" si="55"/>
        <v>0</v>
      </c>
      <c r="L807" s="121"/>
      <c r="M807" s="121"/>
    </row>
    <row r="808" spans="1:13">
      <c r="A808" s="117"/>
      <c r="B808" s="126"/>
      <c r="C808" s="143"/>
      <c r="D808" s="122"/>
      <c r="E808" s="181"/>
      <c r="F808" s="181"/>
      <c r="G808" s="120">
        <f t="shared" si="56"/>
        <v>0</v>
      </c>
      <c r="H808" s="120">
        <f t="shared" si="57"/>
        <v>0.875</v>
      </c>
      <c r="I808" s="120">
        <f t="shared" ref="I808:I871" si="58">IFERROR(IF((F809-$H$2)&lt;0,0,F809-$H$2),"0")</f>
        <v>0</v>
      </c>
      <c r="L808" s="121"/>
      <c r="M808" s="121"/>
    </row>
    <row r="809" spans="1:13">
      <c r="A809" s="117"/>
      <c r="B809" s="126"/>
      <c r="C809" s="143"/>
      <c r="D809" s="122"/>
      <c r="E809" s="181"/>
      <c r="F809" s="181"/>
      <c r="G809" s="120">
        <f t="shared" si="56"/>
        <v>0</v>
      </c>
      <c r="H809" s="120">
        <f t="shared" si="57"/>
        <v>0.875</v>
      </c>
      <c r="I809" s="120">
        <f t="shared" si="58"/>
        <v>0</v>
      </c>
      <c r="L809" s="121"/>
      <c r="M809" s="121"/>
    </row>
    <row r="810" spans="1:13">
      <c r="A810" s="117"/>
      <c r="B810" s="126"/>
      <c r="C810" s="143"/>
      <c r="D810" s="122"/>
      <c r="E810" s="181"/>
      <c r="F810" s="181"/>
      <c r="G810" s="120">
        <f t="shared" si="56"/>
        <v>0</v>
      </c>
      <c r="H810" s="120">
        <f t="shared" si="57"/>
        <v>0.875</v>
      </c>
      <c r="I810" s="120">
        <f t="shared" si="58"/>
        <v>0</v>
      </c>
      <c r="L810" s="121"/>
      <c r="M810" s="121"/>
    </row>
    <row r="811" spans="1:13">
      <c r="A811" s="117"/>
      <c r="B811" s="126"/>
      <c r="C811" s="145"/>
      <c r="D811" s="125"/>
      <c r="E811" s="181"/>
      <c r="F811" s="181"/>
      <c r="G811" s="120">
        <f t="shared" si="56"/>
        <v>0</v>
      </c>
      <c r="H811" s="120">
        <f t="shared" si="57"/>
        <v>0.875</v>
      </c>
      <c r="I811" s="120">
        <f t="shared" si="58"/>
        <v>0</v>
      </c>
      <c r="L811" s="121"/>
      <c r="M811" s="121"/>
    </row>
    <row r="812" spans="1:13">
      <c r="A812" s="117"/>
      <c r="B812" s="126"/>
      <c r="C812" s="143"/>
      <c r="D812" s="134"/>
      <c r="E812" s="181"/>
      <c r="F812" s="181"/>
      <c r="G812" s="120">
        <f t="shared" si="56"/>
        <v>0</v>
      </c>
      <c r="H812" s="120">
        <f t="shared" si="57"/>
        <v>0.875</v>
      </c>
      <c r="I812" s="120">
        <f t="shared" si="58"/>
        <v>0</v>
      </c>
      <c r="L812" s="121"/>
      <c r="M812" s="121"/>
    </row>
    <row r="813" spans="1:13">
      <c r="A813" s="117"/>
      <c r="B813" s="126"/>
      <c r="C813" s="145"/>
      <c r="D813" s="133"/>
      <c r="E813" s="181"/>
      <c r="F813" s="181"/>
      <c r="G813" s="120">
        <f t="shared" si="56"/>
        <v>0</v>
      </c>
      <c r="H813" s="120">
        <f t="shared" si="57"/>
        <v>0.875</v>
      </c>
      <c r="I813" s="120">
        <f t="shared" si="58"/>
        <v>0</v>
      </c>
      <c r="L813" s="121"/>
      <c r="M813" s="121"/>
    </row>
    <row r="814" spans="1:13">
      <c r="A814" s="117"/>
      <c r="B814" s="126"/>
      <c r="C814" s="143"/>
      <c r="D814" s="122"/>
      <c r="E814" s="181"/>
      <c r="F814" s="181"/>
      <c r="G814" s="120">
        <f t="shared" si="56"/>
        <v>0</v>
      </c>
      <c r="H814" s="120">
        <f t="shared" si="57"/>
        <v>0.875</v>
      </c>
      <c r="I814" s="120">
        <f t="shared" si="58"/>
        <v>0</v>
      </c>
      <c r="L814" s="121"/>
      <c r="M814" s="121"/>
    </row>
    <row r="815" spans="1:13">
      <c r="A815" s="117"/>
      <c r="B815" s="126"/>
      <c r="C815" s="145"/>
      <c r="D815" s="133"/>
      <c r="E815" s="181"/>
      <c r="F815" s="181"/>
      <c r="G815" s="120">
        <f t="shared" si="56"/>
        <v>0</v>
      </c>
      <c r="H815" s="120">
        <f t="shared" si="57"/>
        <v>0.875</v>
      </c>
      <c r="I815" s="120">
        <f t="shared" si="58"/>
        <v>0</v>
      </c>
      <c r="L815" s="121"/>
      <c r="M815" s="121"/>
    </row>
    <row r="816" spans="1:13">
      <c r="A816" s="117"/>
      <c r="B816" s="126"/>
      <c r="C816" s="145"/>
      <c r="D816" s="133"/>
      <c r="E816" s="181"/>
      <c r="F816" s="181"/>
      <c r="G816" s="120">
        <f t="shared" si="56"/>
        <v>0</v>
      </c>
      <c r="H816" s="120">
        <f t="shared" si="57"/>
        <v>0.875</v>
      </c>
      <c r="I816" s="120">
        <f t="shared" si="58"/>
        <v>0</v>
      </c>
      <c r="L816" s="121"/>
      <c r="M816" s="121"/>
    </row>
    <row r="817" spans="1:13">
      <c r="A817" s="117"/>
      <c r="B817" s="126"/>
      <c r="C817" s="143"/>
      <c r="D817" s="130"/>
      <c r="E817" s="181"/>
      <c r="F817" s="181"/>
      <c r="G817" s="120">
        <f t="shared" si="56"/>
        <v>0</v>
      </c>
      <c r="H817" s="120">
        <f t="shared" si="57"/>
        <v>0.875</v>
      </c>
      <c r="I817" s="120">
        <f t="shared" si="58"/>
        <v>0</v>
      </c>
      <c r="L817" s="121"/>
      <c r="M817" s="121"/>
    </row>
    <row r="818" spans="1:13">
      <c r="A818" s="117"/>
      <c r="B818" s="126"/>
      <c r="C818" s="143"/>
      <c r="D818" s="122"/>
      <c r="E818" s="181"/>
      <c r="F818" s="181"/>
      <c r="G818" s="120">
        <f t="shared" si="56"/>
        <v>0</v>
      </c>
      <c r="H818" s="120">
        <f t="shared" si="57"/>
        <v>0.875</v>
      </c>
      <c r="I818" s="120">
        <f t="shared" si="58"/>
        <v>0</v>
      </c>
      <c r="L818" s="121"/>
      <c r="M818" s="121"/>
    </row>
    <row r="819" spans="1:13">
      <c r="A819" s="117"/>
      <c r="B819" s="126"/>
      <c r="C819" s="143"/>
      <c r="D819" s="122"/>
      <c r="E819" s="181"/>
      <c r="F819" s="181"/>
      <c r="G819" s="120">
        <f t="shared" si="56"/>
        <v>0</v>
      </c>
      <c r="H819" s="120">
        <f t="shared" si="57"/>
        <v>0.875</v>
      </c>
      <c r="I819" s="120">
        <f t="shared" si="58"/>
        <v>0</v>
      </c>
      <c r="L819" s="121"/>
      <c r="M819" s="121"/>
    </row>
    <row r="820" spans="1:13">
      <c r="A820" s="117"/>
      <c r="B820" s="126"/>
      <c r="C820" s="143"/>
      <c r="D820" s="122"/>
      <c r="E820" s="181"/>
      <c r="F820" s="181"/>
      <c r="G820" s="120">
        <f t="shared" si="56"/>
        <v>0</v>
      </c>
      <c r="H820" s="120">
        <f t="shared" si="57"/>
        <v>0.875</v>
      </c>
      <c r="I820" s="120">
        <f t="shared" si="58"/>
        <v>0</v>
      </c>
      <c r="L820" s="121"/>
      <c r="M820" s="121"/>
    </row>
    <row r="821" spans="1:13">
      <c r="A821" s="117"/>
      <c r="B821" s="126"/>
      <c r="C821" s="143"/>
      <c r="D821" s="122"/>
      <c r="E821" s="181"/>
      <c r="F821" s="181"/>
      <c r="G821" s="120">
        <f t="shared" si="56"/>
        <v>0</v>
      </c>
      <c r="H821" s="120">
        <f t="shared" si="57"/>
        <v>0.875</v>
      </c>
      <c r="I821" s="120">
        <f t="shared" si="58"/>
        <v>0</v>
      </c>
      <c r="L821" s="121"/>
      <c r="M821" s="121"/>
    </row>
    <row r="822" spans="1:13">
      <c r="A822" s="117"/>
      <c r="B822" s="126"/>
      <c r="C822" s="143"/>
      <c r="D822" s="122"/>
      <c r="E822" s="181"/>
      <c r="F822" s="181"/>
      <c r="G822" s="120">
        <f t="shared" si="56"/>
        <v>0</v>
      </c>
      <c r="H822" s="120">
        <f t="shared" si="57"/>
        <v>0.875</v>
      </c>
      <c r="I822" s="120">
        <f t="shared" si="58"/>
        <v>0</v>
      </c>
      <c r="L822" s="121"/>
      <c r="M822" s="121"/>
    </row>
    <row r="823" spans="1:13">
      <c r="A823" s="117"/>
      <c r="B823" s="126"/>
      <c r="C823" s="143"/>
      <c r="D823" s="122"/>
      <c r="E823" s="181"/>
      <c r="F823" s="181"/>
      <c r="G823" s="120">
        <f t="shared" ref="G823:G886" si="59">IFERROR(IF((E823-$F$2)&lt;=$H$3,0,E823-$F$2),"غياب")</f>
        <v>0</v>
      </c>
      <c r="H823" s="120">
        <f t="shared" si="57"/>
        <v>0.875</v>
      </c>
      <c r="I823" s="120">
        <f t="shared" si="58"/>
        <v>0</v>
      </c>
      <c r="L823" s="121"/>
      <c r="M823" s="121"/>
    </row>
    <row r="824" spans="1:13">
      <c r="A824" s="117"/>
      <c r="B824" s="126"/>
      <c r="C824" s="143"/>
      <c r="D824" s="122"/>
      <c r="E824" s="181"/>
      <c r="F824" s="181"/>
      <c r="G824" s="120">
        <f t="shared" si="59"/>
        <v>0</v>
      </c>
      <c r="H824" s="120">
        <f t="shared" si="57"/>
        <v>0.875</v>
      </c>
      <c r="I824" s="120">
        <f t="shared" si="58"/>
        <v>0</v>
      </c>
      <c r="L824" s="121"/>
      <c r="M824" s="121"/>
    </row>
    <row r="825" spans="1:13">
      <c r="A825" s="117"/>
      <c r="B825" s="126"/>
      <c r="C825" s="143"/>
      <c r="D825" s="122"/>
      <c r="E825" s="181"/>
      <c r="F825" s="181"/>
      <c r="G825" s="120">
        <f t="shared" si="59"/>
        <v>0</v>
      </c>
      <c r="H825" s="120">
        <f t="shared" si="57"/>
        <v>0.875</v>
      </c>
      <c r="I825" s="120">
        <f t="shared" si="58"/>
        <v>0</v>
      </c>
      <c r="L825" s="121"/>
      <c r="M825" s="121"/>
    </row>
    <row r="826" spans="1:13">
      <c r="A826" s="117"/>
      <c r="B826" s="126"/>
      <c r="C826" s="143"/>
      <c r="D826" s="122"/>
      <c r="E826" s="181"/>
      <c r="F826" s="181"/>
      <c r="G826" s="120">
        <f t="shared" si="59"/>
        <v>0</v>
      </c>
      <c r="H826" s="120">
        <f t="shared" si="57"/>
        <v>0.875</v>
      </c>
      <c r="I826" s="120">
        <f t="shared" si="58"/>
        <v>0</v>
      </c>
      <c r="L826" s="121"/>
      <c r="M826" s="121"/>
    </row>
    <row r="827" spans="1:13">
      <c r="A827" s="117"/>
      <c r="B827" s="126"/>
      <c r="C827" s="143"/>
      <c r="D827" s="122"/>
      <c r="E827" s="181"/>
      <c r="F827" s="181"/>
      <c r="G827" s="120">
        <f t="shared" si="59"/>
        <v>0</v>
      </c>
      <c r="H827" s="120">
        <f t="shared" si="57"/>
        <v>0.875</v>
      </c>
      <c r="I827" s="120">
        <f t="shared" si="58"/>
        <v>0</v>
      </c>
      <c r="L827" s="121"/>
      <c r="M827" s="121"/>
    </row>
    <row r="828" spans="1:13">
      <c r="A828" s="117"/>
      <c r="B828" s="126"/>
      <c r="C828" s="143"/>
      <c r="D828" s="122"/>
      <c r="E828" s="181"/>
      <c r="F828" s="181"/>
      <c r="G828" s="120">
        <f t="shared" si="59"/>
        <v>0</v>
      </c>
      <c r="H828" s="120">
        <f t="shared" si="57"/>
        <v>0.875</v>
      </c>
      <c r="I828" s="120">
        <f t="shared" si="58"/>
        <v>0</v>
      </c>
      <c r="L828" s="121"/>
      <c r="M828" s="121"/>
    </row>
    <row r="829" spans="1:13">
      <c r="A829" s="117"/>
      <c r="B829" s="126"/>
      <c r="C829" s="143"/>
      <c r="D829" s="122"/>
      <c r="E829" s="181"/>
      <c r="F829" s="181"/>
      <c r="G829" s="120">
        <f t="shared" si="59"/>
        <v>0</v>
      </c>
      <c r="H829" s="120">
        <f t="shared" si="57"/>
        <v>0.875</v>
      </c>
      <c r="I829" s="120">
        <f t="shared" si="58"/>
        <v>0</v>
      </c>
      <c r="L829" s="121"/>
      <c r="M829" s="121"/>
    </row>
    <row r="830" spans="1:13">
      <c r="A830" s="117"/>
      <c r="B830" s="126"/>
      <c r="C830" s="143"/>
      <c r="D830" s="122"/>
      <c r="E830" s="181"/>
      <c r="F830" s="181"/>
      <c r="G830" s="120">
        <f t="shared" si="59"/>
        <v>0</v>
      </c>
      <c r="H830" s="120">
        <f t="shared" si="57"/>
        <v>0.875</v>
      </c>
      <c r="I830" s="120">
        <f t="shared" si="58"/>
        <v>0</v>
      </c>
      <c r="L830" s="121"/>
      <c r="M830" s="121"/>
    </row>
    <row r="831" spans="1:13">
      <c r="A831" s="117"/>
      <c r="B831" s="126"/>
      <c r="C831" s="143"/>
      <c r="D831" s="122"/>
      <c r="E831" s="181"/>
      <c r="F831" s="181"/>
      <c r="G831" s="120">
        <f t="shared" si="59"/>
        <v>0</v>
      </c>
      <c r="H831" s="120">
        <f t="shared" si="57"/>
        <v>0.875</v>
      </c>
      <c r="I831" s="120">
        <f t="shared" si="58"/>
        <v>0</v>
      </c>
      <c r="L831" s="121"/>
      <c r="M831" s="121"/>
    </row>
    <row r="832" spans="1:13">
      <c r="A832" s="117"/>
      <c r="B832" s="126"/>
      <c r="C832" s="143"/>
      <c r="D832" s="122"/>
      <c r="E832" s="181"/>
      <c r="F832" s="181"/>
      <c r="G832" s="120">
        <f t="shared" si="59"/>
        <v>0</v>
      </c>
      <c r="H832" s="120">
        <f t="shared" si="57"/>
        <v>0.875</v>
      </c>
      <c r="I832" s="120">
        <f t="shared" si="58"/>
        <v>0</v>
      </c>
      <c r="L832" s="121"/>
      <c r="M832" s="121"/>
    </row>
    <row r="833" spans="1:13">
      <c r="A833" s="117"/>
      <c r="B833" s="126"/>
      <c r="C833" s="143"/>
      <c r="D833" s="122"/>
      <c r="E833" s="181"/>
      <c r="F833" s="181"/>
      <c r="G833" s="120">
        <f t="shared" si="59"/>
        <v>0</v>
      </c>
      <c r="H833" s="120">
        <f t="shared" si="57"/>
        <v>0.875</v>
      </c>
      <c r="I833" s="120">
        <f t="shared" si="58"/>
        <v>0</v>
      </c>
      <c r="L833" s="121"/>
      <c r="M833" s="121"/>
    </row>
    <row r="834" spans="1:13">
      <c r="A834" s="117"/>
      <c r="B834" s="126"/>
      <c r="C834" s="143"/>
      <c r="D834" s="122"/>
      <c r="E834" s="181"/>
      <c r="F834" s="181"/>
      <c r="G834" s="120">
        <f t="shared" si="59"/>
        <v>0</v>
      </c>
      <c r="H834" s="120">
        <f t="shared" si="57"/>
        <v>0.875</v>
      </c>
      <c r="I834" s="120">
        <f t="shared" si="58"/>
        <v>0</v>
      </c>
      <c r="L834" s="121"/>
      <c r="M834" s="121"/>
    </row>
    <row r="835" spans="1:13">
      <c r="A835" s="117"/>
      <c r="B835" s="126"/>
      <c r="C835" s="143"/>
      <c r="D835" s="122"/>
      <c r="E835" s="181"/>
      <c r="F835" s="181"/>
      <c r="G835" s="120">
        <f t="shared" si="59"/>
        <v>0</v>
      </c>
      <c r="H835" s="120">
        <f t="shared" si="57"/>
        <v>0.875</v>
      </c>
      <c r="I835" s="120">
        <f t="shared" si="58"/>
        <v>0</v>
      </c>
      <c r="L835" s="121"/>
      <c r="M835" s="121"/>
    </row>
    <row r="836" spans="1:13">
      <c r="A836" s="117"/>
      <c r="B836" s="126"/>
      <c r="C836" s="143"/>
      <c r="D836" s="122"/>
      <c r="E836" s="181"/>
      <c r="F836" s="181"/>
      <c r="G836" s="120">
        <f t="shared" si="59"/>
        <v>0</v>
      </c>
      <c r="H836" s="120">
        <f t="shared" si="57"/>
        <v>0.875</v>
      </c>
      <c r="I836" s="120">
        <f t="shared" si="58"/>
        <v>0</v>
      </c>
      <c r="L836" s="121"/>
      <c r="M836" s="121"/>
    </row>
    <row r="837" spans="1:13">
      <c r="A837" s="117"/>
      <c r="B837" s="126"/>
      <c r="C837" s="143"/>
      <c r="D837" s="122"/>
      <c r="E837" s="181"/>
      <c r="F837" s="181"/>
      <c r="G837" s="120">
        <f t="shared" si="59"/>
        <v>0</v>
      </c>
      <c r="H837" s="120">
        <f t="shared" si="57"/>
        <v>0.875</v>
      </c>
      <c r="I837" s="120">
        <f t="shared" si="58"/>
        <v>0</v>
      </c>
      <c r="L837" s="121"/>
      <c r="M837" s="121"/>
    </row>
    <row r="838" spans="1:13">
      <c r="A838" s="117"/>
      <c r="B838" s="126"/>
      <c r="C838" s="143"/>
      <c r="D838" s="122"/>
      <c r="E838" s="181"/>
      <c r="F838" s="181"/>
      <c r="G838" s="120">
        <f t="shared" si="59"/>
        <v>0</v>
      </c>
      <c r="H838" s="120">
        <f t="shared" si="57"/>
        <v>0.875</v>
      </c>
      <c r="I838" s="120">
        <f t="shared" si="58"/>
        <v>0</v>
      </c>
      <c r="L838" s="121"/>
      <c r="M838" s="121"/>
    </row>
    <row r="839" spans="1:13">
      <c r="A839" s="117"/>
      <c r="B839" s="126"/>
      <c r="C839" s="143"/>
      <c r="D839" s="122"/>
      <c r="E839" s="181"/>
      <c r="F839" s="181"/>
      <c r="G839" s="120">
        <f t="shared" si="59"/>
        <v>0</v>
      </c>
      <c r="H839" s="120">
        <f t="shared" si="57"/>
        <v>0.875</v>
      </c>
      <c r="I839" s="120">
        <f t="shared" si="58"/>
        <v>0</v>
      </c>
      <c r="L839" s="121"/>
      <c r="M839" s="121"/>
    </row>
    <row r="840" spans="1:13">
      <c r="A840" s="117"/>
      <c r="B840" s="126"/>
      <c r="C840" s="143"/>
      <c r="D840" s="122"/>
      <c r="E840" s="181"/>
      <c r="F840" s="181"/>
      <c r="G840" s="120">
        <f t="shared" si="59"/>
        <v>0</v>
      </c>
      <c r="H840" s="120">
        <f t="shared" si="57"/>
        <v>0.875</v>
      </c>
      <c r="I840" s="120">
        <f t="shared" si="58"/>
        <v>0</v>
      </c>
      <c r="L840" s="121"/>
      <c r="M840" s="121"/>
    </row>
    <row r="841" spans="1:13">
      <c r="A841" s="117"/>
      <c r="B841" s="126"/>
      <c r="C841" s="143"/>
      <c r="D841" s="122"/>
      <c r="E841" s="181"/>
      <c r="F841" s="181"/>
      <c r="G841" s="120">
        <f t="shared" si="59"/>
        <v>0</v>
      </c>
      <c r="H841" s="120">
        <f t="shared" si="57"/>
        <v>0.875</v>
      </c>
      <c r="I841" s="120">
        <f t="shared" si="58"/>
        <v>0</v>
      </c>
      <c r="L841" s="121"/>
      <c r="M841" s="121"/>
    </row>
    <row r="842" spans="1:13">
      <c r="A842" s="117"/>
      <c r="B842" s="126"/>
      <c r="C842" s="143"/>
      <c r="D842" s="122"/>
      <c r="E842" s="181"/>
      <c r="F842" s="181"/>
      <c r="G842" s="120">
        <f t="shared" si="59"/>
        <v>0</v>
      </c>
      <c r="H842" s="120">
        <f t="shared" ref="H842:H905" si="60">IF(($H$2-F842)&lt;0,0,$H$2-F842)</f>
        <v>0.875</v>
      </c>
      <c r="I842" s="120">
        <f t="shared" si="58"/>
        <v>0</v>
      </c>
      <c r="L842" s="121"/>
      <c r="M842" s="121"/>
    </row>
    <row r="843" spans="1:13">
      <c r="A843" s="117"/>
      <c r="B843" s="126"/>
      <c r="C843" s="143"/>
      <c r="D843" s="122"/>
      <c r="E843" s="181"/>
      <c r="F843" s="181"/>
      <c r="G843" s="120">
        <f t="shared" si="59"/>
        <v>0</v>
      </c>
      <c r="H843" s="120">
        <f t="shared" si="60"/>
        <v>0.875</v>
      </c>
      <c r="I843" s="120">
        <f t="shared" si="58"/>
        <v>0</v>
      </c>
      <c r="L843" s="121"/>
      <c r="M843" s="121"/>
    </row>
    <row r="844" spans="1:13">
      <c r="A844" s="117"/>
      <c r="B844" s="126"/>
      <c r="C844" s="143"/>
      <c r="D844" s="122"/>
      <c r="E844" s="181"/>
      <c r="F844" s="181"/>
      <c r="G844" s="120">
        <f t="shared" si="59"/>
        <v>0</v>
      </c>
      <c r="H844" s="120">
        <f t="shared" si="60"/>
        <v>0.875</v>
      </c>
      <c r="I844" s="120">
        <f t="shared" si="58"/>
        <v>0</v>
      </c>
      <c r="L844" s="121"/>
      <c r="M844" s="121"/>
    </row>
    <row r="845" spans="1:13">
      <c r="A845" s="117"/>
      <c r="B845" s="126"/>
      <c r="C845" s="145"/>
      <c r="D845" s="125"/>
      <c r="E845" s="181"/>
      <c r="F845" s="181"/>
      <c r="G845" s="120">
        <f t="shared" si="59"/>
        <v>0</v>
      </c>
      <c r="H845" s="120">
        <f t="shared" si="60"/>
        <v>0.875</v>
      </c>
      <c r="I845" s="120">
        <f t="shared" si="58"/>
        <v>0</v>
      </c>
      <c r="L845" s="121"/>
      <c r="M845" s="121"/>
    </row>
    <row r="846" spans="1:13">
      <c r="A846" s="117"/>
      <c r="B846" s="126"/>
      <c r="C846" s="143"/>
      <c r="D846" s="134"/>
      <c r="E846" s="181"/>
      <c r="F846" s="181"/>
      <c r="G846" s="120">
        <f t="shared" si="59"/>
        <v>0</v>
      </c>
      <c r="H846" s="120">
        <f t="shared" si="60"/>
        <v>0.875</v>
      </c>
      <c r="I846" s="120">
        <f t="shared" si="58"/>
        <v>0</v>
      </c>
      <c r="L846" s="121"/>
      <c r="M846" s="121"/>
    </row>
    <row r="847" spans="1:13">
      <c r="A847" s="117"/>
      <c r="B847" s="126"/>
      <c r="C847" s="145"/>
      <c r="D847" s="133"/>
      <c r="E847" s="181"/>
      <c r="F847" s="181"/>
      <c r="G847" s="120">
        <f t="shared" si="59"/>
        <v>0</v>
      </c>
      <c r="H847" s="120">
        <f t="shared" si="60"/>
        <v>0.875</v>
      </c>
      <c r="I847" s="120">
        <f t="shared" si="58"/>
        <v>0</v>
      </c>
      <c r="L847" s="121"/>
      <c r="M847" s="121"/>
    </row>
    <row r="848" spans="1:13">
      <c r="A848" s="117"/>
      <c r="B848" s="126"/>
      <c r="C848" s="143"/>
      <c r="D848" s="122"/>
      <c r="E848" s="181"/>
      <c r="F848" s="181"/>
      <c r="G848" s="120">
        <f t="shared" si="59"/>
        <v>0</v>
      </c>
      <c r="H848" s="120">
        <f t="shared" si="60"/>
        <v>0.875</v>
      </c>
      <c r="I848" s="120">
        <f t="shared" si="58"/>
        <v>0</v>
      </c>
      <c r="L848" s="121"/>
      <c r="M848" s="121"/>
    </row>
    <row r="849" spans="1:13">
      <c r="A849" s="117"/>
      <c r="B849" s="126"/>
      <c r="C849" s="145"/>
      <c r="D849" s="133"/>
      <c r="E849" s="181"/>
      <c r="F849" s="181"/>
      <c r="G849" s="120">
        <f t="shared" si="59"/>
        <v>0</v>
      </c>
      <c r="H849" s="120">
        <f t="shared" si="60"/>
        <v>0.875</v>
      </c>
      <c r="I849" s="120">
        <f t="shared" si="58"/>
        <v>0</v>
      </c>
      <c r="L849" s="121"/>
      <c r="M849" s="121"/>
    </row>
    <row r="850" spans="1:13">
      <c r="A850" s="117"/>
      <c r="B850" s="126"/>
      <c r="C850" s="145"/>
      <c r="D850" s="133"/>
      <c r="E850" s="181"/>
      <c r="F850" s="181"/>
      <c r="G850" s="120">
        <f t="shared" si="59"/>
        <v>0</v>
      </c>
      <c r="H850" s="120">
        <f t="shared" si="60"/>
        <v>0.875</v>
      </c>
      <c r="I850" s="120">
        <f t="shared" si="58"/>
        <v>0</v>
      </c>
      <c r="L850" s="121"/>
      <c r="M850" s="121"/>
    </row>
    <row r="851" spans="1:13">
      <c r="A851" s="117"/>
      <c r="B851" s="126"/>
      <c r="C851" s="143"/>
      <c r="D851" s="122"/>
      <c r="E851" s="181"/>
      <c r="F851" s="181"/>
      <c r="G851" s="120">
        <f t="shared" si="59"/>
        <v>0</v>
      </c>
      <c r="H851" s="120">
        <f t="shared" si="60"/>
        <v>0.875</v>
      </c>
      <c r="I851" s="120">
        <f t="shared" si="58"/>
        <v>0</v>
      </c>
      <c r="L851" s="121"/>
      <c r="M851" s="121"/>
    </row>
    <row r="852" spans="1:13">
      <c r="A852" s="117"/>
      <c r="B852" s="126"/>
      <c r="C852" s="143"/>
      <c r="D852" s="122"/>
      <c r="E852" s="181"/>
      <c r="F852" s="181"/>
      <c r="G852" s="120">
        <f t="shared" si="59"/>
        <v>0</v>
      </c>
      <c r="H852" s="120">
        <f t="shared" si="60"/>
        <v>0.875</v>
      </c>
      <c r="I852" s="120">
        <f t="shared" si="58"/>
        <v>0</v>
      </c>
      <c r="L852" s="121"/>
      <c r="M852" s="121"/>
    </row>
    <row r="853" spans="1:13">
      <c r="A853" s="117"/>
      <c r="B853" s="126"/>
      <c r="C853" s="143"/>
      <c r="D853" s="122"/>
      <c r="E853" s="181"/>
      <c r="F853" s="181"/>
      <c r="G853" s="120">
        <f t="shared" si="59"/>
        <v>0</v>
      </c>
      <c r="H853" s="120">
        <f t="shared" si="60"/>
        <v>0.875</v>
      </c>
      <c r="I853" s="120">
        <f t="shared" si="58"/>
        <v>0</v>
      </c>
      <c r="L853" s="121"/>
      <c r="M853" s="121"/>
    </row>
    <row r="854" spans="1:13">
      <c r="A854" s="117"/>
      <c r="B854" s="126"/>
      <c r="C854" s="143"/>
      <c r="D854" s="122"/>
      <c r="E854" s="181"/>
      <c r="F854" s="181"/>
      <c r="G854" s="120">
        <f t="shared" si="59"/>
        <v>0</v>
      </c>
      <c r="H854" s="120">
        <f t="shared" si="60"/>
        <v>0.875</v>
      </c>
      <c r="I854" s="120">
        <f t="shared" si="58"/>
        <v>0</v>
      </c>
      <c r="L854" s="121"/>
      <c r="M854" s="121"/>
    </row>
    <row r="855" spans="1:13">
      <c r="A855" s="117"/>
      <c r="B855" s="126"/>
      <c r="C855" s="143"/>
      <c r="D855" s="122"/>
      <c r="E855" s="181"/>
      <c r="F855" s="181"/>
      <c r="G855" s="120">
        <f t="shared" si="59"/>
        <v>0</v>
      </c>
      <c r="H855" s="120">
        <f t="shared" si="60"/>
        <v>0.875</v>
      </c>
      <c r="I855" s="120">
        <f t="shared" si="58"/>
        <v>0</v>
      </c>
      <c r="L855" s="121"/>
      <c r="M855" s="121"/>
    </row>
    <row r="856" spans="1:13">
      <c r="A856" s="117"/>
      <c r="B856" s="126"/>
      <c r="C856" s="143"/>
      <c r="D856" s="122"/>
      <c r="E856" s="181"/>
      <c r="F856" s="181"/>
      <c r="G856" s="120">
        <f t="shared" si="59"/>
        <v>0</v>
      </c>
      <c r="H856" s="120">
        <f t="shared" si="60"/>
        <v>0.875</v>
      </c>
      <c r="I856" s="120">
        <f t="shared" si="58"/>
        <v>0</v>
      </c>
      <c r="L856" s="121"/>
      <c r="M856" s="121"/>
    </row>
    <row r="857" spans="1:13">
      <c r="A857" s="117"/>
      <c r="B857" s="126"/>
      <c r="C857" s="143"/>
      <c r="D857" s="122"/>
      <c r="E857" s="181"/>
      <c r="F857" s="181"/>
      <c r="G857" s="120">
        <f t="shared" si="59"/>
        <v>0</v>
      </c>
      <c r="H857" s="120">
        <f t="shared" si="60"/>
        <v>0.875</v>
      </c>
      <c r="I857" s="120">
        <f t="shared" si="58"/>
        <v>0</v>
      </c>
      <c r="L857" s="121"/>
      <c r="M857" s="121"/>
    </row>
    <row r="858" spans="1:13">
      <c r="A858" s="117"/>
      <c r="B858" s="126"/>
      <c r="C858" s="143"/>
      <c r="D858" s="122"/>
      <c r="E858" s="181"/>
      <c r="F858" s="181"/>
      <c r="G858" s="120">
        <f t="shared" si="59"/>
        <v>0</v>
      </c>
      <c r="H858" s="120">
        <f t="shared" si="60"/>
        <v>0.875</v>
      </c>
      <c r="I858" s="120">
        <f t="shared" si="58"/>
        <v>0</v>
      </c>
      <c r="L858" s="121"/>
      <c r="M858" s="121"/>
    </row>
    <row r="859" spans="1:13">
      <c r="A859" s="117"/>
      <c r="B859" s="126"/>
      <c r="C859" s="143"/>
      <c r="D859" s="122"/>
      <c r="E859" s="181"/>
      <c r="F859" s="181"/>
      <c r="G859" s="120">
        <f t="shared" si="59"/>
        <v>0</v>
      </c>
      <c r="H859" s="120">
        <f t="shared" si="60"/>
        <v>0.875</v>
      </c>
      <c r="I859" s="120">
        <f t="shared" si="58"/>
        <v>0</v>
      </c>
      <c r="L859" s="121"/>
      <c r="M859" s="121"/>
    </row>
    <row r="860" spans="1:13">
      <c r="A860" s="117"/>
      <c r="B860" s="126"/>
      <c r="C860" s="143"/>
      <c r="D860" s="122"/>
      <c r="E860" s="181"/>
      <c r="F860" s="181"/>
      <c r="G860" s="120">
        <f t="shared" si="59"/>
        <v>0</v>
      </c>
      <c r="H860" s="120">
        <f t="shared" si="60"/>
        <v>0.875</v>
      </c>
      <c r="I860" s="120">
        <f t="shared" si="58"/>
        <v>0</v>
      </c>
      <c r="L860" s="121"/>
      <c r="M860" s="121"/>
    </row>
    <row r="861" spans="1:13">
      <c r="A861" s="117"/>
      <c r="B861" s="126"/>
      <c r="C861" s="143"/>
      <c r="D861" s="122"/>
      <c r="E861" s="181"/>
      <c r="F861" s="181"/>
      <c r="G861" s="120">
        <f t="shared" si="59"/>
        <v>0</v>
      </c>
      <c r="H861" s="120">
        <f t="shared" si="60"/>
        <v>0.875</v>
      </c>
      <c r="I861" s="120">
        <f t="shared" si="58"/>
        <v>0</v>
      </c>
      <c r="L861" s="121"/>
      <c r="M861" s="121"/>
    </row>
    <row r="862" spans="1:13">
      <c r="A862" s="117"/>
      <c r="B862" s="126"/>
      <c r="C862" s="143"/>
      <c r="D862" s="122"/>
      <c r="E862" s="181"/>
      <c r="F862" s="181"/>
      <c r="G862" s="120">
        <f t="shared" si="59"/>
        <v>0</v>
      </c>
      <c r="H862" s="120">
        <f t="shared" si="60"/>
        <v>0.875</v>
      </c>
      <c r="I862" s="120">
        <f t="shared" si="58"/>
        <v>0</v>
      </c>
      <c r="L862" s="121"/>
      <c r="M862" s="121"/>
    </row>
    <row r="863" spans="1:13">
      <c r="A863" s="117"/>
      <c r="B863" s="126"/>
      <c r="C863" s="143"/>
      <c r="D863" s="122"/>
      <c r="E863" s="181"/>
      <c r="F863" s="181"/>
      <c r="G863" s="120">
        <f t="shared" si="59"/>
        <v>0</v>
      </c>
      <c r="H863" s="120">
        <f t="shared" si="60"/>
        <v>0.875</v>
      </c>
      <c r="I863" s="120">
        <f t="shared" si="58"/>
        <v>0</v>
      </c>
      <c r="L863" s="121"/>
      <c r="M863" s="121"/>
    </row>
    <row r="864" spans="1:13">
      <c r="A864" s="117"/>
      <c r="B864" s="126"/>
      <c r="C864" s="143"/>
      <c r="D864" s="122"/>
      <c r="E864" s="181"/>
      <c r="F864" s="181"/>
      <c r="G864" s="120">
        <f t="shared" si="59"/>
        <v>0</v>
      </c>
      <c r="H864" s="120">
        <f t="shared" si="60"/>
        <v>0.875</v>
      </c>
      <c r="I864" s="120">
        <f t="shared" si="58"/>
        <v>0</v>
      </c>
      <c r="L864" s="121"/>
      <c r="M864" s="121"/>
    </row>
    <row r="865" spans="1:13">
      <c r="A865" s="117"/>
      <c r="B865" s="126"/>
      <c r="C865" s="143"/>
      <c r="D865" s="122"/>
      <c r="E865" s="181"/>
      <c r="F865" s="181"/>
      <c r="G865" s="120">
        <f t="shared" si="59"/>
        <v>0</v>
      </c>
      <c r="H865" s="120">
        <f t="shared" si="60"/>
        <v>0.875</v>
      </c>
      <c r="I865" s="120">
        <f t="shared" si="58"/>
        <v>0</v>
      </c>
      <c r="L865" s="121"/>
      <c r="M865" s="121"/>
    </row>
    <row r="866" spans="1:13">
      <c r="A866" s="117"/>
      <c r="B866" s="126"/>
      <c r="C866" s="143"/>
      <c r="D866" s="122"/>
      <c r="E866" s="181"/>
      <c r="F866" s="181"/>
      <c r="G866" s="120">
        <f t="shared" si="59"/>
        <v>0</v>
      </c>
      <c r="H866" s="120">
        <f t="shared" si="60"/>
        <v>0.875</v>
      </c>
      <c r="I866" s="120">
        <f t="shared" si="58"/>
        <v>0</v>
      </c>
      <c r="L866" s="121"/>
      <c r="M866" s="121"/>
    </row>
    <row r="867" spans="1:13">
      <c r="A867" s="117"/>
      <c r="B867" s="126"/>
      <c r="C867" s="143"/>
      <c r="D867" s="122"/>
      <c r="E867" s="181"/>
      <c r="F867" s="181"/>
      <c r="G867" s="120">
        <f t="shared" si="59"/>
        <v>0</v>
      </c>
      <c r="H867" s="120">
        <f t="shared" si="60"/>
        <v>0.875</v>
      </c>
      <c r="I867" s="120">
        <f t="shared" si="58"/>
        <v>0</v>
      </c>
      <c r="L867" s="121"/>
      <c r="M867" s="121"/>
    </row>
    <row r="868" spans="1:13">
      <c r="A868" s="117"/>
      <c r="B868" s="126"/>
      <c r="C868" s="143"/>
      <c r="D868" s="122"/>
      <c r="E868" s="181"/>
      <c r="F868" s="181"/>
      <c r="G868" s="120">
        <f t="shared" si="59"/>
        <v>0</v>
      </c>
      <c r="H868" s="120">
        <f t="shared" si="60"/>
        <v>0.875</v>
      </c>
      <c r="I868" s="120">
        <f t="shared" si="58"/>
        <v>0</v>
      </c>
      <c r="L868" s="121"/>
      <c r="M868" s="121"/>
    </row>
    <row r="869" spans="1:13">
      <c r="A869" s="117"/>
      <c r="B869" s="126"/>
      <c r="C869" s="143"/>
      <c r="D869" s="122"/>
      <c r="E869" s="181"/>
      <c r="F869" s="181"/>
      <c r="G869" s="120">
        <f t="shared" si="59"/>
        <v>0</v>
      </c>
      <c r="H869" s="120">
        <f t="shared" si="60"/>
        <v>0.875</v>
      </c>
      <c r="I869" s="120">
        <f t="shared" si="58"/>
        <v>0</v>
      </c>
      <c r="L869" s="121"/>
      <c r="M869" s="121"/>
    </row>
    <row r="870" spans="1:13">
      <c r="A870" s="117"/>
      <c r="B870" s="126"/>
      <c r="C870" s="143"/>
      <c r="D870" s="122"/>
      <c r="E870" s="181"/>
      <c r="F870" s="181"/>
      <c r="G870" s="120">
        <f t="shared" si="59"/>
        <v>0</v>
      </c>
      <c r="H870" s="120">
        <f t="shared" si="60"/>
        <v>0.875</v>
      </c>
      <c r="I870" s="120">
        <f t="shared" si="58"/>
        <v>0</v>
      </c>
      <c r="L870" s="121"/>
      <c r="M870" s="121"/>
    </row>
    <row r="871" spans="1:13">
      <c r="A871" s="117"/>
      <c r="B871" s="126"/>
      <c r="C871" s="143"/>
      <c r="D871" s="122"/>
      <c r="E871" s="181"/>
      <c r="F871" s="181"/>
      <c r="G871" s="120">
        <f t="shared" si="59"/>
        <v>0</v>
      </c>
      <c r="H871" s="120">
        <f t="shared" si="60"/>
        <v>0.875</v>
      </c>
      <c r="I871" s="120">
        <f t="shared" si="58"/>
        <v>0</v>
      </c>
      <c r="L871" s="121"/>
      <c r="M871" s="121"/>
    </row>
    <row r="872" spans="1:13">
      <c r="A872" s="117"/>
      <c r="B872" s="126"/>
      <c r="C872" s="143"/>
      <c r="D872" s="122"/>
      <c r="E872" s="181"/>
      <c r="F872" s="181"/>
      <c r="G872" s="120">
        <f t="shared" si="59"/>
        <v>0</v>
      </c>
      <c r="H872" s="120">
        <f t="shared" si="60"/>
        <v>0.875</v>
      </c>
      <c r="I872" s="120">
        <f t="shared" ref="I872:I935" si="61">IFERROR(IF((F873-$H$2)&lt;0,0,F873-$H$2),"0")</f>
        <v>0</v>
      </c>
      <c r="L872" s="121"/>
      <c r="M872" s="121"/>
    </row>
    <row r="873" spans="1:13">
      <c r="A873" s="117"/>
      <c r="B873" s="126"/>
      <c r="C873" s="143"/>
      <c r="D873" s="122"/>
      <c r="E873" s="181"/>
      <c r="F873" s="181"/>
      <c r="G873" s="120">
        <f t="shared" si="59"/>
        <v>0</v>
      </c>
      <c r="H873" s="120">
        <f t="shared" si="60"/>
        <v>0.875</v>
      </c>
      <c r="I873" s="120">
        <f t="shared" si="61"/>
        <v>0</v>
      </c>
      <c r="L873" s="121"/>
      <c r="M873" s="121"/>
    </row>
    <row r="874" spans="1:13">
      <c r="A874" s="117"/>
      <c r="B874" s="126"/>
      <c r="C874" s="143"/>
      <c r="D874" s="122"/>
      <c r="E874" s="181"/>
      <c r="F874" s="181"/>
      <c r="G874" s="120">
        <f t="shared" si="59"/>
        <v>0</v>
      </c>
      <c r="H874" s="120">
        <f t="shared" si="60"/>
        <v>0.875</v>
      </c>
      <c r="I874" s="120">
        <f t="shared" si="61"/>
        <v>0</v>
      </c>
      <c r="L874" s="121"/>
      <c r="M874" s="121"/>
    </row>
    <row r="875" spans="1:13">
      <c r="A875" s="117"/>
      <c r="B875" s="126"/>
      <c r="C875" s="143"/>
      <c r="D875" s="122"/>
      <c r="E875" s="181"/>
      <c r="F875" s="181"/>
      <c r="G875" s="120">
        <f t="shared" si="59"/>
        <v>0</v>
      </c>
      <c r="H875" s="120">
        <f t="shared" si="60"/>
        <v>0.875</v>
      </c>
      <c r="I875" s="120">
        <f t="shared" si="61"/>
        <v>0</v>
      </c>
      <c r="L875" s="121"/>
      <c r="M875" s="121"/>
    </row>
    <row r="876" spans="1:13">
      <c r="A876" s="117"/>
      <c r="B876" s="126"/>
      <c r="C876" s="143"/>
      <c r="D876" s="122"/>
      <c r="E876" s="181"/>
      <c r="F876" s="181"/>
      <c r="G876" s="120">
        <f t="shared" si="59"/>
        <v>0</v>
      </c>
      <c r="H876" s="120">
        <f t="shared" si="60"/>
        <v>0.875</v>
      </c>
      <c r="I876" s="120">
        <f t="shared" si="61"/>
        <v>0</v>
      </c>
      <c r="L876" s="121"/>
      <c r="M876" s="121"/>
    </row>
    <row r="877" spans="1:13">
      <c r="A877" s="117"/>
      <c r="B877" s="126"/>
      <c r="C877" s="143"/>
      <c r="D877" s="122"/>
      <c r="E877" s="181"/>
      <c r="F877" s="181"/>
      <c r="G877" s="120">
        <f t="shared" si="59"/>
        <v>0</v>
      </c>
      <c r="H877" s="120">
        <f t="shared" si="60"/>
        <v>0.875</v>
      </c>
      <c r="I877" s="120">
        <f t="shared" si="61"/>
        <v>0</v>
      </c>
      <c r="L877" s="121"/>
      <c r="M877" s="121"/>
    </row>
    <row r="878" spans="1:13">
      <c r="A878" s="117"/>
      <c r="B878" s="126"/>
      <c r="C878" s="143"/>
      <c r="D878" s="122"/>
      <c r="E878" s="181"/>
      <c r="F878" s="181"/>
      <c r="G878" s="120">
        <f t="shared" si="59"/>
        <v>0</v>
      </c>
      <c r="H878" s="120">
        <f t="shared" si="60"/>
        <v>0.875</v>
      </c>
      <c r="I878" s="120">
        <f t="shared" si="61"/>
        <v>0</v>
      </c>
      <c r="L878" s="121"/>
      <c r="M878" s="121"/>
    </row>
    <row r="879" spans="1:13">
      <c r="A879" s="117"/>
      <c r="B879" s="126"/>
      <c r="C879" s="143"/>
      <c r="D879" s="122"/>
      <c r="E879" s="181"/>
      <c r="F879" s="181"/>
      <c r="G879" s="120">
        <f t="shared" si="59"/>
        <v>0</v>
      </c>
      <c r="H879" s="120">
        <f t="shared" si="60"/>
        <v>0.875</v>
      </c>
      <c r="I879" s="120">
        <f t="shared" si="61"/>
        <v>0</v>
      </c>
      <c r="L879" s="121"/>
      <c r="M879" s="121"/>
    </row>
    <row r="880" spans="1:13">
      <c r="A880" s="117"/>
      <c r="B880" s="126"/>
      <c r="C880" s="143"/>
      <c r="D880" s="122"/>
      <c r="E880" s="181"/>
      <c r="F880" s="181"/>
      <c r="G880" s="120">
        <f t="shared" si="59"/>
        <v>0</v>
      </c>
      <c r="H880" s="120">
        <f t="shared" si="60"/>
        <v>0.875</v>
      </c>
      <c r="I880" s="120">
        <f t="shared" si="61"/>
        <v>0</v>
      </c>
      <c r="L880" s="121"/>
      <c r="M880" s="121"/>
    </row>
    <row r="881" spans="1:13">
      <c r="A881" s="117"/>
      <c r="B881" s="126"/>
      <c r="C881" s="143"/>
      <c r="D881" s="122"/>
      <c r="E881" s="181"/>
      <c r="F881" s="181"/>
      <c r="G881" s="120">
        <f t="shared" si="59"/>
        <v>0</v>
      </c>
      <c r="H881" s="120">
        <f t="shared" si="60"/>
        <v>0.875</v>
      </c>
      <c r="I881" s="120">
        <f t="shared" si="61"/>
        <v>0</v>
      </c>
      <c r="L881" s="121"/>
      <c r="M881" s="121"/>
    </row>
    <row r="882" spans="1:13">
      <c r="A882" s="117"/>
      <c r="B882" s="126"/>
      <c r="C882" s="143"/>
      <c r="D882" s="122"/>
      <c r="E882" s="181"/>
      <c r="F882" s="181"/>
      <c r="G882" s="120">
        <f t="shared" si="59"/>
        <v>0</v>
      </c>
      <c r="H882" s="120">
        <f t="shared" si="60"/>
        <v>0.875</v>
      </c>
      <c r="I882" s="120">
        <f t="shared" si="61"/>
        <v>0</v>
      </c>
      <c r="L882" s="121"/>
      <c r="M882" s="121"/>
    </row>
    <row r="883" spans="1:13">
      <c r="A883" s="117"/>
      <c r="B883" s="126"/>
      <c r="C883" s="143"/>
      <c r="D883" s="122"/>
      <c r="E883" s="181"/>
      <c r="F883" s="181"/>
      <c r="G883" s="120">
        <f t="shared" si="59"/>
        <v>0</v>
      </c>
      <c r="H883" s="120">
        <f t="shared" si="60"/>
        <v>0.875</v>
      </c>
      <c r="I883" s="120">
        <f t="shared" si="61"/>
        <v>0</v>
      </c>
      <c r="L883" s="121"/>
      <c r="M883" s="121"/>
    </row>
    <row r="884" spans="1:13">
      <c r="A884" s="117"/>
      <c r="B884" s="126"/>
      <c r="C884" s="143"/>
      <c r="D884" s="122"/>
      <c r="E884" s="181"/>
      <c r="F884" s="181"/>
      <c r="G884" s="120">
        <f t="shared" si="59"/>
        <v>0</v>
      </c>
      <c r="H884" s="120">
        <f t="shared" si="60"/>
        <v>0.875</v>
      </c>
      <c r="I884" s="120">
        <f t="shared" si="61"/>
        <v>0</v>
      </c>
      <c r="L884" s="121"/>
      <c r="M884" s="121"/>
    </row>
    <row r="885" spans="1:13">
      <c r="A885" s="117"/>
      <c r="B885" s="126"/>
      <c r="C885" s="143"/>
      <c r="D885" s="122"/>
      <c r="E885" s="181"/>
      <c r="F885" s="181"/>
      <c r="G885" s="120">
        <f t="shared" si="59"/>
        <v>0</v>
      </c>
      <c r="H885" s="120">
        <f t="shared" si="60"/>
        <v>0.875</v>
      </c>
      <c r="I885" s="120">
        <f t="shared" si="61"/>
        <v>0</v>
      </c>
      <c r="L885" s="121"/>
      <c r="M885" s="121"/>
    </row>
    <row r="886" spans="1:13">
      <c r="A886" s="117"/>
      <c r="B886" s="126"/>
      <c r="C886" s="143"/>
      <c r="D886" s="122"/>
      <c r="E886" s="181"/>
      <c r="F886" s="181"/>
      <c r="G886" s="120">
        <f t="shared" si="59"/>
        <v>0</v>
      </c>
      <c r="H886" s="120">
        <f t="shared" si="60"/>
        <v>0.875</v>
      </c>
      <c r="I886" s="120">
        <f t="shared" si="61"/>
        <v>0</v>
      </c>
      <c r="L886" s="121"/>
      <c r="M886" s="121"/>
    </row>
    <row r="887" spans="1:13">
      <c r="A887" s="117"/>
      <c r="B887" s="126"/>
      <c r="C887" s="143"/>
      <c r="D887" s="122"/>
      <c r="E887" s="181"/>
      <c r="F887" s="181"/>
      <c r="G887" s="120">
        <f t="shared" ref="G887:G947" si="62">IFERROR(IF((E887-$F$2)&lt;=$H$3,0,E887-$F$2),"غياب")</f>
        <v>0</v>
      </c>
      <c r="H887" s="120">
        <f t="shared" si="60"/>
        <v>0.875</v>
      </c>
      <c r="I887" s="120">
        <f t="shared" si="61"/>
        <v>0</v>
      </c>
      <c r="L887" s="121"/>
      <c r="M887" s="121"/>
    </row>
    <row r="888" spans="1:13">
      <c r="A888" s="117"/>
      <c r="B888" s="126"/>
      <c r="C888" s="143"/>
      <c r="D888" s="122"/>
      <c r="E888" s="181"/>
      <c r="F888" s="181"/>
      <c r="G888" s="120">
        <f t="shared" si="62"/>
        <v>0</v>
      </c>
      <c r="H888" s="120">
        <f t="shared" si="60"/>
        <v>0.875</v>
      </c>
      <c r="I888" s="120">
        <f t="shared" si="61"/>
        <v>0</v>
      </c>
      <c r="L888" s="121"/>
      <c r="M888" s="121"/>
    </row>
    <row r="889" spans="1:13">
      <c r="A889" s="117"/>
      <c r="B889" s="126"/>
      <c r="C889" s="143"/>
      <c r="D889" s="122"/>
      <c r="E889" s="181"/>
      <c r="F889" s="181"/>
      <c r="G889" s="120">
        <f t="shared" si="62"/>
        <v>0</v>
      </c>
      <c r="H889" s="120">
        <f t="shared" si="60"/>
        <v>0.875</v>
      </c>
      <c r="I889" s="120">
        <f t="shared" si="61"/>
        <v>0</v>
      </c>
      <c r="L889" s="121"/>
      <c r="M889" s="121"/>
    </row>
    <row r="890" spans="1:13">
      <c r="A890" s="117"/>
      <c r="B890" s="126"/>
      <c r="C890" s="143"/>
      <c r="D890" s="122"/>
      <c r="E890" s="181"/>
      <c r="F890" s="181"/>
      <c r="G890" s="120">
        <f t="shared" si="62"/>
        <v>0</v>
      </c>
      <c r="H890" s="120">
        <f t="shared" si="60"/>
        <v>0.875</v>
      </c>
      <c r="I890" s="120">
        <f t="shared" si="61"/>
        <v>0</v>
      </c>
      <c r="L890" s="121"/>
      <c r="M890" s="121"/>
    </row>
    <row r="891" spans="1:13">
      <c r="A891" s="117"/>
      <c r="B891" s="126"/>
      <c r="C891" s="143"/>
      <c r="D891" s="122"/>
      <c r="E891" s="181"/>
      <c r="F891" s="181"/>
      <c r="G891" s="120">
        <f t="shared" si="62"/>
        <v>0</v>
      </c>
      <c r="H891" s="120">
        <f t="shared" si="60"/>
        <v>0.875</v>
      </c>
      <c r="I891" s="120">
        <f t="shared" si="61"/>
        <v>0</v>
      </c>
      <c r="L891" s="121"/>
      <c r="M891" s="121"/>
    </row>
    <row r="892" spans="1:13">
      <c r="A892" s="117"/>
      <c r="B892" s="126"/>
      <c r="C892" s="143"/>
      <c r="D892" s="122"/>
      <c r="E892" s="181"/>
      <c r="F892" s="181"/>
      <c r="G892" s="120">
        <f t="shared" si="62"/>
        <v>0</v>
      </c>
      <c r="H892" s="120">
        <f t="shared" si="60"/>
        <v>0.875</v>
      </c>
      <c r="I892" s="120">
        <f t="shared" si="61"/>
        <v>0</v>
      </c>
      <c r="L892" s="121"/>
      <c r="M892" s="121"/>
    </row>
    <row r="893" spans="1:13">
      <c r="A893" s="117"/>
      <c r="B893" s="126"/>
      <c r="C893" s="143"/>
      <c r="D893" s="122"/>
      <c r="E893" s="181"/>
      <c r="F893" s="181"/>
      <c r="G893" s="120">
        <f t="shared" si="62"/>
        <v>0</v>
      </c>
      <c r="H893" s="120">
        <f t="shared" si="60"/>
        <v>0.875</v>
      </c>
      <c r="I893" s="120">
        <f t="shared" si="61"/>
        <v>0</v>
      </c>
      <c r="L893" s="121"/>
      <c r="M893" s="121"/>
    </row>
    <row r="894" spans="1:13">
      <c r="A894" s="117"/>
      <c r="B894" s="126"/>
      <c r="C894" s="143"/>
      <c r="D894" s="122"/>
      <c r="E894" s="181"/>
      <c r="F894" s="181"/>
      <c r="G894" s="120">
        <f t="shared" si="62"/>
        <v>0</v>
      </c>
      <c r="H894" s="120">
        <f t="shared" si="60"/>
        <v>0.875</v>
      </c>
      <c r="I894" s="120">
        <f t="shared" si="61"/>
        <v>0</v>
      </c>
      <c r="L894" s="121"/>
      <c r="M894" s="121"/>
    </row>
    <row r="895" spans="1:13">
      <c r="A895" s="117"/>
      <c r="B895" s="126"/>
      <c r="C895" s="143"/>
      <c r="D895" s="122"/>
      <c r="E895" s="181"/>
      <c r="F895" s="181"/>
      <c r="G895" s="120">
        <f t="shared" si="62"/>
        <v>0</v>
      </c>
      <c r="H895" s="120">
        <f t="shared" si="60"/>
        <v>0.875</v>
      </c>
      <c r="I895" s="120">
        <f t="shared" si="61"/>
        <v>0</v>
      </c>
      <c r="L895" s="121"/>
      <c r="M895" s="121"/>
    </row>
    <row r="896" spans="1:13">
      <c r="A896" s="117"/>
      <c r="B896" s="126"/>
      <c r="C896" s="143"/>
      <c r="D896" s="122"/>
      <c r="E896" s="181"/>
      <c r="F896" s="181"/>
      <c r="G896" s="120">
        <f t="shared" si="62"/>
        <v>0</v>
      </c>
      <c r="H896" s="120">
        <f t="shared" si="60"/>
        <v>0.875</v>
      </c>
      <c r="I896" s="120">
        <f t="shared" si="61"/>
        <v>0</v>
      </c>
      <c r="L896" s="121"/>
      <c r="M896" s="121"/>
    </row>
    <row r="897" spans="1:13">
      <c r="A897" s="117"/>
      <c r="B897" s="126"/>
      <c r="C897" s="143"/>
      <c r="D897" s="122"/>
      <c r="E897" s="181"/>
      <c r="F897" s="181"/>
      <c r="G897" s="120">
        <f t="shared" si="62"/>
        <v>0</v>
      </c>
      <c r="H897" s="120">
        <f t="shared" si="60"/>
        <v>0.875</v>
      </c>
      <c r="I897" s="120">
        <f t="shared" si="61"/>
        <v>0</v>
      </c>
      <c r="L897" s="121"/>
      <c r="M897" s="121"/>
    </row>
    <row r="898" spans="1:13">
      <c r="A898" s="117"/>
      <c r="B898" s="126"/>
      <c r="C898" s="143"/>
      <c r="D898" s="122"/>
      <c r="E898" s="181"/>
      <c r="F898" s="181"/>
      <c r="G898" s="120">
        <f t="shared" si="62"/>
        <v>0</v>
      </c>
      <c r="H898" s="120">
        <f t="shared" si="60"/>
        <v>0.875</v>
      </c>
      <c r="I898" s="120">
        <f t="shared" si="61"/>
        <v>0</v>
      </c>
      <c r="L898" s="121"/>
      <c r="M898" s="121"/>
    </row>
    <row r="899" spans="1:13">
      <c r="A899" s="117"/>
      <c r="B899" s="126"/>
      <c r="C899" s="143"/>
      <c r="D899" s="122"/>
      <c r="E899" s="181"/>
      <c r="F899" s="181"/>
      <c r="G899" s="120">
        <f t="shared" si="62"/>
        <v>0</v>
      </c>
      <c r="H899" s="120">
        <f t="shared" si="60"/>
        <v>0.875</v>
      </c>
      <c r="I899" s="120">
        <f t="shared" si="61"/>
        <v>0</v>
      </c>
      <c r="L899" s="121"/>
      <c r="M899" s="121"/>
    </row>
    <row r="900" spans="1:13">
      <c r="A900" s="117"/>
      <c r="B900" s="126"/>
      <c r="C900" s="143"/>
      <c r="D900" s="122"/>
      <c r="E900" s="181"/>
      <c r="F900" s="181"/>
      <c r="G900" s="120">
        <f t="shared" si="62"/>
        <v>0</v>
      </c>
      <c r="H900" s="120">
        <f t="shared" si="60"/>
        <v>0.875</v>
      </c>
      <c r="I900" s="120">
        <f t="shared" si="61"/>
        <v>0</v>
      </c>
      <c r="L900" s="121"/>
      <c r="M900" s="121"/>
    </row>
    <row r="901" spans="1:13">
      <c r="A901" s="117"/>
      <c r="B901" s="126"/>
      <c r="C901" s="143"/>
      <c r="D901" s="122"/>
      <c r="E901" s="181"/>
      <c r="F901" s="181"/>
      <c r="G901" s="120">
        <f t="shared" si="62"/>
        <v>0</v>
      </c>
      <c r="H901" s="120">
        <f t="shared" si="60"/>
        <v>0.875</v>
      </c>
      <c r="I901" s="120">
        <f t="shared" si="61"/>
        <v>0</v>
      </c>
      <c r="L901" s="121"/>
      <c r="M901" s="121"/>
    </row>
    <row r="902" spans="1:13">
      <c r="A902" s="117"/>
      <c r="B902" s="126"/>
      <c r="C902" s="143"/>
      <c r="D902" s="122"/>
      <c r="E902" s="181"/>
      <c r="F902" s="181"/>
      <c r="G902" s="120">
        <f t="shared" si="62"/>
        <v>0</v>
      </c>
      <c r="H902" s="120">
        <f t="shared" si="60"/>
        <v>0.875</v>
      </c>
      <c r="I902" s="120">
        <f t="shared" si="61"/>
        <v>0</v>
      </c>
      <c r="L902" s="121"/>
      <c r="M902" s="121"/>
    </row>
    <row r="903" spans="1:13">
      <c r="A903" s="117"/>
      <c r="B903" s="126"/>
      <c r="C903" s="143"/>
      <c r="D903" s="122"/>
      <c r="E903" s="181"/>
      <c r="F903" s="181"/>
      <c r="G903" s="120">
        <f t="shared" si="62"/>
        <v>0</v>
      </c>
      <c r="H903" s="120">
        <f t="shared" si="60"/>
        <v>0.875</v>
      </c>
      <c r="I903" s="120">
        <f t="shared" si="61"/>
        <v>0</v>
      </c>
      <c r="L903" s="121"/>
      <c r="M903" s="121"/>
    </row>
    <row r="904" spans="1:13">
      <c r="A904" s="117"/>
      <c r="B904" s="126"/>
      <c r="C904" s="143"/>
      <c r="D904" s="122"/>
      <c r="E904" s="181"/>
      <c r="F904" s="181"/>
      <c r="G904" s="120">
        <f t="shared" si="62"/>
        <v>0</v>
      </c>
      <c r="H904" s="120">
        <f t="shared" si="60"/>
        <v>0.875</v>
      </c>
      <c r="I904" s="120">
        <f t="shared" si="61"/>
        <v>0</v>
      </c>
      <c r="L904" s="121"/>
      <c r="M904" s="121"/>
    </row>
    <row r="905" spans="1:13">
      <c r="A905" s="117"/>
      <c r="B905" s="126"/>
      <c r="C905" s="143"/>
      <c r="D905" s="122"/>
      <c r="E905" s="181"/>
      <c r="F905" s="181"/>
      <c r="G905" s="120">
        <f t="shared" si="62"/>
        <v>0</v>
      </c>
      <c r="H905" s="120">
        <f t="shared" si="60"/>
        <v>0.875</v>
      </c>
      <c r="I905" s="120">
        <f t="shared" si="61"/>
        <v>0</v>
      </c>
      <c r="L905" s="121"/>
      <c r="M905" s="121"/>
    </row>
    <row r="906" spans="1:13">
      <c r="A906" s="117"/>
      <c r="B906" s="126"/>
      <c r="C906" s="143"/>
      <c r="D906" s="122"/>
      <c r="E906" s="181"/>
      <c r="F906" s="181"/>
      <c r="G906" s="120">
        <f t="shared" si="62"/>
        <v>0</v>
      </c>
      <c r="H906" s="120">
        <f t="shared" ref="H906:H947" si="63">IF(($H$2-F906)&lt;0,0,$H$2-F906)</f>
        <v>0.875</v>
      </c>
      <c r="I906" s="120">
        <f t="shared" si="61"/>
        <v>0</v>
      </c>
      <c r="L906" s="121"/>
      <c r="M906" s="121"/>
    </row>
    <row r="907" spans="1:13">
      <c r="A907" s="117"/>
      <c r="B907" s="126"/>
      <c r="C907" s="143"/>
      <c r="D907" s="122"/>
      <c r="E907" s="181"/>
      <c r="F907" s="181"/>
      <c r="G907" s="120">
        <f t="shared" si="62"/>
        <v>0</v>
      </c>
      <c r="H907" s="120">
        <f t="shared" si="63"/>
        <v>0.875</v>
      </c>
      <c r="I907" s="120">
        <f t="shared" si="61"/>
        <v>0</v>
      </c>
      <c r="L907" s="121"/>
      <c r="M907" s="121"/>
    </row>
    <row r="908" spans="1:13">
      <c r="A908" s="117"/>
      <c r="B908" s="126"/>
      <c r="C908" s="143"/>
      <c r="D908" s="122"/>
      <c r="E908" s="181"/>
      <c r="F908" s="181"/>
      <c r="G908" s="120">
        <f t="shared" si="62"/>
        <v>0</v>
      </c>
      <c r="H908" s="120">
        <f t="shared" si="63"/>
        <v>0.875</v>
      </c>
      <c r="I908" s="120">
        <f t="shared" si="61"/>
        <v>0</v>
      </c>
      <c r="L908" s="121"/>
      <c r="M908" s="121"/>
    </row>
    <row r="909" spans="1:13">
      <c r="A909" s="117"/>
      <c r="B909" s="126"/>
      <c r="C909" s="143"/>
      <c r="D909" s="122"/>
      <c r="E909" s="181"/>
      <c r="F909" s="181"/>
      <c r="G909" s="120">
        <f t="shared" si="62"/>
        <v>0</v>
      </c>
      <c r="H909" s="120">
        <f t="shared" si="63"/>
        <v>0.875</v>
      </c>
      <c r="I909" s="120">
        <f t="shared" si="61"/>
        <v>0</v>
      </c>
      <c r="L909" s="121"/>
      <c r="M909" s="121"/>
    </row>
    <row r="910" spans="1:13">
      <c r="A910" s="117"/>
      <c r="B910" s="126"/>
      <c r="C910" s="143"/>
      <c r="D910" s="122"/>
      <c r="E910" s="181"/>
      <c r="F910" s="181"/>
      <c r="G910" s="120">
        <f t="shared" si="62"/>
        <v>0</v>
      </c>
      <c r="H910" s="120">
        <f t="shared" si="63"/>
        <v>0.875</v>
      </c>
      <c r="I910" s="120">
        <f t="shared" si="61"/>
        <v>0</v>
      </c>
      <c r="L910" s="121"/>
      <c r="M910" s="121"/>
    </row>
    <row r="911" spans="1:13">
      <c r="A911" s="117"/>
      <c r="B911" s="126"/>
      <c r="C911" s="143"/>
      <c r="D911" s="122"/>
      <c r="E911" s="181"/>
      <c r="F911" s="181"/>
      <c r="G911" s="120">
        <f t="shared" si="62"/>
        <v>0</v>
      </c>
      <c r="H911" s="120">
        <f t="shared" si="63"/>
        <v>0.875</v>
      </c>
      <c r="I911" s="120">
        <f t="shared" si="61"/>
        <v>0</v>
      </c>
      <c r="L911" s="121"/>
      <c r="M911" s="121"/>
    </row>
    <row r="912" spans="1:13">
      <c r="A912" s="117"/>
      <c r="B912" s="126"/>
      <c r="C912" s="143"/>
      <c r="D912" s="122"/>
      <c r="E912" s="181"/>
      <c r="F912" s="181"/>
      <c r="G912" s="120">
        <f t="shared" si="62"/>
        <v>0</v>
      </c>
      <c r="H912" s="120">
        <f t="shared" si="63"/>
        <v>0.875</v>
      </c>
      <c r="I912" s="120">
        <f t="shared" si="61"/>
        <v>0</v>
      </c>
      <c r="L912" s="121"/>
      <c r="M912" s="121"/>
    </row>
    <row r="913" spans="1:13">
      <c r="A913" s="117"/>
      <c r="B913" s="126"/>
      <c r="C913" s="143"/>
      <c r="D913" s="122"/>
      <c r="E913" s="181"/>
      <c r="F913" s="181"/>
      <c r="G913" s="120">
        <f t="shared" si="62"/>
        <v>0</v>
      </c>
      <c r="H913" s="120">
        <f t="shared" si="63"/>
        <v>0.875</v>
      </c>
      <c r="I913" s="120">
        <f t="shared" si="61"/>
        <v>0</v>
      </c>
      <c r="L913" s="121"/>
      <c r="M913" s="121"/>
    </row>
    <row r="914" spans="1:13">
      <c r="A914" s="117"/>
      <c r="B914" s="126"/>
      <c r="C914" s="143"/>
      <c r="D914" s="122"/>
      <c r="E914" s="181"/>
      <c r="F914" s="181"/>
      <c r="G914" s="120">
        <f t="shared" si="62"/>
        <v>0</v>
      </c>
      <c r="H914" s="120">
        <f t="shared" si="63"/>
        <v>0.875</v>
      </c>
      <c r="I914" s="120">
        <f t="shared" si="61"/>
        <v>0</v>
      </c>
      <c r="L914" s="121"/>
      <c r="M914" s="121"/>
    </row>
    <row r="915" spans="1:13">
      <c r="A915" s="117"/>
      <c r="B915" s="126"/>
      <c r="C915" s="143"/>
      <c r="D915" s="122"/>
      <c r="E915" s="181"/>
      <c r="F915" s="181"/>
      <c r="G915" s="120">
        <f t="shared" si="62"/>
        <v>0</v>
      </c>
      <c r="H915" s="120">
        <f t="shared" si="63"/>
        <v>0.875</v>
      </c>
      <c r="I915" s="120">
        <f t="shared" si="61"/>
        <v>0</v>
      </c>
      <c r="L915" s="121"/>
      <c r="M915" s="121"/>
    </row>
    <row r="916" spans="1:13">
      <c r="A916" s="117"/>
      <c r="B916" s="126"/>
      <c r="C916" s="143"/>
      <c r="D916" s="122"/>
      <c r="E916" s="181"/>
      <c r="F916" s="181"/>
      <c r="G916" s="120">
        <f t="shared" si="62"/>
        <v>0</v>
      </c>
      <c r="H916" s="120">
        <f t="shared" si="63"/>
        <v>0.875</v>
      </c>
      <c r="I916" s="120">
        <f t="shared" si="61"/>
        <v>0</v>
      </c>
      <c r="L916" s="121"/>
      <c r="M916" s="121"/>
    </row>
    <row r="917" spans="1:13">
      <c r="A917" s="117"/>
      <c r="B917" s="126"/>
      <c r="C917" s="143"/>
      <c r="D917" s="122"/>
      <c r="E917" s="181"/>
      <c r="F917" s="181"/>
      <c r="G917" s="120">
        <f t="shared" si="62"/>
        <v>0</v>
      </c>
      <c r="H917" s="120">
        <f t="shared" si="63"/>
        <v>0.875</v>
      </c>
      <c r="I917" s="120">
        <f t="shared" si="61"/>
        <v>0</v>
      </c>
      <c r="L917" s="121"/>
      <c r="M917" s="121"/>
    </row>
    <row r="918" spans="1:13">
      <c r="A918" s="117"/>
      <c r="B918" s="126"/>
      <c r="C918" s="143"/>
      <c r="D918" s="122"/>
      <c r="E918" s="181"/>
      <c r="F918" s="181"/>
      <c r="G918" s="120">
        <f t="shared" si="62"/>
        <v>0</v>
      </c>
      <c r="H918" s="120">
        <f t="shared" si="63"/>
        <v>0.875</v>
      </c>
      <c r="I918" s="120">
        <f t="shared" si="61"/>
        <v>0</v>
      </c>
      <c r="L918" s="121"/>
      <c r="M918" s="121"/>
    </row>
    <row r="919" spans="1:13">
      <c r="A919" s="117"/>
      <c r="B919" s="126"/>
      <c r="C919" s="143"/>
      <c r="D919" s="122"/>
      <c r="E919" s="181"/>
      <c r="F919" s="181"/>
      <c r="G919" s="120">
        <f t="shared" si="62"/>
        <v>0</v>
      </c>
      <c r="H919" s="120">
        <f t="shared" si="63"/>
        <v>0.875</v>
      </c>
      <c r="I919" s="120">
        <f t="shared" si="61"/>
        <v>0</v>
      </c>
      <c r="L919" s="121"/>
      <c r="M919" s="121"/>
    </row>
    <row r="920" spans="1:13">
      <c r="A920" s="117"/>
      <c r="B920" s="126"/>
      <c r="C920" s="143"/>
      <c r="D920" s="122"/>
      <c r="E920" s="181"/>
      <c r="F920" s="181"/>
      <c r="G920" s="120">
        <f t="shared" si="62"/>
        <v>0</v>
      </c>
      <c r="H920" s="120">
        <f t="shared" si="63"/>
        <v>0.875</v>
      </c>
      <c r="I920" s="120">
        <f t="shared" si="61"/>
        <v>0</v>
      </c>
      <c r="L920" s="121"/>
      <c r="M920" s="121"/>
    </row>
    <row r="921" spans="1:13">
      <c r="A921" s="117"/>
      <c r="B921" s="126"/>
      <c r="C921" s="143"/>
      <c r="D921" s="122"/>
      <c r="E921" s="181"/>
      <c r="F921" s="181"/>
      <c r="G921" s="120">
        <f t="shared" si="62"/>
        <v>0</v>
      </c>
      <c r="H921" s="120">
        <f t="shared" si="63"/>
        <v>0.875</v>
      </c>
      <c r="I921" s="120">
        <f t="shared" si="61"/>
        <v>0</v>
      </c>
      <c r="L921" s="121"/>
      <c r="M921" s="121"/>
    </row>
    <row r="922" spans="1:13">
      <c r="A922" s="117"/>
      <c r="B922" s="126"/>
      <c r="C922" s="143"/>
      <c r="D922" s="122"/>
      <c r="E922" s="181"/>
      <c r="F922" s="181"/>
      <c r="G922" s="120">
        <f t="shared" si="62"/>
        <v>0</v>
      </c>
      <c r="H922" s="120">
        <f t="shared" si="63"/>
        <v>0.875</v>
      </c>
      <c r="I922" s="120">
        <f t="shared" si="61"/>
        <v>0</v>
      </c>
      <c r="L922" s="121"/>
      <c r="M922" s="121"/>
    </row>
    <row r="923" spans="1:13">
      <c r="A923" s="117"/>
      <c r="B923" s="126"/>
      <c r="C923" s="143"/>
      <c r="D923" s="122"/>
      <c r="E923" s="181"/>
      <c r="F923" s="181"/>
      <c r="G923" s="120">
        <f t="shared" si="62"/>
        <v>0</v>
      </c>
      <c r="H923" s="120">
        <f t="shared" si="63"/>
        <v>0.875</v>
      </c>
      <c r="I923" s="120">
        <f t="shared" si="61"/>
        <v>0</v>
      </c>
      <c r="L923" s="121"/>
      <c r="M923" s="121"/>
    </row>
    <row r="924" spans="1:13">
      <c r="A924" s="117"/>
      <c r="B924" s="126"/>
      <c r="C924" s="143"/>
      <c r="D924" s="122"/>
      <c r="E924" s="181"/>
      <c r="F924" s="181"/>
      <c r="G924" s="120">
        <f t="shared" si="62"/>
        <v>0</v>
      </c>
      <c r="H924" s="120">
        <f t="shared" si="63"/>
        <v>0.875</v>
      </c>
      <c r="I924" s="120">
        <f t="shared" si="61"/>
        <v>0</v>
      </c>
      <c r="L924" s="121"/>
      <c r="M924" s="121"/>
    </row>
    <row r="925" spans="1:13">
      <c r="A925" s="117"/>
      <c r="B925" s="126"/>
      <c r="C925" s="143"/>
      <c r="D925" s="122"/>
      <c r="E925" s="181"/>
      <c r="F925" s="181"/>
      <c r="G925" s="120">
        <f t="shared" si="62"/>
        <v>0</v>
      </c>
      <c r="H925" s="120">
        <f t="shared" si="63"/>
        <v>0.875</v>
      </c>
      <c r="I925" s="120">
        <f t="shared" si="61"/>
        <v>0</v>
      </c>
      <c r="L925" s="121"/>
      <c r="M925" s="121"/>
    </row>
    <row r="926" spans="1:13">
      <c r="A926" s="117"/>
      <c r="B926" s="126"/>
      <c r="C926" s="143"/>
      <c r="D926" s="122"/>
      <c r="E926" s="181"/>
      <c r="F926" s="181"/>
      <c r="G926" s="120">
        <f t="shared" si="62"/>
        <v>0</v>
      </c>
      <c r="H926" s="120">
        <f t="shared" si="63"/>
        <v>0.875</v>
      </c>
      <c r="I926" s="120">
        <f t="shared" si="61"/>
        <v>0</v>
      </c>
      <c r="L926" s="121"/>
      <c r="M926" s="121"/>
    </row>
    <row r="927" spans="1:13">
      <c r="D927" s="122"/>
      <c r="E927" s="181"/>
      <c r="F927" s="181"/>
      <c r="G927" s="120">
        <f t="shared" si="62"/>
        <v>0</v>
      </c>
      <c r="H927" s="120">
        <f t="shared" si="63"/>
        <v>0.875</v>
      </c>
      <c r="I927" s="120">
        <f t="shared" si="61"/>
        <v>0</v>
      </c>
      <c r="L927" s="121"/>
      <c r="M927" s="121"/>
    </row>
    <row r="928" spans="1:13">
      <c r="D928" s="122"/>
      <c r="E928" s="181"/>
      <c r="F928" s="181"/>
      <c r="G928" s="120">
        <f t="shared" si="62"/>
        <v>0</v>
      </c>
      <c r="H928" s="120">
        <f t="shared" si="63"/>
        <v>0.875</v>
      </c>
      <c r="I928" s="120">
        <f t="shared" si="61"/>
        <v>0</v>
      </c>
      <c r="L928" s="121"/>
      <c r="M928" s="121"/>
    </row>
    <row r="929" spans="4:13">
      <c r="D929" s="122"/>
      <c r="E929" s="181"/>
      <c r="F929" s="181"/>
      <c r="G929" s="120">
        <f t="shared" si="62"/>
        <v>0</v>
      </c>
      <c r="H929" s="120">
        <f t="shared" si="63"/>
        <v>0.875</v>
      </c>
      <c r="I929" s="120">
        <f t="shared" si="61"/>
        <v>0</v>
      </c>
      <c r="L929" s="121"/>
      <c r="M929" s="121"/>
    </row>
    <row r="930" spans="4:13">
      <c r="D930" s="122"/>
      <c r="E930" s="181"/>
      <c r="F930" s="181"/>
      <c r="G930" s="120">
        <f t="shared" si="62"/>
        <v>0</v>
      </c>
      <c r="H930" s="120">
        <f t="shared" si="63"/>
        <v>0.875</v>
      </c>
      <c r="I930" s="120">
        <f t="shared" si="61"/>
        <v>0</v>
      </c>
      <c r="L930" s="121"/>
      <c r="M930" s="121"/>
    </row>
    <row r="931" spans="4:13">
      <c r="D931" s="122"/>
      <c r="E931" s="181"/>
      <c r="F931" s="181"/>
      <c r="G931" s="120">
        <f t="shared" si="62"/>
        <v>0</v>
      </c>
      <c r="H931" s="120">
        <f t="shared" si="63"/>
        <v>0.875</v>
      </c>
      <c r="I931" s="120">
        <f t="shared" si="61"/>
        <v>0</v>
      </c>
      <c r="L931" s="121"/>
      <c r="M931" s="121"/>
    </row>
    <row r="932" spans="4:13">
      <c r="D932" s="122"/>
      <c r="E932" s="181"/>
      <c r="F932" s="181"/>
      <c r="G932" s="120">
        <f t="shared" si="62"/>
        <v>0</v>
      </c>
      <c r="H932" s="120">
        <f t="shared" si="63"/>
        <v>0.875</v>
      </c>
      <c r="I932" s="120">
        <f t="shared" si="61"/>
        <v>0</v>
      </c>
      <c r="L932" s="121"/>
      <c r="M932" s="121"/>
    </row>
    <row r="933" spans="4:13">
      <c r="D933" s="122"/>
      <c r="E933" s="181"/>
      <c r="F933" s="181"/>
      <c r="G933" s="120">
        <f t="shared" si="62"/>
        <v>0</v>
      </c>
      <c r="H933" s="120">
        <f t="shared" si="63"/>
        <v>0.875</v>
      </c>
      <c r="I933" s="120">
        <f t="shared" si="61"/>
        <v>0</v>
      </c>
      <c r="L933" s="121"/>
      <c r="M933" s="121"/>
    </row>
    <row r="934" spans="4:13">
      <c r="D934" s="122"/>
      <c r="E934" s="181"/>
      <c r="F934" s="181"/>
      <c r="G934" s="120">
        <f t="shared" si="62"/>
        <v>0</v>
      </c>
      <c r="H934" s="120">
        <f t="shared" si="63"/>
        <v>0.875</v>
      </c>
      <c r="I934" s="120">
        <f t="shared" si="61"/>
        <v>0</v>
      </c>
      <c r="L934" s="121"/>
      <c r="M934" s="121"/>
    </row>
    <row r="935" spans="4:13">
      <c r="D935" s="122"/>
      <c r="E935" s="181"/>
      <c r="F935" s="181"/>
      <c r="G935" s="120">
        <f t="shared" si="62"/>
        <v>0</v>
      </c>
      <c r="H935" s="120">
        <f t="shared" si="63"/>
        <v>0.875</v>
      </c>
      <c r="I935" s="120">
        <f t="shared" si="61"/>
        <v>0</v>
      </c>
      <c r="L935" s="121"/>
      <c r="M935" s="121"/>
    </row>
    <row r="936" spans="4:13">
      <c r="D936" s="122"/>
      <c r="E936" s="181"/>
      <c r="F936" s="181"/>
      <c r="G936" s="120">
        <f t="shared" si="62"/>
        <v>0</v>
      </c>
      <c r="H936" s="120">
        <f t="shared" si="63"/>
        <v>0.875</v>
      </c>
      <c r="I936" s="120">
        <f t="shared" ref="I936:I948" si="64">IFERROR(IF((F937-$H$2)&lt;0,0,F937-$H$2),"0")</f>
        <v>0</v>
      </c>
      <c r="L936" s="121"/>
      <c r="M936" s="121"/>
    </row>
    <row r="937" spans="4:13">
      <c r="D937" s="122"/>
      <c r="E937" s="181"/>
      <c r="F937" s="181"/>
      <c r="G937" s="120">
        <f t="shared" si="62"/>
        <v>0</v>
      </c>
      <c r="H937" s="120">
        <f t="shared" si="63"/>
        <v>0.875</v>
      </c>
      <c r="I937" s="120">
        <f t="shared" si="64"/>
        <v>0</v>
      </c>
      <c r="L937" s="121"/>
      <c r="M937" s="121"/>
    </row>
    <row r="938" spans="4:13">
      <c r="D938" s="122"/>
      <c r="E938" s="181"/>
      <c r="F938" s="181"/>
      <c r="G938" s="120">
        <f t="shared" si="62"/>
        <v>0</v>
      </c>
      <c r="H938" s="120">
        <f t="shared" si="63"/>
        <v>0.875</v>
      </c>
      <c r="I938" s="120">
        <f t="shared" si="64"/>
        <v>0</v>
      </c>
      <c r="L938" s="121"/>
      <c r="M938" s="121"/>
    </row>
    <row r="939" spans="4:13">
      <c r="D939" s="122"/>
      <c r="E939" s="181"/>
      <c r="F939" s="181"/>
      <c r="G939" s="120">
        <f t="shared" si="62"/>
        <v>0</v>
      </c>
      <c r="H939" s="120">
        <f t="shared" si="63"/>
        <v>0.875</v>
      </c>
      <c r="I939" s="120">
        <f t="shared" si="64"/>
        <v>0</v>
      </c>
      <c r="L939" s="121"/>
      <c r="M939" s="121"/>
    </row>
    <row r="940" spans="4:13">
      <c r="D940" s="122"/>
      <c r="E940" s="181"/>
      <c r="F940" s="181"/>
      <c r="G940" s="120">
        <f t="shared" si="62"/>
        <v>0</v>
      </c>
      <c r="H940" s="120">
        <f t="shared" si="63"/>
        <v>0.875</v>
      </c>
      <c r="I940" s="120">
        <f t="shared" si="64"/>
        <v>0</v>
      </c>
      <c r="L940" s="121"/>
      <c r="M940" s="121"/>
    </row>
    <row r="941" spans="4:13">
      <c r="D941" s="122"/>
      <c r="E941" s="181"/>
      <c r="F941" s="181"/>
      <c r="G941" s="120">
        <f t="shared" si="62"/>
        <v>0</v>
      </c>
      <c r="H941" s="120">
        <f t="shared" si="63"/>
        <v>0.875</v>
      </c>
      <c r="I941" s="120">
        <f t="shared" si="64"/>
        <v>0</v>
      </c>
      <c r="L941" s="121"/>
      <c r="M941" s="121"/>
    </row>
    <row r="942" spans="4:13">
      <c r="D942" s="122"/>
      <c r="E942" s="181"/>
      <c r="F942" s="181"/>
      <c r="G942" s="120">
        <f t="shared" si="62"/>
        <v>0</v>
      </c>
      <c r="H942" s="120">
        <f t="shared" si="63"/>
        <v>0.875</v>
      </c>
      <c r="I942" s="120">
        <f t="shared" si="64"/>
        <v>0</v>
      </c>
      <c r="L942" s="121"/>
      <c r="M942" s="121"/>
    </row>
    <row r="943" spans="4:13">
      <c r="D943" s="122"/>
      <c r="E943" s="181"/>
      <c r="F943" s="181"/>
      <c r="G943" s="120">
        <f t="shared" si="62"/>
        <v>0</v>
      </c>
      <c r="H943" s="120">
        <f t="shared" si="63"/>
        <v>0.875</v>
      </c>
      <c r="I943" s="120">
        <f t="shared" si="64"/>
        <v>0</v>
      </c>
      <c r="L943" s="121"/>
      <c r="M943" s="121"/>
    </row>
    <row r="944" spans="4:13">
      <c r="D944" s="122"/>
      <c r="E944" s="181"/>
      <c r="F944" s="181"/>
      <c r="G944" s="120">
        <f t="shared" si="62"/>
        <v>0</v>
      </c>
      <c r="H944" s="120">
        <f t="shared" si="63"/>
        <v>0.875</v>
      </c>
      <c r="I944" s="120">
        <f t="shared" si="64"/>
        <v>0</v>
      </c>
      <c r="L944" s="121"/>
      <c r="M944" s="121"/>
    </row>
    <row r="945" spans="4:13">
      <c r="D945" s="122"/>
      <c r="E945" s="181"/>
      <c r="F945" s="181"/>
      <c r="G945" s="120">
        <f t="shared" si="62"/>
        <v>0</v>
      </c>
      <c r="H945" s="120">
        <f t="shared" si="63"/>
        <v>0.875</v>
      </c>
      <c r="I945" s="120">
        <f t="shared" si="64"/>
        <v>0</v>
      </c>
      <c r="L945" s="121"/>
      <c r="M945" s="121"/>
    </row>
    <row r="946" spans="4:13">
      <c r="E946" s="181"/>
      <c r="F946" s="181"/>
      <c r="G946" s="120">
        <f t="shared" si="62"/>
        <v>0</v>
      </c>
      <c r="H946" s="120">
        <f t="shared" si="63"/>
        <v>0.875</v>
      </c>
      <c r="I946" s="120">
        <f t="shared" si="64"/>
        <v>0</v>
      </c>
      <c r="L946" s="121"/>
      <c r="M946" s="121"/>
    </row>
    <row r="947" spans="4:13">
      <c r="E947" s="181"/>
      <c r="F947" s="181"/>
      <c r="G947" s="120">
        <f t="shared" si="62"/>
        <v>0</v>
      </c>
      <c r="H947" s="120">
        <f t="shared" si="63"/>
        <v>0.875</v>
      </c>
      <c r="I947" s="120">
        <f t="shared" si="64"/>
        <v>0</v>
      </c>
      <c r="L947" s="121"/>
      <c r="M947" s="121"/>
    </row>
    <row r="948" spans="4:13">
      <c r="I948" s="120">
        <f t="shared" si="64"/>
        <v>0</v>
      </c>
      <c r="L948" s="121"/>
      <c r="M948" s="121"/>
    </row>
  </sheetData>
  <conditionalFormatting sqref="G8:G947">
    <cfRule type="cellIs" dxfId="62" priority="43621" operator="greaterThan">
      <formula>0.0111111111111111</formula>
    </cfRule>
    <cfRule type="cellIs" dxfId="61" priority="43622" operator="equal">
      <formula>0.0111111111111111</formula>
    </cfRule>
    <cfRule type="cellIs" dxfId="60" priority="43623" operator="equal">
      <formula>16</formula>
    </cfRule>
    <cfRule type="cellIs" dxfId="59" priority="43627" operator="between">
      <formula>0.00347222222222222</formula>
      <formula>0.03125</formula>
    </cfRule>
  </conditionalFormatting>
  <conditionalFormatting sqref="H1 H4:H6 H8:H1048576">
    <cfRule type="cellIs" dxfId="58" priority="43634" operator="greaterThan">
      <formula>0.00347222222222222</formula>
    </cfRule>
  </conditionalFormatting>
  <conditionalFormatting sqref="I8:I948">
    <cfRule type="cellIs" dxfId="57" priority="43688" operator="greaterThan">
      <formula>0.0118055555555556</formula>
    </cfRule>
    <cfRule type="cellIs" dxfId="56" priority="43689" operator="between">
      <formula>0.17</formula>
      <formula>2</formula>
    </cfRule>
    <cfRule type="cellIs" dxfId="55" priority="43690" operator="between">
      <formula>17</formula>
      <formula>59</formula>
    </cfRule>
    <cfRule type="cellIs" dxfId="54" priority="43692" operator="between">
      <formula>0.0118055555555556</formula>
      <formula>0.0416666666666667</formula>
    </cfRule>
  </conditionalFormatting>
  <conditionalFormatting sqref="L21:L22">
    <cfRule type="cellIs" dxfId="53" priority="43649" operator="equal">
      <formula>"غياب"</formula>
    </cfRule>
  </conditionalFormatting>
  <conditionalFormatting sqref="L24:L25 L26:M28 L30:M31 M32:M53 L32:L100 M55:M130 L104:L130 L330:M394">
    <cfRule type="cellIs" dxfId="52" priority="43675" operator="equal">
      <formula>"غياب"</formula>
    </cfRule>
  </conditionalFormatting>
  <conditionalFormatting sqref="L26:M28 L30:M31 M32:M53 L32:L100 M55:M130 L330:M394 L496:L514">
    <cfRule type="cellIs" dxfId="51" priority="43686" operator="equal">
      <formula>"غياب"</formula>
    </cfRule>
    <cfRule type="cellIs" dxfId="50" priority="43687" operator="equal">
      <formula>#N/A</formula>
    </cfRule>
  </conditionalFormatting>
  <conditionalFormatting sqref="L131:M268">
    <cfRule type="cellIs" dxfId="49" priority="43644" operator="equal">
      <formula>"غياب"</formula>
    </cfRule>
  </conditionalFormatting>
  <conditionalFormatting sqref="L144:M144">
    <cfRule type="cellIs" dxfId="48" priority="43661" operator="equal">
      <formula>"غياب"</formula>
    </cfRule>
    <cfRule type="cellIs" dxfId="47" priority="43662" operator="equal">
      <formula>#N/A</formula>
    </cfRule>
  </conditionalFormatting>
  <conditionalFormatting sqref="L471:M495">
    <cfRule type="cellIs" dxfId="46" priority="43670" operator="equal">
      <formula>"غياب"</formula>
    </cfRule>
    <cfRule type="cellIs" dxfId="45" priority="43671" operator="equal">
      <formula>#N/A</formula>
    </cfRule>
  </conditionalFormatting>
  <conditionalFormatting sqref="L515:M801">
    <cfRule type="cellIs" dxfId="44" priority="43625" operator="equal">
      <formula>"غياب"</formula>
    </cfRule>
    <cfRule type="cellIs" dxfId="43" priority="43626" operator="equal">
      <formula>#N/A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AB34-8EC5-400D-958F-10CAEBC0367C}">
  <dimension ref="A1:R417"/>
  <sheetViews>
    <sheetView rightToLeft="1" workbookViewId="0">
      <selection activeCell="M7" sqref="M7"/>
    </sheetView>
  </sheetViews>
  <sheetFormatPr defaultRowHeight="14.25"/>
  <cols>
    <col min="1" max="1" width="14" customWidth="1"/>
    <col min="2" max="2" width="11.25" bestFit="1" customWidth="1"/>
    <col min="3" max="3" width="12.625" customWidth="1"/>
    <col min="4" max="4" width="2.25" customWidth="1"/>
    <col min="5" max="5" width="12.625" customWidth="1"/>
    <col min="6" max="6" width="12.375" customWidth="1"/>
    <col min="7" max="7" width="13.375" customWidth="1"/>
    <col min="8" max="8" width="2.375" customWidth="1"/>
    <col min="9" max="9" width="13.375" customWidth="1"/>
    <col min="10" max="10" width="12.125" customWidth="1"/>
    <col min="11" max="11" width="11.625" bestFit="1" customWidth="1"/>
    <col min="12" max="12" width="2.375" customWidth="1"/>
    <col min="13" max="13" width="12.625" customWidth="1"/>
    <col min="14" max="14" width="11.5" customWidth="1"/>
    <col min="15" max="15" width="10.125" customWidth="1"/>
    <col min="16" max="16" width="14" customWidth="1"/>
    <col min="17" max="17" width="11.25" bestFit="1" customWidth="1"/>
    <col min="18" max="18" width="12.625" customWidth="1"/>
  </cols>
  <sheetData>
    <row r="1" spans="1:18">
      <c r="A1" s="168"/>
      <c r="B1" s="169"/>
      <c r="C1" s="168"/>
      <c r="D1" s="99"/>
      <c r="E1" s="168"/>
      <c r="F1" s="169"/>
      <c r="G1" s="168"/>
      <c r="I1" s="168"/>
      <c r="J1" s="169"/>
      <c r="K1" s="168"/>
      <c r="L1" s="99"/>
      <c r="M1" s="168"/>
      <c r="N1" s="169"/>
      <c r="O1" s="168"/>
      <c r="P1" s="168"/>
      <c r="Q1" s="169"/>
      <c r="R1" s="168"/>
    </row>
    <row r="2" spans="1:18">
      <c r="A2" s="173" t="s">
        <v>184</v>
      </c>
      <c r="B2" s="174" t="s">
        <v>185</v>
      </c>
      <c r="C2" s="175" t="s">
        <v>186</v>
      </c>
      <c r="E2" s="173" t="s">
        <v>184</v>
      </c>
      <c r="F2" s="174" t="s">
        <v>185</v>
      </c>
      <c r="G2" s="175" t="s">
        <v>186</v>
      </c>
      <c r="I2" s="173" t="s">
        <v>184</v>
      </c>
      <c r="J2" s="174" t="s">
        <v>185</v>
      </c>
      <c r="K2" s="175" t="s">
        <v>186</v>
      </c>
      <c r="M2" s="173" t="s">
        <v>184</v>
      </c>
      <c r="N2" s="174" t="s">
        <v>185</v>
      </c>
      <c r="O2" s="175" t="s">
        <v>186</v>
      </c>
      <c r="P2" s="173"/>
      <c r="Q2" s="174"/>
      <c r="R2" s="175"/>
    </row>
    <row r="3" spans="1:18">
      <c r="A3" s="158"/>
      <c r="B3" s="160"/>
      <c r="C3" s="159"/>
      <c r="E3" s="158"/>
      <c r="F3" s="160"/>
      <c r="G3" s="159"/>
      <c r="I3" s="158"/>
      <c r="J3" s="160"/>
      <c r="K3" s="159"/>
      <c r="L3" s="99"/>
      <c r="M3" s="158"/>
      <c r="N3" s="160"/>
      <c r="O3" s="159"/>
      <c r="P3" s="158"/>
      <c r="Q3" s="160"/>
      <c r="R3" s="159"/>
    </row>
    <row r="4" spans="1:18">
      <c r="A4" s="158"/>
      <c r="B4" s="160"/>
      <c r="C4" s="159"/>
      <c r="E4" s="158"/>
      <c r="F4" s="160"/>
      <c r="G4" s="159"/>
      <c r="I4" s="158"/>
      <c r="J4" s="160"/>
      <c r="K4" s="159"/>
      <c r="M4" s="158"/>
      <c r="N4" s="160"/>
      <c r="O4" s="159"/>
      <c r="P4" s="158"/>
      <c r="Q4" s="160"/>
      <c r="R4" s="159"/>
    </row>
    <row r="5" spans="1:18">
      <c r="A5" s="158"/>
      <c r="B5" s="160"/>
      <c r="C5" s="159"/>
      <c r="E5" s="158"/>
      <c r="F5" s="160"/>
      <c r="G5" s="159"/>
      <c r="I5" s="158"/>
      <c r="J5" s="160"/>
      <c r="K5" s="159"/>
      <c r="M5" s="158"/>
      <c r="N5" s="160"/>
      <c r="O5" s="159"/>
      <c r="P5" s="158"/>
      <c r="Q5" s="160"/>
      <c r="R5" s="159"/>
    </row>
    <row r="6" spans="1:18">
      <c r="A6" s="158"/>
      <c r="B6" s="160"/>
      <c r="C6" s="159"/>
      <c r="E6" s="158"/>
      <c r="F6" s="160"/>
      <c r="G6" s="159"/>
      <c r="I6" s="158"/>
      <c r="J6" s="160"/>
      <c r="K6" s="159"/>
      <c r="M6" s="158"/>
      <c r="N6" s="160"/>
      <c r="O6" s="159"/>
      <c r="P6" s="158"/>
      <c r="Q6" s="160"/>
      <c r="R6" s="159"/>
    </row>
    <row r="7" spans="1:18">
      <c r="A7" s="158"/>
      <c r="B7" s="160"/>
      <c r="C7" s="159"/>
      <c r="E7" s="158"/>
      <c r="F7" s="160"/>
      <c r="G7" s="159"/>
      <c r="I7" s="158"/>
      <c r="J7" s="160"/>
      <c r="K7" s="159"/>
      <c r="M7" s="158"/>
      <c r="N7" s="160"/>
      <c r="O7" s="159"/>
      <c r="P7" s="158"/>
      <c r="Q7" s="160"/>
      <c r="R7" s="159"/>
    </row>
    <row r="8" spans="1:18">
      <c r="A8" s="158"/>
      <c r="B8" s="160"/>
      <c r="C8" s="159"/>
      <c r="E8" s="158"/>
      <c r="F8" s="160"/>
      <c r="G8" s="159"/>
      <c r="I8" s="158"/>
      <c r="J8" s="160"/>
      <c r="K8" s="159"/>
      <c r="M8" s="158"/>
      <c r="N8" s="160"/>
      <c r="O8" s="159"/>
      <c r="P8" s="158"/>
      <c r="Q8" s="160"/>
      <c r="R8" s="159"/>
    </row>
    <row r="9" spans="1:18">
      <c r="A9" s="158"/>
      <c r="B9" s="160"/>
      <c r="C9" s="159"/>
      <c r="E9" s="158"/>
      <c r="F9" s="160"/>
      <c r="G9" s="159"/>
      <c r="I9" s="158"/>
      <c r="J9" s="160"/>
      <c r="K9" s="159"/>
      <c r="M9" s="158"/>
      <c r="N9" s="160"/>
      <c r="O9" s="159"/>
      <c r="P9" s="158"/>
      <c r="Q9" s="160"/>
      <c r="R9" s="159"/>
    </row>
    <row r="10" spans="1:18">
      <c r="A10" s="158"/>
      <c r="B10" s="160"/>
      <c r="C10" s="159"/>
      <c r="E10" s="158"/>
      <c r="F10" s="160"/>
      <c r="G10" s="159"/>
      <c r="I10" s="158"/>
      <c r="J10" s="160"/>
      <c r="K10" s="159"/>
      <c r="M10" s="158"/>
      <c r="N10" s="160"/>
      <c r="O10" s="159"/>
      <c r="P10" s="158"/>
      <c r="Q10" s="160"/>
      <c r="R10" s="159"/>
    </row>
    <row r="11" spans="1:18">
      <c r="A11" s="158"/>
      <c r="B11" s="160"/>
      <c r="C11" s="159"/>
      <c r="E11" s="158"/>
      <c r="F11" s="160"/>
      <c r="G11" s="159"/>
      <c r="I11" s="158"/>
      <c r="J11" s="160"/>
      <c r="K11" s="159"/>
      <c r="M11" s="158"/>
      <c r="N11" s="160"/>
      <c r="O11" s="159"/>
      <c r="P11" s="158"/>
      <c r="Q11" s="160"/>
      <c r="R11" s="159"/>
    </row>
    <row r="12" spans="1:18">
      <c r="A12" s="158"/>
      <c r="B12" s="160"/>
      <c r="C12" s="159"/>
      <c r="E12" s="158"/>
      <c r="F12" s="160"/>
      <c r="G12" s="159"/>
      <c r="I12" s="158"/>
      <c r="J12" s="160"/>
      <c r="K12" s="159"/>
      <c r="M12" s="158"/>
      <c r="N12" s="160"/>
      <c r="O12" s="159"/>
      <c r="P12" s="158"/>
      <c r="Q12" s="160"/>
      <c r="R12" s="159"/>
    </row>
    <row r="13" spans="1:18">
      <c r="A13" s="158"/>
      <c r="B13" s="160"/>
      <c r="C13" s="159"/>
      <c r="E13" s="158"/>
      <c r="F13" s="160"/>
      <c r="G13" s="159"/>
      <c r="I13" s="158"/>
      <c r="J13" s="160"/>
      <c r="K13" s="159"/>
      <c r="M13" s="158"/>
      <c r="N13" s="160"/>
      <c r="O13" s="159"/>
      <c r="P13" s="158"/>
      <c r="Q13" s="160"/>
      <c r="R13" s="159"/>
    </row>
    <row r="14" spans="1:18">
      <c r="A14" s="158"/>
      <c r="B14" s="160"/>
      <c r="C14" s="159"/>
      <c r="E14" s="158"/>
      <c r="F14" s="160"/>
      <c r="G14" s="159"/>
      <c r="I14" s="158"/>
      <c r="J14" s="160"/>
      <c r="K14" s="159"/>
      <c r="M14" s="158"/>
      <c r="N14" s="160"/>
      <c r="O14" s="159"/>
      <c r="P14" s="158"/>
      <c r="Q14" s="160"/>
      <c r="R14" s="159"/>
    </row>
    <row r="15" spans="1:18">
      <c r="A15" s="158"/>
      <c r="B15" s="160"/>
      <c r="C15" s="159"/>
      <c r="E15" s="158"/>
      <c r="F15" s="160"/>
      <c r="G15" s="159"/>
      <c r="I15" s="158"/>
      <c r="J15" s="160"/>
      <c r="K15" s="159"/>
      <c r="M15" s="158"/>
      <c r="N15" s="160"/>
      <c r="O15" s="159"/>
      <c r="P15" s="158"/>
      <c r="Q15" s="160"/>
      <c r="R15" s="159"/>
    </row>
    <row r="16" spans="1:18">
      <c r="A16" s="158"/>
      <c r="B16" s="160"/>
      <c r="C16" s="159"/>
      <c r="E16" s="158"/>
      <c r="F16" s="160"/>
      <c r="G16" s="159"/>
      <c r="I16" s="158"/>
      <c r="J16" s="160"/>
      <c r="K16" s="159"/>
      <c r="M16" s="158"/>
      <c r="N16" s="160"/>
      <c r="O16" s="159"/>
      <c r="P16" s="158"/>
      <c r="Q16" s="160"/>
      <c r="R16" s="159"/>
    </row>
    <row r="17" spans="1:18">
      <c r="A17" s="158"/>
      <c r="B17" s="160"/>
      <c r="C17" s="159"/>
      <c r="E17" s="158"/>
      <c r="F17" s="160"/>
      <c r="G17" s="159"/>
      <c r="I17" s="158"/>
      <c r="J17" s="160"/>
      <c r="K17" s="159"/>
      <c r="M17" s="158"/>
      <c r="N17" s="160"/>
      <c r="O17" s="159"/>
      <c r="P17" s="158"/>
      <c r="Q17" s="160"/>
      <c r="R17" s="159"/>
    </row>
    <row r="18" spans="1:18">
      <c r="A18" s="158"/>
      <c r="B18" s="160"/>
      <c r="C18" s="159"/>
      <c r="E18" s="158"/>
      <c r="F18" s="160"/>
      <c r="G18" s="159"/>
      <c r="I18" s="158"/>
      <c r="J18" s="91"/>
      <c r="K18" s="161"/>
      <c r="M18" s="158"/>
      <c r="N18" s="160"/>
      <c r="O18" s="159"/>
      <c r="P18" s="158"/>
      <c r="Q18" s="160"/>
      <c r="R18" s="159"/>
    </row>
    <row r="19" spans="1:18">
      <c r="A19" s="158"/>
      <c r="B19" s="160"/>
      <c r="C19" s="159"/>
      <c r="E19" s="158"/>
      <c r="F19" s="160"/>
      <c r="G19" s="159"/>
      <c r="I19" s="158"/>
      <c r="J19" s="91"/>
      <c r="K19" s="161"/>
      <c r="M19" s="158"/>
      <c r="N19" s="160"/>
      <c r="O19" s="159"/>
      <c r="P19" s="158"/>
      <c r="Q19" s="160"/>
      <c r="R19" s="159"/>
    </row>
    <row r="20" spans="1:18">
      <c r="A20" s="158"/>
      <c r="B20" s="160"/>
      <c r="C20" s="159"/>
      <c r="E20" s="158"/>
      <c r="F20" s="160"/>
      <c r="G20" s="159"/>
      <c r="I20" s="158"/>
      <c r="J20" s="91"/>
      <c r="K20" s="161"/>
      <c r="M20" s="158"/>
      <c r="N20" s="160"/>
      <c r="O20" s="159"/>
      <c r="P20" s="158"/>
      <c r="Q20" s="160"/>
      <c r="R20" s="159"/>
    </row>
    <row r="21" spans="1:18">
      <c r="A21" s="158"/>
      <c r="B21" s="160"/>
      <c r="C21" s="159"/>
      <c r="I21" s="158"/>
      <c r="J21" s="91"/>
      <c r="K21" s="161"/>
      <c r="M21" s="158"/>
      <c r="N21" s="160"/>
      <c r="O21" s="159"/>
      <c r="P21" s="158"/>
      <c r="Q21" s="160"/>
      <c r="R21" s="159"/>
    </row>
    <row r="22" spans="1:18">
      <c r="A22" s="158"/>
      <c r="B22" s="160"/>
      <c r="C22" s="159"/>
      <c r="E22" s="158"/>
      <c r="F22" s="160"/>
      <c r="G22" s="159"/>
      <c r="I22" s="158"/>
      <c r="J22" s="160"/>
      <c r="K22" s="159"/>
      <c r="M22" s="158"/>
      <c r="N22" s="160"/>
      <c r="O22" s="159"/>
      <c r="P22" s="158"/>
      <c r="Q22" s="160"/>
      <c r="R22" s="159"/>
    </row>
    <row r="23" spans="1:18">
      <c r="A23" s="135"/>
      <c r="B23" s="136"/>
      <c r="C23" s="137"/>
      <c r="E23" s="155"/>
      <c r="F23" s="157"/>
      <c r="G23" s="156"/>
      <c r="I23" s="158"/>
      <c r="J23" s="160"/>
      <c r="K23" s="159"/>
      <c r="M23" s="158"/>
      <c r="N23" s="160"/>
      <c r="O23" s="159"/>
      <c r="P23" s="135"/>
      <c r="Q23" s="136"/>
      <c r="R23" s="137"/>
    </row>
    <row r="24" spans="1:18">
      <c r="A24" s="158"/>
      <c r="B24" s="160"/>
      <c r="C24" s="159"/>
      <c r="E24" s="155"/>
      <c r="F24" s="157"/>
      <c r="G24" s="156"/>
      <c r="I24" s="135"/>
      <c r="J24" s="136"/>
      <c r="K24" s="137"/>
      <c r="M24" s="158"/>
      <c r="N24" s="160"/>
      <c r="O24" s="159"/>
      <c r="P24" s="158"/>
      <c r="Q24" s="160"/>
      <c r="R24" s="159"/>
    </row>
    <row r="25" spans="1:18">
      <c r="A25" s="158"/>
      <c r="B25" s="160"/>
      <c r="C25" s="159"/>
      <c r="E25" s="155"/>
      <c r="F25" s="157"/>
      <c r="G25" s="156"/>
      <c r="I25" s="135"/>
      <c r="J25" s="136"/>
      <c r="K25" s="137"/>
      <c r="M25" s="158"/>
      <c r="N25" s="160"/>
      <c r="O25" s="159"/>
      <c r="P25" s="158"/>
      <c r="Q25" s="160"/>
      <c r="R25" s="159"/>
    </row>
    <row r="26" spans="1:18">
      <c r="A26" s="165"/>
      <c r="B26" s="166"/>
      <c r="C26" s="167"/>
      <c r="E26" s="135"/>
      <c r="F26" s="136"/>
      <c r="G26" s="137"/>
      <c r="I26" s="135"/>
      <c r="J26" s="136"/>
      <c r="K26" s="137"/>
      <c r="M26" s="158"/>
      <c r="N26" s="160"/>
      <c r="O26" s="159"/>
      <c r="P26" s="165"/>
      <c r="Q26" s="166"/>
      <c r="R26" s="167"/>
    </row>
    <row r="27" spans="1:18">
      <c r="A27" s="162"/>
      <c r="B27" s="163"/>
      <c r="C27" s="164"/>
      <c r="E27" s="149"/>
      <c r="F27" s="148"/>
      <c r="G27" s="150"/>
      <c r="I27" s="149"/>
      <c r="J27" s="148"/>
      <c r="K27" s="150"/>
      <c r="M27" s="158"/>
      <c r="N27" s="160"/>
      <c r="O27" s="159"/>
      <c r="P27" s="162"/>
      <c r="Q27" s="163"/>
      <c r="R27" s="164"/>
    </row>
    <row r="28" spans="1:18">
      <c r="A28" s="173"/>
      <c r="B28" s="174"/>
      <c r="C28" s="175"/>
      <c r="E28" s="173"/>
      <c r="F28" s="174"/>
      <c r="G28" s="175"/>
      <c r="I28" s="173"/>
      <c r="J28" s="174"/>
      <c r="K28" s="175"/>
      <c r="M28" s="173"/>
      <c r="N28" s="174"/>
      <c r="O28" s="175"/>
      <c r="P28" s="173"/>
      <c r="Q28" s="174"/>
      <c r="R28" s="175"/>
    </row>
    <row r="29" spans="1:18">
      <c r="A29" s="158"/>
      <c r="B29" s="160"/>
      <c r="C29" s="159"/>
      <c r="E29" s="158"/>
      <c r="F29" s="160"/>
      <c r="G29" s="159"/>
      <c r="I29" s="158"/>
      <c r="J29" s="160"/>
      <c r="K29" s="159"/>
      <c r="M29" s="158"/>
      <c r="N29" s="160"/>
      <c r="O29" s="159"/>
      <c r="P29" s="158"/>
      <c r="Q29" s="160"/>
      <c r="R29" s="159"/>
    </row>
    <row r="30" spans="1:18">
      <c r="A30" s="158"/>
      <c r="B30" s="160"/>
      <c r="C30" s="159"/>
      <c r="E30" s="158"/>
      <c r="F30" s="160"/>
      <c r="G30" s="159"/>
      <c r="I30" s="158"/>
      <c r="J30" s="160"/>
      <c r="K30" s="159"/>
      <c r="M30" s="158"/>
      <c r="N30" s="160"/>
      <c r="O30" s="159"/>
      <c r="P30" s="158"/>
      <c r="Q30" s="160"/>
      <c r="R30" s="159"/>
    </row>
    <row r="31" spans="1:18">
      <c r="A31" s="158"/>
      <c r="B31" s="160"/>
      <c r="C31" s="159"/>
      <c r="E31" s="158"/>
      <c r="F31" s="160"/>
      <c r="G31" s="159"/>
      <c r="I31" s="158"/>
      <c r="J31" s="160"/>
      <c r="K31" s="159"/>
      <c r="M31" s="158"/>
      <c r="N31" s="160"/>
      <c r="O31" s="159"/>
      <c r="P31" s="158"/>
      <c r="Q31" s="160"/>
      <c r="R31" s="159"/>
    </row>
    <row r="32" spans="1:18">
      <c r="A32" s="158"/>
      <c r="B32" s="160"/>
      <c r="C32" s="159"/>
      <c r="E32" s="158"/>
      <c r="F32" s="160"/>
      <c r="G32" s="159"/>
      <c r="H32" s="99"/>
      <c r="I32" s="158"/>
      <c r="J32" s="160"/>
      <c r="K32" s="159"/>
      <c r="M32" s="158"/>
      <c r="N32" s="160"/>
      <c r="O32" s="159"/>
      <c r="P32" s="158"/>
      <c r="Q32" s="160"/>
      <c r="R32" s="159"/>
    </row>
    <row r="33" spans="1:18">
      <c r="A33" s="158"/>
      <c r="B33" s="160"/>
      <c r="C33" s="159"/>
      <c r="E33" s="158"/>
      <c r="F33" s="160"/>
      <c r="G33" s="159"/>
      <c r="I33" s="158"/>
      <c r="J33" s="160"/>
      <c r="K33" s="159"/>
      <c r="M33" s="158"/>
      <c r="N33" s="160"/>
      <c r="O33" s="159"/>
      <c r="P33" s="158"/>
      <c r="Q33" s="160"/>
      <c r="R33" s="159"/>
    </row>
    <row r="34" spans="1:18">
      <c r="A34" s="158"/>
      <c r="B34" s="160"/>
      <c r="C34" s="159"/>
      <c r="E34" s="158"/>
      <c r="F34" s="160"/>
      <c r="G34" s="159"/>
      <c r="I34" s="158"/>
      <c r="J34" s="160"/>
      <c r="K34" s="159"/>
      <c r="M34" s="158"/>
      <c r="N34" s="160"/>
      <c r="O34" s="159"/>
      <c r="P34" s="158"/>
      <c r="Q34" s="160"/>
      <c r="R34" s="159"/>
    </row>
    <row r="35" spans="1:18">
      <c r="A35" s="158"/>
      <c r="B35" s="160"/>
      <c r="C35" s="159"/>
      <c r="E35" s="158"/>
      <c r="F35" s="160"/>
      <c r="G35" s="159"/>
      <c r="H35" s="99"/>
      <c r="I35" s="158"/>
      <c r="J35" s="160"/>
      <c r="K35" s="159"/>
      <c r="M35" s="158"/>
      <c r="N35" s="160"/>
      <c r="O35" s="159"/>
      <c r="P35" s="158"/>
      <c r="Q35" s="160"/>
      <c r="R35" s="159"/>
    </row>
    <row r="36" spans="1:18">
      <c r="A36" s="158"/>
      <c r="B36" s="160"/>
      <c r="C36" s="159"/>
      <c r="E36" s="158"/>
      <c r="F36" s="160"/>
      <c r="G36" s="159"/>
      <c r="I36" s="158"/>
      <c r="J36" s="160"/>
      <c r="K36" s="159"/>
      <c r="M36" s="158"/>
      <c r="N36" s="160"/>
      <c r="O36" s="159"/>
      <c r="P36" s="158"/>
      <c r="Q36" s="160"/>
      <c r="R36" s="159"/>
    </row>
    <row r="37" spans="1:18">
      <c r="A37" s="158"/>
      <c r="B37" s="160"/>
      <c r="C37" s="159"/>
      <c r="E37" s="158"/>
      <c r="F37" s="160"/>
      <c r="G37" s="159"/>
      <c r="I37" s="158"/>
      <c r="J37" s="160"/>
      <c r="K37" s="159"/>
      <c r="M37" s="158"/>
      <c r="N37" s="160"/>
      <c r="O37" s="159"/>
      <c r="P37" s="158"/>
      <c r="Q37" s="160"/>
      <c r="R37" s="159"/>
    </row>
    <row r="38" spans="1:18">
      <c r="A38" s="158"/>
      <c r="B38" s="160"/>
      <c r="C38" s="159"/>
      <c r="E38" s="158"/>
      <c r="F38" s="160"/>
      <c r="G38" s="159"/>
      <c r="I38" s="158"/>
      <c r="J38" s="160"/>
      <c r="K38" s="159"/>
      <c r="M38" s="158"/>
      <c r="N38" s="160"/>
      <c r="O38" s="159"/>
      <c r="P38" s="158"/>
      <c r="Q38" s="160"/>
      <c r="R38" s="159"/>
    </row>
    <row r="39" spans="1:18">
      <c r="A39" s="158"/>
      <c r="B39" s="160"/>
      <c r="C39" s="159"/>
      <c r="E39" s="158"/>
      <c r="F39" s="160"/>
      <c r="G39" s="159"/>
      <c r="I39" s="158"/>
      <c r="J39" s="160"/>
      <c r="K39" s="159"/>
      <c r="M39" s="158"/>
      <c r="N39" s="160"/>
      <c r="O39" s="159"/>
      <c r="P39" s="158"/>
      <c r="Q39" s="160"/>
      <c r="R39" s="159"/>
    </row>
    <row r="40" spans="1:18">
      <c r="A40" s="158"/>
      <c r="B40" s="160"/>
      <c r="C40" s="159"/>
      <c r="E40" s="158"/>
      <c r="F40" s="160"/>
      <c r="G40" s="159"/>
      <c r="I40" s="158"/>
      <c r="J40" s="160"/>
      <c r="K40" s="159"/>
      <c r="M40" s="158"/>
      <c r="N40" s="160"/>
      <c r="O40" s="159"/>
      <c r="P40" s="158"/>
      <c r="Q40" s="160"/>
      <c r="R40" s="159"/>
    </row>
    <row r="41" spans="1:18">
      <c r="A41" s="158"/>
      <c r="B41" s="160"/>
      <c r="C41" s="159"/>
      <c r="E41" s="158"/>
      <c r="F41" s="160"/>
      <c r="G41" s="159"/>
      <c r="I41" s="158"/>
      <c r="J41" s="160"/>
      <c r="K41" s="159"/>
      <c r="M41" s="158"/>
      <c r="N41" s="160"/>
      <c r="O41" s="159"/>
      <c r="P41" s="158"/>
      <c r="Q41" s="160"/>
      <c r="R41" s="159"/>
    </row>
    <row r="42" spans="1:18">
      <c r="A42" s="158"/>
      <c r="B42" s="160"/>
      <c r="C42" s="159"/>
      <c r="E42" s="158"/>
      <c r="F42" s="160"/>
      <c r="G42" s="159"/>
      <c r="I42" s="158"/>
      <c r="J42" s="160"/>
      <c r="K42" s="159"/>
      <c r="M42" s="158"/>
      <c r="N42" s="160"/>
      <c r="O42" s="159"/>
      <c r="P42" s="158"/>
      <c r="Q42" s="160"/>
      <c r="R42" s="159"/>
    </row>
    <row r="43" spans="1:18">
      <c r="A43" s="158"/>
      <c r="B43" s="160"/>
      <c r="C43" s="159"/>
      <c r="E43" s="158"/>
      <c r="F43" s="160"/>
      <c r="G43" s="159"/>
      <c r="I43" s="158"/>
      <c r="J43" s="160"/>
      <c r="K43" s="159"/>
      <c r="M43" s="158"/>
      <c r="N43" s="160"/>
      <c r="O43" s="159"/>
      <c r="P43" s="158"/>
      <c r="Q43" s="160"/>
      <c r="R43" s="159"/>
    </row>
    <row r="44" spans="1:18">
      <c r="A44" s="158"/>
      <c r="B44" s="160"/>
      <c r="C44" s="159"/>
      <c r="E44" s="158"/>
      <c r="F44" s="160"/>
      <c r="G44" s="159"/>
      <c r="I44" s="158"/>
      <c r="J44" s="160"/>
      <c r="K44" s="159"/>
      <c r="M44" s="158"/>
      <c r="N44" s="160"/>
      <c r="O44" s="159"/>
      <c r="P44" s="158"/>
      <c r="Q44" s="160"/>
      <c r="R44" s="159"/>
    </row>
    <row r="45" spans="1:18">
      <c r="A45" s="158"/>
      <c r="B45" s="160"/>
      <c r="C45" s="159"/>
      <c r="E45" s="158"/>
      <c r="F45" s="160"/>
      <c r="G45" s="159"/>
      <c r="I45" s="158"/>
      <c r="J45" s="160"/>
      <c r="K45" s="159"/>
      <c r="M45" s="158"/>
      <c r="N45" s="160"/>
      <c r="O45" s="159"/>
      <c r="P45" s="158"/>
      <c r="Q45" s="160"/>
      <c r="R45" s="159"/>
    </row>
    <row r="46" spans="1:18">
      <c r="E46" s="158"/>
      <c r="F46" s="160"/>
      <c r="G46" s="159"/>
      <c r="I46" s="158"/>
      <c r="J46" s="160"/>
      <c r="K46" s="159"/>
      <c r="M46" s="158"/>
      <c r="N46" s="160"/>
      <c r="O46" s="159"/>
    </row>
    <row r="47" spans="1:18">
      <c r="A47" s="158"/>
      <c r="B47" s="160"/>
      <c r="C47" s="159"/>
      <c r="E47" s="158"/>
      <c r="F47" s="160"/>
      <c r="G47" s="159"/>
      <c r="I47" s="158"/>
      <c r="J47" s="160"/>
      <c r="K47" s="159"/>
      <c r="M47" s="158"/>
      <c r="N47" s="160"/>
      <c r="O47" s="159"/>
      <c r="P47" s="158"/>
      <c r="Q47" s="160"/>
      <c r="R47" s="159"/>
    </row>
    <row r="48" spans="1:18">
      <c r="A48" s="158"/>
      <c r="B48" s="160"/>
      <c r="C48" s="159"/>
      <c r="E48" s="158"/>
      <c r="F48" s="160"/>
      <c r="G48" s="159"/>
      <c r="I48" s="158"/>
      <c r="J48" s="160"/>
      <c r="K48" s="159"/>
      <c r="M48" s="158"/>
      <c r="N48" s="160"/>
      <c r="O48" s="159"/>
      <c r="P48" s="158"/>
      <c r="Q48" s="160"/>
      <c r="R48" s="159"/>
    </row>
    <row r="49" spans="1:18">
      <c r="A49" s="158"/>
      <c r="B49" s="160"/>
      <c r="C49" s="159"/>
      <c r="E49" s="158"/>
      <c r="F49" s="160"/>
      <c r="G49" s="159"/>
      <c r="I49" s="158"/>
      <c r="J49" s="160"/>
      <c r="K49" s="159"/>
      <c r="M49" s="158"/>
      <c r="N49" s="160"/>
      <c r="O49" s="159"/>
      <c r="P49" s="158"/>
      <c r="Q49" s="160"/>
      <c r="R49" s="159"/>
    </row>
    <row r="50" spans="1:18">
      <c r="A50" s="158"/>
      <c r="B50" s="160"/>
      <c r="C50" s="159"/>
      <c r="E50" s="158"/>
      <c r="F50" s="160"/>
      <c r="G50" s="159"/>
      <c r="I50" s="158"/>
      <c r="J50" s="160"/>
      <c r="K50" s="159"/>
      <c r="M50" s="158"/>
      <c r="N50" s="160"/>
      <c r="O50" s="159"/>
      <c r="P50" s="158"/>
      <c r="Q50" s="160"/>
      <c r="R50" s="159"/>
    </row>
    <row r="51" spans="1:18">
      <c r="A51" s="158"/>
      <c r="B51" s="160"/>
      <c r="C51" s="159"/>
      <c r="E51" s="158"/>
      <c r="F51" s="160"/>
      <c r="G51" s="159"/>
      <c r="I51" s="158"/>
      <c r="J51" s="160"/>
      <c r="K51" s="159"/>
      <c r="M51" s="158"/>
      <c r="N51" s="160"/>
      <c r="O51" s="159"/>
      <c r="P51" s="158"/>
      <c r="Q51" s="160"/>
      <c r="R51" s="159"/>
    </row>
    <row r="52" spans="1:18">
      <c r="A52" s="158"/>
      <c r="B52" s="160"/>
      <c r="C52" s="159"/>
      <c r="E52" s="158"/>
      <c r="F52" s="160"/>
      <c r="G52" s="159"/>
      <c r="I52" s="158"/>
      <c r="J52" s="160"/>
      <c r="K52" s="159"/>
      <c r="M52" s="158"/>
      <c r="N52" s="160"/>
      <c r="O52" s="159"/>
      <c r="P52" s="158"/>
      <c r="Q52" s="160"/>
      <c r="R52" s="159"/>
    </row>
    <row r="53" spans="1:18">
      <c r="A53" s="173"/>
      <c r="B53" s="174"/>
      <c r="C53" s="175"/>
      <c r="E53" s="173"/>
      <c r="F53" s="174"/>
      <c r="G53" s="175"/>
      <c r="I53" s="173"/>
      <c r="J53" s="174"/>
      <c r="K53" s="175"/>
      <c r="M53" s="158"/>
      <c r="N53" s="160"/>
      <c r="O53" s="159"/>
      <c r="P53" s="173"/>
      <c r="Q53" s="174"/>
      <c r="R53" s="175"/>
    </row>
    <row r="54" spans="1:18">
      <c r="A54" s="158"/>
      <c r="B54" s="160"/>
      <c r="C54" s="159"/>
      <c r="E54" s="158"/>
      <c r="F54" s="160"/>
      <c r="G54" s="159"/>
      <c r="I54" s="158"/>
      <c r="J54" s="160"/>
      <c r="K54" s="159"/>
      <c r="M54" s="158"/>
      <c r="N54" s="160"/>
      <c r="O54" s="159"/>
      <c r="P54" s="158"/>
      <c r="Q54" s="160"/>
      <c r="R54" s="159"/>
    </row>
    <row r="55" spans="1:18">
      <c r="A55" s="158"/>
      <c r="B55" s="160"/>
      <c r="C55" s="159"/>
      <c r="E55" s="158"/>
      <c r="F55" s="160"/>
      <c r="G55" s="159"/>
      <c r="I55" s="158"/>
      <c r="J55" s="160"/>
      <c r="K55" s="159"/>
      <c r="M55" s="158"/>
      <c r="N55" s="160"/>
      <c r="O55" s="159"/>
      <c r="P55" s="158"/>
      <c r="Q55" s="160"/>
      <c r="R55" s="159"/>
    </row>
    <row r="56" spans="1:18">
      <c r="A56" s="158"/>
      <c r="B56" s="160"/>
      <c r="C56" s="159"/>
      <c r="E56" s="158"/>
      <c r="F56" s="160"/>
      <c r="G56" s="159"/>
      <c r="I56" s="158"/>
      <c r="J56" s="160"/>
      <c r="K56" s="159"/>
      <c r="M56" s="158"/>
      <c r="N56" s="160"/>
      <c r="O56" s="159"/>
      <c r="P56" s="158"/>
      <c r="Q56" s="160"/>
      <c r="R56" s="159"/>
    </row>
    <row r="57" spans="1:18">
      <c r="A57" s="158"/>
      <c r="B57" s="160"/>
      <c r="C57" s="159"/>
      <c r="E57" s="158"/>
      <c r="F57" s="160"/>
      <c r="G57" s="159"/>
      <c r="I57" s="158"/>
      <c r="J57" s="160"/>
      <c r="K57" s="159"/>
      <c r="M57" s="158"/>
      <c r="N57" s="160"/>
      <c r="O57" s="159"/>
      <c r="P57" s="158"/>
      <c r="Q57" s="160"/>
      <c r="R57" s="159"/>
    </row>
    <row r="58" spans="1:18">
      <c r="A58" s="158"/>
      <c r="B58" s="160"/>
      <c r="C58" s="159"/>
      <c r="E58" s="158"/>
      <c r="F58" s="160"/>
      <c r="G58" s="159"/>
      <c r="I58" s="158"/>
      <c r="J58" s="160"/>
      <c r="K58" s="159"/>
      <c r="M58" s="158"/>
      <c r="N58" s="160"/>
      <c r="O58" s="159"/>
      <c r="P58" s="158"/>
      <c r="Q58" s="160"/>
      <c r="R58" s="159"/>
    </row>
    <row r="59" spans="1:18">
      <c r="A59" s="158"/>
      <c r="B59" s="160"/>
      <c r="C59" s="159"/>
      <c r="E59" s="158"/>
      <c r="F59" s="160"/>
      <c r="G59" s="159"/>
      <c r="I59" s="158"/>
      <c r="J59" s="160"/>
      <c r="K59" s="159"/>
      <c r="M59" s="158"/>
      <c r="N59" s="160"/>
      <c r="O59" s="159"/>
      <c r="P59" s="158"/>
      <c r="Q59" s="160"/>
      <c r="R59" s="159"/>
    </row>
    <row r="60" spans="1:18">
      <c r="A60" s="158"/>
      <c r="B60" s="160"/>
      <c r="C60" s="159"/>
      <c r="E60" s="158"/>
      <c r="F60" s="160"/>
      <c r="G60" s="159"/>
      <c r="I60" s="158"/>
      <c r="J60" s="160"/>
      <c r="K60" s="159"/>
      <c r="M60" s="158"/>
      <c r="N60" s="160"/>
      <c r="O60" s="159"/>
      <c r="P60" s="158"/>
      <c r="Q60" s="160"/>
      <c r="R60" s="159"/>
    </row>
    <row r="61" spans="1:18">
      <c r="A61" s="158"/>
      <c r="B61" s="160"/>
      <c r="C61" s="159"/>
      <c r="E61" s="158"/>
      <c r="F61" s="160"/>
      <c r="G61" s="159"/>
      <c r="I61" s="158"/>
      <c r="J61" s="160"/>
      <c r="K61" s="159"/>
      <c r="M61" s="158"/>
      <c r="N61" s="160"/>
      <c r="O61" s="159"/>
      <c r="P61" s="158"/>
      <c r="Q61" s="160"/>
      <c r="R61" s="159"/>
    </row>
    <row r="62" spans="1:18">
      <c r="A62" s="158"/>
      <c r="B62" s="160"/>
      <c r="C62" s="159"/>
      <c r="E62" s="158"/>
      <c r="F62" s="160"/>
      <c r="G62" s="159"/>
      <c r="I62" s="158"/>
      <c r="J62" s="160"/>
      <c r="K62" s="159"/>
      <c r="M62" s="158"/>
      <c r="N62" s="160"/>
      <c r="O62" s="159"/>
      <c r="P62" s="158"/>
      <c r="Q62" s="160"/>
      <c r="R62" s="159"/>
    </row>
    <row r="63" spans="1:18">
      <c r="A63" s="158"/>
      <c r="B63" s="160"/>
      <c r="C63" s="159"/>
      <c r="E63" s="158"/>
      <c r="F63" s="160"/>
      <c r="G63" s="159"/>
      <c r="I63" s="158"/>
      <c r="J63" s="160"/>
      <c r="K63" s="159"/>
      <c r="M63" s="158"/>
      <c r="N63" s="160"/>
      <c r="O63" s="159"/>
      <c r="P63" s="158"/>
      <c r="Q63" s="160"/>
      <c r="R63" s="159"/>
    </row>
    <row r="64" spans="1:18">
      <c r="A64" s="158"/>
      <c r="B64" s="160"/>
      <c r="C64" s="159"/>
      <c r="E64" s="158"/>
      <c r="F64" s="160"/>
      <c r="G64" s="159"/>
      <c r="I64" s="158"/>
      <c r="J64" s="160"/>
      <c r="K64" s="159"/>
      <c r="M64" s="158"/>
      <c r="N64" s="160"/>
      <c r="O64" s="159"/>
      <c r="P64" s="158"/>
      <c r="Q64" s="160"/>
      <c r="R64" s="159"/>
    </row>
    <row r="65" spans="1:18">
      <c r="A65" s="158"/>
      <c r="B65" s="160"/>
      <c r="C65" s="159"/>
      <c r="E65" s="158"/>
      <c r="F65" s="160"/>
      <c r="G65" s="159"/>
      <c r="I65" s="158"/>
      <c r="J65" s="160"/>
      <c r="K65" s="159"/>
      <c r="M65" s="158"/>
      <c r="N65" s="160"/>
      <c r="O65" s="159"/>
      <c r="P65" s="158"/>
      <c r="Q65" s="160"/>
      <c r="R65" s="159"/>
    </row>
    <row r="66" spans="1:18">
      <c r="A66" s="158"/>
      <c r="B66" s="160"/>
      <c r="C66" s="159"/>
      <c r="E66" s="158"/>
      <c r="F66" s="160"/>
      <c r="G66" s="159"/>
      <c r="I66" s="158"/>
      <c r="J66" s="160"/>
      <c r="K66" s="159"/>
      <c r="M66" s="158"/>
      <c r="N66" s="160"/>
      <c r="O66" s="159"/>
      <c r="P66" s="158"/>
      <c r="Q66" s="160"/>
      <c r="R66" s="159"/>
    </row>
    <row r="67" spans="1:18">
      <c r="A67" s="158"/>
      <c r="B67" s="160"/>
      <c r="C67" s="159"/>
      <c r="E67" s="158"/>
      <c r="F67" s="160"/>
      <c r="G67" s="159"/>
      <c r="I67" s="158"/>
      <c r="J67" s="160"/>
      <c r="K67" s="159"/>
      <c r="M67" s="158"/>
      <c r="N67" s="160"/>
      <c r="O67" s="159"/>
      <c r="P67" s="158"/>
      <c r="Q67" s="160"/>
      <c r="R67" s="159"/>
    </row>
    <row r="68" spans="1:18">
      <c r="A68" s="158"/>
      <c r="B68" s="160"/>
      <c r="C68" s="159"/>
      <c r="E68" s="158"/>
      <c r="F68" s="160"/>
      <c r="G68" s="159"/>
      <c r="I68" s="158"/>
      <c r="J68" s="160"/>
      <c r="K68" s="159"/>
      <c r="M68" s="158"/>
      <c r="N68" s="160"/>
      <c r="O68" s="159"/>
      <c r="P68" s="158"/>
      <c r="Q68" s="160"/>
      <c r="R68" s="159"/>
    </row>
    <row r="69" spans="1:18">
      <c r="A69" s="158"/>
      <c r="B69" s="160"/>
      <c r="C69" s="159"/>
      <c r="E69" s="158"/>
      <c r="F69" s="160"/>
      <c r="G69" s="159"/>
      <c r="I69" s="158"/>
      <c r="J69" s="91"/>
      <c r="K69" s="90"/>
      <c r="M69" s="158"/>
      <c r="N69" s="160"/>
      <c r="O69" s="159"/>
      <c r="P69" s="158"/>
      <c r="Q69" s="160"/>
      <c r="R69" s="159"/>
    </row>
    <row r="70" spans="1:18">
      <c r="A70" s="158"/>
      <c r="B70" s="160"/>
      <c r="C70" s="159"/>
      <c r="E70" s="158"/>
      <c r="F70" s="160"/>
      <c r="G70" s="159"/>
      <c r="I70" s="158"/>
      <c r="J70" s="91"/>
      <c r="K70" s="90"/>
      <c r="M70" s="158"/>
      <c r="N70" s="160"/>
      <c r="O70" s="159"/>
      <c r="P70" s="158"/>
      <c r="Q70" s="160"/>
      <c r="R70" s="159"/>
    </row>
    <row r="71" spans="1:18">
      <c r="A71" s="158"/>
      <c r="B71" s="160"/>
      <c r="C71" s="159"/>
      <c r="E71" s="158"/>
      <c r="F71" s="160"/>
      <c r="G71" s="159"/>
      <c r="I71" s="158"/>
      <c r="J71" s="91"/>
      <c r="K71" s="90"/>
      <c r="M71" s="158"/>
      <c r="N71" s="160"/>
      <c r="O71" s="159"/>
      <c r="P71" s="158"/>
      <c r="Q71" s="160"/>
      <c r="R71" s="159"/>
    </row>
    <row r="72" spans="1:18">
      <c r="A72" s="158"/>
      <c r="B72" s="160"/>
      <c r="C72" s="159"/>
      <c r="E72" s="158"/>
      <c r="F72" s="160"/>
      <c r="G72" s="159"/>
      <c r="I72" s="158"/>
      <c r="J72" s="160"/>
      <c r="K72" s="159"/>
      <c r="M72" s="158"/>
      <c r="N72" s="160"/>
      <c r="O72" s="159"/>
      <c r="P72" s="158"/>
      <c r="Q72" s="160"/>
      <c r="R72" s="159"/>
    </row>
    <row r="73" spans="1:18">
      <c r="A73" s="158"/>
      <c r="B73" s="160"/>
      <c r="C73" s="159"/>
      <c r="E73" s="158"/>
      <c r="F73" s="160"/>
      <c r="G73" s="159"/>
      <c r="I73" s="158"/>
      <c r="J73" s="160"/>
      <c r="K73" s="159"/>
      <c r="M73" s="158"/>
      <c r="N73" s="160"/>
      <c r="O73" s="159"/>
      <c r="P73" s="158"/>
      <c r="Q73" s="160"/>
      <c r="R73" s="159"/>
    </row>
    <row r="74" spans="1:18">
      <c r="A74" s="158"/>
      <c r="B74" s="160"/>
      <c r="C74" s="159"/>
      <c r="E74" s="158"/>
      <c r="F74" s="160"/>
      <c r="G74" s="159"/>
      <c r="I74" s="158"/>
      <c r="J74" s="160"/>
      <c r="K74" s="159"/>
      <c r="M74" s="158"/>
      <c r="N74" s="160"/>
      <c r="O74" s="159"/>
      <c r="P74" s="158"/>
      <c r="Q74" s="160"/>
      <c r="R74" s="159"/>
    </row>
    <row r="75" spans="1:18">
      <c r="A75" s="158"/>
      <c r="B75" s="160"/>
      <c r="C75" s="159"/>
      <c r="E75" s="158"/>
      <c r="F75" s="160"/>
      <c r="G75" s="159"/>
      <c r="I75" s="158"/>
      <c r="J75" s="160"/>
      <c r="K75" s="159"/>
      <c r="M75" s="158"/>
      <c r="N75" s="160"/>
      <c r="O75" s="159"/>
      <c r="P75" s="158"/>
      <c r="Q75" s="160"/>
      <c r="R75" s="159"/>
    </row>
    <row r="76" spans="1:18">
      <c r="A76" s="158"/>
      <c r="B76" s="160"/>
      <c r="C76" s="159"/>
      <c r="E76" s="158"/>
      <c r="F76" s="160"/>
      <c r="G76" s="159"/>
      <c r="I76" s="158"/>
      <c r="J76" s="160"/>
      <c r="K76" s="159"/>
      <c r="M76" s="158"/>
      <c r="N76" s="160"/>
      <c r="O76" s="159"/>
      <c r="P76" s="158"/>
      <c r="Q76" s="160"/>
      <c r="R76" s="159"/>
    </row>
    <row r="77" spans="1:18">
      <c r="A77" s="158"/>
      <c r="B77" s="160"/>
      <c r="C77" s="159"/>
      <c r="E77" s="158"/>
      <c r="F77" s="160"/>
      <c r="G77" s="159"/>
      <c r="I77" s="158"/>
      <c r="J77" s="160"/>
      <c r="K77" s="159"/>
      <c r="M77" s="158"/>
      <c r="N77" s="160"/>
      <c r="O77" s="159"/>
      <c r="P77" s="158"/>
      <c r="Q77" s="160"/>
      <c r="R77" s="159"/>
    </row>
    <row r="78" spans="1:18">
      <c r="A78" s="158"/>
      <c r="B78" s="160"/>
      <c r="C78" s="159"/>
      <c r="E78" s="158"/>
      <c r="F78" s="160"/>
      <c r="G78" s="159"/>
      <c r="I78" s="158"/>
      <c r="J78" s="160"/>
      <c r="K78" s="159"/>
      <c r="M78" s="158"/>
      <c r="N78" s="160"/>
      <c r="O78" s="159"/>
      <c r="P78" s="158"/>
      <c r="Q78" s="160"/>
      <c r="R78" s="159"/>
    </row>
    <row r="79" spans="1:18">
      <c r="A79" s="158"/>
      <c r="B79" s="160"/>
      <c r="C79" s="159"/>
      <c r="E79" s="158"/>
      <c r="F79" s="91"/>
      <c r="G79" s="90"/>
      <c r="I79" s="158"/>
      <c r="J79" s="160"/>
      <c r="K79" s="159"/>
      <c r="M79" s="158"/>
      <c r="N79" s="160"/>
      <c r="O79" s="159"/>
      <c r="P79" s="158"/>
      <c r="Q79" s="160"/>
      <c r="R79" s="159"/>
    </row>
    <row r="80" spans="1:18">
      <c r="A80" s="158"/>
      <c r="B80" s="160"/>
      <c r="C80" s="159"/>
      <c r="E80" s="158"/>
      <c r="F80" s="160"/>
      <c r="G80" s="159"/>
      <c r="I80" s="158"/>
      <c r="J80" s="160"/>
      <c r="K80" s="159"/>
      <c r="M80" s="158"/>
      <c r="N80" s="160"/>
      <c r="O80" s="159"/>
      <c r="P80" s="158"/>
      <c r="Q80" s="160"/>
      <c r="R80" s="159"/>
    </row>
    <row r="81" spans="1:18">
      <c r="A81" s="173"/>
      <c r="B81" s="174"/>
      <c r="C81" s="175"/>
      <c r="E81" s="173"/>
      <c r="F81" s="174"/>
      <c r="G81" s="175"/>
      <c r="I81" s="173"/>
      <c r="J81" s="174"/>
      <c r="K81" s="175"/>
      <c r="M81" s="173"/>
      <c r="N81" s="174"/>
      <c r="O81" s="175"/>
      <c r="P81" s="173"/>
      <c r="Q81" s="174"/>
      <c r="R81" s="175"/>
    </row>
    <row r="82" spans="1:18">
      <c r="A82" s="158"/>
      <c r="B82" s="160"/>
      <c r="C82" s="159"/>
      <c r="E82" s="158"/>
      <c r="F82" s="160"/>
      <c r="G82" s="159"/>
      <c r="I82" s="158"/>
      <c r="J82" s="160"/>
      <c r="K82" s="159"/>
      <c r="M82" s="158"/>
      <c r="N82" s="160"/>
      <c r="O82" s="159"/>
      <c r="P82" s="158"/>
      <c r="Q82" s="160"/>
      <c r="R82" s="159"/>
    </row>
    <row r="83" spans="1:18">
      <c r="A83" s="158"/>
      <c r="B83" s="160"/>
      <c r="C83" s="159"/>
      <c r="E83" s="158"/>
      <c r="F83" s="160"/>
      <c r="G83" s="159"/>
      <c r="I83" s="158"/>
      <c r="J83" s="160"/>
      <c r="K83" s="159"/>
      <c r="M83" s="158"/>
      <c r="N83" s="160"/>
      <c r="O83" s="159"/>
      <c r="P83" s="158"/>
      <c r="Q83" s="160"/>
      <c r="R83" s="159"/>
    </row>
    <row r="84" spans="1:18">
      <c r="A84" s="158"/>
      <c r="B84" s="160"/>
      <c r="C84" s="159"/>
      <c r="E84" s="158"/>
      <c r="F84" s="160"/>
      <c r="G84" s="159"/>
      <c r="I84" s="158"/>
      <c r="J84" s="160"/>
      <c r="K84" s="159"/>
      <c r="M84" s="158"/>
      <c r="N84" s="160"/>
      <c r="O84" s="159"/>
      <c r="P84" s="158"/>
      <c r="Q84" s="160"/>
      <c r="R84" s="159"/>
    </row>
    <row r="85" spans="1:18">
      <c r="A85" s="158"/>
      <c r="B85" s="160"/>
      <c r="C85" s="159"/>
      <c r="E85" s="158"/>
      <c r="F85" s="160"/>
      <c r="G85" s="159"/>
      <c r="I85" s="158"/>
      <c r="J85" s="160"/>
      <c r="K85" s="159"/>
      <c r="M85" s="158"/>
      <c r="N85" s="160"/>
      <c r="O85" s="159"/>
      <c r="P85" s="158"/>
      <c r="Q85" s="160"/>
      <c r="R85" s="159"/>
    </row>
    <row r="86" spans="1:18">
      <c r="A86" s="158"/>
      <c r="B86" s="160"/>
      <c r="C86" s="159"/>
      <c r="E86" s="158"/>
      <c r="F86" s="160"/>
      <c r="G86" s="159"/>
      <c r="I86" s="158"/>
      <c r="J86" s="160"/>
      <c r="K86" s="159"/>
      <c r="M86" s="158"/>
      <c r="N86" s="160"/>
      <c r="O86" s="159"/>
      <c r="P86" s="158"/>
      <c r="Q86" s="160"/>
      <c r="R86" s="159"/>
    </row>
    <row r="87" spans="1:18">
      <c r="A87" s="158"/>
      <c r="B87" s="160"/>
      <c r="C87" s="159"/>
      <c r="E87" s="158"/>
      <c r="F87" s="160"/>
      <c r="G87" s="159"/>
      <c r="I87" s="158"/>
      <c r="J87" s="160"/>
      <c r="K87" s="159"/>
      <c r="M87" s="158"/>
      <c r="N87" s="160"/>
      <c r="O87" s="159"/>
      <c r="P87" s="158"/>
      <c r="Q87" s="160"/>
      <c r="R87" s="159"/>
    </row>
    <row r="88" spans="1:18">
      <c r="A88" s="158"/>
      <c r="B88" s="160"/>
      <c r="C88" s="159"/>
      <c r="E88" s="158"/>
      <c r="F88" s="160"/>
      <c r="G88" s="159"/>
      <c r="I88" s="158"/>
      <c r="J88" s="160"/>
      <c r="K88" s="159"/>
      <c r="M88" s="158"/>
      <c r="N88" s="160"/>
      <c r="O88" s="159"/>
      <c r="P88" s="158"/>
      <c r="Q88" s="160"/>
      <c r="R88" s="159"/>
    </row>
    <row r="89" spans="1:18">
      <c r="A89" s="158"/>
      <c r="B89" s="160"/>
      <c r="C89" s="159"/>
      <c r="E89" s="158"/>
      <c r="F89" s="160"/>
      <c r="G89" s="159"/>
      <c r="I89" s="158"/>
      <c r="J89" s="160"/>
      <c r="K89" s="159"/>
      <c r="M89" s="158"/>
      <c r="N89" s="160"/>
      <c r="O89" s="159"/>
      <c r="P89" s="158"/>
      <c r="Q89" s="160"/>
      <c r="R89" s="159"/>
    </row>
    <row r="90" spans="1:18">
      <c r="A90" s="158"/>
      <c r="B90" s="160"/>
      <c r="C90" s="159"/>
      <c r="E90" s="158"/>
      <c r="F90" s="160"/>
      <c r="G90" s="159"/>
      <c r="I90" s="158"/>
      <c r="J90" s="160"/>
      <c r="K90" s="159"/>
      <c r="M90" s="158"/>
      <c r="N90" s="160"/>
      <c r="O90" s="159"/>
      <c r="P90" s="158"/>
      <c r="Q90" s="160"/>
      <c r="R90" s="159"/>
    </row>
    <row r="91" spans="1:18">
      <c r="A91" s="158"/>
      <c r="B91" s="160"/>
      <c r="C91" s="159"/>
      <c r="E91" s="158"/>
      <c r="F91" s="160"/>
      <c r="G91" s="159"/>
      <c r="I91" s="158"/>
      <c r="J91" s="160"/>
      <c r="K91" s="159"/>
      <c r="M91" s="158"/>
      <c r="N91" s="160"/>
      <c r="O91" s="159"/>
      <c r="P91" s="158"/>
      <c r="Q91" s="160"/>
      <c r="R91" s="159"/>
    </row>
    <row r="92" spans="1:18">
      <c r="A92" s="158"/>
      <c r="B92" s="160"/>
      <c r="C92" s="159"/>
      <c r="E92" s="158"/>
      <c r="F92" s="160"/>
      <c r="G92" s="159"/>
      <c r="I92" s="158"/>
      <c r="J92" s="160"/>
      <c r="K92" s="159"/>
      <c r="M92" s="158"/>
      <c r="N92" s="160"/>
      <c r="O92" s="159"/>
      <c r="P92" s="158"/>
      <c r="Q92" s="160"/>
      <c r="R92" s="159"/>
    </row>
    <row r="93" spans="1:18">
      <c r="A93" s="158"/>
      <c r="B93" s="160"/>
      <c r="C93" s="159"/>
      <c r="E93" s="158"/>
      <c r="F93" s="160"/>
      <c r="G93" s="159"/>
      <c r="I93" s="158"/>
      <c r="J93" s="160"/>
      <c r="K93" s="159"/>
      <c r="M93" s="158"/>
      <c r="N93" s="160"/>
      <c r="O93" s="159"/>
      <c r="P93" s="158"/>
      <c r="Q93" s="160"/>
      <c r="R93" s="159"/>
    </row>
    <row r="94" spans="1:18">
      <c r="A94" s="158"/>
      <c r="B94" s="160"/>
      <c r="C94" s="159"/>
      <c r="E94" s="158"/>
      <c r="F94" s="160"/>
      <c r="G94" s="159"/>
      <c r="I94" s="158"/>
      <c r="J94" s="160"/>
      <c r="K94" s="159"/>
      <c r="M94" s="158"/>
      <c r="N94" s="160"/>
      <c r="O94" s="159"/>
      <c r="P94" s="158"/>
      <c r="Q94" s="160"/>
      <c r="R94" s="159"/>
    </row>
    <row r="95" spans="1:18">
      <c r="A95" s="158"/>
      <c r="B95" s="160"/>
      <c r="C95" s="159"/>
      <c r="E95" s="158"/>
      <c r="F95" s="160"/>
      <c r="G95" s="159"/>
      <c r="I95" s="158"/>
      <c r="J95" s="160"/>
      <c r="K95" s="159"/>
      <c r="M95" s="158"/>
      <c r="N95" s="160"/>
      <c r="O95" s="159"/>
      <c r="P95" s="158"/>
      <c r="Q95" s="160"/>
      <c r="R95" s="159"/>
    </row>
    <row r="96" spans="1:18">
      <c r="A96" s="158"/>
      <c r="B96" s="160"/>
      <c r="C96" s="159"/>
      <c r="E96" s="158"/>
      <c r="F96" s="160"/>
      <c r="G96" s="159"/>
      <c r="I96" s="158"/>
      <c r="J96" s="160"/>
      <c r="K96" s="159"/>
      <c r="M96" s="158"/>
      <c r="N96" s="160"/>
      <c r="O96" s="159"/>
      <c r="P96" s="158"/>
      <c r="Q96" s="160"/>
      <c r="R96" s="159"/>
    </row>
    <row r="97" spans="1:18">
      <c r="A97" s="158"/>
      <c r="B97" s="160"/>
      <c r="C97" s="159"/>
      <c r="E97" s="158"/>
      <c r="F97" s="160"/>
      <c r="G97" s="159"/>
      <c r="I97" s="158"/>
      <c r="J97" s="160"/>
      <c r="K97" s="159"/>
      <c r="M97" s="158"/>
      <c r="N97" s="160"/>
      <c r="O97" s="159"/>
      <c r="P97" s="158"/>
      <c r="Q97" s="160"/>
      <c r="R97" s="159"/>
    </row>
    <row r="98" spans="1:18">
      <c r="A98" s="158"/>
      <c r="B98" s="160"/>
      <c r="C98" s="159"/>
      <c r="E98" s="158"/>
      <c r="F98" s="160"/>
      <c r="G98" s="159"/>
      <c r="I98" s="158"/>
      <c r="J98" s="160"/>
      <c r="K98" s="159"/>
      <c r="M98" s="158"/>
      <c r="N98" s="160"/>
      <c r="O98" s="159"/>
      <c r="P98" s="158"/>
      <c r="Q98" s="160"/>
      <c r="R98" s="159"/>
    </row>
    <row r="99" spans="1:18">
      <c r="A99" s="158"/>
      <c r="B99" s="160"/>
      <c r="C99" s="159"/>
      <c r="E99" s="158"/>
      <c r="F99" s="160"/>
      <c r="G99" s="159"/>
      <c r="I99" s="158"/>
      <c r="J99" s="160"/>
      <c r="K99" s="159"/>
      <c r="M99" s="158"/>
      <c r="N99" s="160"/>
      <c r="O99" s="159"/>
      <c r="P99" s="158"/>
      <c r="Q99" s="160"/>
      <c r="R99" s="159"/>
    </row>
    <row r="100" spans="1:18">
      <c r="A100" s="158"/>
      <c r="B100" s="160"/>
      <c r="C100" s="159"/>
      <c r="E100" s="158"/>
      <c r="F100" s="160"/>
      <c r="G100" s="159"/>
      <c r="I100" s="158"/>
      <c r="J100" s="160"/>
      <c r="K100" s="159"/>
      <c r="M100" s="158"/>
      <c r="N100" s="160"/>
      <c r="O100" s="159"/>
      <c r="P100" s="158"/>
      <c r="Q100" s="160"/>
      <c r="R100" s="159"/>
    </row>
    <row r="101" spans="1:18">
      <c r="A101" s="158"/>
      <c r="B101" s="160"/>
      <c r="C101" s="159"/>
      <c r="E101" s="158"/>
      <c r="F101" s="160"/>
      <c r="G101" s="159"/>
      <c r="I101" s="158"/>
      <c r="J101" s="160"/>
      <c r="K101" s="159"/>
      <c r="M101" s="158"/>
      <c r="N101" s="160"/>
      <c r="O101" s="159"/>
      <c r="P101" s="158"/>
      <c r="Q101" s="160"/>
      <c r="R101" s="159"/>
    </row>
    <row r="102" spans="1:18">
      <c r="A102" s="158"/>
      <c r="B102" s="160"/>
      <c r="C102" s="159"/>
      <c r="E102" s="158"/>
      <c r="F102" s="160"/>
      <c r="G102" s="159"/>
      <c r="I102" s="158"/>
      <c r="J102" s="160"/>
      <c r="K102" s="159"/>
      <c r="M102" s="158"/>
      <c r="N102" s="160"/>
      <c r="O102" s="159"/>
      <c r="P102" s="158"/>
      <c r="Q102" s="160"/>
      <c r="R102" s="159"/>
    </row>
    <row r="103" spans="1:18">
      <c r="A103" s="158"/>
      <c r="B103" s="160"/>
      <c r="C103" s="159"/>
      <c r="E103" s="158"/>
      <c r="F103" s="160"/>
      <c r="G103" s="159"/>
      <c r="I103" s="158"/>
      <c r="J103" s="160"/>
      <c r="K103" s="159"/>
      <c r="M103" s="158"/>
      <c r="N103" s="160"/>
      <c r="O103" s="159"/>
      <c r="P103" s="158"/>
      <c r="Q103" s="160"/>
      <c r="R103" s="159"/>
    </row>
    <row r="104" spans="1:18">
      <c r="A104" s="158"/>
      <c r="B104" s="160"/>
      <c r="C104" s="159"/>
      <c r="E104" s="158"/>
      <c r="F104" s="160"/>
      <c r="G104" s="159"/>
      <c r="I104" s="158"/>
      <c r="J104" s="160"/>
      <c r="K104" s="159"/>
      <c r="M104" s="158"/>
      <c r="N104" s="160"/>
      <c r="O104" s="159"/>
      <c r="P104" s="158"/>
      <c r="Q104" s="160"/>
      <c r="R104" s="159"/>
    </row>
    <row r="105" spans="1:18">
      <c r="A105" s="158"/>
      <c r="B105" s="160"/>
      <c r="C105" s="159"/>
      <c r="E105" s="158"/>
      <c r="F105" s="160"/>
      <c r="G105" s="159"/>
      <c r="I105" s="158"/>
      <c r="J105" s="160"/>
      <c r="K105" s="159"/>
      <c r="M105" s="158"/>
      <c r="N105" s="160"/>
      <c r="O105" s="159"/>
      <c r="P105" s="158"/>
      <c r="Q105" s="160"/>
      <c r="R105" s="159"/>
    </row>
    <row r="106" spans="1:18">
      <c r="A106" s="158"/>
      <c r="B106" s="160"/>
      <c r="C106" s="159"/>
      <c r="E106" s="158"/>
      <c r="F106" s="160"/>
      <c r="G106" s="159"/>
      <c r="I106" s="158"/>
      <c r="J106" s="160"/>
      <c r="K106" s="159"/>
      <c r="M106" s="158"/>
      <c r="N106" s="160"/>
      <c r="O106" s="159"/>
      <c r="P106" s="158"/>
      <c r="Q106" s="160"/>
      <c r="R106" s="159"/>
    </row>
    <row r="107" spans="1:18">
      <c r="A107" s="158"/>
      <c r="B107" s="160"/>
      <c r="C107" s="159"/>
      <c r="E107" s="158"/>
      <c r="F107" s="160"/>
      <c r="G107" s="159"/>
      <c r="I107" s="158"/>
      <c r="J107" s="160"/>
      <c r="K107" s="159"/>
      <c r="M107" s="158"/>
      <c r="N107" s="160"/>
      <c r="O107" s="159"/>
      <c r="P107" s="158"/>
      <c r="Q107" s="160"/>
      <c r="R107" s="159"/>
    </row>
    <row r="108" spans="1:18">
      <c r="A108" s="158"/>
      <c r="B108" s="91"/>
      <c r="C108" s="90"/>
      <c r="E108" s="158"/>
      <c r="F108" s="160"/>
      <c r="G108" s="159"/>
      <c r="I108" s="158"/>
      <c r="J108" s="160"/>
      <c r="K108" s="159"/>
      <c r="M108" s="158"/>
      <c r="N108" s="160"/>
      <c r="O108" s="159"/>
      <c r="P108" s="158"/>
      <c r="Q108" s="91"/>
      <c r="R108" s="90"/>
    </row>
    <row r="109" spans="1:18">
      <c r="A109" s="158"/>
      <c r="B109" s="91"/>
      <c r="C109" s="90"/>
      <c r="E109" s="158"/>
      <c r="F109" s="160"/>
      <c r="G109" s="159"/>
      <c r="I109" s="158"/>
      <c r="J109" s="160"/>
      <c r="K109" s="159"/>
      <c r="M109" s="158"/>
      <c r="N109" s="160"/>
      <c r="O109" s="159"/>
      <c r="P109" s="158"/>
      <c r="Q109" s="91"/>
      <c r="R109" s="90"/>
    </row>
    <row r="110" spans="1:18">
      <c r="A110" s="173"/>
      <c r="B110" s="174"/>
      <c r="C110" s="175"/>
      <c r="E110" s="173"/>
      <c r="F110" s="174"/>
      <c r="G110" s="175"/>
      <c r="I110" s="173"/>
      <c r="J110" s="174"/>
      <c r="K110" s="175"/>
      <c r="M110" s="173"/>
      <c r="N110" s="174"/>
      <c r="O110" s="175"/>
      <c r="P110" s="173"/>
      <c r="Q110" s="174"/>
      <c r="R110" s="175"/>
    </row>
    <row r="111" spans="1:18">
      <c r="A111" s="158"/>
      <c r="B111" s="160"/>
      <c r="C111" s="159"/>
      <c r="E111" s="158"/>
      <c r="F111" s="160"/>
      <c r="G111" s="159"/>
      <c r="I111" s="158"/>
      <c r="J111" s="160"/>
      <c r="K111" s="159"/>
      <c r="M111" s="158"/>
      <c r="N111" s="160"/>
      <c r="O111" s="159"/>
      <c r="P111" s="158"/>
      <c r="Q111" s="160"/>
      <c r="R111" s="159"/>
    </row>
    <row r="112" spans="1:18">
      <c r="A112" s="158"/>
      <c r="B112" s="160"/>
      <c r="C112" s="159"/>
      <c r="E112" s="158"/>
      <c r="F112" s="160"/>
      <c r="G112" s="159"/>
      <c r="I112" s="158"/>
      <c r="J112" s="160"/>
      <c r="K112" s="159"/>
      <c r="M112" s="158"/>
      <c r="N112" s="160"/>
      <c r="O112" s="159"/>
      <c r="P112" s="158"/>
      <c r="Q112" s="160"/>
      <c r="R112" s="159"/>
    </row>
    <row r="113" spans="1:18">
      <c r="A113" s="158"/>
      <c r="B113" s="160"/>
      <c r="C113" s="159"/>
      <c r="E113" s="158"/>
      <c r="F113" s="160"/>
      <c r="G113" s="159"/>
      <c r="I113" s="158"/>
      <c r="J113" s="160"/>
      <c r="K113" s="159"/>
      <c r="M113" s="158"/>
      <c r="N113" s="160"/>
      <c r="O113" s="159"/>
      <c r="P113" s="158"/>
      <c r="Q113" s="160"/>
      <c r="R113" s="159"/>
    </row>
    <row r="114" spans="1:18">
      <c r="A114" s="158"/>
      <c r="B114" s="160"/>
      <c r="C114" s="159"/>
      <c r="E114" s="158"/>
      <c r="F114" s="160"/>
      <c r="G114" s="159"/>
      <c r="I114" s="158"/>
      <c r="J114" s="160"/>
      <c r="K114" s="159"/>
      <c r="M114" s="158"/>
      <c r="N114" s="160"/>
      <c r="O114" s="159"/>
      <c r="P114" s="158"/>
      <c r="Q114" s="160"/>
      <c r="R114" s="159"/>
    </row>
    <row r="115" spans="1:18">
      <c r="A115" s="158"/>
      <c r="B115" s="160"/>
      <c r="C115" s="159"/>
      <c r="E115" s="158"/>
      <c r="F115" s="160"/>
      <c r="G115" s="159"/>
      <c r="I115" s="158"/>
      <c r="J115" s="160"/>
      <c r="K115" s="159"/>
      <c r="M115" s="158"/>
      <c r="N115" s="160"/>
      <c r="O115" s="159"/>
      <c r="P115" s="158"/>
      <c r="Q115" s="160"/>
      <c r="R115" s="159"/>
    </row>
    <row r="116" spans="1:18">
      <c r="A116" s="158"/>
      <c r="B116" s="160"/>
      <c r="C116" s="159"/>
      <c r="E116" s="158"/>
      <c r="F116" s="160"/>
      <c r="G116" s="159"/>
      <c r="I116" s="158"/>
      <c r="J116" s="160"/>
      <c r="K116" s="159"/>
      <c r="M116" s="158"/>
      <c r="N116" s="160"/>
      <c r="O116" s="159"/>
      <c r="P116" s="158"/>
      <c r="Q116" s="160"/>
      <c r="R116" s="159"/>
    </row>
    <row r="117" spans="1:18">
      <c r="A117" s="158"/>
      <c r="B117" s="160"/>
      <c r="C117" s="159"/>
      <c r="E117" s="158"/>
      <c r="F117" s="160"/>
      <c r="G117" s="159"/>
      <c r="I117" s="158"/>
      <c r="J117" s="160"/>
      <c r="K117" s="159"/>
      <c r="M117" s="158"/>
      <c r="N117" s="160"/>
      <c r="O117" s="159"/>
      <c r="P117" s="158"/>
      <c r="Q117" s="160"/>
      <c r="R117" s="159"/>
    </row>
    <row r="118" spans="1:18">
      <c r="A118" s="158"/>
      <c r="B118" s="160"/>
      <c r="C118" s="159"/>
      <c r="E118" s="158"/>
      <c r="F118" s="160"/>
      <c r="G118" s="159"/>
      <c r="I118" s="158"/>
      <c r="J118" s="160"/>
      <c r="K118" s="159"/>
      <c r="M118" s="158"/>
      <c r="N118" s="160"/>
      <c r="O118" s="159"/>
      <c r="P118" s="158"/>
      <c r="Q118" s="160"/>
      <c r="R118" s="159"/>
    </row>
    <row r="119" spans="1:18">
      <c r="A119" s="158"/>
      <c r="B119" s="160"/>
      <c r="C119" s="159"/>
      <c r="E119" s="158"/>
      <c r="F119" s="160"/>
      <c r="G119" s="159"/>
      <c r="I119" s="158"/>
      <c r="J119" s="160"/>
      <c r="K119" s="159"/>
      <c r="M119" s="158"/>
      <c r="N119" s="160"/>
      <c r="O119" s="159"/>
      <c r="P119" s="158"/>
      <c r="Q119" s="160"/>
      <c r="R119" s="159"/>
    </row>
    <row r="120" spans="1:18">
      <c r="A120" s="158"/>
      <c r="B120" s="160"/>
      <c r="C120" s="159"/>
      <c r="E120" s="158"/>
      <c r="F120" s="160"/>
      <c r="G120" s="159"/>
      <c r="I120" s="158"/>
      <c r="J120" s="160"/>
      <c r="K120" s="159"/>
      <c r="M120" s="158"/>
      <c r="N120" s="160"/>
      <c r="O120" s="159"/>
      <c r="P120" s="158"/>
      <c r="Q120" s="160"/>
      <c r="R120" s="159"/>
    </row>
    <row r="121" spans="1:18">
      <c r="A121" s="158"/>
      <c r="B121" s="160"/>
      <c r="C121" s="159"/>
      <c r="E121" s="158"/>
      <c r="F121" s="160"/>
      <c r="G121" s="159"/>
      <c r="I121" s="158"/>
      <c r="J121" s="160"/>
      <c r="K121" s="159"/>
      <c r="M121" s="158"/>
      <c r="N121" s="160"/>
      <c r="O121" s="159"/>
      <c r="P121" s="158"/>
      <c r="Q121" s="160"/>
      <c r="R121" s="159"/>
    </row>
    <row r="122" spans="1:18">
      <c r="A122" s="158"/>
      <c r="B122" s="160"/>
      <c r="C122" s="159"/>
      <c r="E122" s="158"/>
      <c r="F122" s="160"/>
      <c r="G122" s="159"/>
      <c r="I122" s="158"/>
      <c r="J122" s="160"/>
      <c r="K122" s="159"/>
      <c r="M122" s="158"/>
      <c r="N122" s="160"/>
      <c r="O122" s="159"/>
      <c r="P122" s="158"/>
      <c r="Q122" s="160"/>
      <c r="R122" s="159"/>
    </row>
    <row r="123" spans="1:18">
      <c r="A123" s="158"/>
      <c r="B123" s="160"/>
      <c r="C123" s="159"/>
      <c r="E123" s="158"/>
      <c r="F123" s="160"/>
      <c r="G123" s="159"/>
      <c r="I123" s="158"/>
      <c r="J123" s="160"/>
      <c r="K123" s="159"/>
      <c r="M123" s="158"/>
      <c r="N123" s="160"/>
      <c r="O123" s="159"/>
      <c r="P123" s="158"/>
      <c r="Q123" s="160"/>
      <c r="R123" s="159"/>
    </row>
    <row r="124" spans="1:18">
      <c r="A124" s="158"/>
      <c r="B124" s="160"/>
      <c r="C124" s="159"/>
      <c r="E124" s="158"/>
      <c r="F124" s="160"/>
      <c r="G124" s="159"/>
      <c r="I124" s="158"/>
      <c r="J124" s="160"/>
      <c r="K124" s="159"/>
      <c r="M124" s="158"/>
      <c r="N124" s="160"/>
      <c r="O124" s="159"/>
      <c r="P124" s="158"/>
      <c r="Q124" s="160"/>
      <c r="R124" s="159"/>
    </row>
    <row r="125" spans="1:18">
      <c r="A125" s="158"/>
      <c r="B125" s="160"/>
      <c r="C125" s="159"/>
      <c r="E125" s="158"/>
      <c r="F125" s="160"/>
      <c r="G125" s="159"/>
      <c r="I125" s="158"/>
      <c r="J125" s="160"/>
      <c r="K125" s="159"/>
      <c r="M125" s="158"/>
      <c r="N125" s="160"/>
      <c r="O125" s="159"/>
      <c r="P125" s="158"/>
      <c r="Q125" s="160"/>
      <c r="R125" s="159"/>
    </row>
    <row r="126" spans="1:18">
      <c r="A126" s="158"/>
      <c r="B126" s="160"/>
      <c r="C126" s="159"/>
      <c r="E126" s="158"/>
      <c r="F126" s="160"/>
      <c r="G126" s="159"/>
      <c r="I126" s="158"/>
      <c r="J126" s="160"/>
      <c r="K126" s="159"/>
      <c r="M126" s="158"/>
      <c r="N126" s="160"/>
      <c r="O126" s="159"/>
      <c r="P126" s="158"/>
      <c r="Q126" s="160"/>
      <c r="R126" s="159"/>
    </row>
    <row r="127" spans="1:18">
      <c r="A127" s="158"/>
      <c r="B127" s="160"/>
      <c r="C127" s="159"/>
      <c r="E127" s="158"/>
      <c r="F127" s="160"/>
      <c r="G127" s="159"/>
      <c r="I127" s="158"/>
      <c r="J127" s="160"/>
      <c r="K127" s="159"/>
      <c r="M127" s="158"/>
      <c r="N127" s="160"/>
      <c r="O127" s="159"/>
      <c r="P127" s="158"/>
      <c r="Q127" s="160"/>
      <c r="R127" s="159"/>
    </row>
    <row r="128" spans="1:18">
      <c r="A128" s="158"/>
      <c r="B128" s="160"/>
      <c r="C128" s="159"/>
      <c r="E128" s="158"/>
      <c r="F128" s="160"/>
      <c r="G128" s="159"/>
      <c r="I128" s="158"/>
      <c r="J128" s="160"/>
      <c r="K128" s="159"/>
      <c r="M128" s="158"/>
      <c r="N128" s="160"/>
      <c r="O128" s="159"/>
      <c r="P128" s="158"/>
      <c r="Q128" s="160"/>
      <c r="R128" s="159"/>
    </row>
    <row r="129" spans="1:18">
      <c r="A129" s="158"/>
      <c r="B129" s="160"/>
      <c r="C129" s="159"/>
      <c r="E129" s="158"/>
      <c r="F129" s="160"/>
      <c r="G129" s="159"/>
      <c r="I129" s="158"/>
      <c r="J129" s="160"/>
      <c r="K129" s="159"/>
      <c r="M129" s="158"/>
      <c r="N129" s="160"/>
      <c r="O129" s="159"/>
      <c r="P129" s="158"/>
      <c r="Q129" s="160"/>
      <c r="R129" s="159"/>
    </row>
    <row r="130" spans="1:18">
      <c r="A130" s="158"/>
      <c r="B130" s="160"/>
      <c r="C130" s="159"/>
      <c r="E130" s="158"/>
      <c r="F130" s="160"/>
      <c r="G130" s="159"/>
      <c r="I130" s="158"/>
      <c r="J130" s="160"/>
      <c r="K130" s="159"/>
      <c r="M130" s="158"/>
      <c r="N130" s="160"/>
      <c r="O130" s="159"/>
      <c r="P130" s="158"/>
      <c r="Q130" s="160"/>
      <c r="R130" s="159"/>
    </row>
    <row r="131" spans="1:18">
      <c r="A131" s="158"/>
      <c r="B131" s="160"/>
      <c r="C131" s="159"/>
      <c r="E131" s="158"/>
      <c r="F131" s="160"/>
      <c r="G131" s="159"/>
      <c r="I131" s="158"/>
      <c r="J131" s="160"/>
      <c r="K131" s="159"/>
      <c r="M131" s="158"/>
      <c r="N131" s="160"/>
      <c r="O131" s="159"/>
      <c r="P131" s="158"/>
      <c r="Q131" s="160"/>
      <c r="R131" s="159"/>
    </row>
    <row r="132" spans="1:18">
      <c r="A132" s="158"/>
      <c r="B132" s="160"/>
      <c r="C132" s="159"/>
      <c r="E132" s="158"/>
      <c r="F132" s="160"/>
      <c r="G132" s="159"/>
      <c r="I132" s="158"/>
      <c r="J132" s="160"/>
      <c r="K132" s="159"/>
      <c r="M132" s="158"/>
      <c r="N132" s="160"/>
      <c r="O132" s="159"/>
      <c r="P132" s="158"/>
      <c r="Q132" s="160"/>
      <c r="R132" s="159"/>
    </row>
    <row r="133" spans="1:18">
      <c r="A133" s="158"/>
      <c r="B133" s="160"/>
      <c r="C133" s="159"/>
      <c r="E133" s="158"/>
      <c r="F133" s="160"/>
      <c r="G133" s="159"/>
      <c r="I133" s="158"/>
      <c r="J133" s="160"/>
      <c r="K133" s="159"/>
      <c r="M133" s="158"/>
      <c r="N133" s="160"/>
      <c r="O133" s="159"/>
      <c r="P133" s="158"/>
      <c r="Q133" s="160"/>
      <c r="R133" s="159"/>
    </row>
    <row r="134" spans="1:18">
      <c r="A134" s="158"/>
      <c r="B134" s="160"/>
      <c r="C134" s="159"/>
      <c r="E134" s="158"/>
      <c r="F134" s="160"/>
      <c r="G134" s="159"/>
      <c r="I134" s="158"/>
      <c r="J134" s="160"/>
      <c r="K134" s="159"/>
      <c r="M134" s="158"/>
      <c r="N134" s="160"/>
      <c r="O134" s="159"/>
      <c r="P134" s="158"/>
      <c r="Q134" s="160"/>
      <c r="R134" s="159"/>
    </row>
    <row r="135" spans="1:18">
      <c r="A135" s="158"/>
      <c r="B135" s="160"/>
      <c r="C135" s="159"/>
      <c r="E135" s="158"/>
      <c r="F135" s="160"/>
      <c r="G135" s="159"/>
      <c r="I135" s="158"/>
      <c r="J135" s="160"/>
      <c r="K135" s="159"/>
      <c r="M135" s="158"/>
      <c r="N135" s="160"/>
      <c r="O135" s="159"/>
      <c r="P135" s="158"/>
      <c r="Q135" s="160"/>
      <c r="R135" s="159"/>
    </row>
    <row r="136" spans="1:18">
      <c r="A136" s="158"/>
      <c r="B136" s="160"/>
      <c r="C136" s="159"/>
      <c r="E136" s="158"/>
      <c r="F136" s="160"/>
      <c r="G136" s="159"/>
      <c r="I136" s="158"/>
      <c r="J136" s="160"/>
      <c r="K136" s="159"/>
      <c r="M136" s="158"/>
      <c r="N136" s="160"/>
      <c r="O136" s="159"/>
      <c r="P136" s="158"/>
      <c r="Q136" s="160"/>
      <c r="R136" s="159"/>
    </row>
    <row r="137" spans="1:18">
      <c r="A137" s="173"/>
      <c r="B137" s="174"/>
      <c r="C137" s="175"/>
      <c r="E137" s="173"/>
      <c r="F137" s="174"/>
      <c r="G137" s="175"/>
      <c r="I137" s="173"/>
      <c r="J137" s="174"/>
      <c r="K137" s="175"/>
      <c r="M137" s="173"/>
      <c r="N137" s="174"/>
      <c r="O137" s="175"/>
      <c r="P137" s="173"/>
      <c r="Q137" s="174"/>
      <c r="R137" s="175"/>
    </row>
    <row r="138" spans="1:18">
      <c r="A138" s="158"/>
      <c r="B138" s="160"/>
      <c r="C138" s="159"/>
      <c r="E138" s="158"/>
      <c r="F138" s="160"/>
      <c r="G138" s="159"/>
      <c r="I138" s="158"/>
      <c r="J138" s="160"/>
      <c r="K138" s="159"/>
      <c r="M138" s="158"/>
      <c r="N138" s="160"/>
      <c r="O138" s="159"/>
      <c r="P138" s="158"/>
      <c r="Q138" s="160"/>
      <c r="R138" s="159"/>
    </row>
    <row r="139" spans="1:18">
      <c r="A139" s="158"/>
      <c r="B139" s="160"/>
      <c r="C139" s="159"/>
      <c r="E139" s="158"/>
      <c r="F139" s="160"/>
      <c r="G139" s="159"/>
      <c r="I139" s="158"/>
      <c r="J139" s="160"/>
      <c r="K139" s="159"/>
      <c r="M139" s="158"/>
      <c r="N139" s="160"/>
      <c r="O139" s="159"/>
      <c r="P139" s="158"/>
      <c r="Q139" s="160"/>
      <c r="R139" s="159"/>
    </row>
    <row r="140" spans="1:18">
      <c r="A140" s="158"/>
      <c r="B140" s="160"/>
      <c r="C140" s="159"/>
      <c r="E140" s="158"/>
      <c r="F140" s="160"/>
      <c r="G140" s="159"/>
      <c r="I140" s="158"/>
      <c r="J140" s="160"/>
      <c r="K140" s="159"/>
      <c r="M140" s="158"/>
      <c r="N140" s="160"/>
      <c r="O140" s="159"/>
      <c r="P140" s="158"/>
      <c r="Q140" s="160"/>
      <c r="R140" s="159"/>
    </row>
    <row r="141" spans="1:18">
      <c r="A141" s="158"/>
      <c r="B141" s="160"/>
      <c r="C141" s="159"/>
      <c r="E141" s="158"/>
      <c r="F141" s="160"/>
      <c r="G141" s="159"/>
      <c r="I141" s="158"/>
      <c r="J141" s="160"/>
      <c r="K141" s="159"/>
      <c r="M141" s="158"/>
      <c r="N141" s="160"/>
      <c r="O141" s="159"/>
      <c r="P141" s="158"/>
      <c r="Q141" s="160"/>
      <c r="R141" s="159"/>
    </row>
    <row r="142" spans="1:18">
      <c r="A142" s="158"/>
      <c r="B142" s="160"/>
      <c r="C142" s="159"/>
      <c r="E142" s="158"/>
      <c r="F142" s="160"/>
      <c r="G142" s="159"/>
      <c r="I142" s="158"/>
      <c r="J142" s="160"/>
      <c r="K142" s="159"/>
      <c r="M142" s="158"/>
      <c r="N142" s="160"/>
      <c r="O142" s="159"/>
      <c r="P142" s="158"/>
      <c r="Q142" s="160"/>
      <c r="R142" s="159"/>
    </row>
    <row r="143" spans="1:18">
      <c r="A143" s="158"/>
      <c r="B143" s="160"/>
      <c r="C143" s="159"/>
      <c r="E143" s="158"/>
      <c r="F143" s="160"/>
      <c r="G143" s="159"/>
      <c r="I143" s="158"/>
      <c r="J143" s="160"/>
      <c r="K143" s="159"/>
      <c r="M143" s="158"/>
      <c r="N143" s="160"/>
      <c r="O143" s="159"/>
      <c r="P143" s="158"/>
      <c r="Q143" s="160"/>
      <c r="R143" s="159"/>
    </row>
    <row r="144" spans="1:18">
      <c r="A144" s="158"/>
      <c r="B144" s="160"/>
      <c r="C144" s="159"/>
      <c r="E144" s="158"/>
      <c r="F144" s="160"/>
      <c r="G144" s="159"/>
      <c r="I144" s="158"/>
      <c r="J144" s="160"/>
      <c r="K144" s="159"/>
      <c r="M144" s="158"/>
      <c r="N144" s="160"/>
      <c r="O144" s="159"/>
      <c r="P144" s="158"/>
      <c r="Q144" s="160"/>
      <c r="R144" s="159"/>
    </row>
    <row r="145" spans="1:18">
      <c r="A145" s="158"/>
      <c r="B145" s="160"/>
      <c r="C145" s="159"/>
      <c r="E145" s="158"/>
      <c r="F145" s="160"/>
      <c r="G145" s="159"/>
      <c r="I145" s="158"/>
      <c r="J145" s="160"/>
      <c r="K145" s="159"/>
      <c r="M145" s="158"/>
      <c r="N145" s="160"/>
      <c r="O145" s="159"/>
      <c r="P145" s="158"/>
      <c r="Q145" s="160"/>
      <c r="R145" s="159"/>
    </row>
    <row r="146" spans="1:18">
      <c r="A146" s="158"/>
      <c r="B146" s="160"/>
      <c r="C146" s="159"/>
      <c r="E146" s="158"/>
      <c r="F146" s="160"/>
      <c r="G146" s="159"/>
      <c r="I146" s="158"/>
      <c r="J146" s="160"/>
      <c r="K146" s="159"/>
      <c r="M146" s="158"/>
      <c r="N146" s="160"/>
      <c r="O146" s="159"/>
      <c r="P146" s="158"/>
      <c r="Q146" s="160"/>
      <c r="R146" s="159"/>
    </row>
    <row r="147" spans="1:18">
      <c r="A147" s="158"/>
      <c r="B147" s="160"/>
      <c r="C147" s="159"/>
      <c r="E147" s="158"/>
      <c r="F147" s="160"/>
      <c r="G147" s="159"/>
      <c r="I147" s="158"/>
      <c r="J147" s="160"/>
      <c r="K147" s="159"/>
      <c r="M147" s="158"/>
      <c r="N147" s="160"/>
      <c r="O147" s="159"/>
      <c r="P147" s="158"/>
      <c r="Q147" s="160"/>
      <c r="R147" s="159"/>
    </row>
    <row r="148" spans="1:18">
      <c r="A148" s="158"/>
      <c r="B148" s="160"/>
      <c r="C148" s="159"/>
      <c r="E148" s="158"/>
      <c r="F148" s="160"/>
      <c r="G148" s="159"/>
      <c r="I148" s="158"/>
      <c r="J148" s="160"/>
      <c r="K148" s="159"/>
      <c r="M148" s="158"/>
      <c r="N148" s="160"/>
      <c r="O148" s="159"/>
      <c r="P148" s="158"/>
      <c r="Q148" s="160"/>
      <c r="R148" s="159"/>
    </row>
    <row r="149" spans="1:18">
      <c r="A149" s="158"/>
      <c r="B149" s="160"/>
      <c r="C149" s="159"/>
      <c r="E149" s="158"/>
      <c r="F149" s="160"/>
      <c r="G149" s="159"/>
      <c r="I149" s="158"/>
      <c r="J149" s="160"/>
      <c r="K149" s="159"/>
      <c r="M149" s="158"/>
      <c r="N149" s="160"/>
      <c r="O149" s="159"/>
      <c r="P149" s="158"/>
      <c r="Q149" s="160"/>
      <c r="R149" s="159"/>
    </row>
    <row r="150" spans="1:18">
      <c r="A150" s="158"/>
      <c r="B150" s="160"/>
      <c r="C150" s="159"/>
      <c r="E150" s="158"/>
      <c r="F150" s="160"/>
      <c r="G150" s="159"/>
      <c r="I150" s="158"/>
      <c r="J150" s="160"/>
      <c r="K150" s="159"/>
      <c r="M150" s="158"/>
      <c r="N150" s="160"/>
      <c r="O150" s="159"/>
      <c r="P150" s="158"/>
      <c r="Q150" s="160"/>
      <c r="R150" s="159"/>
    </row>
    <row r="151" spans="1:18">
      <c r="A151" s="158"/>
      <c r="B151" s="160"/>
      <c r="C151" s="159"/>
      <c r="E151" s="158"/>
      <c r="F151" s="160"/>
      <c r="G151" s="159"/>
      <c r="I151" s="158"/>
      <c r="J151" s="160"/>
      <c r="K151" s="159"/>
      <c r="M151" s="158"/>
      <c r="N151" s="160"/>
      <c r="O151" s="159"/>
      <c r="P151" s="158"/>
      <c r="Q151" s="160"/>
      <c r="R151" s="159"/>
    </row>
    <row r="152" spans="1:18">
      <c r="A152" s="158"/>
      <c r="B152" s="160"/>
      <c r="C152" s="159"/>
      <c r="E152" s="158"/>
      <c r="F152" s="160"/>
      <c r="G152" s="159"/>
      <c r="I152" s="158"/>
      <c r="J152" s="160"/>
      <c r="K152" s="159"/>
      <c r="M152" s="158"/>
      <c r="N152" s="160"/>
      <c r="O152" s="159"/>
      <c r="P152" s="158"/>
      <c r="Q152" s="160"/>
      <c r="R152" s="159"/>
    </row>
    <row r="153" spans="1:18">
      <c r="A153" s="158"/>
      <c r="B153" s="160"/>
      <c r="C153" s="159"/>
      <c r="E153" s="158"/>
      <c r="F153" s="160"/>
      <c r="G153" s="159"/>
      <c r="I153" s="158"/>
      <c r="J153" s="160"/>
      <c r="K153" s="159"/>
      <c r="M153" s="158"/>
      <c r="N153" s="160"/>
      <c r="O153" s="159"/>
      <c r="P153" s="158"/>
      <c r="Q153" s="160"/>
      <c r="R153" s="159"/>
    </row>
    <row r="154" spans="1:18">
      <c r="A154" s="158"/>
      <c r="B154" s="160"/>
      <c r="C154" s="159"/>
      <c r="E154" s="158"/>
      <c r="F154" s="160"/>
      <c r="G154" s="159"/>
      <c r="I154" s="158"/>
      <c r="J154" s="160"/>
      <c r="K154" s="159"/>
      <c r="M154" s="158"/>
      <c r="N154" s="160"/>
      <c r="O154" s="159"/>
      <c r="P154" s="158"/>
      <c r="Q154" s="160"/>
      <c r="R154" s="159"/>
    </row>
    <row r="155" spans="1:18">
      <c r="A155" s="158"/>
      <c r="B155" s="160"/>
      <c r="C155" s="159"/>
      <c r="E155" s="158"/>
      <c r="F155" s="160"/>
      <c r="G155" s="159"/>
      <c r="I155" s="158"/>
      <c r="J155" s="160"/>
      <c r="K155" s="159"/>
      <c r="M155" s="158"/>
      <c r="N155" s="160"/>
      <c r="O155" s="161"/>
      <c r="P155" s="158"/>
      <c r="Q155" s="160"/>
      <c r="R155" s="159"/>
    </row>
    <row r="156" spans="1:18">
      <c r="A156" s="158"/>
      <c r="B156" s="160"/>
      <c r="C156" s="159"/>
      <c r="E156" s="158"/>
      <c r="F156" s="160"/>
      <c r="G156" s="159"/>
      <c r="I156" s="158"/>
      <c r="J156" s="160"/>
      <c r="K156" s="159"/>
      <c r="M156" s="158"/>
      <c r="N156" s="160"/>
      <c r="O156" s="161"/>
      <c r="P156" s="158"/>
      <c r="Q156" s="160"/>
      <c r="R156" s="159"/>
    </row>
    <row r="157" spans="1:18">
      <c r="A157" s="158"/>
      <c r="B157" s="160"/>
      <c r="C157" s="159"/>
      <c r="E157" s="158"/>
      <c r="F157" s="160"/>
      <c r="G157" s="159"/>
      <c r="I157" s="158"/>
      <c r="J157" s="160"/>
      <c r="K157" s="159"/>
      <c r="M157" s="158"/>
      <c r="N157" s="160"/>
      <c r="O157" s="161"/>
      <c r="P157" s="158"/>
      <c r="Q157" s="160"/>
      <c r="R157" s="159"/>
    </row>
    <row r="158" spans="1:18">
      <c r="A158" s="158"/>
      <c r="B158" s="160"/>
      <c r="C158" s="159"/>
      <c r="E158" s="158"/>
      <c r="F158" s="160"/>
      <c r="G158" s="159"/>
      <c r="I158" s="158"/>
      <c r="J158" s="160"/>
      <c r="K158" s="159"/>
      <c r="M158" s="158"/>
      <c r="N158" s="160"/>
      <c r="O158" s="159"/>
      <c r="P158" s="158"/>
      <c r="Q158" s="160"/>
      <c r="R158" s="159"/>
    </row>
    <row r="159" spans="1:18">
      <c r="A159" s="158"/>
      <c r="B159" s="160"/>
      <c r="C159" s="159"/>
      <c r="E159" s="158"/>
      <c r="F159" s="160"/>
      <c r="G159" s="159"/>
      <c r="I159" s="158"/>
      <c r="J159" s="160"/>
      <c r="K159" s="159"/>
      <c r="M159" s="158"/>
      <c r="N159" s="160"/>
      <c r="O159" s="159"/>
      <c r="P159" s="158"/>
      <c r="Q159" s="160"/>
      <c r="R159" s="159"/>
    </row>
    <row r="160" spans="1:18">
      <c r="A160" s="158"/>
      <c r="B160" s="160"/>
      <c r="C160" s="159"/>
      <c r="E160" s="158"/>
      <c r="F160" s="160"/>
      <c r="G160" s="159"/>
      <c r="I160" s="158"/>
      <c r="J160" s="160"/>
      <c r="K160" s="159"/>
      <c r="M160" s="158"/>
      <c r="N160" s="160"/>
      <c r="O160" s="159"/>
      <c r="P160" s="158"/>
      <c r="Q160" s="160"/>
      <c r="R160" s="159"/>
    </row>
    <row r="161" spans="1:18">
      <c r="A161" s="158"/>
      <c r="B161" s="160"/>
      <c r="C161" s="159"/>
      <c r="E161" s="158"/>
      <c r="F161" s="160"/>
      <c r="G161" s="159"/>
      <c r="I161" s="158"/>
      <c r="J161" s="160"/>
      <c r="K161" s="159"/>
      <c r="M161" s="158"/>
      <c r="N161" s="160"/>
      <c r="O161" s="159"/>
      <c r="P161" s="158"/>
      <c r="Q161" s="160"/>
      <c r="R161" s="159"/>
    </row>
    <row r="162" spans="1:18">
      <c r="A162" s="158"/>
      <c r="B162" s="160"/>
      <c r="C162" s="159"/>
      <c r="E162" s="158"/>
      <c r="F162" s="160"/>
      <c r="G162" s="159"/>
      <c r="I162" s="158"/>
      <c r="J162" s="160"/>
      <c r="K162" s="159"/>
      <c r="M162" s="158"/>
      <c r="N162" s="160"/>
      <c r="O162" s="159"/>
      <c r="P162" s="158"/>
      <c r="Q162" s="160"/>
      <c r="R162" s="159"/>
    </row>
    <row r="163" spans="1:18">
      <c r="A163" s="173"/>
      <c r="B163" s="174"/>
      <c r="C163" s="175"/>
      <c r="E163" s="173"/>
      <c r="F163" s="174"/>
      <c r="G163" s="175"/>
      <c r="I163" s="173"/>
      <c r="J163" s="174"/>
      <c r="K163" s="175"/>
      <c r="M163" s="173"/>
      <c r="N163" s="174"/>
      <c r="O163" s="175"/>
      <c r="P163" s="173"/>
      <c r="Q163" s="174"/>
      <c r="R163" s="175"/>
    </row>
    <row r="164" spans="1:18">
      <c r="A164" s="158"/>
      <c r="B164" s="160"/>
      <c r="C164" s="159"/>
      <c r="E164" s="158"/>
      <c r="F164" s="160"/>
      <c r="G164" s="159"/>
      <c r="I164" s="158"/>
      <c r="J164" s="160"/>
      <c r="K164" s="159"/>
      <c r="M164" s="158"/>
      <c r="N164" s="160"/>
      <c r="O164" s="159"/>
      <c r="P164" s="158"/>
      <c r="Q164" s="160"/>
      <c r="R164" s="159"/>
    </row>
    <row r="165" spans="1:18">
      <c r="A165" s="158"/>
      <c r="B165" s="160"/>
      <c r="C165" s="159"/>
      <c r="E165" s="158"/>
      <c r="F165" s="160"/>
      <c r="G165" s="159"/>
      <c r="I165" s="158"/>
      <c r="J165" s="160"/>
      <c r="K165" s="159"/>
      <c r="M165" s="158"/>
      <c r="N165" s="160"/>
      <c r="O165" s="159"/>
      <c r="P165" s="158"/>
      <c r="Q165" s="160"/>
      <c r="R165" s="159"/>
    </row>
    <row r="166" spans="1:18">
      <c r="A166" s="158"/>
      <c r="B166" s="160"/>
      <c r="C166" s="159"/>
      <c r="E166" s="158"/>
      <c r="F166" s="160"/>
      <c r="G166" s="159"/>
      <c r="I166" s="158"/>
      <c r="J166" s="160"/>
      <c r="K166" s="159"/>
      <c r="M166" s="158"/>
      <c r="N166" s="160"/>
      <c r="O166" s="159"/>
      <c r="P166" s="158"/>
      <c r="Q166" s="160"/>
      <c r="R166" s="159"/>
    </row>
    <row r="167" spans="1:18">
      <c r="A167" s="158"/>
      <c r="B167" s="160"/>
      <c r="C167" s="159"/>
      <c r="E167" s="158"/>
      <c r="F167" s="160"/>
      <c r="G167" s="159"/>
      <c r="I167" s="158"/>
      <c r="J167" s="160"/>
      <c r="K167" s="159"/>
      <c r="M167" s="158"/>
      <c r="N167" s="160"/>
      <c r="O167" s="159"/>
      <c r="P167" s="158"/>
      <c r="Q167" s="160"/>
      <c r="R167" s="159"/>
    </row>
    <row r="168" spans="1:18">
      <c r="A168" s="158"/>
      <c r="B168" s="160"/>
      <c r="C168" s="159"/>
      <c r="E168" s="158"/>
      <c r="F168" s="160"/>
      <c r="G168" s="159"/>
      <c r="I168" s="158"/>
      <c r="J168" s="160"/>
      <c r="K168" s="159"/>
      <c r="M168" s="158"/>
      <c r="N168" s="160"/>
      <c r="O168" s="159"/>
      <c r="P168" s="158"/>
      <c r="Q168" s="160"/>
      <c r="R168" s="159"/>
    </row>
    <row r="169" spans="1:18">
      <c r="A169" s="158"/>
      <c r="B169" s="160"/>
      <c r="C169" s="159"/>
      <c r="E169" s="158"/>
      <c r="F169" s="160"/>
      <c r="G169" s="159"/>
      <c r="I169" s="158"/>
      <c r="J169" s="160"/>
      <c r="K169" s="159"/>
      <c r="M169" s="158"/>
      <c r="N169" s="160"/>
      <c r="O169" s="159"/>
      <c r="P169" s="158"/>
      <c r="Q169" s="160"/>
      <c r="R169" s="159"/>
    </row>
    <row r="170" spans="1:18">
      <c r="A170" s="158"/>
      <c r="B170" s="160"/>
      <c r="C170" s="159"/>
      <c r="E170" s="158"/>
      <c r="F170" s="160"/>
      <c r="G170" s="159"/>
      <c r="I170" s="158"/>
      <c r="J170" s="160"/>
      <c r="K170" s="159"/>
      <c r="M170" s="158"/>
      <c r="N170" s="160"/>
      <c r="O170" s="159"/>
      <c r="P170" s="158"/>
      <c r="Q170" s="160"/>
      <c r="R170" s="159"/>
    </row>
    <row r="171" spans="1:18">
      <c r="A171" s="158"/>
      <c r="B171" s="160"/>
      <c r="C171" s="159"/>
      <c r="E171" s="158"/>
      <c r="F171" s="160"/>
      <c r="G171" s="159"/>
      <c r="I171" s="158"/>
      <c r="J171" s="160"/>
      <c r="K171" s="159"/>
      <c r="M171" s="158"/>
      <c r="N171" s="160"/>
      <c r="O171" s="159"/>
      <c r="P171" s="158"/>
      <c r="Q171" s="160"/>
      <c r="R171" s="159"/>
    </row>
    <row r="172" spans="1:18">
      <c r="A172" s="158"/>
      <c r="B172" s="160"/>
      <c r="C172" s="159"/>
      <c r="E172" s="158"/>
      <c r="F172" s="160"/>
      <c r="G172" s="159"/>
      <c r="I172" s="158"/>
      <c r="J172" s="160"/>
      <c r="K172" s="159"/>
      <c r="M172" s="158"/>
      <c r="N172" s="160"/>
      <c r="O172" s="159"/>
      <c r="P172" s="158"/>
      <c r="Q172" s="160"/>
      <c r="R172" s="159"/>
    </row>
    <row r="173" spans="1:18">
      <c r="A173" s="158"/>
      <c r="B173" s="160"/>
      <c r="C173" s="159"/>
      <c r="E173" s="158"/>
      <c r="F173" s="160"/>
      <c r="G173" s="159"/>
      <c r="I173" s="158"/>
      <c r="J173" s="160"/>
      <c r="K173" s="159"/>
      <c r="M173" s="158"/>
      <c r="N173" s="160"/>
      <c r="O173" s="159"/>
      <c r="P173" s="158"/>
      <c r="Q173" s="160"/>
      <c r="R173" s="159"/>
    </row>
    <row r="174" spans="1:18">
      <c r="A174" s="158"/>
      <c r="B174" s="160"/>
      <c r="C174" s="159"/>
      <c r="E174" s="158"/>
      <c r="F174" s="160"/>
      <c r="G174" s="159"/>
      <c r="I174" s="158"/>
      <c r="J174" s="160"/>
      <c r="K174" s="159"/>
      <c r="M174" s="158"/>
      <c r="N174" s="160"/>
      <c r="O174" s="159"/>
      <c r="P174" s="158"/>
      <c r="Q174" s="160"/>
      <c r="R174" s="159"/>
    </row>
    <row r="175" spans="1:18">
      <c r="A175" s="158"/>
      <c r="B175" s="160"/>
      <c r="C175" s="159"/>
      <c r="E175" s="158"/>
      <c r="F175" s="160"/>
      <c r="G175" s="159"/>
      <c r="I175" s="158"/>
      <c r="J175" s="160"/>
      <c r="K175" s="159"/>
      <c r="M175" s="158"/>
      <c r="N175" s="160"/>
      <c r="O175" s="159"/>
      <c r="P175" s="158"/>
      <c r="Q175" s="160"/>
      <c r="R175" s="159"/>
    </row>
    <row r="176" spans="1:18">
      <c r="A176" s="158"/>
      <c r="B176" s="160"/>
      <c r="C176" s="159"/>
      <c r="E176" s="158"/>
      <c r="F176" s="160"/>
      <c r="G176" s="159"/>
      <c r="I176" s="158"/>
      <c r="J176" s="160"/>
      <c r="K176" s="159"/>
      <c r="M176" s="158"/>
      <c r="N176" s="160"/>
      <c r="O176" s="159"/>
      <c r="P176" s="158"/>
      <c r="Q176" s="160"/>
      <c r="R176" s="159"/>
    </row>
    <row r="177" spans="1:18">
      <c r="A177" s="158"/>
      <c r="B177" s="160"/>
      <c r="C177" s="159"/>
      <c r="E177" s="158"/>
      <c r="F177" s="160"/>
      <c r="G177" s="159"/>
      <c r="I177" s="158"/>
      <c r="J177" s="160"/>
      <c r="K177" s="159"/>
      <c r="M177" s="158"/>
      <c r="N177" s="160"/>
      <c r="O177" s="159"/>
      <c r="P177" s="158"/>
      <c r="Q177" s="160"/>
      <c r="R177" s="159"/>
    </row>
    <row r="178" spans="1:18">
      <c r="A178" s="158"/>
      <c r="B178" s="160"/>
      <c r="C178" s="159"/>
      <c r="E178" s="158"/>
      <c r="F178" s="160"/>
      <c r="G178" s="159"/>
      <c r="I178" s="158"/>
      <c r="J178" s="160"/>
      <c r="K178" s="159"/>
      <c r="M178" s="158"/>
      <c r="N178" s="160"/>
      <c r="O178" s="159"/>
      <c r="P178" s="158"/>
      <c r="Q178" s="160"/>
      <c r="R178" s="159"/>
    </row>
    <row r="179" spans="1:18">
      <c r="A179" s="158"/>
      <c r="B179" s="160"/>
      <c r="C179" s="159"/>
      <c r="E179" s="158"/>
      <c r="F179" s="160"/>
      <c r="G179" s="159"/>
      <c r="I179" s="158"/>
      <c r="J179" s="160"/>
      <c r="K179" s="159"/>
      <c r="M179" s="158"/>
      <c r="N179" s="160"/>
      <c r="O179" s="159"/>
      <c r="P179" s="158"/>
      <c r="Q179" s="160"/>
      <c r="R179" s="159"/>
    </row>
    <row r="180" spans="1:18">
      <c r="A180" s="158"/>
      <c r="B180" s="160"/>
      <c r="C180" s="159"/>
      <c r="E180" s="158"/>
      <c r="F180" s="160"/>
      <c r="G180" s="159"/>
      <c r="I180" s="158"/>
      <c r="J180" s="160"/>
      <c r="K180" s="159"/>
      <c r="M180" s="158"/>
      <c r="N180" s="160"/>
      <c r="O180" s="159"/>
      <c r="P180" s="158"/>
      <c r="Q180" s="160"/>
      <c r="R180" s="159"/>
    </row>
    <row r="181" spans="1:18">
      <c r="A181" s="158"/>
      <c r="B181" s="160"/>
      <c r="C181" s="159"/>
      <c r="E181" s="158"/>
      <c r="F181" s="160"/>
      <c r="G181" s="159"/>
      <c r="I181" s="158"/>
      <c r="J181" s="160"/>
      <c r="K181" s="159"/>
      <c r="M181" s="158"/>
      <c r="N181" s="160"/>
      <c r="O181" s="159"/>
      <c r="P181" s="158"/>
      <c r="Q181" s="160"/>
      <c r="R181" s="159"/>
    </row>
    <row r="182" spans="1:18">
      <c r="A182" s="158"/>
      <c r="B182" s="160"/>
      <c r="C182" s="159"/>
      <c r="E182" s="158"/>
      <c r="F182" s="160"/>
      <c r="G182" s="159"/>
      <c r="I182" s="158"/>
      <c r="J182" s="160"/>
      <c r="K182" s="159"/>
      <c r="M182" s="158"/>
      <c r="N182" s="160"/>
      <c r="O182" s="159"/>
      <c r="P182" s="158"/>
      <c r="Q182" s="160"/>
      <c r="R182" s="159"/>
    </row>
    <row r="183" spans="1:18">
      <c r="A183" s="158"/>
      <c r="B183" s="160"/>
      <c r="C183" s="159"/>
      <c r="E183" s="158"/>
      <c r="F183" s="160"/>
      <c r="G183" s="159"/>
      <c r="I183" s="158"/>
      <c r="J183" s="160"/>
      <c r="K183" s="159"/>
      <c r="M183" s="158"/>
      <c r="N183" s="160"/>
      <c r="O183" s="159"/>
      <c r="P183" s="158"/>
      <c r="Q183" s="160"/>
      <c r="R183" s="159"/>
    </row>
    <row r="184" spans="1:18">
      <c r="A184" s="158"/>
      <c r="B184" s="160"/>
      <c r="C184" s="159"/>
      <c r="E184" s="158"/>
      <c r="F184" s="160"/>
      <c r="G184" s="159"/>
      <c r="I184" s="158"/>
      <c r="J184" s="160"/>
      <c r="K184" s="159"/>
      <c r="M184" s="158"/>
      <c r="N184" s="160"/>
      <c r="O184" s="159"/>
      <c r="P184" s="158"/>
      <c r="Q184" s="160"/>
      <c r="R184" s="159"/>
    </row>
    <row r="185" spans="1:18">
      <c r="A185" s="158"/>
      <c r="B185" s="160"/>
      <c r="C185" s="159"/>
      <c r="E185" s="158"/>
      <c r="F185" s="160"/>
      <c r="G185" s="159"/>
      <c r="I185" s="158"/>
      <c r="J185" s="160"/>
      <c r="K185" s="159"/>
      <c r="M185" s="158"/>
      <c r="N185" s="160"/>
      <c r="O185" s="159"/>
      <c r="P185" s="158"/>
      <c r="Q185" s="160"/>
      <c r="R185" s="159"/>
    </row>
    <row r="186" spans="1:18">
      <c r="A186" s="158"/>
      <c r="B186" s="160"/>
      <c r="C186" s="159"/>
      <c r="E186" s="158"/>
      <c r="F186" s="160"/>
      <c r="G186" s="159"/>
      <c r="I186" s="158"/>
      <c r="J186" s="160"/>
      <c r="K186" s="159"/>
      <c r="M186" s="158"/>
      <c r="N186" s="160"/>
      <c r="O186" s="159"/>
      <c r="P186" s="158"/>
      <c r="Q186" s="160"/>
      <c r="R186" s="159"/>
    </row>
    <row r="187" spans="1:18">
      <c r="A187" s="158"/>
      <c r="B187" s="160"/>
      <c r="C187" s="159"/>
      <c r="E187" s="158"/>
      <c r="F187" s="160"/>
      <c r="G187" s="159"/>
      <c r="I187" s="158"/>
      <c r="J187" s="160"/>
      <c r="K187" s="159"/>
      <c r="M187" s="158"/>
      <c r="N187" s="160"/>
      <c r="O187" s="159"/>
      <c r="P187" s="158"/>
      <c r="Q187" s="160"/>
      <c r="R187" s="159"/>
    </row>
    <row r="188" spans="1:18">
      <c r="A188" s="158"/>
      <c r="B188" s="160"/>
      <c r="C188" s="159"/>
      <c r="E188" s="158"/>
      <c r="F188" s="160"/>
      <c r="G188" s="159"/>
      <c r="I188" s="158"/>
      <c r="J188" s="160"/>
      <c r="K188" s="159"/>
      <c r="M188" s="158"/>
      <c r="N188" s="160"/>
      <c r="O188" s="159"/>
      <c r="P188" s="158"/>
      <c r="Q188" s="160"/>
      <c r="R188" s="159"/>
    </row>
    <row r="189" spans="1:18">
      <c r="A189" s="173"/>
      <c r="B189" s="174"/>
      <c r="C189" s="175"/>
      <c r="E189" s="173"/>
      <c r="F189" s="174"/>
      <c r="G189" s="175"/>
      <c r="I189" s="173"/>
      <c r="J189" s="174"/>
      <c r="K189" s="175"/>
      <c r="M189" s="173"/>
      <c r="N189" s="174"/>
      <c r="O189" s="175"/>
      <c r="P189" s="173"/>
      <c r="Q189" s="174"/>
      <c r="R189" s="175"/>
    </row>
    <row r="190" spans="1:18">
      <c r="A190" s="158"/>
      <c r="B190" s="160"/>
      <c r="C190" s="159"/>
      <c r="E190" s="158"/>
      <c r="F190" s="160"/>
      <c r="G190" s="159"/>
      <c r="I190" s="158"/>
      <c r="J190" s="160"/>
      <c r="K190" s="159"/>
      <c r="M190" s="158"/>
      <c r="N190" s="160"/>
      <c r="O190" s="159"/>
      <c r="P190" s="158"/>
      <c r="Q190" s="160"/>
      <c r="R190" s="159"/>
    </row>
    <row r="191" spans="1:18">
      <c r="A191" s="158"/>
      <c r="B191" s="160"/>
      <c r="C191" s="159"/>
      <c r="E191" s="158"/>
      <c r="F191" s="160"/>
      <c r="G191" s="159"/>
      <c r="I191" s="158"/>
      <c r="J191" s="160"/>
      <c r="K191" s="159"/>
      <c r="M191" s="158"/>
      <c r="N191" s="160"/>
      <c r="O191" s="159"/>
      <c r="P191" s="158"/>
      <c r="Q191" s="160"/>
      <c r="R191" s="159"/>
    </row>
    <row r="192" spans="1:18">
      <c r="A192" s="158"/>
      <c r="B192" s="160"/>
      <c r="C192" s="159"/>
      <c r="E192" s="158"/>
      <c r="F192" s="160"/>
      <c r="G192" s="159"/>
      <c r="I192" s="158"/>
      <c r="J192" s="160"/>
      <c r="K192" s="159"/>
      <c r="M192" s="158"/>
      <c r="N192" s="160"/>
      <c r="O192" s="159"/>
      <c r="P192" s="158"/>
      <c r="Q192" s="160"/>
      <c r="R192" s="159"/>
    </row>
    <row r="193" spans="1:18">
      <c r="A193" s="158"/>
      <c r="B193" s="160"/>
      <c r="C193" s="159"/>
      <c r="E193" s="158"/>
      <c r="F193" s="160"/>
      <c r="G193" s="159"/>
      <c r="I193" s="158"/>
      <c r="J193" s="160"/>
      <c r="K193" s="159"/>
      <c r="M193" s="158"/>
      <c r="N193" s="160"/>
      <c r="O193" s="159"/>
      <c r="P193" s="158"/>
      <c r="Q193" s="160"/>
      <c r="R193" s="159"/>
    </row>
    <row r="194" spans="1:18">
      <c r="A194" s="158"/>
      <c r="B194" s="160"/>
      <c r="C194" s="159"/>
      <c r="E194" s="158"/>
      <c r="F194" s="160"/>
      <c r="G194" s="159"/>
      <c r="I194" s="158"/>
      <c r="J194" s="160"/>
      <c r="K194" s="159"/>
      <c r="M194" s="158"/>
      <c r="N194" s="160"/>
      <c r="O194" s="159"/>
      <c r="P194" s="158"/>
      <c r="Q194" s="160"/>
      <c r="R194" s="159"/>
    </row>
    <row r="195" spans="1:18">
      <c r="A195" s="158"/>
      <c r="B195" s="160"/>
      <c r="C195" s="159"/>
      <c r="E195" s="158"/>
      <c r="F195" s="160"/>
      <c r="G195" s="159"/>
      <c r="I195" s="158"/>
      <c r="J195" s="160"/>
      <c r="K195" s="159"/>
      <c r="M195" s="158"/>
      <c r="N195" s="160"/>
      <c r="O195" s="159"/>
      <c r="P195" s="158"/>
      <c r="Q195" s="160"/>
      <c r="R195" s="159"/>
    </row>
    <row r="196" spans="1:18">
      <c r="A196" s="158"/>
      <c r="B196" s="160"/>
      <c r="C196" s="159"/>
      <c r="E196" s="158"/>
      <c r="F196" s="160"/>
      <c r="G196" s="159"/>
      <c r="I196" s="158"/>
      <c r="J196" s="160"/>
      <c r="K196" s="159"/>
      <c r="M196" s="158"/>
      <c r="N196" s="160"/>
      <c r="O196" s="159"/>
      <c r="P196" s="158"/>
      <c r="Q196" s="160"/>
      <c r="R196" s="159"/>
    </row>
    <row r="197" spans="1:18">
      <c r="A197" s="158"/>
      <c r="B197" s="160"/>
      <c r="C197" s="159"/>
      <c r="E197" s="158"/>
      <c r="F197" s="160"/>
      <c r="G197" s="159"/>
      <c r="I197" s="158"/>
      <c r="J197" s="160"/>
      <c r="K197" s="159"/>
      <c r="M197" s="158"/>
      <c r="N197" s="160"/>
      <c r="O197" s="159"/>
      <c r="P197" s="158"/>
      <c r="Q197" s="160"/>
      <c r="R197" s="159"/>
    </row>
    <row r="198" spans="1:18">
      <c r="A198" s="158"/>
      <c r="B198" s="160"/>
      <c r="C198" s="159"/>
      <c r="E198" s="158"/>
      <c r="F198" s="160"/>
      <c r="G198" s="159"/>
      <c r="I198" s="158"/>
      <c r="J198" s="160"/>
      <c r="K198" s="159"/>
      <c r="M198" s="158"/>
      <c r="N198" s="160"/>
      <c r="O198" s="159"/>
      <c r="P198" s="158"/>
      <c r="Q198" s="160"/>
      <c r="R198" s="159"/>
    </row>
    <row r="199" spans="1:18">
      <c r="A199" s="158"/>
      <c r="B199" s="160"/>
      <c r="C199" s="159"/>
      <c r="E199" s="158"/>
      <c r="F199" s="160"/>
      <c r="G199" s="159"/>
      <c r="I199" s="158"/>
      <c r="J199" s="160"/>
      <c r="K199" s="159"/>
      <c r="M199" s="158"/>
      <c r="N199" s="160"/>
      <c r="O199" s="159"/>
      <c r="P199" s="158"/>
      <c r="Q199" s="160"/>
      <c r="R199" s="159"/>
    </row>
    <row r="200" spans="1:18">
      <c r="A200" s="158"/>
      <c r="B200" s="160"/>
      <c r="C200" s="159"/>
      <c r="E200" s="158"/>
      <c r="F200" s="160"/>
      <c r="G200" s="159"/>
      <c r="I200" s="158"/>
      <c r="J200" s="160"/>
      <c r="K200" s="159"/>
      <c r="M200" s="158"/>
      <c r="N200" s="160"/>
      <c r="O200" s="159"/>
      <c r="P200" s="158"/>
      <c r="Q200" s="160"/>
      <c r="R200" s="159"/>
    </row>
    <row r="201" spans="1:18">
      <c r="A201" s="158"/>
      <c r="B201" s="160"/>
      <c r="C201" s="159"/>
      <c r="E201" s="158"/>
      <c r="F201" s="160"/>
      <c r="G201" s="159"/>
      <c r="I201" s="158"/>
      <c r="J201" s="160"/>
      <c r="K201" s="159"/>
      <c r="M201" s="158"/>
      <c r="N201" s="160"/>
      <c r="O201" s="159"/>
      <c r="P201" s="158"/>
      <c r="Q201" s="160"/>
      <c r="R201" s="159"/>
    </row>
    <row r="202" spans="1:18">
      <c r="A202" s="158"/>
      <c r="B202" s="160"/>
      <c r="C202" s="159"/>
      <c r="E202" s="158"/>
      <c r="F202" s="160"/>
      <c r="G202" s="159"/>
      <c r="I202" s="158"/>
      <c r="J202" s="160"/>
      <c r="K202" s="159"/>
      <c r="M202" s="158"/>
      <c r="N202" s="160"/>
      <c r="O202" s="159"/>
      <c r="P202" s="158"/>
      <c r="Q202" s="160"/>
      <c r="R202" s="159"/>
    </row>
    <row r="203" spans="1:18">
      <c r="A203" s="158"/>
      <c r="B203" s="160"/>
      <c r="C203" s="159"/>
      <c r="E203" s="158"/>
      <c r="F203" s="160"/>
      <c r="G203" s="159"/>
      <c r="I203" s="158"/>
      <c r="J203" s="160"/>
      <c r="K203" s="159"/>
      <c r="M203" s="158"/>
      <c r="N203" s="160"/>
      <c r="O203" s="159"/>
      <c r="P203" s="158"/>
      <c r="Q203" s="160"/>
      <c r="R203" s="159"/>
    </row>
    <row r="204" spans="1:18">
      <c r="A204" s="158"/>
      <c r="B204" s="160"/>
      <c r="C204" s="159"/>
      <c r="E204" s="158"/>
      <c r="F204" s="160"/>
      <c r="G204" s="159"/>
      <c r="I204" s="158"/>
      <c r="J204" s="160"/>
      <c r="K204" s="159"/>
      <c r="M204" s="158"/>
      <c r="N204" s="160"/>
      <c r="O204" s="159"/>
      <c r="P204" s="158"/>
      <c r="Q204" s="160"/>
      <c r="R204" s="159"/>
    </row>
    <row r="205" spans="1:18">
      <c r="A205" s="158"/>
      <c r="B205" s="160"/>
      <c r="C205" s="159"/>
      <c r="E205" s="158"/>
      <c r="F205" s="160"/>
      <c r="G205" s="159"/>
      <c r="I205" s="158"/>
      <c r="J205" s="160"/>
      <c r="K205" s="159"/>
      <c r="M205" s="158"/>
      <c r="N205" s="160"/>
      <c r="O205" s="159"/>
      <c r="P205" s="158"/>
      <c r="Q205" s="160"/>
      <c r="R205" s="159"/>
    </row>
    <row r="206" spans="1:18">
      <c r="A206" s="158"/>
      <c r="B206" s="160"/>
      <c r="C206" s="159"/>
      <c r="E206" s="158"/>
      <c r="F206" s="160"/>
      <c r="G206" s="159"/>
      <c r="I206" s="158"/>
      <c r="J206" s="160"/>
      <c r="K206" s="159"/>
      <c r="M206" s="158"/>
      <c r="N206" s="91"/>
      <c r="O206" s="161"/>
      <c r="P206" s="158"/>
      <c r="Q206" s="160"/>
      <c r="R206" s="159"/>
    </row>
    <row r="207" spans="1:18">
      <c r="A207" s="158"/>
      <c r="B207" s="160"/>
      <c r="C207" s="159"/>
      <c r="E207" s="158"/>
      <c r="F207" s="160"/>
      <c r="G207" s="159"/>
      <c r="I207" s="158"/>
      <c r="J207" s="160"/>
      <c r="K207" s="159"/>
      <c r="M207" s="158"/>
      <c r="N207" s="91"/>
      <c r="O207" s="161"/>
      <c r="P207" s="158"/>
      <c r="Q207" s="160"/>
      <c r="R207" s="159"/>
    </row>
    <row r="208" spans="1:18">
      <c r="A208" s="158"/>
      <c r="B208" s="160"/>
      <c r="C208" s="159"/>
      <c r="E208" s="158"/>
      <c r="F208" s="160"/>
      <c r="G208" s="159"/>
      <c r="I208" s="158"/>
      <c r="J208" s="160"/>
      <c r="K208" s="159"/>
      <c r="M208" s="158"/>
      <c r="N208" s="91"/>
      <c r="O208" s="161"/>
      <c r="P208" s="158"/>
      <c r="Q208" s="160"/>
      <c r="R208" s="159"/>
    </row>
    <row r="209" spans="1:18">
      <c r="A209" s="158"/>
      <c r="B209" s="160"/>
      <c r="C209" s="159"/>
      <c r="E209" s="158"/>
      <c r="F209" s="160"/>
      <c r="G209" s="159"/>
      <c r="I209" s="158"/>
      <c r="J209" s="160"/>
      <c r="K209" s="159"/>
      <c r="M209" s="158"/>
      <c r="N209" s="160"/>
      <c r="O209" s="159"/>
      <c r="P209" s="158"/>
      <c r="Q209" s="160"/>
      <c r="R209" s="159"/>
    </row>
    <row r="210" spans="1:18">
      <c r="A210" s="158"/>
      <c r="B210" s="160"/>
      <c r="C210" s="159"/>
      <c r="E210" s="158"/>
      <c r="F210" s="160"/>
      <c r="G210" s="159"/>
      <c r="I210" s="158"/>
      <c r="J210" s="160"/>
      <c r="K210" s="159"/>
      <c r="M210" s="158"/>
      <c r="N210" s="160"/>
      <c r="O210" s="159"/>
      <c r="P210" s="158"/>
      <c r="Q210" s="160"/>
      <c r="R210" s="159"/>
    </row>
    <row r="211" spans="1:18">
      <c r="A211" s="158"/>
      <c r="B211" s="160"/>
      <c r="C211" s="159"/>
      <c r="E211" s="158"/>
      <c r="F211" s="160"/>
      <c r="G211" s="159"/>
      <c r="I211" s="158"/>
      <c r="J211" s="160"/>
      <c r="K211" s="159"/>
      <c r="M211" s="158"/>
      <c r="N211" s="160"/>
      <c r="O211" s="159"/>
      <c r="P211" s="158"/>
      <c r="Q211" s="160"/>
      <c r="R211" s="159"/>
    </row>
    <row r="212" spans="1:18">
      <c r="A212" s="158"/>
      <c r="B212" s="160"/>
      <c r="C212" s="159"/>
      <c r="E212" s="158"/>
      <c r="F212" s="160"/>
      <c r="G212" s="159"/>
      <c r="I212" s="158"/>
      <c r="J212" s="160"/>
      <c r="K212" s="159"/>
      <c r="M212" s="158"/>
      <c r="N212" s="160"/>
      <c r="O212" s="159"/>
      <c r="P212" s="158"/>
      <c r="Q212" s="160"/>
      <c r="R212" s="159"/>
    </row>
    <row r="213" spans="1:18">
      <c r="A213" s="158"/>
      <c r="B213" s="160"/>
      <c r="C213" s="159"/>
      <c r="E213" s="158"/>
      <c r="F213" s="160"/>
      <c r="G213" s="159"/>
      <c r="I213" s="158"/>
      <c r="J213" s="160"/>
      <c r="K213" s="159"/>
      <c r="M213" s="158"/>
      <c r="N213" s="160"/>
      <c r="O213" s="159"/>
      <c r="P213" s="158"/>
      <c r="Q213" s="160"/>
      <c r="R213" s="159"/>
    </row>
    <row r="214" spans="1:18">
      <c r="A214" s="158"/>
      <c r="B214" s="160"/>
      <c r="C214" s="159"/>
      <c r="E214" s="158"/>
      <c r="F214" s="160"/>
      <c r="G214" s="159"/>
      <c r="I214" s="158"/>
      <c r="J214" s="160"/>
      <c r="K214" s="159"/>
      <c r="M214" s="158"/>
      <c r="N214" s="160"/>
      <c r="O214" s="159"/>
      <c r="P214" s="158"/>
      <c r="Q214" s="160"/>
      <c r="R214" s="159"/>
    </row>
    <row r="215" spans="1:18">
      <c r="A215" s="158"/>
      <c r="B215" s="160"/>
      <c r="C215" s="159"/>
      <c r="E215" s="158"/>
      <c r="F215" s="160"/>
      <c r="G215" s="159"/>
      <c r="I215" s="158"/>
      <c r="J215" s="160"/>
      <c r="K215" s="159"/>
      <c r="M215" s="158"/>
      <c r="N215" s="160"/>
      <c r="O215" s="159"/>
      <c r="P215" s="158"/>
      <c r="Q215" s="160"/>
      <c r="R215" s="159"/>
    </row>
    <row r="216" spans="1:18">
      <c r="A216" s="173"/>
      <c r="B216" s="174"/>
      <c r="C216" s="175"/>
      <c r="E216" s="173"/>
      <c r="F216" s="174"/>
      <c r="G216" s="175"/>
      <c r="I216" s="173"/>
      <c r="J216" s="174"/>
      <c r="K216" s="175"/>
      <c r="M216" s="173"/>
      <c r="N216" s="174"/>
      <c r="O216" s="175"/>
      <c r="P216" s="173"/>
      <c r="Q216" s="174"/>
      <c r="R216" s="175"/>
    </row>
    <row r="217" spans="1:18">
      <c r="A217" s="158"/>
      <c r="B217" s="160"/>
      <c r="C217" s="159"/>
      <c r="E217" s="158"/>
      <c r="F217" s="160"/>
      <c r="G217" s="159"/>
      <c r="I217" s="158"/>
      <c r="J217" s="160"/>
      <c r="K217" s="159"/>
      <c r="M217" s="158"/>
      <c r="N217" s="160"/>
      <c r="O217" s="159"/>
      <c r="P217" s="158"/>
      <c r="Q217" s="160"/>
      <c r="R217" s="159"/>
    </row>
    <row r="218" spans="1:18">
      <c r="A218" s="158"/>
      <c r="B218" s="160"/>
      <c r="C218" s="159"/>
      <c r="E218" s="158"/>
      <c r="F218" s="160"/>
      <c r="G218" s="159"/>
      <c r="I218" s="158"/>
      <c r="J218" s="160"/>
      <c r="K218" s="159"/>
      <c r="M218" s="158"/>
      <c r="N218" s="160"/>
      <c r="O218" s="159"/>
      <c r="P218" s="158"/>
      <c r="Q218" s="160"/>
      <c r="R218" s="159"/>
    </row>
    <row r="219" spans="1:18">
      <c r="A219" s="158"/>
      <c r="B219" s="160"/>
      <c r="C219" s="159"/>
      <c r="E219" s="158"/>
      <c r="F219" s="160"/>
      <c r="G219" s="159"/>
      <c r="I219" s="158"/>
      <c r="J219" s="160"/>
      <c r="K219" s="159"/>
      <c r="M219" s="158"/>
      <c r="N219" s="160"/>
      <c r="O219" s="159"/>
      <c r="P219" s="158"/>
      <c r="Q219" s="160"/>
      <c r="R219" s="159"/>
    </row>
    <row r="220" spans="1:18">
      <c r="A220" s="158"/>
      <c r="B220" s="160"/>
      <c r="C220" s="159"/>
      <c r="E220" s="158"/>
      <c r="F220" s="160"/>
      <c r="G220" s="159"/>
      <c r="I220" s="158"/>
      <c r="J220" s="160"/>
      <c r="K220" s="159"/>
      <c r="M220" s="158"/>
      <c r="N220" s="160"/>
      <c r="O220" s="159"/>
      <c r="P220" s="158"/>
      <c r="Q220" s="160"/>
      <c r="R220" s="159"/>
    </row>
    <row r="221" spans="1:18">
      <c r="A221" s="158"/>
      <c r="B221" s="160"/>
      <c r="C221" s="159"/>
      <c r="E221" s="158"/>
      <c r="F221" s="160"/>
      <c r="G221" s="159"/>
      <c r="I221" s="158"/>
      <c r="J221" s="160"/>
      <c r="K221" s="159"/>
      <c r="M221" s="158"/>
      <c r="N221" s="160"/>
      <c r="O221" s="159"/>
      <c r="P221" s="158"/>
      <c r="Q221" s="160"/>
      <c r="R221" s="159"/>
    </row>
    <row r="222" spans="1:18">
      <c r="A222" s="158"/>
      <c r="B222" s="160"/>
      <c r="C222" s="159"/>
      <c r="E222" s="158"/>
      <c r="F222" s="160"/>
      <c r="G222" s="159"/>
      <c r="I222" s="158"/>
      <c r="J222" s="160"/>
      <c r="K222" s="159"/>
      <c r="M222" s="158"/>
      <c r="N222" s="160"/>
      <c r="O222" s="159"/>
      <c r="P222" s="158"/>
      <c r="Q222" s="160"/>
      <c r="R222" s="159"/>
    </row>
    <row r="223" spans="1:18">
      <c r="A223" s="158"/>
      <c r="B223" s="160"/>
      <c r="C223" s="159"/>
      <c r="E223" s="158"/>
      <c r="F223" s="160"/>
      <c r="G223" s="159"/>
      <c r="I223" s="158"/>
      <c r="J223" s="160"/>
      <c r="K223" s="159"/>
      <c r="M223" s="158"/>
      <c r="N223" s="160"/>
      <c r="O223" s="159"/>
      <c r="P223" s="158"/>
      <c r="Q223" s="160"/>
      <c r="R223" s="159"/>
    </row>
    <row r="224" spans="1:18">
      <c r="A224" s="158"/>
      <c r="B224" s="160"/>
      <c r="C224" s="159"/>
      <c r="E224" s="158"/>
      <c r="F224" s="160"/>
      <c r="G224" s="159"/>
      <c r="I224" s="158"/>
      <c r="J224" s="160"/>
      <c r="K224" s="159"/>
      <c r="M224" s="158"/>
      <c r="N224" s="160"/>
      <c r="O224" s="159"/>
      <c r="P224" s="158"/>
      <c r="Q224" s="160"/>
      <c r="R224" s="159"/>
    </row>
    <row r="225" spans="1:18">
      <c r="A225" s="158"/>
      <c r="B225" s="160"/>
      <c r="C225" s="159"/>
      <c r="E225" s="158"/>
      <c r="F225" s="160"/>
      <c r="G225" s="159"/>
      <c r="I225" s="158"/>
      <c r="J225" s="160"/>
      <c r="K225" s="159"/>
      <c r="M225" s="158"/>
      <c r="N225" s="160"/>
      <c r="O225" s="159"/>
      <c r="P225" s="158"/>
      <c r="Q225" s="160"/>
      <c r="R225" s="159"/>
    </row>
    <row r="226" spans="1:18">
      <c r="A226" s="158"/>
      <c r="B226" s="160"/>
      <c r="C226" s="159"/>
      <c r="E226" s="158"/>
      <c r="F226" s="160"/>
      <c r="G226" s="159"/>
      <c r="I226" s="158"/>
      <c r="J226" s="160"/>
      <c r="K226" s="159"/>
      <c r="M226" s="158"/>
      <c r="N226" s="160"/>
      <c r="O226" s="159"/>
      <c r="P226" s="158"/>
      <c r="Q226" s="160"/>
      <c r="R226" s="159"/>
    </row>
    <row r="227" spans="1:18">
      <c r="A227" s="158"/>
      <c r="B227" s="160"/>
      <c r="C227" s="159"/>
      <c r="E227" s="158"/>
      <c r="F227" s="160"/>
      <c r="G227" s="159"/>
      <c r="I227" s="158"/>
      <c r="J227" s="160"/>
      <c r="K227" s="159"/>
      <c r="M227" s="158"/>
      <c r="N227" s="160"/>
      <c r="O227" s="159"/>
      <c r="P227" s="158"/>
      <c r="Q227" s="160"/>
      <c r="R227" s="159"/>
    </row>
    <row r="228" spans="1:18">
      <c r="A228" s="158"/>
      <c r="B228" s="160"/>
      <c r="C228" s="159"/>
      <c r="E228" s="158"/>
      <c r="F228" s="160"/>
      <c r="G228" s="159"/>
      <c r="I228" s="158"/>
      <c r="J228" s="160"/>
      <c r="K228" s="159"/>
      <c r="M228" s="158"/>
      <c r="N228" s="160"/>
      <c r="O228" s="159"/>
      <c r="P228" s="158"/>
      <c r="Q228" s="160"/>
      <c r="R228" s="159"/>
    </row>
    <row r="229" spans="1:18">
      <c r="A229" s="158"/>
      <c r="B229" s="160"/>
      <c r="C229" s="159"/>
      <c r="E229" s="158"/>
      <c r="F229" s="160"/>
      <c r="G229" s="159"/>
      <c r="I229" s="158"/>
      <c r="J229" s="160"/>
      <c r="K229" s="159"/>
      <c r="M229" s="158"/>
      <c r="N229" s="160"/>
      <c r="O229" s="159"/>
      <c r="P229" s="158"/>
      <c r="Q229" s="160"/>
      <c r="R229" s="159"/>
    </row>
    <row r="230" spans="1:18">
      <c r="A230" s="158"/>
      <c r="B230" s="160"/>
      <c r="C230" s="159"/>
      <c r="E230" s="158"/>
      <c r="F230" s="160"/>
      <c r="G230" s="159"/>
      <c r="I230" s="158"/>
      <c r="J230" s="160"/>
      <c r="K230" s="159"/>
      <c r="M230" s="158"/>
      <c r="N230" s="160"/>
      <c r="O230" s="159"/>
      <c r="P230" s="158"/>
      <c r="Q230" s="160"/>
      <c r="R230" s="159"/>
    </row>
    <row r="231" spans="1:18">
      <c r="A231" s="158"/>
      <c r="B231" s="160"/>
      <c r="C231" s="159"/>
      <c r="E231" s="158"/>
      <c r="F231" s="160"/>
      <c r="G231" s="159"/>
      <c r="I231" s="158"/>
      <c r="J231" s="160"/>
      <c r="K231" s="159"/>
      <c r="M231" s="158"/>
      <c r="N231" s="160"/>
      <c r="O231" s="159"/>
      <c r="P231" s="158"/>
      <c r="Q231" s="160"/>
      <c r="R231" s="159"/>
    </row>
    <row r="232" spans="1:18">
      <c r="A232" s="158"/>
      <c r="B232" s="160"/>
      <c r="C232" s="159"/>
      <c r="E232" s="158"/>
      <c r="F232" s="160"/>
      <c r="G232" s="159"/>
      <c r="I232" s="158"/>
      <c r="J232" s="160"/>
      <c r="K232" s="159"/>
      <c r="M232" s="158"/>
      <c r="N232" s="160"/>
      <c r="O232" s="159"/>
      <c r="P232" s="158"/>
      <c r="Q232" s="160"/>
      <c r="R232" s="159"/>
    </row>
    <row r="233" spans="1:18">
      <c r="A233" s="158"/>
      <c r="B233" s="160"/>
      <c r="C233" s="159"/>
      <c r="E233" s="158"/>
      <c r="F233" s="160"/>
      <c r="G233" s="159"/>
      <c r="I233" s="158"/>
      <c r="J233" s="160"/>
      <c r="K233" s="159"/>
      <c r="M233" s="158"/>
      <c r="N233" s="160"/>
      <c r="O233" s="159"/>
      <c r="P233" s="158"/>
      <c r="Q233" s="160"/>
      <c r="R233" s="159"/>
    </row>
    <row r="234" spans="1:18">
      <c r="A234" s="158"/>
      <c r="B234" s="160"/>
      <c r="C234" s="159"/>
      <c r="E234" s="158"/>
      <c r="F234" s="160"/>
      <c r="G234" s="159"/>
      <c r="I234" s="158"/>
      <c r="J234" s="160"/>
      <c r="K234" s="159"/>
      <c r="M234" s="158"/>
      <c r="N234" s="160"/>
      <c r="O234" s="159"/>
      <c r="P234" s="158"/>
      <c r="Q234" s="160"/>
      <c r="R234" s="159"/>
    </row>
    <row r="235" spans="1:18">
      <c r="A235" s="158"/>
      <c r="B235" s="160"/>
      <c r="C235" s="159"/>
      <c r="E235" s="158"/>
      <c r="F235" s="160"/>
      <c r="G235" s="159"/>
      <c r="I235" s="158"/>
      <c r="J235" s="160"/>
      <c r="K235" s="159"/>
      <c r="M235" s="158"/>
      <c r="N235" s="160"/>
      <c r="O235" s="159"/>
      <c r="P235" s="158"/>
      <c r="Q235" s="160"/>
      <c r="R235" s="159"/>
    </row>
    <row r="236" spans="1:18">
      <c r="A236" s="158"/>
      <c r="B236" s="160"/>
      <c r="C236" s="159"/>
      <c r="E236" s="158"/>
      <c r="F236" s="160"/>
      <c r="G236" s="159"/>
      <c r="I236" s="158"/>
      <c r="J236" s="160"/>
      <c r="K236" s="159"/>
      <c r="M236" s="158"/>
      <c r="N236" s="160"/>
      <c r="O236" s="159"/>
      <c r="P236" s="158"/>
      <c r="Q236" s="160"/>
      <c r="R236" s="159"/>
    </row>
    <row r="237" spans="1:18">
      <c r="A237" s="158"/>
      <c r="B237" s="160"/>
      <c r="C237" s="159"/>
      <c r="E237" s="158"/>
      <c r="F237" s="160"/>
      <c r="G237" s="159"/>
      <c r="I237" s="158"/>
      <c r="J237" s="160"/>
      <c r="K237" s="159"/>
      <c r="M237" s="158"/>
      <c r="N237" s="160"/>
      <c r="O237" s="159"/>
      <c r="P237" s="158"/>
      <c r="Q237" s="160"/>
      <c r="R237" s="159"/>
    </row>
    <row r="238" spans="1:18">
      <c r="A238" s="158"/>
      <c r="B238" s="160"/>
      <c r="C238" s="159"/>
      <c r="E238" s="158"/>
      <c r="F238" s="160"/>
      <c r="G238" s="159"/>
      <c r="I238" s="158"/>
      <c r="J238" s="160"/>
      <c r="K238" s="159"/>
      <c r="M238" s="158"/>
      <c r="N238" s="160"/>
      <c r="O238" s="159"/>
      <c r="P238" s="158"/>
      <c r="Q238" s="160"/>
      <c r="R238" s="159"/>
    </row>
    <row r="239" spans="1:18">
      <c r="A239" s="158"/>
      <c r="B239" s="160"/>
      <c r="C239" s="159"/>
      <c r="E239" s="158"/>
      <c r="F239" s="160"/>
      <c r="G239" s="159"/>
      <c r="I239" s="158"/>
      <c r="J239" s="160"/>
      <c r="K239" s="159"/>
      <c r="M239" s="158"/>
      <c r="N239" s="160"/>
      <c r="O239" s="159"/>
      <c r="P239" s="158"/>
      <c r="Q239" s="160"/>
      <c r="R239" s="159"/>
    </row>
    <row r="240" spans="1:18">
      <c r="A240" s="158"/>
      <c r="B240" s="160"/>
      <c r="C240" s="159"/>
      <c r="E240" s="158"/>
      <c r="F240" s="160"/>
      <c r="G240" s="159"/>
      <c r="I240" s="158"/>
      <c r="J240" s="160"/>
      <c r="K240" s="159"/>
      <c r="M240" s="158"/>
      <c r="N240" s="160"/>
      <c r="O240" s="159"/>
      <c r="P240" s="158"/>
      <c r="Q240" s="160"/>
      <c r="R240" s="159"/>
    </row>
    <row r="241" spans="1:18">
      <c r="A241" s="158"/>
      <c r="B241" s="160"/>
      <c r="C241" s="159"/>
      <c r="E241" s="158"/>
      <c r="F241" s="160"/>
      <c r="G241" s="159"/>
      <c r="I241" s="158"/>
      <c r="J241" s="160"/>
      <c r="K241" s="159"/>
      <c r="M241" s="158"/>
      <c r="N241" s="160"/>
      <c r="O241" s="159"/>
      <c r="P241" s="158"/>
      <c r="Q241" s="160"/>
      <c r="R241" s="159"/>
    </row>
    <row r="242" spans="1:18">
      <c r="A242" s="158"/>
      <c r="B242" s="160"/>
      <c r="C242" s="159"/>
      <c r="E242" s="158"/>
      <c r="F242" s="160"/>
      <c r="G242" s="159"/>
      <c r="I242" s="158"/>
      <c r="J242" s="160"/>
      <c r="K242" s="159"/>
      <c r="M242" s="158"/>
      <c r="N242" s="160"/>
      <c r="O242" s="159"/>
      <c r="P242" s="158"/>
      <c r="Q242" s="160"/>
      <c r="R242" s="159"/>
    </row>
    <row r="243" spans="1:18">
      <c r="A243" s="173"/>
      <c r="B243" s="174"/>
      <c r="C243" s="175"/>
      <c r="E243" s="173"/>
      <c r="F243" s="174"/>
      <c r="G243" s="175"/>
      <c r="I243" s="176"/>
      <c r="J243" s="177"/>
      <c r="K243" s="180"/>
      <c r="M243" s="173"/>
      <c r="N243" s="174"/>
      <c r="O243" s="175"/>
      <c r="P243" s="173"/>
      <c r="Q243" s="174"/>
      <c r="R243" s="175"/>
    </row>
    <row r="244" spans="1:18">
      <c r="A244" s="158"/>
      <c r="B244" s="160"/>
      <c r="C244" s="159"/>
      <c r="E244" s="158"/>
      <c r="F244" s="160"/>
      <c r="G244" s="159"/>
      <c r="I244" s="178"/>
      <c r="J244" s="179"/>
      <c r="K244" s="178"/>
      <c r="M244" s="158"/>
      <c r="N244" s="160"/>
      <c r="O244" s="159"/>
      <c r="P244" s="158"/>
      <c r="Q244" s="160"/>
      <c r="R244" s="159"/>
    </row>
    <row r="245" spans="1:18">
      <c r="A245" s="158"/>
      <c r="B245" s="160"/>
      <c r="C245" s="159"/>
      <c r="E245" s="158"/>
      <c r="F245" s="160"/>
      <c r="G245" s="159"/>
      <c r="I245" s="158"/>
      <c r="J245" s="160"/>
      <c r="K245" s="159"/>
      <c r="M245" s="158"/>
      <c r="N245" s="160"/>
      <c r="O245" s="159"/>
      <c r="P245" s="158"/>
      <c r="Q245" s="160"/>
      <c r="R245" s="159"/>
    </row>
    <row r="246" spans="1:18">
      <c r="A246" s="158"/>
      <c r="B246" s="160"/>
      <c r="C246" s="159"/>
      <c r="E246" s="158"/>
      <c r="F246" s="160"/>
      <c r="G246" s="159"/>
      <c r="I246" s="158"/>
      <c r="J246" s="160"/>
      <c r="K246" s="159"/>
      <c r="M246" s="158"/>
      <c r="N246" s="160"/>
      <c r="O246" s="159"/>
      <c r="P246" s="158"/>
      <c r="Q246" s="160"/>
      <c r="R246" s="159"/>
    </row>
    <row r="247" spans="1:18">
      <c r="A247" s="158"/>
      <c r="B247" s="160"/>
      <c r="C247" s="159"/>
      <c r="E247" s="158"/>
      <c r="F247" s="160"/>
      <c r="G247" s="159"/>
      <c r="I247" s="158"/>
      <c r="J247" s="160"/>
      <c r="K247" s="159"/>
      <c r="M247" s="158"/>
      <c r="N247" s="160"/>
      <c r="O247" s="159"/>
      <c r="P247" s="158"/>
      <c r="Q247" s="160"/>
      <c r="R247" s="159"/>
    </row>
    <row r="248" spans="1:18">
      <c r="A248" s="158"/>
      <c r="B248" s="160"/>
      <c r="C248" s="159"/>
      <c r="E248" s="158"/>
      <c r="F248" s="160"/>
      <c r="G248" s="159"/>
      <c r="I248" s="158"/>
      <c r="J248" s="160"/>
      <c r="K248" s="159"/>
      <c r="M248" s="158"/>
      <c r="N248" s="160"/>
      <c r="O248" s="159"/>
      <c r="P248" s="158"/>
      <c r="Q248" s="160"/>
      <c r="R248" s="159"/>
    </row>
    <row r="249" spans="1:18">
      <c r="A249" s="158"/>
      <c r="B249" s="160"/>
      <c r="C249" s="159"/>
      <c r="E249" s="158"/>
      <c r="F249" s="160"/>
      <c r="G249" s="159"/>
      <c r="I249" s="158"/>
      <c r="J249" s="160"/>
      <c r="K249" s="159"/>
      <c r="M249" s="158"/>
      <c r="N249" s="160"/>
      <c r="O249" s="159"/>
      <c r="P249" s="158"/>
      <c r="Q249" s="160"/>
      <c r="R249" s="159"/>
    </row>
    <row r="250" spans="1:18">
      <c r="A250" s="158"/>
      <c r="B250" s="160"/>
      <c r="C250" s="159"/>
      <c r="E250" s="158"/>
      <c r="F250" s="160"/>
      <c r="G250" s="159"/>
      <c r="I250" s="158"/>
      <c r="J250" s="160"/>
      <c r="K250" s="159"/>
      <c r="M250" s="158"/>
      <c r="N250" s="160"/>
      <c r="O250" s="159"/>
      <c r="P250" s="158"/>
      <c r="Q250" s="160"/>
      <c r="R250" s="159"/>
    </row>
    <row r="251" spans="1:18">
      <c r="A251" s="158"/>
      <c r="B251" s="160"/>
      <c r="C251" s="159"/>
      <c r="E251" s="158"/>
      <c r="F251" s="160"/>
      <c r="G251" s="159"/>
      <c r="I251" s="158"/>
      <c r="J251" s="160"/>
      <c r="K251" s="159"/>
      <c r="M251" s="158"/>
      <c r="N251" s="160"/>
      <c r="O251" s="159"/>
      <c r="P251" s="158"/>
      <c r="Q251" s="160"/>
      <c r="R251" s="159"/>
    </row>
    <row r="252" spans="1:18">
      <c r="A252" s="158"/>
      <c r="B252" s="160"/>
      <c r="C252" s="159"/>
      <c r="E252" s="158"/>
      <c r="F252" s="160"/>
      <c r="G252" s="159"/>
      <c r="I252" s="158"/>
      <c r="J252" s="160"/>
      <c r="K252" s="159"/>
      <c r="M252" s="158"/>
      <c r="N252" s="160"/>
      <c r="O252" s="159"/>
      <c r="P252" s="158"/>
      <c r="Q252" s="160"/>
      <c r="R252" s="159"/>
    </row>
    <row r="253" spans="1:18">
      <c r="A253" s="158"/>
      <c r="B253" s="160"/>
      <c r="C253" s="159"/>
      <c r="E253" s="158"/>
      <c r="F253" s="160"/>
      <c r="G253" s="159"/>
      <c r="I253" s="158"/>
      <c r="J253" s="160"/>
      <c r="K253" s="159"/>
      <c r="M253" s="158"/>
      <c r="N253" s="160"/>
      <c r="O253" s="159"/>
      <c r="P253" s="158"/>
      <c r="Q253" s="160"/>
      <c r="R253" s="159"/>
    </row>
    <row r="254" spans="1:18">
      <c r="A254" s="158"/>
      <c r="B254" s="160"/>
      <c r="C254" s="159"/>
      <c r="E254" s="158"/>
      <c r="F254" s="160"/>
      <c r="G254" s="159"/>
      <c r="I254" s="158"/>
      <c r="J254" s="160"/>
      <c r="K254" s="159"/>
      <c r="M254" s="158"/>
      <c r="N254" s="160"/>
      <c r="O254" s="159"/>
      <c r="P254" s="158"/>
      <c r="Q254" s="160"/>
      <c r="R254" s="159"/>
    </row>
    <row r="255" spans="1:18">
      <c r="A255" s="158"/>
      <c r="B255" s="160"/>
      <c r="C255" s="159"/>
      <c r="E255" s="158"/>
      <c r="F255" s="160"/>
      <c r="G255" s="159"/>
      <c r="I255" s="158"/>
      <c r="J255" s="160"/>
      <c r="K255" s="159"/>
      <c r="M255" s="158"/>
      <c r="N255" s="160"/>
      <c r="O255" s="159"/>
      <c r="P255" s="158"/>
      <c r="Q255" s="160"/>
      <c r="R255" s="159"/>
    </row>
    <row r="256" spans="1:18">
      <c r="A256" s="158"/>
      <c r="B256" s="160"/>
      <c r="C256" s="159"/>
      <c r="E256" s="158"/>
      <c r="F256" s="160"/>
      <c r="G256" s="159"/>
      <c r="I256" s="158"/>
      <c r="J256" s="160"/>
      <c r="K256" s="159"/>
      <c r="M256" s="158"/>
      <c r="N256" s="160"/>
      <c r="O256" s="159"/>
      <c r="P256" s="158"/>
      <c r="Q256" s="160"/>
      <c r="R256" s="159"/>
    </row>
    <row r="257" spans="1:18">
      <c r="A257" s="158"/>
      <c r="B257" s="160"/>
      <c r="C257" s="159"/>
      <c r="E257" s="158"/>
      <c r="F257" s="160"/>
      <c r="G257" s="159"/>
      <c r="I257" s="158"/>
      <c r="J257" s="160"/>
      <c r="K257" s="159"/>
      <c r="M257" s="158"/>
      <c r="N257" s="160"/>
      <c r="O257" s="159"/>
      <c r="P257" s="158"/>
      <c r="Q257" s="160"/>
      <c r="R257" s="159"/>
    </row>
    <row r="258" spans="1:18">
      <c r="A258" s="158"/>
      <c r="B258" s="160"/>
      <c r="C258" s="159"/>
      <c r="E258" s="158"/>
      <c r="F258" s="160"/>
      <c r="G258" s="159"/>
      <c r="I258" s="158"/>
      <c r="J258" s="160"/>
      <c r="K258" s="159"/>
      <c r="M258" s="158"/>
      <c r="N258" s="160"/>
      <c r="O258" s="159"/>
      <c r="P258" s="158"/>
      <c r="Q258" s="160"/>
      <c r="R258" s="159"/>
    </row>
    <row r="259" spans="1:18">
      <c r="A259" s="158"/>
      <c r="B259" s="160"/>
      <c r="C259" s="159"/>
      <c r="E259" s="158"/>
      <c r="F259" s="160"/>
      <c r="G259" s="159"/>
      <c r="I259" s="158"/>
      <c r="J259" s="160"/>
      <c r="K259" s="159"/>
      <c r="M259" s="158"/>
      <c r="N259" s="160"/>
      <c r="O259" s="159"/>
      <c r="P259" s="158"/>
      <c r="Q259" s="160"/>
      <c r="R259" s="159"/>
    </row>
    <row r="260" spans="1:18">
      <c r="A260" s="158"/>
      <c r="B260" s="160"/>
      <c r="C260" s="159"/>
      <c r="E260" s="158"/>
      <c r="F260" s="160"/>
      <c r="G260" s="159"/>
      <c r="I260" s="158"/>
      <c r="J260" s="160"/>
      <c r="K260" s="159"/>
      <c r="M260" s="158"/>
      <c r="N260" s="160"/>
      <c r="O260" s="159"/>
      <c r="P260" s="158"/>
      <c r="Q260" s="160"/>
      <c r="R260" s="159"/>
    </row>
    <row r="261" spans="1:18">
      <c r="A261" s="158"/>
      <c r="B261" s="160"/>
      <c r="C261" s="159"/>
      <c r="E261" s="158"/>
      <c r="F261" s="160"/>
      <c r="G261" s="159"/>
      <c r="I261" s="158"/>
      <c r="J261" s="160"/>
      <c r="K261" s="159"/>
      <c r="M261" s="158"/>
      <c r="N261" s="160"/>
      <c r="O261" s="159"/>
      <c r="P261" s="158"/>
      <c r="Q261" s="160"/>
      <c r="R261" s="159"/>
    </row>
    <row r="262" spans="1:18">
      <c r="A262" s="158"/>
      <c r="B262" s="160"/>
      <c r="C262" s="159"/>
      <c r="E262" s="158"/>
      <c r="F262" s="160"/>
      <c r="G262" s="159"/>
      <c r="I262" s="158"/>
      <c r="J262" s="160"/>
      <c r="K262" s="159"/>
      <c r="M262" s="158"/>
      <c r="N262" s="160"/>
      <c r="O262" s="159"/>
      <c r="P262" s="158"/>
      <c r="Q262" s="160"/>
      <c r="R262" s="159"/>
    </row>
    <row r="263" spans="1:18">
      <c r="A263" s="158"/>
      <c r="B263" s="160"/>
      <c r="C263" s="159"/>
      <c r="E263" s="158"/>
      <c r="F263" s="160"/>
      <c r="G263" s="159"/>
      <c r="I263" s="158"/>
      <c r="J263" s="160"/>
      <c r="K263" s="159"/>
      <c r="M263" s="158"/>
      <c r="N263" s="160"/>
      <c r="O263" s="159"/>
      <c r="P263" s="158"/>
      <c r="Q263" s="160"/>
      <c r="R263" s="159"/>
    </row>
    <row r="264" spans="1:18">
      <c r="A264" s="158"/>
      <c r="B264" s="160"/>
      <c r="C264" s="159"/>
      <c r="E264" s="158"/>
      <c r="F264" s="160"/>
      <c r="G264" s="159"/>
      <c r="I264" s="158"/>
      <c r="J264" s="160"/>
      <c r="K264" s="159"/>
      <c r="M264" s="158"/>
      <c r="N264" s="160"/>
      <c r="O264" s="159"/>
      <c r="P264" s="158"/>
      <c r="Q264" s="160"/>
      <c r="R264" s="159"/>
    </row>
    <row r="265" spans="1:18">
      <c r="A265" s="158"/>
      <c r="B265" s="160"/>
      <c r="C265" s="159"/>
      <c r="E265" s="158"/>
      <c r="F265" s="160"/>
      <c r="G265" s="159"/>
      <c r="I265" s="158"/>
      <c r="J265" s="160"/>
      <c r="K265" s="159"/>
      <c r="M265" s="158"/>
      <c r="N265" s="160"/>
      <c r="O265" s="159"/>
      <c r="P265" s="158"/>
      <c r="Q265" s="160"/>
      <c r="R265" s="159"/>
    </row>
    <row r="266" spans="1:18">
      <c r="A266" s="158"/>
      <c r="B266" s="160"/>
      <c r="C266" s="159"/>
      <c r="E266" s="158"/>
      <c r="F266" s="160"/>
      <c r="G266" s="159"/>
      <c r="I266" s="158"/>
      <c r="J266" s="160"/>
      <c r="K266" s="159"/>
      <c r="M266" s="158"/>
      <c r="N266" s="160"/>
      <c r="O266" s="159"/>
      <c r="P266" s="158"/>
      <c r="Q266" s="160"/>
      <c r="R266" s="159"/>
    </row>
    <row r="267" spans="1:18">
      <c r="A267" s="158"/>
      <c r="B267" s="160"/>
      <c r="C267" s="159"/>
      <c r="E267" s="158"/>
      <c r="F267" s="160"/>
      <c r="G267" s="159"/>
      <c r="I267" s="158"/>
      <c r="J267" s="160"/>
      <c r="K267" s="159"/>
      <c r="M267" s="158"/>
      <c r="N267" s="160"/>
      <c r="O267" s="159"/>
      <c r="P267" s="158"/>
      <c r="Q267" s="160"/>
      <c r="R267" s="159"/>
    </row>
    <row r="268" spans="1:18">
      <c r="A268" s="158"/>
      <c r="B268" s="160"/>
      <c r="C268" s="159"/>
      <c r="E268" s="158"/>
      <c r="F268" s="160"/>
      <c r="G268" s="159"/>
      <c r="I268" s="158"/>
      <c r="J268" s="160"/>
      <c r="K268" s="159"/>
      <c r="M268" s="158"/>
      <c r="N268" s="160"/>
      <c r="O268" s="159"/>
      <c r="P268" s="158"/>
      <c r="Q268" s="160"/>
      <c r="R268" s="159"/>
    </row>
    <row r="269" spans="1:18">
      <c r="A269" s="158"/>
      <c r="B269" s="160"/>
      <c r="C269" s="159"/>
      <c r="E269" s="158"/>
      <c r="F269" s="160"/>
      <c r="G269" s="159"/>
      <c r="I269" s="158"/>
      <c r="J269" s="160"/>
      <c r="K269" s="159"/>
      <c r="M269" s="158"/>
      <c r="N269" s="160"/>
      <c r="O269" s="159"/>
      <c r="P269" s="158"/>
      <c r="Q269" s="160"/>
      <c r="R269" s="159"/>
    </row>
    <row r="270" spans="1:18">
      <c r="A270" s="173"/>
      <c r="B270" s="174"/>
      <c r="C270" s="175"/>
      <c r="E270" s="173"/>
      <c r="F270" s="174"/>
      <c r="G270" s="175"/>
      <c r="I270" s="173"/>
      <c r="J270" s="174"/>
      <c r="K270" s="175"/>
      <c r="M270" s="173"/>
      <c r="N270" s="174"/>
      <c r="O270" s="175"/>
      <c r="P270" s="173"/>
      <c r="Q270" s="174"/>
      <c r="R270" s="175"/>
    </row>
    <row r="271" spans="1:18">
      <c r="A271" s="158"/>
      <c r="B271" s="160"/>
      <c r="C271" s="159"/>
      <c r="E271" s="158"/>
      <c r="F271" s="160"/>
      <c r="G271" s="159"/>
      <c r="I271" s="158"/>
      <c r="J271" s="160"/>
      <c r="K271" s="159"/>
      <c r="M271" s="158"/>
      <c r="N271" s="160"/>
      <c r="O271" s="159"/>
      <c r="P271" s="158"/>
      <c r="Q271" s="160"/>
      <c r="R271" s="159"/>
    </row>
    <row r="272" spans="1:18">
      <c r="A272" s="158"/>
      <c r="B272" s="160"/>
      <c r="C272" s="159"/>
      <c r="E272" s="158"/>
      <c r="F272" s="160"/>
      <c r="G272" s="159"/>
      <c r="I272" s="158"/>
      <c r="J272" s="160"/>
      <c r="K272" s="159"/>
      <c r="M272" s="158"/>
      <c r="N272" s="160"/>
      <c r="O272" s="159"/>
      <c r="P272" s="158"/>
      <c r="Q272" s="160"/>
      <c r="R272" s="159"/>
    </row>
    <row r="273" spans="1:18">
      <c r="A273" s="158"/>
      <c r="B273" s="160"/>
      <c r="C273" s="159"/>
      <c r="E273" s="158"/>
      <c r="F273" s="160"/>
      <c r="G273" s="159"/>
      <c r="I273" s="158"/>
      <c r="J273" s="160"/>
      <c r="K273" s="159"/>
      <c r="M273" s="158"/>
      <c r="N273" s="160"/>
      <c r="O273" s="159"/>
      <c r="P273" s="158"/>
      <c r="Q273" s="160"/>
      <c r="R273" s="159"/>
    </row>
    <row r="274" spans="1:18">
      <c r="A274" s="158"/>
      <c r="B274" s="160"/>
      <c r="C274" s="159"/>
      <c r="E274" s="158"/>
      <c r="F274" s="160"/>
      <c r="G274" s="159"/>
      <c r="I274" s="158"/>
      <c r="J274" s="160"/>
      <c r="K274" s="159"/>
      <c r="M274" s="158"/>
      <c r="N274" s="160"/>
      <c r="O274" s="159"/>
      <c r="P274" s="158"/>
      <c r="Q274" s="160"/>
      <c r="R274" s="159"/>
    </row>
    <row r="275" spans="1:18">
      <c r="A275" s="158"/>
      <c r="B275" s="160"/>
      <c r="C275" s="159"/>
      <c r="E275" s="158"/>
      <c r="F275" s="160"/>
      <c r="G275" s="159"/>
      <c r="I275" s="158"/>
      <c r="J275" s="160"/>
      <c r="K275" s="159"/>
      <c r="M275" s="158"/>
      <c r="N275" s="160"/>
      <c r="O275" s="159"/>
      <c r="P275" s="158"/>
      <c r="Q275" s="160"/>
      <c r="R275" s="159"/>
    </row>
    <row r="276" spans="1:18">
      <c r="A276" s="158"/>
      <c r="B276" s="160"/>
      <c r="C276" s="159"/>
      <c r="E276" s="158"/>
      <c r="F276" s="160"/>
      <c r="G276" s="159"/>
      <c r="I276" s="158"/>
      <c r="J276" s="160"/>
      <c r="K276" s="159"/>
      <c r="M276" s="158"/>
      <c r="N276" s="160"/>
      <c r="O276" s="159"/>
      <c r="P276" s="158"/>
      <c r="Q276" s="160"/>
      <c r="R276" s="159"/>
    </row>
    <row r="277" spans="1:18">
      <c r="A277" s="158"/>
      <c r="B277" s="160"/>
      <c r="C277" s="159"/>
      <c r="E277" s="158"/>
      <c r="F277" s="160"/>
      <c r="G277" s="159"/>
      <c r="I277" s="158"/>
      <c r="J277" s="160"/>
      <c r="K277" s="159"/>
      <c r="M277" s="158"/>
      <c r="N277" s="160"/>
      <c r="O277" s="159"/>
      <c r="P277" s="158"/>
      <c r="Q277" s="160"/>
      <c r="R277" s="159"/>
    </row>
    <row r="278" spans="1:18">
      <c r="A278" s="158"/>
      <c r="B278" s="160"/>
      <c r="C278" s="159"/>
      <c r="E278" s="158"/>
      <c r="F278" s="160"/>
      <c r="G278" s="159"/>
      <c r="I278" s="158"/>
      <c r="J278" s="160"/>
      <c r="K278" s="159"/>
      <c r="M278" s="158"/>
      <c r="N278" s="160"/>
      <c r="O278" s="159"/>
      <c r="P278" s="158"/>
      <c r="Q278" s="160"/>
      <c r="R278" s="159"/>
    </row>
    <row r="279" spans="1:18">
      <c r="A279" s="158"/>
      <c r="B279" s="160"/>
      <c r="C279" s="159"/>
      <c r="E279" s="158"/>
      <c r="F279" s="160"/>
      <c r="G279" s="159"/>
      <c r="I279" s="158"/>
      <c r="J279" s="160"/>
      <c r="K279" s="159"/>
      <c r="M279" s="158"/>
      <c r="N279" s="160"/>
      <c r="O279" s="159"/>
      <c r="P279" s="158"/>
      <c r="Q279" s="160"/>
      <c r="R279" s="159"/>
    </row>
    <row r="280" spans="1:18">
      <c r="A280" s="158"/>
      <c r="B280" s="160"/>
      <c r="C280" s="159"/>
      <c r="E280" s="158"/>
      <c r="F280" s="160"/>
      <c r="G280" s="159"/>
      <c r="I280" s="158"/>
      <c r="J280" s="160"/>
      <c r="K280" s="159"/>
      <c r="M280" s="158"/>
      <c r="N280" s="160"/>
      <c r="O280" s="159"/>
      <c r="P280" s="158"/>
      <c r="Q280" s="160"/>
      <c r="R280" s="159"/>
    </row>
    <row r="281" spans="1:18">
      <c r="A281" s="158"/>
      <c r="B281" s="160"/>
      <c r="C281" s="159"/>
      <c r="E281" s="158"/>
      <c r="F281" s="160"/>
      <c r="G281" s="159"/>
      <c r="I281" s="158"/>
      <c r="J281" s="160"/>
      <c r="K281" s="159"/>
      <c r="M281" s="158"/>
      <c r="N281" s="160"/>
      <c r="O281" s="159"/>
      <c r="P281" s="158"/>
      <c r="Q281" s="160"/>
      <c r="R281" s="159"/>
    </row>
    <row r="282" spans="1:18">
      <c r="A282" s="158"/>
      <c r="B282" s="160"/>
      <c r="C282" s="159"/>
      <c r="E282" s="158"/>
      <c r="F282" s="160"/>
      <c r="G282" s="159"/>
      <c r="I282" s="158"/>
      <c r="J282" s="160"/>
      <c r="K282" s="159"/>
      <c r="M282" s="158"/>
      <c r="N282" s="160"/>
      <c r="O282" s="159"/>
      <c r="P282" s="158"/>
      <c r="Q282" s="160"/>
      <c r="R282" s="159"/>
    </row>
    <row r="283" spans="1:18">
      <c r="A283" s="158"/>
      <c r="B283" s="160"/>
      <c r="C283" s="159"/>
      <c r="E283" s="158"/>
      <c r="F283" s="160"/>
      <c r="G283" s="159"/>
      <c r="I283" s="158"/>
      <c r="J283" s="160"/>
      <c r="K283" s="159"/>
      <c r="M283" s="158"/>
      <c r="N283" s="160"/>
      <c r="O283" s="159"/>
      <c r="P283" s="158"/>
      <c r="Q283" s="160"/>
      <c r="R283" s="159"/>
    </row>
    <row r="284" spans="1:18">
      <c r="A284" s="158"/>
      <c r="B284" s="160"/>
      <c r="C284" s="159"/>
      <c r="E284" s="158"/>
      <c r="F284" s="160"/>
      <c r="G284" s="159"/>
      <c r="I284" s="158"/>
      <c r="J284" s="160"/>
      <c r="K284" s="159"/>
      <c r="M284" s="158"/>
      <c r="N284" s="160"/>
      <c r="O284" s="159"/>
      <c r="P284" s="158"/>
      <c r="Q284" s="160"/>
      <c r="R284" s="159"/>
    </row>
    <row r="285" spans="1:18">
      <c r="A285" s="158"/>
      <c r="B285" s="160"/>
      <c r="C285" s="159"/>
      <c r="E285" s="158"/>
      <c r="F285" s="160"/>
      <c r="G285" s="159"/>
      <c r="I285" s="158"/>
      <c r="J285" s="160"/>
      <c r="K285" s="159"/>
      <c r="M285" s="158"/>
      <c r="N285" s="160"/>
      <c r="O285" s="159"/>
      <c r="P285" s="158"/>
      <c r="Q285" s="160"/>
      <c r="R285" s="159"/>
    </row>
    <row r="286" spans="1:18">
      <c r="A286" s="158"/>
      <c r="B286" s="160"/>
      <c r="C286" s="159"/>
      <c r="E286" s="158"/>
      <c r="F286" s="160"/>
      <c r="G286" s="159"/>
      <c r="I286" s="158"/>
      <c r="J286" s="160"/>
      <c r="K286" s="159"/>
      <c r="M286" s="158"/>
      <c r="N286" s="160"/>
      <c r="O286" s="159"/>
      <c r="P286" s="158"/>
      <c r="Q286" s="160"/>
      <c r="R286" s="159"/>
    </row>
    <row r="287" spans="1:18">
      <c r="A287" s="158"/>
      <c r="B287" s="160"/>
      <c r="C287" s="159"/>
      <c r="E287" s="158"/>
      <c r="F287" s="160"/>
      <c r="G287" s="159"/>
      <c r="I287" s="158"/>
      <c r="J287" s="160"/>
      <c r="K287" s="159"/>
      <c r="M287" s="158"/>
      <c r="N287" s="160"/>
      <c r="O287" s="159"/>
      <c r="P287" s="158"/>
      <c r="Q287" s="160"/>
      <c r="R287" s="159"/>
    </row>
    <row r="288" spans="1:18">
      <c r="A288" s="158"/>
      <c r="B288" s="160"/>
      <c r="C288" s="159"/>
      <c r="E288" s="158"/>
      <c r="F288" s="160"/>
      <c r="G288" s="159"/>
      <c r="I288" s="158"/>
      <c r="J288" s="160"/>
      <c r="K288" s="159"/>
      <c r="M288" s="158"/>
      <c r="N288" s="160"/>
      <c r="O288" s="159"/>
      <c r="P288" s="158"/>
      <c r="Q288" s="160"/>
      <c r="R288" s="159"/>
    </row>
    <row r="289" spans="1:18">
      <c r="A289" s="158"/>
      <c r="B289" s="160"/>
      <c r="C289" s="159"/>
      <c r="E289" s="158"/>
      <c r="F289" s="160"/>
      <c r="G289" s="159"/>
      <c r="I289" s="158"/>
      <c r="J289" s="91"/>
      <c r="K289" s="90"/>
      <c r="M289" s="158"/>
      <c r="N289" s="160"/>
      <c r="O289" s="159"/>
      <c r="P289" s="158"/>
      <c r="Q289" s="160"/>
      <c r="R289" s="159"/>
    </row>
    <row r="290" spans="1:18">
      <c r="A290" s="158"/>
      <c r="B290" s="160"/>
      <c r="C290" s="159"/>
      <c r="E290" s="158"/>
      <c r="F290" s="160"/>
      <c r="G290" s="159"/>
      <c r="I290" s="158"/>
      <c r="J290" s="91"/>
      <c r="K290" s="90"/>
      <c r="M290" s="158"/>
      <c r="N290" s="160"/>
      <c r="O290" s="159"/>
      <c r="P290" s="158"/>
      <c r="Q290" s="160"/>
      <c r="R290" s="159"/>
    </row>
    <row r="291" spans="1:18">
      <c r="A291" s="158"/>
      <c r="B291" s="160"/>
      <c r="C291" s="159"/>
      <c r="E291" s="158"/>
      <c r="F291" s="160"/>
      <c r="G291" s="159"/>
      <c r="I291" s="158"/>
      <c r="J291" s="91"/>
      <c r="K291" s="90"/>
      <c r="M291" s="158"/>
      <c r="N291" s="160"/>
      <c r="O291" s="159"/>
      <c r="P291" s="158"/>
      <c r="Q291" s="160"/>
      <c r="R291" s="159"/>
    </row>
    <row r="292" spans="1:18">
      <c r="A292" s="135"/>
      <c r="B292" s="136"/>
      <c r="C292" s="137"/>
      <c r="E292" s="135"/>
      <c r="F292" s="136"/>
      <c r="G292" s="137"/>
      <c r="I292" s="158"/>
      <c r="J292" s="160"/>
      <c r="K292" s="159"/>
      <c r="M292" s="158"/>
      <c r="N292" s="160"/>
      <c r="O292" s="159"/>
      <c r="P292" s="135"/>
      <c r="Q292" s="136"/>
      <c r="R292" s="137"/>
    </row>
    <row r="293" spans="1:18">
      <c r="A293" s="135"/>
      <c r="B293" s="136"/>
      <c r="C293" s="137"/>
      <c r="E293" s="135"/>
      <c r="F293" s="136"/>
      <c r="G293" s="137"/>
      <c r="I293" s="135"/>
      <c r="J293" s="136"/>
      <c r="K293" s="137"/>
      <c r="M293" s="158"/>
      <c r="N293" s="160"/>
      <c r="O293" s="159"/>
      <c r="P293" s="135"/>
      <c r="Q293" s="136"/>
      <c r="R293" s="137"/>
    </row>
    <row r="294" spans="1:18">
      <c r="A294" s="173"/>
      <c r="B294" s="174"/>
      <c r="C294" s="175"/>
      <c r="E294" s="173"/>
      <c r="F294" s="174"/>
      <c r="G294" s="175"/>
      <c r="I294" s="173"/>
      <c r="J294" s="174"/>
      <c r="K294" s="175"/>
      <c r="M294" s="173"/>
      <c r="N294" s="174"/>
      <c r="O294" s="175"/>
      <c r="P294" s="173"/>
      <c r="Q294" s="174"/>
      <c r="R294" s="175"/>
    </row>
    <row r="295" spans="1:18">
      <c r="A295" s="158"/>
      <c r="B295" s="160"/>
      <c r="C295" s="159"/>
      <c r="E295" s="158"/>
      <c r="F295" s="160"/>
      <c r="G295" s="159"/>
      <c r="I295" s="158"/>
      <c r="J295" s="160"/>
      <c r="K295" s="159"/>
      <c r="M295" s="158"/>
      <c r="N295" s="160"/>
      <c r="O295" s="159"/>
      <c r="P295" s="158"/>
      <c r="Q295" s="160"/>
      <c r="R295" s="159"/>
    </row>
    <row r="296" spans="1:18">
      <c r="A296" s="158"/>
      <c r="B296" s="160"/>
      <c r="C296" s="159"/>
      <c r="E296" s="158"/>
      <c r="F296" s="160"/>
      <c r="G296" s="159"/>
      <c r="I296" s="158"/>
      <c r="J296" s="160"/>
      <c r="K296" s="159"/>
      <c r="M296" s="158"/>
      <c r="N296" s="160"/>
      <c r="O296" s="159"/>
      <c r="P296" s="158"/>
      <c r="Q296" s="160"/>
      <c r="R296" s="159"/>
    </row>
    <row r="297" spans="1:18">
      <c r="A297" s="158"/>
      <c r="B297" s="160"/>
      <c r="C297" s="159"/>
      <c r="E297" s="158"/>
      <c r="F297" s="160"/>
      <c r="G297" s="159"/>
      <c r="I297" s="158"/>
      <c r="J297" s="160"/>
      <c r="K297" s="159"/>
      <c r="M297" s="158"/>
      <c r="N297" s="160"/>
      <c r="O297" s="159"/>
      <c r="P297" s="158"/>
      <c r="Q297" s="160"/>
      <c r="R297" s="159"/>
    </row>
    <row r="298" spans="1:18">
      <c r="A298" s="173"/>
      <c r="B298" s="174"/>
      <c r="C298" s="175"/>
      <c r="E298" s="158"/>
      <c r="F298" s="160"/>
      <c r="G298" s="159"/>
      <c r="I298" s="158"/>
      <c r="J298" s="160"/>
      <c r="K298" s="159"/>
      <c r="M298" s="158"/>
      <c r="N298" s="160"/>
      <c r="O298" s="159"/>
      <c r="P298" s="173"/>
      <c r="Q298" s="174"/>
      <c r="R298" s="175"/>
    </row>
    <row r="299" spans="1:18">
      <c r="A299" s="158"/>
      <c r="B299" s="160"/>
      <c r="C299" s="159"/>
      <c r="E299" s="158"/>
      <c r="F299" s="160"/>
      <c r="G299" s="159"/>
      <c r="I299" s="158"/>
      <c r="J299" s="160"/>
      <c r="K299" s="159"/>
      <c r="M299" s="158"/>
      <c r="N299" s="160"/>
      <c r="O299" s="159"/>
      <c r="P299" s="158"/>
      <c r="Q299" s="160"/>
      <c r="R299" s="159"/>
    </row>
    <row r="300" spans="1:18">
      <c r="A300" s="158"/>
      <c r="B300" s="160"/>
      <c r="C300" s="159"/>
      <c r="E300" s="158"/>
      <c r="F300" s="160"/>
      <c r="G300" s="159"/>
      <c r="I300" s="158"/>
      <c r="J300" s="160"/>
      <c r="K300" s="159"/>
      <c r="M300" s="158"/>
      <c r="N300" s="160"/>
      <c r="O300" s="159"/>
      <c r="P300" s="158"/>
      <c r="Q300" s="160"/>
      <c r="R300" s="159"/>
    </row>
    <row r="301" spans="1:18">
      <c r="A301" s="158"/>
      <c r="B301" s="160"/>
      <c r="C301" s="159"/>
      <c r="E301" s="158"/>
      <c r="F301" s="160"/>
      <c r="G301" s="159"/>
      <c r="I301" s="158"/>
      <c r="J301" s="160"/>
      <c r="K301" s="159"/>
      <c r="M301" s="158"/>
      <c r="N301" s="160"/>
      <c r="O301" s="159"/>
      <c r="P301" s="158"/>
      <c r="Q301" s="160"/>
      <c r="R301" s="159"/>
    </row>
    <row r="302" spans="1:18">
      <c r="A302" s="158"/>
      <c r="B302" s="160"/>
      <c r="C302" s="159"/>
      <c r="E302" s="158"/>
      <c r="F302" s="160"/>
      <c r="G302" s="159"/>
      <c r="I302" s="158"/>
      <c r="J302" s="160"/>
      <c r="K302" s="159"/>
      <c r="M302" s="158"/>
      <c r="N302" s="160"/>
      <c r="O302" s="159"/>
      <c r="P302" s="158"/>
      <c r="Q302" s="160"/>
      <c r="R302" s="159"/>
    </row>
    <row r="303" spans="1:18">
      <c r="A303" s="158"/>
      <c r="B303" s="160"/>
      <c r="C303" s="159"/>
      <c r="E303" s="158"/>
      <c r="F303" s="160"/>
      <c r="G303" s="159"/>
      <c r="I303" s="158"/>
      <c r="J303" s="160"/>
      <c r="K303" s="159"/>
      <c r="M303" s="158"/>
      <c r="N303" s="160"/>
      <c r="O303" s="159"/>
      <c r="P303" s="158"/>
      <c r="Q303" s="160"/>
      <c r="R303" s="159"/>
    </row>
    <row r="304" spans="1:18">
      <c r="A304" s="158"/>
      <c r="B304" s="160"/>
      <c r="C304" s="159"/>
      <c r="E304" s="158"/>
      <c r="F304" s="160"/>
      <c r="G304" s="159"/>
      <c r="I304" s="158"/>
      <c r="J304" s="160"/>
      <c r="K304" s="159"/>
      <c r="M304" s="158"/>
      <c r="N304" s="160"/>
      <c r="O304" s="159"/>
      <c r="P304" s="158"/>
      <c r="Q304" s="160"/>
      <c r="R304" s="159"/>
    </row>
    <row r="305" spans="1:18">
      <c r="A305" s="158"/>
      <c r="B305" s="160"/>
      <c r="C305" s="159"/>
      <c r="E305" s="158"/>
      <c r="F305" s="160"/>
      <c r="G305" s="159"/>
      <c r="I305" s="158"/>
      <c r="J305" s="160"/>
      <c r="K305" s="159"/>
      <c r="M305" s="158"/>
      <c r="N305" s="160"/>
      <c r="O305" s="159"/>
      <c r="P305" s="158"/>
      <c r="Q305" s="160"/>
      <c r="R305" s="159"/>
    </row>
    <row r="306" spans="1:18">
      <c r="A306" s="158"/>
      <c r="B306" s="160"/>
      <c r="C306" s="159"/>
      <c r="E306" s="158"/>
      <c r="F306" s="160"/>
      <c r="G306" s="159"/>
      <c r="I306" s="158"/>
      <c r="J306" s="160"/>
      <c r="K306" s="159"/>
      <c r="M306" s="158"/>
      <c r="N306" s="160"/>
      <c r="O306" s="159"/>
      <c r="P306" s="158"/>
      <c r="Q306" s="160"/>
      <c r="R306" s="159"/>
    </row>
    <row r="307" spans="1:18">
      <c r="A307" s="158"/>
      <c r="B307" s="160"/>
      <c r="C307" s="159"/>
      <c r="E307" s="158"/>
      <c r="F307" s="160"/>
      <c r="G307" s="159"/>
      <c r="I307" s="158"/>
      <c r="J307" s="160"/>
      <c r="K307" s="159"/>
      <c r="M307" s="158"/>
      <c r="N307" s="160"/>
      <c r="O307" s="159"/>
      <c r="P307" s="158"/>
      <c r="Q307" s="160"/>
      <c r="R307" s="159"/>
    </row>
    <row r="308" spans="1:18">
      <c r="A308" s="158"/>
      <c r="B308" s="160"/>
      <c r="C308" s="159"/>
      <c r="E308" s="158"/>
      <c r="F308" s="160"/>
      <c r="G308" s="159"/>
      <c r="I308" s="158"/>
      <c r="J308" s="160"/>
      <c r="K308" s="159"/>
      <c r="M308" s="158"/>
      <c r="N308" s="160"/>
      <c r="O308" s="159"/>
      <c r="P308" s="158"/>
      <c r="Q308" s="160"/>
      <c r="R308" s="159"/>
    </row>
    <row r="309" spans="1:18">
      <c r="A309" s="158"/>
      <c r="B309" s="160"/>
      <c r="C309" s="159"/>
      <c r="E309" s="158"/>
      <c r="F309" s="160"/>
      <c r="G309" s="159"/>
      <c r="I309" s="158"/>
      <c r="J309" s="160"/>
      <c r="K309" s="159"/>
      <c r="M309" s="158"/>
      <c r="N309" s="160"/>
      <c r="O309" s="159"/>
      <c r="P309" s="158"/>
      <c r="Q309" s="160"/>
      <c r="R309" s="159"/>
    </row>
    <row r="310" spans="1:18">
      <c r="A310" s="158"/>
      <c r="B310" s="160"/>
      <c r="C310" s="159"/>
      <c r="E310" s="158"/>
      <c r="F310" s="160"/>
      <c r="G310" s="159"/>
      <c r="I310" s="158"/>
      <c r="J310" s="160"/>
      <c r="K310" s="159"/>
      <c r="M310" s="158"/>
      <c r="N310" s="160"/>
      <c r="O310" s="159"/>
      <c r="P310" s="158"/>
      <c r="Q310" s="160"/>
      <c r="R310" s="159"/>
    </row>
    <row r="311" spans="1:18">
      <c r="A311" s="158"/>
      <c r="B311" s="160"/>
      <c r="C311" s="159"/>
      <c r="E311" s="158"/>
      <c r="F311" s="160"/>
      <c r="G311" s="159"/>
      <c r="I311" s="158"/>
      <c r="J311" s="160"/>
      <c r="K311" s="159"/>
      <c r="M311" s="158"/>
      <c r="N311" s="160"/>
      <c r="O311" s="159"/>
      <c r="P311" s="158"/>
      <c r="Q311" s="160"/>
      <c r="R311" s="159"/>
    </row>
    <row r="312" spans="1:18">
      <c r="A312" s="158"/>
      <c r="B312" s="160"/>
      <c r="C312" s="159"/>
      <c r="E312" s="158"/>
      <c r="F312" s="160"/>
      <c r="G312" s="159"/>
      <c r="I312" s="158"/>
      <c r="J312" s="160"/>
      <c r="K312" s="159"/>
      <c r="M312" s="158"/>
      <c r="N312" s="160"/>
      <c r="O312" s="159"/>
      <c r="P312" s="158"/>
      <c r="Q312" s="160"/>
      <c r="R312" s="159"/>
    </row>
    <row r="313" spans="1:18">
      <c r="A313" s="158"/>
      <c r="B313" s="160"/>
      <c r="C313" s="159"/>
      <c r="E313" s="158"/>
      <c r="F313" s="160"/>
      <c r="G313" s="159"/>
      <c r="I313" s="158"/>
      <c r="J313" s="160"/>
      <c r="K313" s="161"/>
      <c r="M313" s="158"/>
      <c r="N313" s="160"/>
      <c r="O313" s="159"/>
      <c r="P313" s="158"/>
      <c r="Q313" s="160"/>
      <c r="R313" s="159"/>
    </row>
    <row r="314" spans="1:18">
      <c r="A314" s="158"/>
      <c r="B314" s="160"/>
      <c r="C314" s="159"/>
      <c r="E314" s="158"/>
      <c r="F314" s="160"/>
      <c r="G314" s="159"/>
      <c r="I314" s="158"/>
      <c r="J314" s="160"/>
      <c r="K314" s="161"/>
      <c r="M314" s="158"/>
      <c r="N314" s="160"/>
      <c r="O314" s="159"/>
      <c r="P314" s="158"/>
      <c r="Q314" s="160"/>
      <c r="R314" s="159"/>
    </row>
    <row r="315" spans="1:18">
      <c r="A315" s="158"/>
      <c r="B315" s="160"/>
      <c r="C315" s="159"/>
      <c r="E315" s="158"/>
      <c r="F315" s="160"/>
      <c r="G315" s="159"/>
      <c r="I315" s="158"/>
      <c r="J315" s="160"/>
      <c r="K315" s="161"/>
      <c r="M315" s="158"/>
      <c r="N315" s="160"/>
      <c r="O315" s="159"/>
      <c r="P315" s="158"/>
      <c r="Q315" s="160"/>
      <c r="R315" s="159"/>
    </row>
    <row r="316" spans="1:18">
      <c r="A316" s="158"/>
      <c r="B316" s="160"/>
      <c r="C316" s="159"/>
      <c r="E316" s="158"/>
      <c r="F316" s="160"/>
      <c r="G316" s="159"/>
      <c r="I316" s="158"/>
      <c r="J316" s="160"/>
      <c r="K316" s="161"/>
      <c r="M316" s="158"/>
      <c r="N316" s="160"/>
      <c r="O316" s="159"/>
      <c r="P316" s="158"/>
      <c r="Q316" s="160"/>
      <c r="R316" s="159"/>
    </row>
    <row r="317" spans="1:18">
      <c r="A317" s="158"/>
      <c r="B317" s="160"/>
      <c r="C317" s="159"/>
      <c r="E317" s="158"/>
      <c r="F317" s="160"/>
      <c r="G317" s="159"/>
      <c r="I317" s="158"/>
      <c r="J317" s="160"/>
      <c r="K317" s="159"/>
      <c r="M317" s="158"/>
      <c r="N317" s="160"/>
      <c r="O317" s="159"/>
      <c r="P317" s="158"/>
      <c r="Q317" s="160"/>
      <c r="R317" s="159"/>
    </row>
    <row r="318" spans="1:18">
      <c r="A318" s="158"/>
      <c r="B318" s="160"/>
      <c r="C318" s="159"/>
      <c r="E318" s="158"/>
      <c r="F318" s="160"/>
      <c r="G318" s="159"/>
      <c r="I318" s="158"/>
      <c r="J318" s="160"/>
      <c r="K318" s="159"/>
      <c r="M318" s="158"/>
      <c r="N318" s="160"/>
      <c r="O318" s="159"/>
      <c r="P318" s="158"/>
      <c r="Q318" s="160"/>
      <c r="R318" s="159"/>
    </row>
    <row r="319" spans="1:18">
      <c r="A319" s="158"/>
      <c r="B319" s="160"/>
      <c r="C319" s="159"/>
      <c r="E319" s="158"/>
      <c r="F319" s="160"/>
      <c r="G319" s="159"/>
      <c r="I319" s="158"/>
      <c r="J319" s="160"/>
      <c r="K319" s="159"/>
      <c r="L319" s="135"/>
      <c r="M319" s="158"/>
      <c r="N319" s="160"/>
      <c r="O319" s="159"/>
      <c r="P319" s="158"/>
      <c r="Q319" s="160"/>
      <c r="R319" s="159"/>
    </row>
    <row r="320" spans="1:18">
      <c r="A320" s="173"/>
      <c r="B320" s="174"/>
      <c r="C320" s="175"/>
      <c r="E320" s="173"/>
      <c r="F320" s="174"/>
      <c r="G320" s="175"/>
      <c r="I320" s="173"/>
      <c r="J320" s="174"/>
      <c r="K320" s="175"/>
      <c r="L320" s="135"/>
      <c r="M320" s="173"/>
      <c r="N320" s="174"/>
      <c r="O320" s="175"/>
      <c r="P320" s="173"/>
      <c r="Q320" s="174"/>
      <c r="R320" s="175"/>
    </row>
    <row r="321" spans="1:18">
      <c r="A321" s="158"/>
      <c r="B321" s="160"/>
      <c r="C321" s="159"/>
      <c r="E321" s="158"/>
      <c r="F321" s="160"/>
      <c r="G321" s="159"/>
      <c r="I321" s="158"/>
      <c r="J321" s="160"/>
      <c r="K321" s="159"/>
      <c r="L321" s="135"/>
      <c r="M321" s="158"/>
      <c r="N321" s="160"/>
      <c r="O321" s="159"/>
      <c r="P321" s="158"/>
      <c r="Q321" s="160"/>
      <c r="R321" s="159"/>
    </row>
    <row r="322" spans="1:18">
      <c r="A322" s="158"/>
      <c r="B322" s="160"/>
      <c r="C322" s="159"/>
      <c r="E322" s="158"/>
      <c r="F322" s="160"/>
      <c r="G322" s="159"/>
      <c r="I322" s="158"/>
      <c r="J322" s="160"/>
      <c r="K322" s="159"/>
      <c r="M322" s="158"/>
      <c r="N322" s="160"/>
      <c r="O322" s="159"/>
      <c r="P322" s="158"/>
      <c r="Q322" s="160"/>
      <c r="R322" s="159"/>
    </row>
    <row r="323" spans="1:18">
      <c r="A323" s="158"/>
      <c r="B323" s="160"/>
      <c r="C323" s="159"/>
      <c r="E323" s="158"/>
      <c r="F323" s="160"/>
      <c r="G323" s="159"/>
      <c r="I323" s="158"/>
      <c r="J323" s="160"/>
      <c r="K323" s="159"/>
      <c r="M323" s="158"/>
      <c r="N323" s="160"/>
      <c r="O323" s="159"/>
      <c r="P323" s="158"/>
      <c r="Q323" s="160"/>
      <c r="R323" s="159"/>
    </row>
    <row r="324" spans="1:18">
      <c r="A324" s="158"/>
      <c r="B324" s="160"/>
      <c r="C324" s="159"/>
      <c r="E324" s="158"/>
      <c r="F324" s="160"/>
      <c r="G324" s="159"/>
      <c r="I324" s="158"/>
      <c r="J324" s="160"/>
      <c r="K324" s="159"/>
      <c r="M324" s="158"/>
      <c r="N324" s="160"/>
      <c r="O324" s="159"/>
      <c r="P324" s="158"/>
      <c r="Q324" s="160"/>
      <c r="R324" s="159"/>
    </row>
    <row r="325" spans="1:18">
      <c r="A325" s="158"/>
      <c r="B325" s="160"/>
      <c r="C325" s="159"/>
      <c r="E325" s="158"/>
      <c r="F325" s="160"/>
      <c r="G325" s="159"/>
      <c r="I325" s="158"/>
      <c r="J325" s="160"/>
      <c r="K325" s="159"/>
      <c r="M325" s="158"/>
      <c r="N325" s="160"/>
      <c r="O325" s="159"/>
      <c r="P325" s="158"/>
      <c r="Q325" s="160"/>
      <c r="R325" s="159"/>
    </row>
    <row r="326" spans="1:18">
      <c r="A326" s="158"/>
      <c r="B326" s="160"/>
      <c r="C326" s="159"/>
      <c r="E326" s="158"/>
      <c r="F326" s="160"/>
      <c r="G326" s="159"/>
      <c r="I326" s="158"/>
      <c r="J326" s="160"/>
      <c r="K326" s="159"/>
      <c r="M326" s="158"/>
      <c r="N326" s="160"/>
      <c r="O326" s="159"/>
      <c r="P326" s="158"/>
      <c r="Q326" s="160"/>
      <c r="R326" s="159"/>
    </row>
    <row r="327" spans="1:18">
      <c r="A327" s="158"/>
      <c r="B327" s="160"/>
      <c r="C327" s="159"/>
      <c r="E327" s="158"/>
      <c r="F327" s="160"/>
      <c r="G327" s="159"/>
      <c r="I327" s="158"/>
      <c r="J327" s="160"/>
      <c r="K327" s="159"/>
      <c r="M327" s="158"/>
      <c r="N327" s="160"/>
      <c r="O327" s="159"/>
      <c r="P327" s="158"/>
      <c r="Q327" s="160"/>
      <c r="R327" s="159"/>
    </row>
    <row r="328" spans="1:18">
      <c r="A328" s="158"/>
      <c r="B328" s="160"/>
      <c r="C328" s="159"/>
      <c r="E328" s="158"/>
      <c r="F328" s="160"/>
      <c r="G328" s="159"/>
      <c r="I328" s="158"/>
      <c r="J328" s="160"/>
      <c r="K328" s="159"/>
      <c r="M328" s="158"/>
      <c r="N328" s="160"/>
      <c r="O328" s="159"/>
      <c r="P328" s="158"/>
      <c r="Q328" s="160"/>
      <c r="R328" s="159"/>
    </row>
    <row r="329" spans="1:18">
      <c r="A329" s="158"/>
      <c r="B329" s="160"/>
      <c r="C329" s="159"/>
      <c r="E329" s="158"/>
      <c r="F329" s="160"/>
      <c r="G329" s="159"/>
      <c r="I329" s="158"/>
      <c r="J329" s="160"/>
      <c r="K329" s="159"/>
      <c r="M329" s="158"/>
      <c r="N329" s="160"/>
      <c r="O329" s="159"/>
      <c r="P329" s="158"/>
      <c r="Q329" s="160"/>
      <c r="R329" s="159"/>
    </row>
    <row r="330" spans="1:18">
      <c r="A330" s="158"/>
      <c r="B330" s="160"/>
      <c r="C330" s="159"/>
      <c r="E330" s="158"/>
      <c r="F330" s="160"/>
      <c r="G330" s="159"/>
      <c r="I330" s="158"/>
      <c r="J330" s="160"/>
      <c r="K330" s="159"/>
      <c r="M330" s="158"/>
      <c r="N330" s="160"/>
      <c r="O330" s="159"/>
      <c r="P330" s="158"/>
      <c r="Q330" s="160"/>
      <c r="R330" s="159"/>
    </row>
    <row r="331" spans="1:18">
      <c r="A331" s="158"/>
      <c r="B331" s="160"/>
      <c r="C331" s="159"/>
      <c r="E331" s="158"/>
      <c r="F331" s="160"/>
      <c r="G331" s="159"/>
      <c r="I331" s="158"/>
      <c r="J331" s="160"/>
      <c r="K331" s="159"/>
      <c r="M331" s="158"/>
      <c r="N331" s="160"/>
      <c r="O331" s="159"/>
      <c r="P331" s="158"/>
      <c r="Q331" s="160"/>
      <c r="R331" s="159"/>
    </row>
    <row r="332" spans="1:18">
      <c r="A332" s="158"/>
      <c r="B332" s="160"/>
      <c r="C332" s="159"/>
      <c r="E332" s="158"/>
      <c r="F332" s="160"/>
      <c r="G332" s="159"/>
      <c r="I332" s="158"/>
      <c r="J332" s="160"/>
      <c r="K332" s="159"/>
      <c r="M332" s="158"/>
      <c r="N332" s="160"/>
      <c r="O332" s="159"/>
      <c r="P332" s="158"/>
      <c r="Q332" s="160"/>
      <c r="R332" s="159"/>
    </row>
    <row r="333" spans="1:18">
      <c r="A333" s="158"/>
      <c r="B333" s="160"/>
      <c r="C333" s="159"/>
      <c r="E333" s="158"/>
      <c r="F333" s="160"/>
      <c r="G333" s="159"/>
      <c r="I333" s="158"/>
      <c r="J333" s="160"/>
      <c r="K333" s="159"/>
      <c r="M333" s="158"/>
      <c r="N333" s="160"/>
      <c r="O333" s="159"/>
      <c r="P333" s="158"/>
      <c r="Q333" s="160"/>
      <c r="R333" s="159"/>
    </row>
    <row r="334" spans="1:18">
      <c r="A334" s="158"/>
      <c r="B334" s="160"/>
      <c r="C334" s="159"/>
      <c r="E334" s="158"/>
      <c r="F334" s="160"/>
      <c r="G334" s="159"/>
      <c r="I334" s="158"/>
      <c r="J334" s="160"/>
      <c r="K334" s="159"/>
      <c r="M334" s="158"/>
      <c r="N334" s="160"/>
      <c r="O334" s="159"/>
      <c r="P334" s="158"/>
      <c r="Q334" s="160"/>
      <c r="R334" s="159"/>
    </row>
    <row r="335" spans="1:18">
      <c r="A335" s="158"/>
      <c r="B335" s="160"/>
      <c r="C335" s="159"/>
      <c r="E335" s="158"/>
      <c r="F335" s="160"/>
      <c r="G335" s="159"/>
      <c r="I335" s="158"/>
      <c r="J335" s="160"/>
      <c r="K335" s="159"/>
      <c r="M335" s="158"/>
      <c r="N335" s="160"/>
      <c r="O335" s="159"/>
      <c r="P335" s="158"/>
      <c r="Q335" s="160"/>
      <c r="R335" s="159"/>
    </row>
    <row r="336" spans="1:18">
      <c r="A336" s="158"/>
      <c r="B336" s="160"/>
      <c r="C336" s="159"/>
      <c r="E336" s="158"/>
      <c r="F336" s="160"/>
      <c r="G336" s="159"/>
      <c r="I336" s="158"/>
      <c r="J336" s="160"/>
      <c r="K336" s="159"/>
      <c r="M336" s="158"/>
      <c r="N336" s="160"/>
      <c r="O336" s="159"/>
      <c r="P336" s="158"/>
      <c r="Q336" s="160"/>
      <c r="R336" s="159"/>
    </row>
    <row r="337" spans="1:18">
      <c r="A337" s="158"/>
      <c r="B337" s="160"/>
      <c r="C337" s="159"/>
      <c r="E337" s="158"/>
      <c r="F337" s="160"/>
      <c r="G337" s="159"/>
      <c r="I337" s="158"/>
      <c r="J337" s="160"/>
      <c r="K337" s="159"/>
      <c r="M337" s="158"/>
      <c r="N337" s="160"/>
      <c r="O337" s="159"/>
      <c r="P337" s="158"/>
      <c r="Q337" s="160"/>
      <c r="R337" s="159"/>
    </row>
    <row r="338" spans="1:18">
      <c r="A338" s="158"/>
      <c r="B338" s="160"/>
      <c r="C338" s="159"/>
      <c r="E338" s="158"/>
      <c r="F338" s="160"/>
      <c r="G338" s="159"/>
      <c r="I338" s="158"/>
      <c r="J338" s="160"/>
      <c r="K338" s="159"/>
      <c r="M338" s="158"/>
      <c r="N338" s="160"/>
      <c r="O338" s="159"/>
      <c r="P338" s="158"/>
      <c r="Q338" s="160"/>
      <c r="R338" s="159"/>
    </row>
    <row r="339" spans="1:18">
      <c r="A339" s="158"/>
      <c r="B339" s="160"/>
      <c r="C339" s="159"/>
      <c r="E339" s="158"/>
      <c r="F339" s="160"/>
      <c r="G339" s="159"/>
      <c r="I339" s="158"/>
      <c r="J339" s="91"/>
      <c r="K339" s="161"/>
      <c r="M339" s="158"/>
      <c r="N339" s="160"/>
      <c r="O339" s="159"/>
      <c r="P339" s="158"/>
      <c r="Q339" s="160"/>
      <c r="R339" s="159"/>
    </row>
    <row r="340" spans="1:18">
      <c r="A340" s="158"/>
      <c r="B340" s="160"/>
      <c r="C340" s="159"/>
      <c r="E340" s="158"/>
      <c r="F340" s="160"/>
      <c r="G340" s="159"/>
      <c r="I340" s="158"/>
      <c r="J340" s="91"/>
      <c r="K340" s="161"/>
      <c r="M340" s="158"/>
      <c r="N340" s="160"/>
      <c r="O340" s="159"/>
      <c r="P340" s="158"/>
      <c r="Q340" s="160"/>
      <c r="R340" s="159"/>
    </row>
    <row r="341" spans="1:18">
      <c r="A341" s="158"/>
      <c r="B341" s="160"/>
      <c r="C341" s="159"/>
      <c r="E341" s="158"/>
      <c r="F341" s="160"/>
      <c r="G341" s="159"/>
      <c r="I341" s="158"/>
      <c r="J341" s="91"/>
      <c r="K341" s="161"/>
      <c r="M341" s="158"/>
      <c r="N341" s="160"/>
      <c r="O341" s="159"/>
      <c r="P341" s="158"/>
      <c r="Q341" s="160"/>
      <c r="R341" s="159"/>
    </row>
    <row r="342" spans="1:18">
      <c r="A342" s="158"/>
      <c r="B342" s="160"/>
      <c r="C342" s="159"/>
      <c r="E342" s="158"/>
      <c r="F342" s="160"/>
      <c r="G342" s="159"/>
      <c r="I342" s="158"/>
      <c r="J342" s="160"/>
      <c r="K342" s="159"/>
      <c r="M342" s="158"/>
      <c r="N342" s="160"/>
      <c r="O342" s="159"/>
      <c r="P342" s="158"/>
      <c r="Q342" s="160"/>
      <c r="R342" s="159"/>
    </row>
    <row r="343" spans="1:18">
      <c r="A343" s="158"/>
      <c r="B343" s="160"/>
      <c r="C343" s="159"/>
      <c r="E343" s="158"/>
      <c r="F343" s="160"/>
      <c r="G343" s="159"/>
      <c r="I343" s="158"/>
      <c r="J343" s="160"/>
      <c r="K343" s="159"/>
      <c r="M343" s="158"/>
      <c r="N343" s="160"/>
      <c r="O343" s="159"/>
      <c r="P343" s="158"/>
      <c r="Q343" s="160"/>
      <c r="R343" s="159"/>
    </row>
    <row r="344" spans="1:18">
      <c r="A344" s="158"/>
      <c r="B344" s="160"/>
      <c r="C344" s="159"/>
      <c r="E344" s="158"/>
      <c r="F344" s="160"/>
      <c r="G344" s="159"/>
      <c r="I344" s="158"/>
      <c r="J344" s="160"/>
      <c r="K344" s="159"/>
      <c r="M344" s="158"/>
      <c r="N344" s="160"/>
      <c r="O344" s="159"/>
      <c r="P344" s="158"/>
      <c r="Q344" s="160"/>
      <c r="R344" s="159"/>
    </row>
    <row r="345" spans="1:18">
      <c r="A345" s="158"/>
      <c r="B345" s="160"/>
      <c r="C345" s="159"/>
      <c r="E345" s="158"/>
      <c r="F345" s="160"/>
      <c r="G345" s="159"/>
      <c r="I345" s="158"/>
      <c r="J345" s="160"/>
      <c r="K345" s="159"/>
      <c r="M345" s="158"/>
      <c r="N345" s="160"/>
      <c r="O345" s="159"/>
      <c r="P345" s="158"/>
      <c r="Q345" s="160"/>
      <c r="R345" s="159"/>
    </row>
    <row r="346" spans="1:18">
      <c r="A346" s="158"/>
      <c r="B346" s="160"/>
      <c r="C346" s="159"/>
      <c r="E346" s="158"/>
      <c r="F346" s="160"/>
      <c r="G346" s="159"/>
      <c r="I346" s="158"/>
      <c r="J346" s="160"/>
      <c r="K346" s="159"/>
      <c r="M346" s="158"/>
      <c r="N346" s="160"/>
      <c r="O346" s="159"/>
      <c r="P346" s="158"/>
      <c r="Q346" s="160"/>
      <c r="R346" s="159"/>
    </row>
    <row r="347" spans="1:18">
      <c r="A347" s="158"/>
      <c r="B347" s="160"/>
      <c r="C347" s="159"/>
      <c r="E347" s="158"/>
      <c r="F347" s="160"/>
      <c r="G347" s="159"/>
      <c r="I347" s="158"/>
      <c r="J347" s="160"/>
      <c r="K347" s="159"/>
      <c r="M347" s="158"/>
      <c r="N347" s="160"/>
      <c r="O347" s="159"/>
      <c r="P347" s="158"/>
      <c r="Q347" s="160"/>
      <c r="R347" s="159"/>
    </row>
    <row r="348" spans="1:18">
      <c r="A348" s="173"/>
      <c r="B348" s="174"/>
      <c r="C348" s="175"/>
      <c r="E348" s="173"/>
      <c r="F348" s="174"/>
      <c r="G348" s="175"/>
      <c r="I348" s="173"/>
      <c r="J348" s="174"/>
      <c r="K348" s="175"/>
      <c r="M348" s="173"/>
      <c r="N348" s="174"/>
      <c r="O348" s="175"/>
      <c r="P348" s="173"/>
      <c r="Q348" s="174"/>
      <c r="R348" s="175"/>
    </row>
    <row r="349" spans="1:18">
      <c r="A349" s="158"/>
      <c r="B349" s="160"/>
      <c r="C349" s="159"/>
      <c r="E349" s="158"/>
      <c r="F349" s="160"/>
      <c r="G349" s="159"/>
      <c r="I349" s="158"/>
      <c r="J349" s="160"/>
      <c r="K349" s="159"/>
      <c r="M349" s="158"/>
      <c r="N349" s="160"/>
      <c r="O349" s="159"/>
      <c r="P349" s="158"/>
      <c r="Q349" s="160"/>
      <c r="R349" s="159"/>
    </row>
    <row r="350" spans="1:18">
      <c r="A350" s="158"/>
      <c r="B350" s="160"/>
      <c r="C350" s="159"/>
      <c r="E350" s="158"/>
      <c r="F350" s="160"/>
      <c r="G350" s="159"/>
      <c r="I350" s="158"/>
      <c r="J350" s="160"/>
      <c r="K350" s="159"/>
      <c r="M350" s="158"/>
      <c r="N350" s="160"/>
      <c r="O350" s="159"/>
      <c r="P350" s="158"/>
      <c r="Q350" s="160"/>
      <c r="R350" s="159"/>
    </row>
    <row r="351" spans="1:18">
      <c r="A351" s="158"/>
      <c r="B351" s="160"/>
      <c r="C351" s="159"/>
      <c r="E351" s="158"/>
      <c r="F351" s="160"/>
      <c r="G351" s="159"/>
      <c r="I351" s="158"/>
      <c r="J351" s="160"/>
      <c r="K351" s="159"/>
      <c r="M351" s="158"/>
      <c r="N351" s="160"/>
      <c r="O351" s="159"/>
      <c r="P351" s="158"/>
      <c r="Q351" s="160"/>
      <c r="R351" s="159"/>
    </row>
    <row r="352" spans="1:18">
      <c r="A352" s="158"/>
      <c r="B352" s="160"/>
      <c r="C352" s="159"/>
      <c r="E352" s="158"/>
      <c r="F352" s="160"/>
      <c r="G352" s="159"/>
      <c r="I352" s="158"/>
      <c r="J352" s="160"/>
      <c r="K352" s="159"/>
      <c r="M352" s="158"/>
      <c r="N352" s="160"/>
      <c r="O352" s="159"/>
      <c r="P352" s="158"/>
      <c r="Q352" s="160"/>
      <c r="R352" s="159"/>
    </row>
    <row r="353" spans="1:18">
      <c r="A353" s="158"/>
      <c r="B353" s="160"/>
      <c r="C353" s="159"/>
      <c r="E353" s="158"/>
      <c r="F353" s="160"/>
      <c r="G353" s="159"/>
      <c r="I353" s="158"/>
      <c r="J353" s="160"/>
      <c r="K353" s="159"/>
      <c r="M353" s="158"/>
      <c r="N353" s="160"/>
      <c r="O353" s="159"/>
      <c r="P353" s="158"/>
      <c r="Q353" s="160"/>
      <c r="R353" s="159"/>
    </row>
    <row r="354" spans="1:18">
      <c r="A354" s="158"/>
      <c r="B354" s="160"/>
      <c r="C354" s="159"/>
      <c r="E354" s="158"/>
      <c r="F354" s="160"/>
      <c r="G354" s="159"/>
      <c r="I354" s="158"/>
      <c r="J354" s="160"/>
      <c r="K354" s="159"/>
      <c r="M354" s="158"/>
      <c r="N354" s="160"/>
      <c r="O354" s="159"/>
      <c r="P354" s="158"/>
      <c r="Q354" s="160"/>
      <c r="R354" s="159"/>
    </row>
    <row r="355" spans="1:18">
      <c r="A355" s="158"/>
      <c r="B355" s="160"/>
      <c r="C355" s="159"/>
      <c r="E355" s="158"/>
      <c r="F355" s="160"/>
      <c r="G355" s="159"/>
      <c r="I355" s="158"/>
      <c r="J355" s="160"/>
      <c r="K355" s="159"/>
      <c r="M355" s="158"/>
      <c r="N355" s="160"/>
      <c r="O355" s="159"/>
      <c r="P355" s="158"/>
      <c r="Q355" s="160"/>
      <c r="R355" s="159"/>
    </row>
    <row r="356" spans="1:18">
      <c r="A356" s="158"/>
      <c r="B356" s="160"/>
      <c r="C356" s="159"/>
      <c r="E356" s="158"/>
      <c r="F356" s="160"/>
      <c r="G356" s="159"/>
      <c r="I356" s="158"/>
      <c r="J356" s="160"/>
      <c r="K356" s="159"/>
      <c r="M356" s="158"/>
      <c r="N356" s="160"/>
      <c r="O356" s="159"/>
      <c r="P356" s="158"/>
      <c r="Q356" s="160"/>
      <c r="R356" s="159"/>
    </row>
    <row r="357" spans="1:18">
      <c r="A357" s="158"/>
      <c r="B357" s="160"/>
      <c r="C357" s="159"/>
      <c r="E357" s="158"/>
      <c r="F357" s="160"/>
      <c r="G357" s="159"/>
      <c r="I357" s="158"/>
      <c r="J357" s="160"/>
      <c r="K357" s="159"/>
      <c r="M357" s="158"/>
      <c r="N357" s="160"/>
      <c r="O357" s="159"/>
      <c r="P357" s="158"/>
      <c r="Q357" s="160"/>
      <c r="R357" s="159"/>
    </row>
    <row r="358" spans="1:18">
      <c r="A358" s="158"/>
      <c r="B358" s="160"/>
      <c r="C358" s="159"/>
      <c r="E358" s="158"/>
      <c r="F358" s="160"/>
      <c r="G358" s="159"/>
      <c r="I358" s="158"/>
      <c r="J358" s="160"/>
      <c r="K358" s="159"/>
      <c r="M358" s="158"/>
      <c r="N358" s="160"/>
      <c r="O358" s="159"/>
      <c r="P358" s="158"/>
      <c r="Q358" s="160"/>
      <c r="R358" s="159"/>
    </row>
    <row r="359" spans="1:18">
      <c r="A359" s="158"/>
      <c r="B359" s="160"/>
      <c r="C359" s="159"/>
      <c r="E359" s="158"/>
      <c r="F359" s="160"/>
      <c r="G359" s="159"/>
      <c r="I359" s="158"/>
      <c r="J359" s="160"/>
      <c r="K359" s="159"/>
      <c r="M359" s="158"/>
      <c r="N359" s="160"/>
      <c r="O359" s="159"/>
      <c r="P359" s="158"/>
      <c r="Q359" s="160"/>
      <c r="R359" s="159"/>
    </row>
    <row r="360" spans="1:18">
      <c r="A360" s="158"/>
      <c r="B360" s="160"/>
      <c r="C360" s="159"/>
      <c r="E360" s="158"/>
      <c r="F360" s="160"/>
      <c r="G360" s="159"/>
      <c r="I360" s="158"/>
      <c r="J360" s="160"/>
      <c r="K360" s="159"/>
      <c r="M360" s="158"/>
      <c r="N360" s="160"/>
      <c r="O360" s="159"/>
      <c r="P360" s="158"/>
      <c r="Q360" s="160"/>
      <c r="R360" s="159"/>
    </row>
    <row r="361" spans="1:18">
      <c r="A361" s="158"/>
      <c r="B361" s="160"/>
      <c r="C361" s="159"/>
      <c r="E361" s="158"/>
      <c r="F361" s="160"/>
      <c r="G361" s="159"/>
      <c r="I361" s="158"/>
      <c r="J361" s="160"/>
      <c r="K361" s="159"/>
      <c r="M361" s="158"/>
      <c r="N361" s="160"/>
      <c r="O361" s="159"/>
      <c r="P361" s="158"/>
      <c r="Q361" s="160"/>
      <c r="R361" s="159"/>
    </row>
    <row r="362" spans="1:18">
      <c r="A362" s="158"/>
      <c r="B362" s="160"/>
      <c r="C362" s="159"/>
      <c r="E362" s="158"/>
      <c r="F362" s="160"/>
      <c r="G362" s="159"/>
      <c r="I362" s="158"/>
      <c r="J362" s="160"/>
      <c r="K362" s="159"/>
      <c r="M362" s="158"/>
      <c r="N362" s="160"/>
      <c r="O362" s="159"/>
      <c r="P362" s="158"/>
      <c r="Q362" s="160"/>
      <c r="R362" s="159"/>
    </row>
    <row r="363" spans="1:18">
      <c r="A363" s="158"/>
      <c r="B363" s="160"/>
      <c r="C363" s="159"/>
      <c r="E363" s="158"/>
      <c r="F363" s="160"/>
      <c r="G363" s="159"/>
      <c r="I363" s="158"/>
      <c r="J363" s="160"/>
      <c r="K363" s="159"/>
      <c r="M363" s="158"/>
      <c r="N363" s="160"/>
      <c r="O363" s="159"/>
      <c r="P363" s="158"/>
      <c r="Q363" s="160"/>
      <c r="R363" s="159"/>
    </row>
    <row r="364" spans="1:18">
      <c r="A364" s="158"/>
      <c r="B364" s="160"/>
      <c r="C364" s="159"/>
      <c r="E364" s="158"/>
      <c r="F364" s="160"/>
      <c r="G364" s="159"/>
      <c r="I364" s="158"/>
      <c r="J364" s="160"/>
      <c r="K364" s="159"/>
      <c r="M364" s="158"/>
      <c r="N364" s="160"/>
      <c r="O364" s="159"/>
      <c r="P364" s="158"/>
      <c r="Q364" s="160"/>
      <c r="R364" s="159"/>
    </row>
    <row r="365" spans="1:18">
      <c r="A365" s="158"/>
      <c r="B365" s="160"/>
      <c r="C365" s="159"/>
      <c r="E365" s="158"/>
      <c r="F365" s="160"/>
      <c r="G365" s="159"/>
      <c r="I365" s="158"/>
      <c r="J365" s="160"/>
      <c r="K365" s="159"/>
      <c r="M365" s="158"/>
      <c r="N365" s="160"/>
      <c r="O365" s="159"/>
      <c r="P365" s="158"/>
      <c r="Q365" s="160"/>
      <c r="R365" s="159"/>
    </row>
    <row r="366" spans="1:18">
      <c r="A366" s="158"/>
      <c r="B366" s="160"/>
      <c r="C366" s="159"/>
      <c r="E366" s="158"/>
      <c r="F366" s="160"/>
      <c r="G366" s="159"/>
      <c r="I366" s="158"/>
      <c r="J366" s="160"/>
      <c r="K366" s="159"/>
      <c r="M366" s="158"/>
      <c r="N366" s="160"/>
      <c r="O366" s="159"/>
      <c r="P366" s="158"/>
      <c r="Q366" s="160"/>
      <c r="R366" s="159"/>
    </row>
    <row r="367" spans="1:18">
      <c r="A367" s="158"/>
      <c r="B367" s="160"/>
      <c r="C367" s="159"/>
      <c r="E367" s="158"/>
      <c r="F367" s="160"/>
      <c r="G367" s="159"/>
      <c r="I367" s="158"/>
      <c r="J367" s="160"/>
      <c r="K367" s="159"/>
      <c r="M367" s="135"/>
      <c r="N367" s="136"/>
      <c r="O367" s="137"/>
      <c r="P367" s="158"/>
      <c r="Q367" s="160"/>
      <c r="R367" s="159"/>
    </row>
    <row r="368" spans="1:18">
      <c r="A368" s="158"/>
      <c r="B368" s="160"/>
      <c r="C368" s="159"/>
      <c r="E368" s="158"/>
      <c r="F368" s="160"/>
      <c r="G368" s="159"/>
      <c r="I368" s="158"/>
      <c r="J368" s="160"/>
      <c r="K368" s="159"/>
      <c r="M368" s="135"/>
      <c r="N368" s="136"/>
      <c r="O368" s="137"/>
      <c r="P368" s="158"/>
      <c r="Q368" s="160"/>
      <c r="R368" s="159"/>
    </row>
    <row r="369" spans="1:18">
      <c r="A369" s="158"/>
      <c r="B369" s="160"/>
      <c r="C369" s="159"/>
      <c r="E369" s="158"/>
      <c r="F369" s="160"/>
      <c r="G369" s="159"/>
      <c r="I369" s="135"/>
      <c r="J369" s="136"/>
      <c r="K369" s="137"/>
      <c r="M369" s="135"/>
      <c r="N369" s="136"/>
      <c r="O369" s="137"/>
      <c r="P369" s="158"/>
      <c r="Q369" s="160"/>
      <c r="R369" s="159"/>
    </row>
    <row r="370" spans="1:18">
      <c r="A370" s="158"/>
      <c r="B370" s="160"/>
      <c r="C370" s="159"/>
      <c r="E370" s="158"/>
      <c r="F370" s="160"/>
      <c r="G370" s="159"/>
      <c r="I370" s="158"/>
      <c r="J370" s="160"/>
      <c r="K370" s="159"/>
      <c r="M370" s="135"/>
      <c r="N370" s="136"/>
      <c r="O370" s="137"/>
      <c r="P370" s="158"/>
      <c r="Q370" s="160"/>
      <c r="R370" s="159"/>
    </row>
    <row r="371" spans="1:18">
      <c r="A371" s="135"/>
      <c r="B371" s="136"/>
      <c r="C371" s="137"/>
      <c r="E371" s="135"/>
      <c r="F371" s="136"/>
      <c r="G371" s="137"/>
      <c r="I371" s="158"/>
      <c r="J371" s="160"/>
      <c r="K371" s="159"/>
      <c r="M371" s="135"/>
      <c r="N371" s="136"/>
      <c r="O371" s="137"/>
      <c r="P371" s="135"/>
      <c r="Q371" s="136"/>
      <c r="R371" s="137"/>
    </row>
    <row r="372" spans="1:18">
      <c r="A372" s="135"/>
      <c r="B372" s="136"/>
      <c r="C372" s="137"/>
      <c r="E372" s="135"/>
      <c r="F372" s="136"/>
      <c r="G372" s="137"/>
      <c r="I372" s="158"/>
      <c r="J372" s="160"/>
      <c r="K372" s="159"/>
      <c r="M372" s="135"/>
      <c r="N372" s="136"/>
      <c r="O372" s="137"/>
      <c r="P372" s="135"/>
      <c r="Q372" s="136"/>
      <c r="R372" s="137"/>
    </row>
    <row r="373" spans="1:18">
      <c r="A373" s="135"/>
      <c r="B373" s="136"/>
      <c r="C373" s="137"/>
      <c r="E373" s="135"/>
      <c r="F373" s="136"/>
      <c r="G373" s="137"/>
      <c r="I373" s="158"/>
      <c r="J373" s="160"/>
      <c r="K373" s="159"/>
      <c r="M373" s="135"/>
      <c r="N373" s="136"/>
      <c r="O373" s="137"/>
      <c r="P373" s="135"/>
      <c r="Q373" s="136"/>
      <c r="R373" s="137"/>
    </row>
    <row r="374" spans="1:18">
      <c r="A374" s="135"/>
      <c r="B374" s="136"/>
      <c r="C374" s="137"/>
      <c r="E374" s="135"/>
      <c r="F374" s="136"/>
      <c r="G374" s="137"/>
      <c r="I374" s="135"/>
      <c r="J374" s="136"/>
      <c r="K374" s="137"/>
      <c r="M374" s="135"/>
      <c r="N374" s="136"/>
      <c r="O374" s="137"/>
      <c r="P374" s="135"/>
      <c r="Q374" s="136"/>
      <c r="R374" s="137"/>
    </row>
    <row r="375" spans="1:18">
      <c r="A375" s="135"/>
      <c r="B375" s="136"/>
      <c r="C375" s="137"/>
      <c r="E375" s="135"/>
      <c r="F375" s="136"/>
      <c r="G375" s="137"/>
      <c r="I375" s="135"/>
      <c r="J375" s="136"/>
      <c r="K375" s="137"/>
      <c r="M375" s="151"/>
      <c r="N375" s="152"/>
      <c r="O375" s="153"/>
      <c r="P375" s="135"/>
      <c r="Q375" s="136"/>
      <c r="R375" s="137"/>
    </row>
    <row r="376" spans="1:18">
      <c r="A376" s="173"/>
      <c r="B376" s="174"/>
      <c r="C376" s="175"/>
      <c r="E376" s="173"/>
      <c r="F376" s="174"/>
      <c r="G376" s="175"/>
      <c r="I376" s="173"/>
      <c r="J376" s="174"/>
      <c r="K376" s="175"/>
      <c r="M376" s="173"/>
      <c r="N376" s="174"/>
      <c r="O376" s="175"/>
      <c r="P376" s="173"/>
      <c r="Q376" s="174"/>
      <c r="R376" s="175"/>
    </row>
    <row r="377" spans="1:18">
      <c r="A377" s="158"/>
      <c r="B377" s="160"/>
      <c r="C377" s="159"/>
      <c r="E377" s="158"/>
      <c r="F377" s="160"/>
      <c r="G377" s="159"/>
      <c r="I377" s="158"/>
      <c r="J377" s="160"/>
      <c r="K377" s="159"/>
      <c r="M377" s="158"/>
      <c r="N377" s="160"/>
      <c r="O377" s="159"/>
      <c r="P377" s="158"/>
      <c r="Q377" s="160"/>
      <c r="R377" s="159"/>
    </row>
    <row r="378" spans="1:18">
      <c r="A378" s="158"/>
      <c r="B378" s="160"/>
      <c r="C378" s="159"/>
      <c r="E378" s="158"/>
      <c r="F378" s="160"/>
      <c r="G378" s="159"/>
      <c r="I378" s="158"/>
      <c r="J378" s="160"/>
      <c r="K378" s="159"/>
      <c r="M378" s="158"/>
      <c r="N378" s="160"/>
      <c r="O378" s="159"/>
      <c r="P378" s="158"/>
      <c r="Q378" s="160"/>
      <c r="R378" s="159"/>
    </row>
    <row r="379" spans="1:18">
      <c r="A379" s="158"/>
      <c r="B379" s="160"/>
      <c r="C379" s="159"/>
      <c r="E379" s="158"/>
      <c r="F379" s="160"/>
      <c r="G379" s="159"/>
      <c r="I379" s="158"/>
      <c r="J379" s="160"/>
      <c r="K379" s="159"/>
      <c r="M379" s="158"/>
      <c r="N379" s="160"/>
      <c r="O379" s="159"/>
      <c r="P379" s="158"/>
      <c r="Q379" s="160"/>
      <c r="R379" s="159"/>
    </row>
    <row r="380" spans="1:18">
      <c r="A380" s="158"/>
      <c r="B380" s="160"/>
      <c r="C380" s="159"/>
      <c r="E380" s="158"/>
      <c r="F380" s="160"/>
      <c r="G380" s="159"/>
      <c r="I380" s="158"/>
      <c r="J380" s="160"/>
      <c r="K380" s="159"/>
      <c r="M380" s="158"/>
      <c r="N380" s="160"/>
      <c r="O380" s="159"/>
      <c r="P380" s="158"/>
      <c r="Q380" s="160"/>
      <c r="R380" s="159"/>
    </row>
    <row r="381" spans="1:18">
      <c r="A381" s="158"/>
      <c r="B381" s="160"/>
      <c r="C381" s="159"/>
      <c r="E381" s="158"/>
      <c r="F381" s="160"/>
      <c r="G381" s="159"/>
      <c r="I381" s="158"/>
      <c r="J381" s="160"/>
      <c r="K381" s="159"/>
      <c r="M381" s="158"/>
      <c r="N381" s="160"/>
      <c r="O381" s="159"/>
      <c r="P381" s="158"/>
      <c r="Q381" s="160"/>
      <c r="R381" s="159"/>
    </row>
    <row r="382" spans="1:18">
      <c r="A382" s="158"/>
      <c r="B382" s="160"/>
      <c r="C382" s="159"/>
      <c r="E382" s="158"/>
      <c r="F382" s="160"/>
      <c r="G382" s="159"/>
      <c r="I382" s="158"/>
      <c r="J382" s="160"/>
      <c r="K382" s="159"/>
      <c r="M382" s="158"/>
      <c r="N382" s="160"/>
      <c r="O382" s="159"/>
      <c r="P382" s="158"/>
      <c r="Q382" s="160"/>
      <c r="R382" s="159"/>
    </row>
    <row r="383" spans="1:18">
      <c r="A383" s="158"/>
      <c r="B383" s="160"/>
      <c r="C383" s="159"/>
      <c r="E383" s="158"/>
      <c r="F383" s="160"/>
      <c r="G383" s="159"/>
      <c r="I383" s="158"/>
      <c r="J383" s="160"/>
      <c r="K383" s="159"/>
      <c r="M383" s="158"/>
      <c r="N383" s="160"/>
      <c r="O383" s="159"/>
      <c r="P383" s="158"/>
      <c r="Q383" s="160"/>
      <c r="R383" s="159"/>
    </row>
    <row r="384" spans="1:18">
      <c r="A384" s="158"/>
      <c r="B384" s="160"/>
      <c r="C384" s="159"/>
      <c r="E384" s="158"/>
      <c r="F384" s="160"/>
      <c r="G384" s="159"/>
      <c r="I384" s="158"/>
      <c r="J384" s="160"/>
      <c r="K384" s="159"/>
      <c r="M384" s="158"/>
      <c r="N384" s="160"/>
      <c r="O384" s="159"/>
      <c r="P384" s="158"/>
      <c r="Q384" s="160"/>
      <c r="R384" s="159"/>
    </row>
    <row r="385" spans="1:18">
      <c r="A385" s="158"/>
      <c r="B385" s="160"/>
      <c r="C385" s="159"/>
      <c r="E385" s="158"/>
      <c r="F385" s="160"/>
      <c r="G385" s="159"/>
      <c r="I385" s="158"/>
      <c r="J385" s="160"/>
      <c r="K385" s="159"/>
      <c r="M385" s="158"/>
      <c r="N385" s="160"/>
      <c r="O385" s="159"/>
      <c r="P385" s="158"/>
      <c r="Q385" s="160"/>
      <c r="R385" s="159"/>
    </row>
    <row r="386" spans="1:18">
      <c r="A386" s="158"/>
      <c r="B386" s="160"/>
      <c r="C386" s="159"/>
      <c r="E386" s="158"/>
      <c r="F386" s="160"/>
      <c r="G386" s="159"/>
      <c r="I386" s="158"/>
      <c r="J386" s="160"/>
      <c r="K386" s="159"/>
      <c r="M386" s="158"/>
      <c r="N386" s="160"/>
      <c r="O386" s="159"/>
      <c r="P386" s="158"/>
      <c r="Q386" s="160"/>
      <c r="R386" s="159"/>
    </row>
    <row r="387" spans="1:18">
      <c r="A387" s="158"/>
      <c r="B387" s="160"/>
      <c r="C387" s="159"/>
      <c r="E387" s="158"/>
      <c r="F387" s="160"/>
      <c r="G387" s="159"/>
      <c r="I387" s="158"/>
      <c r="J387" s="160"/>
      <c r="K387" s="159"/>
      <c r="M387" s="158"/>
      <c r="N387" s="160"/>
      <c r="O387" s="159"/>
      <c r="P387" s="158"/>
      <c r="Q387" s="160"/>
      <c r="R387" s="159"/>
    </row>
    <row r="388" spans="1:18">
      <c r="A388" s="158"/>
      <c r="B388" s="160"/>
      <c r="C388" s="159"/>
      <c r="E388" s="158"/>
      <c r="F388" s="160"/>
      <c r="G388" s="159"/>
      <c r="I388" s="158"/>
      <c r="J388" s="160"/>
      <c r="K388" s="159"/>
      <c r="M388" s="158"/>
      <c r="N388" s="160"/>
      <c r="O388" s="159"/>
      <c r="P388" s="158"/>
      <c r="Q388" s="160"/>
      <c r="R388" s="159"/>
    </row>
    <row r="389" spans="1:18">
      <c r="A389" s="158"/>
      <c r="B389" s="160"/>
      <c r="C389" s="159"/>
      <c r="E389" s="158"/>
      <c r="F389" s="160"/>
      <c r="G389" s="159"/>
      <c r="I389" s="158"/>
      <c r="J389" s="160"/>
      <c r="K389" s="159"/>
      <c r="M389" s="158"/>
      <c r="N389" s="160"/>
      <c r="O389" s="159"/>
      <c r="P389" s="158"/>
      <c r="Q389" s="160"/>
      <c r="R389" s="159"/>
    </row>
    <row r="390" spans="1:18">
      <c r="A390" s="158"/>
      <c r="B390" s="160"/>
      <c r="C390" s="159"/>
      <c r="E390" s="158"/>
      <c r="F390" s="160"/>
      <c r="G390" s="159"/>
      <c r="I390" s="158"/>
      <c r="J390" s="160"/>
      <c r="K390" s="159"/>
      <c r="M390" s="158"/>
      <c r="N390" s="160"/>
      <c r="O390" s="159"/>
      <c r="P390" s="158"/>
      <c r="Q390" s="160"/>
      <c r="R390" s="159"/>
    </row>
    <row r="391" spans="1:18">
      <c r="A391" s="158"/>
      <c r="B391" s="160"/>
      <c r="C391" s="159"/>
      <c r="E391" s="158"/>
      <c r="F391" s="160"/>
      <c r="G391" s="159"/>
      <c r="I391" s="158"/>
      <c r="J391" s="160"/>
      <c r="K391" s="159"/>
      <c r="M391" s="158"/>
      <c r="N391" s="160"/>
      <c r="O391" s="159"/>
      <c r="P391" s="158"/>
      <c r="Q391" s="160"/>
      <c r="R391" s="159"/>
    </row>
    <row r="392" spans="1:18">
      <c r="A392" s="158"/>
      <c r="B392" s="160"/>
      <c r="C392" s="159"/>
      <c r="E392" s="158"/>
      <c r="F392" s="160"/>
      <c r="G392" s="159"/>
      <c r="I392" s="158"/>
      <c r="J392" s="160"/>
      <c r="K392" s="159"/>
      <c r="M392" s="158"/>
      <c r="N392" s="160"/>
      <c r="O392" s="159"/>
      <c r="P392" s="158"/>
      <c r="Q392" s="160"/>
      <c r="R392" s="159"/>
    </row>
    <row r="393" spans="1:18">
      <c r="A393" s="158"/>
      <c r="B393" s="160"/>
      <c r="C393" s="159"/>
      <c r="E393" s="158"/>
      <c r="F393" s="160"/>
      <c r="G393" s="159"/>
      <c r="I393" s="158"/>
      <c r="J393" s="160"/>
      <c r="K393" s="159"/>
      <c r="M393" s="158"/>
      <c r="N393" s="160"/>
      <c r="O393" s="159"/>
      <c r="P393" s="158"/>
      <c r="Q393" s="160"/>
      <c r="R393" s="159"/>
    </row>
    <row r="394" spans="1:18">
      <c r="A394" s="158"/>
      <c r="B394" s="160"/>
      <c r="C394" s="159"/>
      <c r="E394" s="158"/>
      <c r="F394" s="160"/>
      <c r="G394" s="159"/>
      <c r="I394" s="158"/>
      <c r="J394" s="160"/>
      <c r="K394" s="159"/>
      <c r="M394" s="158"/>
      <c r="N394" s="160"/>
      <c r="O394" s="159"/>
      <c r="P394" s="158"/>
      <c r="Q394" s="160"/>
      <c r="R394" s="159"/>
    </row>
    <row r="395" spans="1:18">
      <c r="A395" s="158"/>
      <c r="B395" s="91"/>
      <c r="C395" s="161"/>
      <c r="E395" s="158"/>
      <c r="F395" s="160"/>
      <c r="G395" s="159"/>
      <c r="I395" s="158"/>
      <c r="J395" s="160"/>
      <c r="K395" s="159"/>
      <c r="P395" s="158"/>
      <c r="Q395" s="91"/>
      <c r="R395" s="161"/>
    </row>
    <row r="396" spans="1:18">
      <c r="A396" s="158"/>
      <c r="B396" s="91"/>
      <c r="C396" s="161"/>
      <c r="E396" s="158"/>
      <c r="F396" s="160"/>
      <c r="G396" s="159"/>
      <c r="I396" s="158"/>
      <c r="J396" s="160"/>
      <c r="K396" s="159"/>
      <c r="P396" s="158"/>
      <c r="Q396" s="91"/>
      <c r="R396" s="161"/>
    </row>
    <row r="397" spans="1:18">
      <c r="A397" s="158"/>
      <c r="B397" s="91"/>
      <c r="C397" s="161"/>
      <c r="E397" s="158"/>
      <c r="F397" s="160"/>
      <c r="G397" s="159"/>
      <c r="I397" s="158"/>
      <c r="J397" s="160"/>
      <c r="K397" s="159"/>
      <c r="P397" s="158"/>
      <c r="Q397" s="91"/>
      <c r="R397" s="161"/>
    </row>
    <row r="398" spans="1:18">
      <c r="A398" s="158"/>
      <c r="B398" s="160"/>
      <c r="C398" s="159"/>
      <c r="E398" s="158"/>
      <c r="F398" s="160"/>
      <c r="G398" s="159"/>
      <c r="I398" s="158"/>
      <c r="J398" s="160"/>
      <c r="K398" s="159"/>
      <c r="P398" s="158"/>
      <c r="Q398" s="160"/>
      <c r="R398" s="159"/>
    </row>
    <row r="399" spans="1:18">
      <c r="A399" s="173"/>
      <c r="B399" s="174"/>
      <c r="C399" s="175"/>
      <c r="E399" s="170"/>
      <c r="F399" s="171"/>
      <c r="G399" s="172"/>
      <c r="I399" s="170"/>
      <c r="J399" s="171"/>
      <c r="K399" s="172"/>
      <c r="M399" s="170"/>
      <c r="N399" s="171"/>
      <c r="O399" s="172"/>
      <c r="P399" s="173"/>
      <c r="Q399" s="174"/>
      <c r="R399" s="175"/>
    </row>
    <row r="400" spans="1:18">
      <c r="A400" s="158"/>
      <c r="B400" s="160"/>
      <c r="C400" s="159"/>
      <c r="E400" s="158"/>
      <c r="F400" s="160"/>
      <c r="G400" s="159"/>
      <c r="I400" s="158"/>
      <c r="J400" s="160"/>
      <c r="K400" s="159"/>
      <c r="P400" s="158"/>
      <c r="Q400" s="160"/>
      <c r="R400" s="159"/>
    </row>
    <row r="401" spans="1:18">
      <c r="A401" s="158"/>
      <c r="B401" s="160"/>
      <c r="C401" s="159"/>
      <c r="E401" s="158"/>
      <c r="F401" s="160"/>
      <c r="G401" s="159"/>
      <c r="I401" s="158"/>
      <c r="J401" s="160"/>
      <c r="K401" s="159"/>
      <c r="P401" s="158"/>
      <c r="Q401" s="160"/>
      <c r="R401" s="159"/>
    </row>
    <row r="402" spans="1:18">
      <c r="A402" s="158"/>
      <c r="B402" s="160"/>
      <c r="C402" s="159"/>
      <c r="E402" s="158"/>
      <c r="F402" s="160"/>
      <c r="G402" s="159"/>
      <c r="I402" s="158"/>
      <c r="J402" s="160"/>
      <c r="K402" s="159"/>
      <c r="P402" s="158"/>
      <c r="Q402" s="160"/>
      <c r="R402" s="159"/>
    </row>
    <row r="403" spans="1:18">
      <c r="A403" s="158"/>
      <c r="B403" s="160"/>
      <c r="C403" s="159"/>
      <c r="E403" s="158"/>
      <c r="F403" s="160"/>
      <c r="G403" s="159"/>
      <c r="I403" s="135"/>
      <c r="J403" s="136"/>
      <c r="K403" s="137"/>
      <c r="P403" s="158"/>
      <c r="Q403" s="160"/>
      <c r="R403" s="159"/>
    </row>
    <row r="404" spans="1:18">
      <c r="A404" s="158"/>
      <c r="B404" s="160"/>
      <c r="C404" s="159"/>
      <c r="E404" s="158"/>
      <c r="F404" s="160"/>
      <c r="G404" s="159"/>
      <c r="I404" s="135"/>
      <c r="J404" s="136"/>
      <c r="K404" s="137"/>
      <c r="P404" s="158"/>
      <c r="Q404" s="160"/>
      <c r="R404" s="159"/>
    </row>
    <row r="405" spans="1:18">
      <c r="A405" s="158"/>
      <c r="B405" s="160"/>
      <c r="C405" s="159"/>
      <c r="E405" s="158"/>
      <c r="F405" s="160"/>
      <c r="G405" s="159"/>
      <c r="I405" s="135"/>
      <c r="J405" s="136"/>
      <c r="K405" s="137"/>
      <c r="P405" s="158"/>
      <c r="Q405" s="160"/>
      <c r="R405" s="159"/>
    </row>
    <row r="406" spans="1:18">
      <c r="A406" s="158"/>
      <c r="B406" s="160"/>
      <c r="C406" s="159"/>
      <c r="E406" s="135"/>
      <c r="F406" s="136"/>
      <c r="G406" s="137"/>
      <c r="I406" s="135"/>
      <c r="J406" s="136"/>
      <c r="K406" s="137"/>
      <c r="P406" s="158"/>
      <c r="Q406" s="160"/>
      <c r="R406" s="159"/>
    </row>
    <row r="407" spans="1:18">
      <c r="A407" s="158"/>
      <c r="B407" s="160"/>
      <c r="C407" s="159"/>
      <c r="E407" s="135"/>
      <c r="F407" s="136"/>
      <c r="G407" s="137"/>
      <c r="I407" s="135"/>
      <c r="J407" s="136"/>
      <c r="K407" s="137"/>
      <c r="P407" s="158"/>
      <c r="Q407" s="160"/>
      <c r="R407" s="159"/>
    </row>
    <row r="408" spans="1:18">
      <c r="A408" s="158"/>
      <c r="B408" s="160"/>
      <c r="C408" s="159"/>
      <c r="E408" s="135"/>
      <c r="F408" s="136"/>
      <c r="G408" s="137"/>
      <c r="I408" s="135"/>
      <c r="J408" s="136"/>
      <c r="K408" s="137"/>
      <c r="P408" s="158"/>
      <c r="Q408" s="160"/>
      <c r="R408" s="159"/>
    </row>
    <row r="409" spans="1:18">
      <c r="A409" s="158"/>
      <c r="B409" s="160"/>
      <c r="C409" s="159"/>
      <c r="E409" s="135"/>
      <c r="F409" s="136"/>
      <c r="G409" s="137"/>
      <c r="I409" s="135"/>
      <c r="J409" s="136"/>
      <c r="K409" s="137"/>
      <c r="P409" s="158"/>
      <c r="Q409" s="160"/>
      <c r="R409" s="159"/>
    </row>
    <row r="410" spans="1:18">
      <c r="A410" s="158"/>
      <c r="B410" s="160"/>
      <c r="C410" s="159"/>
      <c r="E410" s="135"/>
      <c r="F410" s="136"/>
      <c r="G410" s="137"/>
      <c r="I410" s="135"/>
      <c r="J410" s="136"/>
      <c r="K410" s="137"/>
      <c r="P410" s="158"/>
      <c r="Q410" s="160"/>
      <c r="R410" s="159"/>
    </row>
    <row r="411" spans="1:18">
      <c r="A411" s="158"/>
      <c r="B411" s="160"/>
      <c r="C411" s="159"/>
      <c r="E411" s="135"/>
      <c r="F411" s="136"/>
      <c r="G411" s="137"/>
      <c r="I411" s="135"/>
      <c r="J411" s="136"/>
      <c r="K411" s="137"/>
      <c r="P411" s="158"/>
      <c r="Q411" s="160"/>
      <c r="R411" s="159"/>
    </row>
    <row r="412" spans="1:18">
      <c r="A412" s="158"/>
      <c r="B412" s="160"/>
      <c r="C412" s="159"/>
      <c r="E412" s="135"/>
      <c r="F412" s="136"/>
      <c r="G412" s="137"/>
      <c r="I412" s="135"/>
      <c r="J412" s="136"/>
      <c r="K412" s="137"/>
      <c r="P412" s="158"/>
      <c r="Q412" s="160"/>
      <c r="R412" s="159"/>
    </row>
    <row r="413" spans="1:18">
      <c r="A413" s="158"/>
      <c r="B413" s="160"/>
      <c r="C413" s="159"/>
      <c r="E413" s="135"/>
      <c r="F413" s="136"/>
      <c r="G413" s="137"/>
      <c r="I413" s="135"/>
      <c r="J413" s="136"/>
      <c r="K413" s="137"/>
      <c r="P413" s="158"/>
      <c r="Q413" s="160"/>
      <c r="R413" s="159"/>
    </row>
    <row r="414" spans="1:18">
      <c r="A414" s="158"/>
      <c r="B414" s="160"/>
      <c r="C414" s="159"/>
      <c r="E414" s="135"/>
      <c r="F414" s="136"/>
      <c r="G414" s="137"/>
      <c r="I414" s="135"/>
      <c r="J414" s="136"/>
      <c r="K414" s="137"/>
      <c r="P414" s="158"/>
      <c r="Q414" s="160"/>
      <c r="R414" s="159"/>
    </row>
    <row r="415" spans="1:18">
      <c r="A415" s="158"/>
      <c r="B415" s="160"/>
      <c r="C415" s="159"/>
      <c r="E415" s="135"/>
      <c r="F415" s="136"/>
      <c r="G415" s="137"/>
      <c r="I415" s="135"/>
      <c r="J415" s="136"/>
      <c r="K415" s="137"/>
      <c r="P415" s="158"/>
      <c r="Q415" s="160"/>
      <c r="R415" s="159"/>
    </row>
    <row r="416" spans="1:18">
      <c r="A416" s="158"/>
      <c r="B416" s="160"/>
      <c r="C416" s="159"/>
      <c r="E416" s="135"/>
      <c r="F416" s="136"/>
      <c r="G416" s="137"/>
      <c r="I416" s="135"/>
      <c r="J416" s="136"/>
      <c r="K416" s="137"/>
      <c r="P416" s="158"/>
      <c r="Q416" s="160"/>
      <c r="R416" s="159"/>
    </row>
    <row r="417" spans="1:18">
      <c r="A417" s="158"/>
      <c r="B417" s="160"/>
      <c r="C417" s="159"/>
      <c r="P417" s="158"/>
      <c r="Q417" s="160"/>
      <c r="R417" s="159"/>
    </row>
  </sheetData>
  <conditionalFormatting sqref="K354">
    <cfRule type="cellIs" dxfId="42" priority="1" operator="equal">
      <formula>"غياب"</formula>
    </cfRule>
    <cfRule type="cellIs" dxfId="41" priority="2" operator="equal">
      <formula>#N/A</formula>
    </cfRule>
    <cfRule type="cellIs" dxfId="40" priority="3" operator="equal">
      <formula>"غياب"</formula>
    </cfRule>
    <cfRule type="cellIs" dxfId="39" priority="4" operator="equal">
      <formula>#N/A</formula>
    </cfRule>
    <cfRule type="cellIs" dxfId="38" priority="5" operator="equal">
      <formula>"غياب"</formula>
    </cfRule>
    <cfRule type="cellIs" dxfId="37" priority="6" operator="equal">
      <formula>#N/A</formula>
    </cfRule>
    <cfRule type="cellIs" dxfId="36" priority="7" operator="equal">
      <formula>"غياب"</formula>
    </cfRule>
    <cfRule type="cellIs" dxfId="35" priority="8" operator="equal">
      <formula>#N/A</formula>
    </cfRule>
    <cfRule type="cellIs" dxfId="34" priority="9" operator="equal">
      <formula>"غياب"</formula>
    </cfRule>
    <cfRule type="cellIs" dxfId="33" priority="10" operator="equal">
      <formula>#N/A</formula>
    </cfRule>
    <cfRule type="cellIs" dxfId="32" priority="11" operator="equal">
      <formula>"غياب"</formula>
    </cfRule>
    <cfRule type="cellIs" dxfId="31" priority="12" operator="equal">
      <formula>#N/A</formula>
    </cfRule>
    <cfRule type="cellIs" dxfId="30" priority="13" operator="equal">
      <formula>"غياب"</formula>
    </cfRule>
    <cfRule type="cellIs" dxfId="29" priority="14" operator="equal">
      <formula>#N/A</formula>
    </cfRule>
    <cfRule type="cellIs" dxfId="28" priority="15" operator="equal">
      <formula>"غياب"</formula>
    </cfRule>
    <cfRule type="cellIs" dxfId="27" priority="16" operator="equal">
      <formula>#N/A</formula>
    </cfRule>
    <cfRule type="cellIs" dxfId="26" priority="17" operator="equal">
      <formula>"غياب"</formula>
    </cfRule>
    <cfRule type="cellIs" dxfId="25" priority="18" operator="equal">
      <formula>#N/A</formula>
    </cfRule>
    <cfRule type="cellIs" dxfId="24" priority="19" operator="equal">
      <formula>"غياب"</formula>
    </cfRule>
    <cfRule type="cellIs" dxfId="23" priority="20" operator="equal">
      <formula>#N/A</formula>
    </cfRule>
    <cfRule type="cellIs" dxfId="22" priority="21" operator="equal">
      <formula>"غياب"</formula>
    </cfRule>
    <cfRule type="cellIs" dxfId="21" priority="22" operator="equal">
      <formula>#N/A</formula>
    </cfRule>
    <cfRule type="cellIs" dxfId="20" priority="23" operator="equal">
      <formula>"غياب"</formula>
    </cfRule>
    <cfRule type="cellIs" dxfId="19" priority="24" operator="equal">
      <formula>#N/A</formula>
    </cfRule>
    <cfRule type="cellIs" dxfId="18" priority="25" operator="equal">
      <formula>"غياب"</formula>
    </cfRule>
    <cfRule type="cellIs" dxfId="17" priority="26" operator="equal">
      <formula>#N/A</formula>
    </cfRule>
    <cfRule type="cellIs" dxfId="16" priority="27" operator="equal">
      <formula>"غياب"</formula>
    </cfRule>
    <cfRule type="cellIs" dxfId="15" priority="28" operator="equal">
      <formula>#N/A</formula>
    </cfRule>
    <cfRule type="cellIs" dxfId="14" priority="29" operator="equal">
      <formula>"غياب"</formula>
    </cfRule>
    <cfRule type="cellIs" dxfId="13" priority="30" operator="equal">
      <formula>#N/A</formula>
    </cfRule>
    <cfRule type="cellIs" dxfId="12" priority="31" operator="equal">
      <formula>"غياب"</formula>
    </cfRule>
    <cfRule type="cellIs" dxfId="11" priority="32" operator="equal">
      <formula>#N/A</formula>
    </cfRule>
    <cfRule type="cellIs" dxfId="10" priority="33" operator="equal">
      <formula>"غياب"</formula>
    </cfRule>
    <cfRule type="cellIs" dxfId="9" priority="34" operator="equal">
      <formula>#N/A</formula>
    </cfRule>
    <cfRule type="cellIs" dxfId="8" priority="35" operator="equal">
      <formula>"غياب"</formula>
    </cfRule>
    <cfRule type="cellIs" dxfId="7" priority="36" operator="equal">
      <formula>#N/A</formula>
    </cfRule>
    <cfRule type="cellIs" dxfId="6" priority="37" operator="equal">
      <formula>"غياب"</formula>
    </cfRule>
    <cfRule type="cellIs" dxfId="5" priority="38" operator="equal">
      <formula>#N/A</formula>
    </cfRule>
    <cfRule type="cellIs" dxfId="4" priority="39" operator="equal">
      <formula>"غياب"</formula>
    </cfRule>
    <cfRule type="cellIs" dxfId="3" priority="40" operator="equal">
      <formula>#N/A</formula>
    </cfRule>
    <cfRule type="cellIs" dxfId="2" priority="41" operator="equal">
      <formula>"غياب"</formula>
    </cfRule>
    <cfRule type="cellIs" dxfId="1" priority="42" operator="equal">
      <formula>"غياب"</formula>
    </cfRule>
    <cfRule type="cellIs" dxfId="0" priority="43" operator="equal">
      <formula>#N/A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11</vt:i4>
      </vt:variant>
    </vt:vector>
  </HeadingPairs>
  <TitlesOfParts>
    <vt:vector size="11" baseType="lpstr">
      <vt:lpstr>ورقة1</vt:lpstr>
      <vt:lpstr>Sheet1</vt:lpstr>
      <vt:lpstr>سلف</vt:lpstr>
      <vt:lpstr>غياب</vt:lpstr>
      <vt:lpstr>تاخير </vt:lpstr>
      <vt:lpstr>اذونات</vt:lpstr>
      <vt:lpstr>جزاءات </vt:lpstr>
      <vt:lpstr>البصمة </vt:lpstr>
      <vt:lpstr>بيانات البصمة 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Mr.Emad</dc:creator>
  <cp:lastModifiedBy>mamkt</cp:lastModifiedBy>
  <dcterms:created xsi:type="dcterms:W3CDTF">2015-06-05T18:17:20Z</dcterms:created>
  <dcterms:modified xsi:type="dcterms:W3CDTF">2023-07-04T22:17:38Z</dcterms:modified>
</cp:coreProperties>
</file>