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drawings/drawing1.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drawings/drawing4.xml" ContentType="application/vnd.openxmlformats-officedocument.drawing+xml"/>
  <Override PartName="/xl/worksheets/sheet4.xml" ContentType="application/vnd.openxmlformats-officedocument.spreadsheetml.worksheet+xml"/>
  <Override PartName="/xl/tables/table1.xml" ContentType="application/vnd.openxmlformats-officedocument.spreadsheetml.table+xml"/>
  <Override PartName="/xl/charts/chart2.xml" ContentType="application/vnd.openxmlformats-officedocument.drawingml.chart+xml"/>
  <Override PartName="/xl/drawings/drawing5.xml" ContentType="application/vnd.openxmlformats-officedocument.drawing+xml"/>
  <Override PartName="/xl/worksheets/sheet5.xml" ContentType="application/vnd.openxmlformats-officedocument.spreadsheetml.worksheet+xml"/>
  <Override PartName="/xl/tables/table2.xml" ContentType="application/vnd.openxmlformats-officedocument.spreadsheetml.table+xml"/>
  <Override PartName="/xl/worksheets/sheet6.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Default Extension="png" ContentType="image/png"/>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mv="urn:schemas-microsoft-com:mac:vml" xmlns:mx="http://schemas.microsoft.com/office/mac/excel/2008/main" xmlns:x14="http://schemas.microsoft.com/office/spreadsheetml/2009/9/main" xmlns:x14ac="http://schemas.microsoft.com/office/spreadsheetml/2009/9/ac" xmlns:x15="http://schemas.microsoft.com/office/spreadsheetml/2010/11/main" xmlns:xm="http://schemas.microsoft.com/office/excel/2006/main" mc:Ignorable="x15">
  <fileVersion appName="xl" lastEdited="4" lowestEdited="4" rupBuild="9302"/>
  <workbookPr/>
  <bookViews>
    <workbookView xWindow="240" yWindow="120" windowWidth="14940" windowHeight="9225" activeTab="0"/>
  </bookViews>
  <sheets>
    <sheet name="Start Here" sheetId="1" r:id="rId2"/>
    <sheet name="RPE" sheetId="2" r:id="rId3"/>
    <sheet name="Training" sheetId="3" r:id="rId4"/>
    <sheet name="Home" sheetId="4" r:id="rId5"/>
    <sheet name="Reference" sheetId="5" r:id="rId6"/>
    <sheet name="Personal Info" sheetId="6" r:id="rId7"/>
  </sheets>
  <externalReferences>
    <externalReference r:id="rId10"/>
  </externalReferences>
  <definedNames>
    <definedName name="_rpe">Reference!$F$8:$R$16</definedName>
    <definedName name="benchlist">'Personal Info'!$C:$C</definedName>
    <definedName name="query1">#REF!</definedName>
    <definedName name="bnmax">'Personal Info'!$S$10</definedName>
    <definedName name="_meetsel">#REF!</definedName>
    <definedName name="bnmetrics">#REF!</definedName>
    <definedName name="_uom">'Personal Info'!$L$5</definedName>
    <definedName name="dlmetrics">#REF!</definedName>
    <definedName name="sqmetrics">#REF!</definedName>
    <definedName name="squatlist">'Personal Info'!$A:$A</definedName>
    <definedName name="progdt">'Personal Info'!$L$25</definedName>
    <definedName name="gen">Training!$F$7</definedName>
    <definedName name="meetctdn">#REF!</definedName>
    <definedName name="dlmax">'Personal Info'!$W$10</definedName>
    <definedName name="deadlist">'Personal Info'!$E:$E</definedName>
    <definedName name="query2">#REF!</definedName>
    <definedName name="sqmax">'Personal Info'!$O$10</definedName>
  </definedNames>
  <calcPr calcId="0"/>
</workbook>
</file>

<file path=xl/calcChain.xml><?xml version="1.0" encoding="utf-8"?>
<calcChain xmlns="http://schemas.openxmlformats.org/spreadsheetml/2006/main">
  <c r="E106" i="1" l="1"/>
</calcChain>
</file>

<file path=xl/sharedStrings.xml><?xml version="1.0" encoding="utf-8"?>
<sst xmlns="http://schemas.openxmlformats.org/spreadsheetml/2006/main" count="1341" uniqueCount="788">
  <si>
    <t>WELCOME!</t>
  </si>
  <si>
    <t>PROGRAM EXPLANATION &amp; FAQ</t>
  </si>
  <si>
    <t>BEGIN</t>
  </si>
  <si>
    <t xml:space="preserve">Click FILE &gt; MAKE A COPY at the top menu bar to create a copy of this program into your own Google Drive account. From there, you can edit the training file and make it your own. </t>
  </si>
  <si>
    <t>Enter your current 1RMs on the Personal Info tab in the yellow boxes. You may also enter a low-rep, high-RPE set. Do not enter theoretical maxes or desired training outcomes. It is not needed to enter a 90% or 95% of your maxes...simply your maxes will do.</t>
  </si>
  <si>
    <t>Look over the training plan, familiarize yourself with what is to come. We suggest running the plan without modification the first time through before attempting changes. Refer to our guide on RPE included for the best results.</t>
  </si>
  <si>
    <t xml:space="preserve">If you enjoyed the program, donate here and buy us a coffee! </t>
  </si>
  <si>
    <t>THE PROGRAM</t>
  </si>
  <si>
    <r>
      <rPr>
        <sz val="10"/>
        <color rgb="FF434343"/>
        <rFont val="Open Sans"/>
        <family val="2"/>
      </rPr>
      <t xml:space="preserve">This is a </t>
    </r>
    <r>
      <rPr>
        <b/>
        <sz val="10"/>
        <color rgb="FF434343"/>
        <rFont val="Open Sans"/>
        <family val="2"/>
      </rPr>
      <t>9-week training approach</t>
    </r>
    <r>
      <rPr>
        <sz val="10"/>
        <color rgb="FF434343"/>
        <rFont val="Open Sans"/>
        <family val="2"/>
      </rPr>
      <t xml:space="preserve"> for beginner athletes designed to overcome many shortcomings of common programs that beginner powerlifters run. </t>
    </r>
    <r>
      <rPr>
        <b/>
        <sz val="10"/>
        <color rgb="FF434343"/>
        <rFont val="Open Sans"/>
        <family val="2"/>
      </rPr>
      <t>It’s the starting program we wish we had before powerlifting</t>
    </r>
    <r>
      <rPr>
        <sz val="10"/>
        <color rgb="FF434343"/>
        <rFont val="Open Sans"/>
        <family val="2"/>
      </rPr>
      <t xml:space="preserve">, designed to bridge into either repeats of the same approach as long as you keep making progress, or into more advanced training approaches as seamlessly as possible. Toward the end, athletes handle heavier and heavier loads as they work toward new 3-rep maxes before rinsing and repeating. Most athletes should find this is a balanced amount of training volume, training stress, and loading to see great progress. </t>
    </r>
    <r>
      <rPr>
        <b/>
        <sz val="10"/>
        <color rgb="FF434343"/>
        <rFont val="Open Sans"/>
        <family val="2"/>
      </rPr>
      <t>We think you’ll really like it.</t>
    </r>
  </si>
  <si>
    <r>
      <rPr>
        <sz val="10"/>
        <color rgb="FF434343"/>
        <rFont val="Open Sans"/>
        <family val="2"/>
      </rPr>
      <t xml:space="preserve">For squat, we’ve included </t>
    </r>
    <r>
      <rPr>
        <b/>
        <sz val="10"/>
        <color rgb="FF434343"/>
        <rFont val="Open Sans"/>
        <family val="2"/>
      </rPr>
      <t>two training days of squatting</t>
    </r>
    <r>
      <rPr>
        <sz val="10"/>
        <color rgb="FF434343"/>
        <rFont val="Open Sans"/>
        <family val="2"/>
      </rPr>
      <t xml:space="preserve"> so that athletes have enough frequency to practice the movement and build training volume to progress, but not so much that this program classifies as an intermediate or advanced approach. We’ve included light to moderate single repetitions from the very start to give athletes exposure to walking out and executing single reps. In later weeks, there may be some </t>
    </r>
    <r>
      <rPr>
        <b/>
        <sz val="10"/>
        <color rgb="FF434343"/>
        <rFont val="Open Sans"/>
        <family val="2"/>
      </rPr>
      <t>post-activation potentiation (PAP) from performing heavier single repetitions as well</t>
    </r>
    <r>
      <rPr>
        <sz val="10"/>
        <color rgb="FF434343"/>
        <rFont val="Open Sans"/>
        <family val="2"/>
      </rPr>
      <t xml:space="preserve">. We utilize </t>
    </r>
    <r>
      <rPr>
        <b/>
        <sz val="10"/>
        <color rgb="FF434343"/>
        <rFont val="Open Sans"/>
        <family val="2"/>
      </rPr>
      <t>multiple rep ranges</t>
    </r>
    <r>
      <rPr>
        <sz val="10"/>
        <color rgb="FF434343"/>
        <rFont val="Open Sans"/>
        <family val="2"/>
      </rPr>
      <t xml:space="preserve"> to ensure maximum strength and hypertrophy. We’ve also included plenty of lower body training volume to allow for leg size increases, as well as strength.</t>
    </r>
  </si>
  <si>
    <r>
      <rPr>
        <sz val="10"/>
        <color rgb="FF434343"/>
        <rFont val="Open Sans"/>
        <family val="2"/>
      </rPr>
      <t xml:space="preserve">For bench press, we include </t>
    </r>
    <r>
      <rPr>
        <b/>
        <sz val="10"/>
        <color rgb="FF434343"/>
        <rFont val="Open Sans"/>
        <family val="2"/>
      </rPr>
      <t>three movements per week</t>
    </r>
    <r>
      <rPr>
        <sz val="10"/>
        <color rgb="FF434343"/>
        <rFont val="Open Sans"/>
        <family val="2"/>
      </rPr>
      <t xml:space="preserve"> because bench press especially can tolerate (and often need) more training volume and practice. To this end, we give new athletes a chance to practice pausing the bench on Day 4, practice with heavier loading as the program progresses, and plenty of training volume per week. In addition, we include lots of upper body training volume to grow.</t>
    </r>
  </si>
  <si>
    <r>
      <rPr>
        <sz val="10"/>
        <color rgb="FF434343"/>
        <rFont val="Open Sans"/>
        <family val="2"/>
      </rPr>
      <t xml:space="preserve">For deadlift, we </t>
    </r>
    <r>
      <rPr>
        <b/>
        <sz val="10"/>
        <color rgb="FF434343"/>
        <rFont val="Open Sans"/>
        <family val="2"/>
      </rPr>
      <t>work on technique with the inclusion of paused work</t>
    </r>
    <r>
      <rPr>
        <sz val="10"/>
        <color rgb="FF434343"/>
        <rFont val="Open Sans"/>
        <family val="2"/>
      </rPr>
      <t xml:space="preserve"> for much of the training approach. Training volume is lower here than squat or bench press by design, and the approach balances fatigue while allowing athletes to crush progress and set new PRs.</t>
    </r>
  </si>
  <si>
    <r>
      <rPr>
        <sz val="10"/>
        <color rgb="FF434343"/>
        <rFont val="Open Sans"/>
        <family val="2"/>
      </rPr>
      <t xml:space="preserve">Over the whole approach, we use autoregulation to make sure athletes can change loads where needed to keep the program at the appropriate difficulty level. Beginner athletes especially progress at different rates, and we decided give both percentage and RPE for athletes to choose from. </t>
    </r>
    <r>
      <rPr>
        <b/>
        <sz val="10"/>
        <color rgb="FF434343"/>
        <rFont val="Open Sans"/>
        <family val="2"/>
      </rPr>
      <t>We’ve made this program with a four-week addition</t>
    </r>
    <r>
      <rPr>
        <sz val="10"/>
        <color rgb="FF434343"/>
        <rFont val="Open Sans"/>
        <family val="2"/>
      </rPr>
      <t xml:space="preserve"> that you can use to run this program directly into a competition! </t>
    </r>
    <r>
      <rPr>
        <b/>
        <sz val="10"/>
        <color rgb="FF434343"/>
        <rFont val="Open Sans"/>
        <family val="2"/>
      </rPr>
      <t>The peak is also designed for first competitions, and we can’t wait to see what you accomplish</t>
    </r>
    <r>
      <rPr>
        <sz val="10"/>
        <color rgb="FF434343"/>
        <rFont val="Open Sans"/>
        <family val="2"/>
      </rPr>
      <t>.</t>
    </r>
  </si>
  <si>
    <t>WHO &amp; WHY</t>
  </si>
  <si>
    <t>Q:</t>
  </si>
  <si>
    <t>Who is this program designed for?</t>
  </si>
  <si>
    <t>A:</t>
  </si>
  <si>
    <r>
      <rPr>
        <sz val="10"/>
        <color rgb="FF434343"/>
        <rFont val="Open Sans"/>
        <family val="2"/>
      </rPr>
      <t xml:space="preserve">We’ve defined a sample athlete for this program as a male or female with some experience in resistance training, </t>
    </r>
    <r>
      <rPr>
        <b/>
        <sz val="10"/>
        <color rgb="FF434343"/>
        <rFont val="Open Sans"/>
        <family val="2"/>
      </rPr>
      <t>but less than six months of experience in powerlifting.</t>
    </r>
    <r>
      <rPr>
        <sz val="10"/>
        <color rgb="FF434343"/>
        <rFont val="Open Sans"/>
        <family val="2"/>
      </rPr>
      <t xml:space="preserve"> This sample athlete is </t>
    </r>
    <r>
      <rPr>
        <b/>
        <sz val="10"/>
        <color rgb="FF434343"/>
        <rFont val="Open Sans"/>
        <family val="2"/>
      </rPr>
      <t>healthy, has no current injuries or movement limitations, and hasn’t competed in a powerlifting competition</t>
    </r>
    <r>
      <rPr>
        <sz val="10"/>
        <color rgb="FF434343"/>
        <rFont val="Open Sans"/>
        <family val="2"/>
      </rPr>
      <t>. Ideally, this athlete is eating in a s</t>
    </r>
    <r>
      <rPr>
        <b/>
        <sz val="10"/>
        <color rgb="FF434343"/>
        <rFont val="Open Sans"/>
        <family val="2"/>
      </rPr>
      <t>mall to moderate caloric surplus, sleeping 7-10 hours per night, and stressing as little (or as predictably) as possible</t>
    </r>
    <r>
      <rPr>
        <sz val="10"/>
        <color rgb="FF434343"/>
        <rFont val="Open Sans"/>
        <family val="2"/>
      </rPr>
      <t>.</t>
    </r>
  </si>
  <si>
    <t>What if this program is too easy?</t>
  </si>
  <si>
    <t>This program is purposefully designed for newer lifters in key areas. If you think you’re a more advanced lifter, check out our free TSA Intermediate Approach, or consider working one on one with a TSA coach to make sure training is continually tailored to you and your goals. You can also modify this program with more frequency, more training volume, or higher loads.</t>
  </si>
  <si>
    <t>What do I need to do before this program?</t>
  </si>
  <si>
    <t>You need to have done a heavy set of 1-3 reps at RPE 8.5-10 on squat, bench press, and deadlift in the last 3 months. This is so you can populate the loads you'll be using on the plan.</t>
  </si>
  <si>
    <t>What are the requirements to run this program?</t>
  </si>
  <si>
    <r>
      <rPr>
        <sz val="10"/>
        <color rgb="FF434343"/>
        <rFont val="Open Sans"/>
        <family val="2"/>
      </rPr>
      <t xml:space="preserve">Have access to any equipment necessary to effectively train, understand RPE and how to rate RPE. </t>
    </r>
    <r>
      <rPr>
        <b/>
        <sz val="10"/>
        <color rgb="FF434343"/>
        <rFont val="Open Sans"/>
        <family val="2"/>
      </rPr>
      <t>Have four available training days</t>
    </r>
    <r>
      <rPr>
        <sz val="10"/>
        <color rgb="FF434343"/>
        <rFont val="Open Sans"/>
        <family val="2"/>
      </rPr>
      <t xml:space="preserve"> in your work/school/life schedule.</t>
    </r>
  </si>
  <si>
    <t>ABOUT THE PROGRAM</t>
  </si>
  <si>
    <t>Why the super light squat and bench press singles on day one?</t>
  </si>
  <si>
    <t>We’ve included these to give new lifters exposure to low reps. Too many beginner approaches either don’t introduce low reps at all, or introduce heavy singles on a near weekly basis. We give athletes chances to develop neural adaptations to low repetitions on a weekly basis while at the same time giving lifters plenty of training volume for muscular growth, balancing these two extremes.</t>
  </si>
  <si>
    <t>Should I do the 9-week or the 13-week program?</t>
  </si>
  <si>
    <r>
      <rPr>
        <sz val="10"/>
        <color rgb="FF434343"/>
        <rFont val="Open Sans"/>
        <family val="2"/>
      </rPr>
      <t xml:space="preserve">The approach is primarily built as a 9 week program—an intro week, three weeks of progression, a deload, three weeks of progression, and a training test. </t>
    </r>
    <r>
      <rPr>
        <b/>
        <sz val="10"/>
        <color rgb="FF434343"/>
        <rFont val="Open Sans"/>
        <family val="2"/>
      </rPr>
      <t>We added a 4-week build into a competition</t>
    </r>
    <r>
      <rPr>
        <sz val="10"/>
        <color rgb="FF434343"/>
        <rFont val="Open Sans"/>
        <family val="2"/>
      </rPr>
      <t>, if you wanted to train into your first competition. Most of the time, use this approach as a 9-week program and you’ll keep making progress. If you want to build into 1RMs instead of 3RMs, occasionally use the 4-week addition.</t>
    </r>
  </si>
  <si>
    <t>Which exercises should I choose?</t>
  </si>
  <si>
    <r>
      <rPr>
        <sz val="10"/>
        <color rgb="FF434343"/>
        <rFont val="Open Sans"/>
        <family val="2"/>
      </rPr>
      <t xml:space="preserve">Besides the main lifts, you can select from a drop down menu of exercises. </t>
    </r>
    <r>
      <rPr>
        <b/>
        <sz val="10"/>
        <color rgb="FF434343"/>
        <rFont val="Open Sans"/>
        <family val="2"/>
      </rPr>
      <t>We’ve pre-selected one option for you</t>
    </r>
    <r>
      <rPr>
        <sz val="10"/>
        <color rgb="FF434343"/>
        <rFont val="Open Sans"/>
        <family val="2"/>
      </rPr>
      <t>, but you are free to choose an alternate. Choose the exercise you have equipment for and feel particularly excited about.</t>
    </r>
  </si>
  <si>
    <t>What is the difference from selecting ‘male’ to selecting ‘female’?</t>
  </si>
  <si>
    <r>
      <rPr>
        <sz val="10"/>
        <color rgb="FF434343"/>
        <rFont val="Open Sans"/>
        <family val="2"/>
      </rPr>
      <t xml:space="preserve">We have added </t>
    </r>
    <r>
      <rPr>
        <b/>
        <sz val="10"/>
        <color rgb="FF434343"/>
        <rFont val="Open Sans"/>
        <family val="2"/>
      </rPr>
      <t>more training volume and higher intensities for female athletes</t>
    </r>
    <r>
      <rPr>
        <sz val="10"/>
        <color rgb="FF434343"/>
        <rFont val="Open Sans"/>
        <family val="2"/>
      </rPr>
      <t>, as they likely require it to make the same level of progress. The additions in training volume exist across the main lifts and some accessories as well.</t>
    </r>
  </si>
  <si>
    <t>What is lsRPE? What’s RPE?</t>
  </si>
  <si>
    <t>lsRPE stands for ‘last set RPE’, the RPE of your very final set of a specific exercise. For information on RPE, please check the tab ‘RPE’.</t>
  </si>
  <si>
    <t>ADJUSTMENTS</t>
  </si>
  <si>
    <t>What if I miss reps?</t>
  </si>
  <si>
    <t>We’ve planned approaches such that most athletes shouldn’t miss reps if you check your recovery boxes (sleep, adequate calories, adequate protein intake) and use appropriate 1 rep maxes. If you happen to miss reps for any reason, don’t panic. Simply move forward with the program as if it never happened. If it becomes a recurring issue, you may need to adjust loads. This is normal and part of the individualization of the training process.</t>
  </si>
  <si>
    <t>What if I overshoot my RPE?</t>
  </si>
  <si>
    <t>Again, don’t panic. As you learn to use RPE, you will overshoot RPE sometimes and undershoot other times. Just make a mental note and aim to be more accurate in the future. If it’s a regular problem, you may ask yourself why you feel the need to overshoot RPE. Do you not trust the training approach? Are you having a hard time gauging effort? Are you just ego lifting? Getting to the root of this issue will make you a better lifter overall.</t>
  </si>
  <si>
    <t>Can I add anything?</t>
  </si>
  <si>
    <t>We think the program as-is is a good start for beginner powerlifters. If you feel the need or desire to add something, just make sure that it makes sense in the grand scheme of things. If you’re a bodybuilder or care about complete growth and not just your squat, bench, and deadlift 1RMs, you may consider adding direct calf work, direct hamstring work, and potentially more direct shoulder work. Just more work in general. Proceed with caution with a combined powerlifting/bodybuilding approach, especially as a beginner athlete.</t>
  </si>
  <si>
    <t>What if I have to miss a session/get behind?</t>
  </si>
  <si>
    <t>If you’re running this approach into a competition, you obviously need to make adjustments to make sure the peak lines up with your competition date. Consider either condensing training into more training sessions per week. In the event that you were sick or needed to miss many sessions, simply resume where you can to stay on track. There is no one right answer here--it’s all training stimulus. If you don’t have a competition scheduled and are just running the base approach, just pick up where you left off and allow the program to be a little longer than expected.</t>
  </si>
  <si>
    <t>How hard should each week be?</t>
  </si>
  <si>
    <t>This is difficult to say because each athlete responds differently to training, and we’re creating one training approach for many athletes. Generally speaking, most weeks early on will be in the RPE 6-8 range, including the main lifts. It’s usually the case that training actually gets easier after the first week or two as you adapt to a new training split and the repeated bout effect (RBE) takes effect.</t>
  </si>
  <si>
    <t>What if I get injured?</t>
  </si>
  <si>
    <t>The seriousness of the injury dictates the response to the injury. If you can work around movement restrictions or pain with exercise substitutions, dropping the load, allowing for more rest between exposures or other modifications, please do that! If the injury feels more severe, don’t train through pain. Limit painful movements, work with a trained professional on your recovery so that you can come back stronger. There’s a lot of potential advice here that is only on a case-by-case basis because each situation is unique.</t>
  </si>
  <si>
    <t>PERFORMANCE</t>
  </si>
  <si>
    <t>How do I figure out what RPE 5/6 is?</t>
  </si>
  <si>
    <t>RPE 5 and RPE 6 are admittedly difficult to gauge. It’s better to figure these out by comparison to something harder. RPE 5 should still feel like a warmup. It likely takes less attention to detail and less arousal to perform. It may feel slightly slow, but there should be no sticking point at all. RPE 6 should feel like a serious, heavier warmup, requiring a little more attention than RPE 5 and a serious attitude in setup and lift execution. RPE 6 is still fast, with little to no breakdown in lifting technique.</t>
  </si>
  <si>
    <t>How long should I rest between sets?</t>
  </si>
  <si>
    <t>As much rest as you need. The literature is pretty clear that limiting rests to any degree dampens performance and strength adaptation. All bodily systems relevant to strength performance are recovered in 2-5 minutes, so this is a good window. However, take as much rest as you need, so long as you can complete your training. If you’re just scrolling instagram/facebook between sets, this can easily climb to 10 minutes. Moderating this is a quick way to reduce the length of your workouts.</t>
  </si>
  <si>
    <t>When should I rest?</t>
  </si>
  <si>
    <t>Rest in between each set.</t>
  </si>
  <si>
    <t>Are the deadlifts sumo or conventional?</t>
  </si>
  <si>
    <t>Choose your main stance for the deadlift. If you are brand new to lifting, it’s a good idea to start lifting with the conventional stance.</t>
  </si>
  <si>
    <t>When should I use my belt?</t>
  </si>
  <si>
    <t>Use your belt on any main sets that warrant its use. You will probably be best served adding the belt at some point in your warmups leading into your working sets. Using the belt is as much a skill as it is an aid to safety and lifting strength. As such, we want to get better at the skill of bracing into the belt. That takes practice. As a general guide, anything above 65-70% is fair game for using your belt. You probably don’t need to wear the belt on bench press.</t>
  </si>
  <si>
    <t>WHAT'S NEXT?</t>
  </si>
  <si>
    <t>What should I do after this program?</t>
  </si>
  <si>
    <t>If you’re having success with the training approach, keep using it! Input new 1RMs and continue the approach. You can also try our intermediate training approach.</t>
  </si>
  <si>
    <t>For some athletes, the training approach is too generic after the first or second time. If you need more attention and customization, we work one-on-one with athletes providing them the coaching they need to not only make progress, but continue enjoying powerlifting for years to come. Email us and we’ll be happy to discuss the continuation of your training as a completely customized level.</t>
  </si>
  <si>
    <t>RPE</t>
  </si>
  <si>
    <t>RATE OF PERCEIVED EXERTION</t>
  </si>
  <si>
    <t>What is RPE and why is it useful?</t>
  </si>
  <si>
    <r>
      <rPr>
        <sz val="10"/>
        <color rgb="FF434343"/>
        <rFont val="Open Sans"/>
        <family val="2"/>
      </rPr>
      <t xml:space="preserve">RPE </t>
    </r>
    <r>
      <rPr>
        <b/>
        <sz val="10"/>
        <color rgb="FF434343"/>
        <rFont val="Open Sans"/>
        <family val="2"/>
      </rPr>
      <t>(rate of perceived exertion)</t>
    </r>
    <r>
      <rPr>
        <sz val="10"/>
        <color rgb="FF434343"/>
        <rFont val="Open Sans"/>
        <family val="2"/>
      </rPr>
      <t xml:space="preserve"> is a rating system that allows athletes to </t>
    </r>
    <r>
      <rPr>
        <b/>
        <sz val="10"/>
        <color rgb="FF434343"/>
        <rFont val="Open Sans"/>
        <family val="2"/>
      </rPr>
      <t>measure how hard something feels</t>
    </r>
    <r>
      <rPr>
        <sz val="10"/>
        <color rgb="FF434343"/>
        <rFont val="Open Sans"/>
        <family val="2"/>
      </rPr>
      <t xml:space="preserve"> to you at the time. It is a subjective measure of your strength at a given time. We rate this on a scale from one to ten. The higher the number, the harder the set felt. It is also a way to quantify those feelings we have immediately post-set of gauging how difficult it was. “I could maybe have done 1 or 2 more reps.” The RPE scale quantifies this. 
RPE allows you to regulate your training intensity based on your condition right now. Not your last meet, yesterday, or even your last set. It allows you to quantify where your preparedness is at any given time.</t>
    </r>
  </si>
  <si>
    <t>I see a protocol that looks like this: 3x8 @8 RPE. What do I do?</t>
  </si>
  <si>
    <r>
      <rPr>
        <sz val="10"/>
        <color rgb="FF434343"/>
        <rFont val="Open Sans"/>
        <family val="2"/>
      </rPr>
      <t xml:space="preserve">This is known as a </t>
    </r>
    <r>
      <rPr>
        <b/>
        <sz val="10"/>
        <color rgb="FF434343"/>
        <rFont val="Open Sans"/>
        <family val="2"/>
      </rPr>
      <t>repeat set</t>
    </r>
    <r>
      <rPr>
        <sz val="10"/>
        <color rgb="FF434343"/>
        <rFont val="Open Sans"/>
        <family val="2"/>
      </rPr>
      <t>, and we often use this method for assistance movements, or cases where 1RMs are not established or difficult to establish. As the name implies, you try to repeat the same load and reps on subsequent sets. As fatigue rises, your RPE will also rise. By monitoring this rise in RPE, you can determine your level of fatigue and when its time to add more weight to the bar.
The first thing you will do is work up to the prescribed rep &amp; RPE as directed. You will want to warm up and ramp up the weights to what will be your working weight for your top set at RPE 8. From there, you will repeat this for the number of remaining sets (in this example, it would be 2 more sets, for 3 total sets). 
To progress week to week, monitor the rise in RPE over the course of the sets. If you are finding a 0-0.5 RPE jump from first to last set, it’s safe to add some weight next time. If you are finding an increase of 1+ RPE, leave the load as is for next week.</t>
    </r>
  </si>
  <si>
    <t>Sample Exercise using the repeat method</t>
  </si>
  <si>
    <t>1x5x135</t>
  </si>
  <si>
    <t>warmups</t>
  </si>
  <si>
    <t>1x4x225</t>
  </si>
  <si>
    <t>1x4x275</t>
  </si>
  <si>
    <t>1x8x295</t>
  </si>
  <si>
    <t>@7 RPE</t>
  </si>
  <si>
    <t>&lt;-- 1st gauging set</t>
  </si>
  <si>
    <t>1x8x305</t>
  </si>
  <si>
    <t>@8 RPE</t>
  </si>
  <si>
    <t>&lt;-- 1st work set</t>
  </si>
  <si>
    <t>&lt;-- repeat set</t>
  </si>
  <si>
    <t>@8.5 RPE</t>
  </si>
  <si>
    <t xml:space="preserve">I need to work up to a top set of 1x4 @8.5 RPE. How can I figure out what load to use? </t>
  </si>
  <si>
    <r>
      <rPr>
        <sz val="10"/>
        <color rgb="FF434343"/>
        <rFont val="Open Sans"/>
        <family val="2"/>
      </rPr>
      <t>First, we need to determine your estimated 1RM (e1RM).  Look up the rep/RPE numbers for the last time you did today’s exercise. Find the associated percentage and divide the weight used by the percentage. This will give you your e1RM. We can estimate our top set for the day using the RPE chart to help determine how much weight will be used. x4@8.5 yields ~85%. Multiply your e1RM by the percentage to determine your top set load.
After warming up, we suggest ~</t>
    </r>
    <r>
      <rPr>
        <b/>
        <sz val="10"/>
        <color rgb="FF434343"/>
        <rFont val="Open Sans"/>
        <family val="2"/>
      </rPr>
      <t>2 “gauging” sets</t>
    </r>
    <r>
      <rPr>
        <sz val="10"/>
        <color rgb="FF434343"/>
        <rFont val="Open Sans"/>
        <family val="2"/>
      </rPr>
      <t xml:space="preserve"> at the top set prescribed rep range, but for each gauging set you climb 1 RPE closer to the assigned top set RPE. In order to feel confident picking that load based on how you are feeling, do your first “gauging” set at 4 reps @ 7 RPE, and another one at 4 reps @ 8 RPE (Notice we are increasing an RPE with each gauging set). At this point you should be able to fairly accurately estimate a load that would yield 4 reps @ 8.5 RPE for your top set.
A general rule is to subtract 5% for each RPE below the top set. So, your target for the first set will be about 10% below your top set (5% per RPE * 2 RPE’s below the top set = 10%). The point of the ramp up sets isn’t necessarily to nail them right on the money, but rather to do the reps and get close on the RPE and for the top set, you want to be within a half RPE of the prescribed numbers.</t>
    </r>
  </si>
  <si>
    <t>INTRO/ACCLIMATION</t>
  </si>
  <si>
    <t>PROGRESS 1</t>
  </si>
  <si>
    <t>PROGRESS 2</t>
  </si>
  <si>
    <t>PROGRESS 3</t>
  </si>
  <si>
    <t>DELOAD</t>
  </si>
  <si>
    <t>INTENSIFY 1</t>
  </si>
  <si>
    <t>INTENSIFY 2</t>
  </si>
  <si>
    <t>INTENSIFY 3</t>
  </si>
  <si>
    <t>TEST 1</t>
  </si>
  <si>
    <t>PEAK 1</t>
  </si>
  <si>
    <t>PEAK 2</t>
  </si>
  <si>
    <t>PEAK 3</t>
  </si>
  <si>
    <t>TEST 2</t>
  </si>
  <si>
    <t>9 WEEKS OUT, PEAK LIFT INTENSITY 5-7.5 RPE</t>
  </si>
  <si>
    <t xml:space="preserve">8 WEEKS OUT, PEAK LIFT INTENSITY 6-8RPE </t>
  </si>
  <si>
    <t xml:space="preserve">7 WEEKS OUT, PEAK LIFT INTENSITY 6-8 RPE </t>
  </si>
  <si>
    <t xml:space="preserve">6 WEEKS OUT, PEAK LIFT INTENSITY 7-8.5 RPE </t>
  </si>
  <si>
    <t xml:space="preserve">5 WEEKS OUT, PEAK LIFT INTENSITY 5-7 RPE </t>
  </si>
  <si>
    <t xml:space="preserve">4 WEEKS OUT, PEAK LIFT INTENSITY 7-8.5 RPE </t>
  </si>
  <si>
    <t xml:space="preserve">3 WEEKS OUT, PEAK LIFT INTENSITY 8-9 RPE </t>
  </si>
  <si>
    <t xml:space="preserve">2 WEEKS OUT, PEAK LIFT INTENSITY 8-9 RPE </t>
  </si>
  <si>
    <t>TEST WEEK</t>
  </si>
  <si>
    <t xml:space="preserve">4 WEEKS OUT, PEAK LIFT INTENSITY 7-8 RPE </t>
  </si>
  <si>
    <t>MEET WEEK</t>
  </si>
  <si>
    <t>running 9 or 13 week?</t>
  </si>
  <si>
    <t xml:space="preserve">are you male or female? </t>
  </si>
  <si>
    <t>MALE</t>
  </si>
  <si>
    <t>label</t>
  </si>
  <si>
    <t>date</t>
  </si>
  <si>
    <t>Day 1</t>
  </si>
  <si>
    <t>sets</t>
  </si>
  <si>
    <t>reps</t>
  </si>
  <si>
    <t>intensity</t>
  </si>
  <si>
    <t>load</t>
  </si>
  <si>
    <t>e1RM</t>
  </si>
  <si>
    <t>lsRPE</t>
  </si>
  <si>
    <t>notes</t>
  </si>
  <si>
    <t>Day 1 - 5 DAYS OUT</t>
  </si>
  <si>
    <t>SQ 1: hypertrophy</t>
  </si>
  <si>
    <t>Competition Squat</t>
  </si>
  <si>
    <t>82% or @5</t>
  </si>
  <si>
    <t>86-89% or @7</t>
  </si>
  <si>
    <t>94-96% or @9</t>
  </si>
  <si>
    <t>opener or @7.5</t>
  </si>
  <si>
    <t>2-3 x</t>
  </si>
  <si>
    <t>80-85% or @7</t>
  </si>
  <si>
    <t>-</t>
  </si>
  <si>
    <t xml:space="preserve">6-7 </t>
  </si>
  <si>
    <t>BN 1: strength</t>
  </si>
  <si>
    <t>Bench Press</t>
  </si>
  <si>
    <t>83% or @6</t>
  </si>
  <si>
    <t>85% or @6</t>
  </si>
  <si>
    <t>82-86% or @7</t>
  </si>
  <si>
    <t>chest acc</t>
  </si>
  <si>
    <t>Machine Chest Press</t>
  </si>
  <si>
    <t>@6-7</t>
  </si>
  <si>
    <t>@7-8.5</t>
  </si>
  <si>
    <t>@8-9</t>
  </si>
  <si>
    <t>@7</t>
  </si>
  <si>
    <t>@6-7.5</t>
  </si>
  <si>
    <t>lats - horizontal</t>
  </si>
  <si>
    <t>Machine Row</t>
  </si>
  <si>
    <t>@6-8</t>
  </si>
  <si>
    <t>core</t>
  </si>
  <si>
    <t>Decline Weighted Situp</t>
  </si>
  <si>
    <t>note: if shoulder/bicep/elbow pain, squat high bar</t>
  </si>
  <si>
    <t>Day 2</t>
  </si>
  <si>
    <t>Day 2 - 4 DAYS OUT</t>
  </si>
  <si>
    <t>DL 1: practice/mod int</t>
  </si>
  <si>
    <t>Paused Deadlift</t>
  </si>
  <si>
    <t>67.5% or @7</t>
  </si>
  <si>
    <t>70% or @7</t>
  </si>
  <si>
    <t>72.5% or @7</t>
  </si>
  <si>
    <t>71% or @6</t>
  </si>
  <si>
    <t>73% or @7</t>
  </si>
  <si>
    <t>75% or @7.5</t>
  </si>
  <si>
    <t>78% or @8</t>
  </si>
  <si>
    <t>Deadlift</t>
  </si>
  <si>
    <t xml:space="preserve">1-2 </t>
  </si>
  <si>
    <t>BN 2: hypertrophy</t>
  </si>
  <si>
    <t>@10</t>
  </si>
  <si>
    <t>80% or @5</t>
  </si>
  <si>
    <t>85% or @6.5</t>
  </si>
  <si>
    <t>80-83% or @6</t>
  </si>
  <si>
    <t>glutes</t>
  </si>
  <si>
    <t>Single Leg Hip Thrust</t>
  </si>
  <si>
    <t>triceps</t>
  </si>
  <si>
    <t>Tricep Pushdown</t>
  </si>
  <si>
    <t>biceps</t>
  </si>
  <si>
    <t>EZ Bar Curl</t>
  </si>
  <si>
    <t xml:space="preserve">note: </t>
  </si>
  <si>
    <t>Day 3</t>
  </si>
  <si>
    <t>Day 3 - REST/ACTIVE RECOVERY ONLY</t>
  </si>
  <si>
    <t>SQ 2: strength</t>
  </si>
  <si>
    <t>4-5</t>
  </si>
  <si>
    <t>81% or @7</t>
  </si>
  <si>
    <t>85% or @7.5</t>
  </si>
  <si>
    <t>87% or @8</t>
  </si>
  <si>
    <t>lats - vertical</t>
  </si>
  <si>
    <t>Pull-ups</t>
  </si>
  <si>
    <t>@6.5-8.5</t>
  </si>
  <si>
    <t>shoulders</t>
  </si>
  <si>
    <t>Machine Overhead Press</t>
  </si>
  <si>
    <t>note: may superset biceps/triceps</t>
  </si>
  <si>
    <t>Day 4</t>
  </si>
  <si>
    <t xml:space="preserve">Day 4 - MEET DAY! </t>
  </si>
  <si>
    <t>DL 2: strength</t>
  </si>
  <si>
    <t>82.5% or @7.5</t>
  </si>
  <si>
    <t>87.5% or @7.5</t>
  </si>
  <si>
    <t>@83-87% or @6</t>
  </si>
  <si>
    <t>91-94% or @8-8.5</t>
  </si>
  <si>
    <t>Squat</t>
  </si>
  <si>
    <t>BN 3: nonspecific/practice</t>
  </si>
  <si>
    <t>3 ct. Paused Bench Press</t>
  </si>
  <si>
    <t>4+</t>
  </si>
  <si>
    <t>3+</t>
  </si>
  <si>
    <t>2+</t>
  </si>
  <si>
    <t>quads - compound</t>
  </si>
  <si>
    <t>Hack Squat</t>
  </si>
  <si>
    <t>@6.5-8</t>
  </si>
  <si>
    <t>quads - single joint</t>
  </si>
  <si>
    <t>Leg Extension</t>
  </si>
  <si>
    <t>autonomy</t>
  </si>
  <si>
    <t>Athlete Movement of Choice</t>
  </si>
  <si>
    <t>INTAKE RANGES:</t>
  </si>
  <si>
    <t>low</t>
  </si>
  <si>
    <t>high</t>
  </si>
  <si>
    <t>average</t>
  </si>
  <si>
    <t>Water, L</t>
  </si>
  <si>
    <t>Fruit &amp; Veg. /day</t>
  </si>
  <si>
    <t>Fiber, grams</t>
  </si>
  <si>
    <t>Sleep, hrs</t>
  </si>
  <si>
    <t>7 - 10</t>
  </si>
  <si>
    <t>Bodyweight, avg</t>
  </si>
  <si>
    <t>Height</t>
  </si>
  <si>
    <t>Age</t>
  </si>
  <si>
    <t>Calories, avg</t>
  </si>
  <si>
    <t>Meals/day</t>
  </si>
  <si>
    <t>Fat, avg</t>
  </si>
  <si>
    <t>Carbs, avg</t>
  </si>
  <si>
    <t>Protein, avg</t>
  </si>
  <si>
    <t>Recovery, avg</t>
  </si>
  <si>
    <t>DATE</t>
  </si>
  <si>
    <t>WEIGHT</t>
  </si>
  <si>
    <t>FAT</t>
  </si>
  <si>
    <t>CARBS</t>
  </si>
  <si>
    <t>PROTEIN</t>
  </si>
  <si>
    <t>CALORIES</t>
  </si>
  <si>
    <t>CARDIO</t>
  </si>
  <si>
    <t>TRAINING DAY (1-4)</t>
  </si>
  <si>
    <t>NOTES</t>
  </si>
  <si>
    <t>SLEEP (1-10)</t>
  </si>
  <si>
    <t>STRESS (1-10)</t>
  </si>
  <si>
    <t>DESIRE TO TRAIN (1-10)</t>
  </si>
  <si>
    <t>FATIGUE (1-10)</t>
  </si>
  <si>
    <t>RECOVERY (1-10)</t>
  </si>
  <si>
    <t>no</t>
  </si>
  <si>
    <t xml:space="preserve">example: great day today! </t>
  </si>
  <si>
    <t/>
  </si>
  <si>
    <t>Body Fat %</t>
  </si>
  <si>
    <t>lean gain</t>
  </si>
  <si>
    <t>4'0"</t>
  </si>
  <si>
    <t>Select here</t>
  </si>
  <si>
    <t>4'1"</t>
  </si>
  <si>
    <t>Novice 1.5% of BW/month</t>
  </si>
  <si>
    <t>4'2"</t>
  </si>
  <si>
    <t>Intermediate 1.0% of BW/month</t>
  </si>
  <si>
    <t>4'3"</t>
  </si>
  <si>
    <t>Advanced 0.5% of BW/month</t>
  </si>
  <si>
    <t>4'4"</t>
  </si>
  <si>
    <t>4'5"</t>
  </si>
  <si>
    <t>cutting phase</t>
  </si>
  <si>
    <t>4'6"</t>
  </si>
  <si>
    <t>4'7"</t>
  </si>
  <si>
    <t>1.0% weight loss per week</t>
  </si>
  <si>
    <t>4'8"</t>
  </si>
  <si>
    <t>0.7% weight loss per week</t>
  </si>
  <si>
    <t>4'9"</t>
  </si>
  <si>
    <t>0.5% weight loss per week</t>
  </si>
  <si>
    <t>4'10"</t>
  </si>
  <si>
    <t>4'11"</t>
  </si>
  <si>
    <t>Activity Multiplier</t>
  </si>
  <si>
    <t>5'0"</t>
  </si>
  <si>
    <t>5'1"</t>
  </si>
  <si>
    <t>Sedentary plus 3-6 days of weight lifting</t>
  </si>
  <si>
    <t>5'2"</t>
  </si>
  <si>
    <t>Lightly active plus 3-6 days of weight lifting</t>
  </si>
  <si>
    <t>5'3"</t>
  </si>
  <si>
    <t>Active plus 3-6 days of weight lifting</t>
  </si>
  <si>
    <t>5'4"</t>
  </si>
  <si>
    <t>Very active plus 3-6 days of weight lifting</t>
  </si>
  <si>
    <t>5'5"</t>
  </si>
  <si>
    <t>5'6"</t>
  </si>
  <si>
    <t>5'7"</t>
  </si>
  <si>
    <t>5'8"</t>
  </si>
  <si>
    <t>5'9"</t>
  </si>
  <si>
    <t>5'10"</t>
  </si>
  <si>
    <t>5'11"</t>
  </si>
  <si>
    <t>6'0"</t>
  </si>
  <si>
    <t>6'1"</t>
  </si>
  <si>
    <t>6'2"</t>
  </si>
  <si>
    <t>6'3"</t>
  </si>
  <si>
    <t>6'4"</t>
  </si>
  <si>
    <t>6'5"</t>
  </si>
  <si>
    <t>6'6"</t>
  </si>
  <si>
    <t>6'7"</t>
  </si>
  <si>
    <t>6'8"</t>
  </si>
  <si>
    <t>6'9"</t>
  </si>
  <si>
    <t>6'10"</t>
  </si>
  <si>
    <t>6'11"</t>
  </si>
  <si>
    <t>7'0"</t>
  </si>
  <si>
    <t>REFERENCE</t>
  </si>
  <si>
    <t>RPE, SUPPLEMENTATION, RECOVERY, ETC.</t>
  </si>
  <si>
    <t>RPE CHART</t>
  </si>
  <si>
    <t>Number of Reps</t>
  </si>
  <si>
    <t>@</t>
  </si>
  <si>
    <t>x1</t>
  </si>
  <si>
    <t>x2</t>
  </si>
  <si>
    <t>x3</t>
  </si>
  <si>
    <t>x4</t>
  </si>
  <si>
    <t>x5</t>
  </si>
  <si>
    <t>x6</t>
  </si>
  <si>
    <t>x7</t>
  </si>
  <si>
    <t>x8</t>
  </si>
  <si>
    <t>x9</t>
  </si>
  <si>
    <t>x10</t>
  </si>
  <si>
    <t>x11</t>
  </si>
  <si>
    <t>x12</t>
  </si>
  <si>
    <t>INTAKE RANGES</t>
  </si>
  <si>
    <t>Water</t>
  </si>
  <si>
    <t>Fruit &amp; Veg./day</t>
  </si>
  <si>
    <t>~3 serv/day</t>
  </si>
  <si>
    <t>Fiber</t>
  </si>
  <si>
    <t>25g+/day</t>
  </si>
  <si>
    <t>Sleep</t>
  </si>
  <si>
    <t>7 - 10 hours/night</t>
  </si>
  <si>
    <t>Meals</t>
  </si>
  <si>
    <t>3 - 6 meals/day</t>
  </si>
  <si>
    <t>SUPPLEMENTATION</t>
  </si>
  <si>
    <t>RECOVERY</t>
  </si>
  <si>
    <t>Vitamin D3</t>
  </si>
  <si>
    <t>If not getting regular sun exposure</t>
  </si>
  <si>
    <r>
      <rPr>
        <b/>
        <sz val="9"/>
        <color rgb="FF434343"/>
        <rFont val="Calibri"/>
        <family val="2"/>
      </rPr>
      <t>Daily:</t>
    </r>
    <r>
      <rPr>
        <sz val="9"/>
        <color rgb="FF434343"/>
        <rFont val="Calibri"/>
        <family val="2"/>
      </rPr>
      <t xml:space="preserve"> 10-30 minutes/day to non-training relaxation activities.</t>
    </r>
  </si>
  <si>
    <t>Creatine monohydrate</t>
  </si>
  <si>
    <t>If performing resistance training and well tolerated</t>
  </si>
  <si>
    <r>
      <rPr>
        <b/>
        <sz val="9"/>
        <color rgb="FF434343"/>
        <rFont val="Calibri"/>
        <family val="2"/>
      </rPr>
      <t>Weekly:</t>
    </r>
    <r>
      <rPr>
        <sz val="9"/>
        <color rgb="FF434343"/>
        <rFont val="Calibri"/>
        <family val="2"/>
      </rPr>
      <t xml:space="preserve"> One longer 1-3 hour relaxation activity</t>
    </r>
  </si>
  <si>
    <t>Multivitamin</t>
  </si>
  <si>
    <t>1 serving</t>
  </si>
  <si>
    <t>Normal or low dose, if calorically restricted or consuming limited food sources</t>
  </si>
  <si>
    <r>
      <rPr>
        <b/>
        <sz val="9"/>
        <color rgb="FF434343"/>
        <rFont val="Calibri"/>
        <family val="2"/>
      </rPr>
      <t>Post-training:</t>
    </r>
    <r>
      <rPr>
        <sz val="9"/>
        <color rgb="FF434343"/>
        <rFont val="Calibri"/>
        <family val="2"/>
      </rPr>
      <t xml:space="preserve"> 5-10 minutes calmdown/cooldown your heart rate and shifting to parasympathetic state. Ex: slow walk, breathing deeply, static stretching, etc.</t>
    </r>
  </si>
  <si>
    <t>EFA's (EPA/DHA combined)</t>
  </si>
  <si>
    <t>2-3 g</t>
  </si>
  <si>
    <t>If not consuming fatty fish 3/week</t>
  </si>
  <si>
    <r>
      <rPr>
        <b/>
        <sz val="9"/>
        <color rgb="FF434343"/>
        <rFont val="Calibri"/>
        <family val="2"/>
      </rPr>
      <t>Off days:</t>
    </r>
    <r>
      <rPr>
        <sz val="9"/>
        <color rgb="FF434343"/>
        <rFont val="Calibri"/>
        <family val="2"/>
      </rPr>
      <t xml:space="preserve"> active recovery 20-40 minutes. eg. walk, bike, light cardio activities, 30-50% single reps. Helps avoid being totally sedentary/upregulate nutrient partitioning</t>
    </r>
  </si>
  <si>
    <t>Caffeine</t>
  </si>
  <si>
    <t>If performing resistance training, cycle use to avoid dependency</t>
  </si>
  <si>
    <r>
      <rPr>
        <b/>
        <sz val="9"/>
        <color rgb="FF434343"/>
        <rFont val="Calibri"/>
        <family val="2"/>
      </rPr>
      <t>Hours before bed</t>
    </r>
    <r>
      <rPr>
        <sz val="9"/>
        <color rgb="FF434343"/>
        <rFont val="Calibri"/>
        <family val="2"/>
      </rPr>
      <t>: limit caffeine, high stimulation/novel activity, switch devices to amber light or sleep mode after sunset, optimizes melatonin production</t>
    </r>
  </si>
  <si>
    <t>Beta Alanine</t>
  </si>
  <si>
    <t>If performing HIIT/15+ rep sets</t>
  </si>
  <si>
    <r>
      <rPr>
        <b/>
        <sz val="9"/>
        <color rgb="FF434343"/>
        <rFont val="Calibri"/>
        <family val="2"/>
      </rPr>
      <t>Pre-bed:</t>
    </r>
    <r>
      <rPr>
        <sz val="9"/>
        <color rgb="FF434343"/>
        <rFont val="Calibri"/>
        <family val="2"/>
      </rPr>
      <t xml:space="preserve"> breathing deeply, music, or meditating to help shift into more restful state</t>
    </r>
  </si>
  <si>
    <t>Citrulline Malate</t>
  </si>
  <si>
    <t>6-8 g</t>
  </si>
  <si>
    <t>If performing resistance training and not a financial burden</t>
  </si>
  <si>
    <t>name</t>
  </si>
  <si>
    <t>category</t>
  </si>
  <si>
    <t>tag</t>
  </si>
  <si>
    <t>description</t>
  </si>
  <si>
    <t>link</t>
  </si>
  <si>
    <t>WARMUP THEORY</t>
  </si>
  <si>
    <t>WARMUP</t>
  </si>
  <si>
    <t>BARBELL WARMUP</t>
  </si>
  <si>
    <t>BARBELL WARMUP SETS</t>
  </si>
  <si>
    <t>warmup</t>
  </si>
  <si>
    <t>Take a look at the main lift rep count and load. If reps are 8-10, start with warmup sets at 6-8, then 3-5, then 2-4 until you are ready to begin. If reps are 3-5, start with warmup sets of 6-8, then 2-4, then 1-3, repeating 1-3 until you are within range. For 1-3, start with 3-5, then 1-3, repeating sets until you are within range. Combine with autoregulation to determine the appropriate load and sensible jump sizes.</t>
  </si>
  <si>
    <t>body temp elevation</t>
  </si>
  <si>
    <t>sustained HR elevation</t>
  </si>
  <si>
    <t>dynamic warmup</t>
  </si>
  <si>
    <t>today's movements</t>
  </si>
  <si>
    <t>coach additions</t>
  </si>
  <si>
    <t>--</t>
  </si>
  <si>
    <t>BODY TEMPERATURE ELEVATION</t>
  </si>
  <si>
    <t>warming</t>
  </si>
  <si>
    <t>INSTRUCTIONS</t>
  </si>
  <si>
    <t>SIT IN A HEATED CAR WHILE YOU DRIVE TO THE GYM</t>
  </si>
  <si>
    <t>Alternatively, you may "preheat" by driving to the gym in warmer-than-normal conditions, though you may begin getting cold as soon as you get in the gym.</t>
  </si>
  <si>
    <t>SKIP TO HEART RATE ELEVATION, WHICH WILL WARM YOU UP</t>
  </si>
  <si>
    <t>KB COMPLEX</t>
  </si>
  <si>
    <t>BROAD JUMP, EASY</t>
  </si>
  <si>
    <t>(IF BENCHING) BAND PULL-APART SEQUENCE</t>
  </si>
  <si>
    <t>90-90 SUPINE SQUAT W/ HIP INTERNAL ROTATION</t>
  </si>
  <si>
    <t>BAND/MONSTER WALK</t>
  </si>
  <si>
    <t>Begin with the listed protocol for warming up, swapping out movements as needed using the selectors to the right. Progress through the warmup at a deliberate pace, focusing your efforts on preparing for the session ahead. You should break a sweat and aim to complete the process in less than 10 minutes, unless a coach has given you extra work. Avoid soreness or anything approaching failure in the slightest. The goal is preparation, not pre-exhaustion.</t>
  </si>
  <si>
    <t>increase neuromuscular speed/sensitivity &amp; muscle blood flow/oxygen delivery</t>
  </si>
  <si>
    <t>If you tend to start sweating pretty easily, a good barbell complex or dynamic warmup alone may easily be enough to raise heart rate and body temperature.</t>
  </si>
  <si>
    <t>TRAIN IN A WARM ENVIRONMENT</t>
  </si>
  <si>
    <t>RECUMBENT BIKE</t>
  </si>
  <si>
    <t>LEG SWING</t>
  </si>
  <si>
    <t>(IF BENCHING) INVERTED PUSH-UP/RACK CHIN</t>
  </si>
  <si>
    <t>CUSTOM</t>
  </si>
  <si>
    <t>BIRD DOG</t>
  </si>
  <si>
    <t>Training in a warm environment, within reason, decreases blood lactate and increases skeletal muscle force. It is also likely to lead to faster warmups and more ready joints and muscles.</t>
  </si>
  <si>
    <t>UTILIZE A SAUNA</t>
  </si>
  <si>
    <t>ROWING</t>
  </si>
  <si>
    <t>QUADRUPED SEQUENCE</t>
  </si>
  <si>
    <t>(IF BENCHING) LAT PULLDOWN</t>
  </si>
  <si>
    <t>CURL-UP</t>
  </si>
  <si>
    <t>Sauna for short durations can be effective at raising core body temperature and kickstarting the warmup process. It serves the same purpose as the aforementioned methods.</t>
  </si>
  <si>
    <t>WEAR WARM CLOTHES</t>
  </si>
  <si>
    <t>WALKING</t>
  </si>
  <si>
    <t>SKIP PATTERN</t>
  </si>
  <si>
    <t>(IF BENCHING) SHOULDER CARS</t>
  </si>
  <si>
    <t>DEAD BUG W/ BAND</t>
  </si>
  <si>
    <t>If you aren't able to train in a warm environment, warm yourself instead :)</t>
  </si>
  <si>
    <t>BANDED GOOD MORNING</t>
  </si>
  <si>
    <t>BAND-ASSISTED SQUAT/RDL</t>
  </si>
  <si>
    <t>LEG RAISE</t>
  </si>
  <si>
    <t>COACH-SELECTED ADDITIONS</t>
  </si>
  <si>
    <t>custom</t>
  </si>
  <si>
    <t>BW SQUATS</t>
  </si>
  <si>
    <t>SUPINE HIP HINGING</t>
  </si>
  <si>
    <t>PALLOF PRESS</t>
  </si>
  <si>
    <t>SPORT PSYCHOLOGY</t>
  </si>
  <si>
    <t>SUSTAINED HEART RATE ELEVATION</t>
  </si>
  <si>
    <t>PRI</t>
  </si>
  <si>
    <t>https://www.youtube.com/watch?v=m2OFz37JHug</t>
  </si>
  <si>
    <t>NAME</t>
  </si>
  <si>
    <t>TEMPO COUNTERBALANCE SQUAT</t>
  </si>
  <si>
    <t>PLANK HOLD</t>
  </si>
  <si>
    <t>increase blood flow and pressure</t>
  </si>
  <si>
    <t>ROLLING PLANK</t>
  </si>
  <si>
    <t>MENTAL PREPARATION PRE-TRAINING</t>
  </si>
  <si>
    <t>BARBELL COMPLEX</t>
  </si>
  <si>
    <t>Rope Crunch</t>
  </si>
  <si>
    <t>You may use this time to focus on mental imagery, creating a repeatable plcace of performance, or visualizing the task ahead.</t>
  </si>
  <si>
    <t>SINGLE LEG GLUTE THRUST</t>
  </si>
  <si>
    <t>Utilize music or other auditory aids to engage further in the training process, limiting distractions.</t>
  </si>
  <si>
    <t>Have fun with it.</t>
  </si>
  <si>
    <t>Lie down with your chin slightly tucked, exhale through your mouth like you’re blowing up a balloon, keep the low rib cage down &amp; the lower back from arching. Lower one leg down, actively exhaling through your mouth the whole way down. Lift the leg back up, inhale through nose. Don’t let foot rotate laterally.</t>
  </si>
  <si>
    <t>https://youtu.be/G36qMURBIYQ</t>
  </si>
  <si>
    <t>DYNAMIC WARMUP</t>
  </si>
  <si>
    <t>full body</t>
  </si>
  <si>
    <t>While holding a kettlebell (KB preferred, but DB is fine) 6-8” away from your chest, slightly bend your knees and perform a slight posterior pelvic tilt. From here, perform a goblet squat using the kettlebell as counterbalance.</t>
  </si>
  <si>
    <t>https://youtu.be/T-oqbuTAf9M</t>
  </si>
  <si>
    <t>MENTAL TOUGHNESS</t>
  </si>
  <si>
    <t>CORE</t>
  </si>
  <si>
    <t>deep core</t>
  </si>
  <si>
    <t xml:space="preserve">Mental toughness is a multi-faceted but worthwhile character trait to build. It characterizes our responses to challenges like injuries, work ethic, balancing commitments, peer and social pressure, difficult training and competitive environments, and competition and internal pressures. Mental toughness training and psychological skills training (PST) is effective in a range of skills we care about. </t>
  </si>
  <si>
    <t>Use a 1 foot long flat band, place the band around the middle of the foot. Maintain a shoulder width or wider stance and take lateral steps, leading with the edge of the foot. Make sure to step in both directions, left-leading and right-leading. 10-15 meters each direction.</t>
  </si>
  <si>
    <t>https://youtu.be/EpsujHUAnrg</t>
  </si>
  <si>
    <t>McGill Big 3</t>
  </si>
  <si>
    <t>From a quadruped position, sweep the opposite arm and leg out away from you in front and behind, maintaining finger and toe connection with the floor. Raise both the arm and leg in unison and hold the extended position for a moment. Reverse and return to base position and repeat with the opposite side.</t>
  </si>
  <si>
    <t>https://youtu.be/VWX0PPZrdfA</t>
  </si>
  <si>
    <t>From a supine position, elevate one knee so that your foot is flat on the floor. Tuck the chin and as you do, blow air out and squeeze the abs down into yourself. Repeat for 3-7 reps, before switching to the opposite leg and repeating.</t>
  </si>
  <si>
    <t>https://youtu.be/qxN_S3yh3cg</t>
  </si>
  <si>
    <t>Attach a micro or mini band to a post at knee height. Lie down on the ground, holding the band in two hands above your head, with knees in the air, depressed ribcage and contracting deep core. Lower one leg at a time, touching the floor with the toe in a controlled manner.</t>
  </si>
  <si>
    <t>https://youtu.be/2P6YrYAk6qs</t>
  </si>
  <si>
    <t>More broadly, we want to maximize the extent to which we feel "the four C's":</t>
  </si>
  <si>
    <t>BOX JUMP/DEPTH DROP</t>
  </si>
  <si>
    <t>lower abs</t>
  </si>
  <si>
    <t>Leg Raises may be performed on a bench, on the floor, or hanging. All involve fixing the upper body and allowing the legs to move as a unit upward.</t>
  </si>
  <si>
    <t>https://youtu.be/LAWF0nyBeRA</t>
  </si>
  <si>
    <r>
      <rPr>
        <b/>
        <sz val="9"/>
        <color rgb="FF434343"/>
        <rFont val="Calibri"/>
        <family val="2"/>
      </rPr>
      <t xml:space="preserve">control </t>
    </r>
    <r>
      <rPr>
        <sz val="9"/>
        <color rgb="FF434343"/>
        <rFont val="Calibri"/>
        <family val="2"/>
      </rPr>
      <t>- the capacity to act as if we have influence in situations</t>
    </r>
  </si>
  <si>
    <t>antirotation</t>
  </si>
  <si>
    <t>Wrap a theraband or voodoo floss around a post, and get on the floor in a standing kneel. Set the band at belly button height.</t>
  </si>
  <si>
    <t>https://youtu.be/B6J3RZ9gWvs</t>
  </si>
  <si>
    <r>
      <rPr>
        <b/>
        <sz val="9"/>
        <color rgb="FF434343"/>
        <rFont val="Calibri"/>
        <family val="2"/>
      </rPr>
      <t>commitment</t>
    </r>
    <r>
      <rPr>
        <sz val="9"/>
        <color rgb="FF434343"/>
        <rFont val="Calibri"/>
        <family val="2"/>
      </rPr>
      <t xml:space="preserve"> - the tedency to take an active role in events</t>
    </r>
  </si>
  <si>
    <t>Perform a plank hold and make sure the pelvis is rotated underneath you, with a somewhat straight line from ankles to shoulders.</t>
  </si>
  <si>
    <t>https://youtu.be/us49hqMvR64</t>
  </si>
  <si>
    <r>
      <rPr>
        <b/>
        <sz val="9"/>
        <color rgb="FF434343"/>
        <rFont val="Calibri"/>
        <family val="2"/>
      </rPr>
      <t>challenge</t>
    </r>
    <r>
      <rPr>
        <sz val="9"/>
        <color rgb="FF434343"/>
        <rFont val="Calibri"/>
        <family val="2"/>
      </rPr>
      <t xml:space="preserve"> - the perception of change as an opportunity to grow and develop rather than a threat</t>
    </r>
  </si>
  <si>
    <t>obliques</t>
  </si>
  <si>
    <t>From a plank position with shoulder-width feet, rotate so that your feet are edge-contact with the floor and you're on only one forearm, bracing firmly. Rotate back to neutral and repeat with the other side for 3-5 repetitions.</t>
  </si>
  <si>
    <t>https://youtu.be/4JTichJq6qI</t>
  </si>
  <si>
    <r>
      <rPr>
        <b/>
        <sz val="9"/>
        <color rgb="FF434343"/>
        <rFont val="Calibri, sans-serif"/>
        <family val="2"/>
      </rPr>
      <t>confidence</t>
    </r>
    <r>
      <rPr>
        <sz val="9"/>
        <color rgb="FF434343"/>
        <rFont val="Calibri, sans-serif"/>
        <family val="2"/>
      </rPr>
      <t xml:space="preserve"> - a strong sense of self-belief</t>
    </r>
  </si>
  <si>
    <t>upper abs</t>
  </si>
  <si>
    <t>Use a cable rope attachment at a high setting and kneel on the ground holding the rope near your ears. Try to pivot around the middle back/thoracic spine as you drive your elbows to the floor. You may exhale as you contract. Repeat.</t>
  </si>
  <si>
    <t>With your shoulders on a bench, begin with your hips on the floor and your feet flat on the ground and close to your hips. Press just one heel through the ground while driving the hips up toward the ceiling. Repeat for 5-10 reps each side.</t>
  </si>
  <si>
    <t>https://youtu.be/LHVyCpZyByw</t>
  </si>
  <si>
    <t>lower body</t>
  </si>
  <si>
    <t>"More successful athletes were characterized by higher confidence, greater self-regulation of arousal, better concentration and focus, an in-control but not forcing-it attitude, positive thoughts and imagery, and more determination and commitment."</t>
  </si>
  <si>
    <t>5-10x low height depth drop. Stop all motion within one second of landing. 5-10x box jump low height. Progressively land box jumps in lower and lower squat.</t>
  </si>
  <si>
    <t>https://youtu.be/mC9Kx_TjGXk</t>
  </si>
  <si>
    <t>REPETITION OF MOVEMENT PATTERNS</t>
  </si>
  <si>
    <t>Take a shoulder width stance. Swing the arms gently forward, backward behind you, and then drive them forcefully forward while you bend your knees and launch yourself under control forward. Land into a deep squat under control, stand, and repeat. The goal is not distance. 5-10 jumps.</t>
  </si>
  <si>
    <t>https://youtu.be/qj3u4u4xeQc</t>
  </si>
  <si>
    <t>priming you for the session ahead</t>
  </si>
  <si>
    <t>Maintain a stacked spine with minimal flexion/extension and swing the leg front/back, aiming to keep the leg in a single plane. Avoid letting the low back arch. 5-10 swings. Then face a wall and swing the leg side to side, opening the hips in a dynamic fashion. 5-10 swings per side.</t>
  </si>
  <si>
    <t>https://youtu.be/QYe4rAFsUxI</t>
  </si>
  <si>
    <t>From the quadruped position, retract the scapula, shrug and roll the shoulders in a circular motion 5-15 times. Then, bridge the thoracic spine and press the hips towards the shoulders. Then, arch the back and reach the shin toawrd the ceiling. Repeat 5x. Next, widen the knee support on the floor, tuck the pelvis and sit back into the hips, taking deep full breaths into your back and expanding your midsection. Repeat 3-5x. Returning to the quadruped position, drive the heel outward and upwards, activating the glutes. Perform 5-10x per side. Flip over on your back and lie down on the ground. Draw the knees upward and drive your heels down into the floor and press the hips up toward the ceiling. Contract the glutes. This may be performed single or double-leg, with your back on a bench as well. Repeat 5-10x. Finally, lie down on your back, keep the ankles together and the hands together and pointed toward the ceiling. Maintain a slightly elevated position with the legs and rock forward and backward, engaging the abs. The movement can be made easier or harder by changing the bend of the knees and location of the hands.</t>
  </si>
  <si>
    <t>https://youtu.be/tqXkkUIGPas</t>
  </si>
  <si>
    <t>Performed over a 10yd/30m distance: regular skip, short/ankle skip with explosive mini-strides, high knee skip with large explosive strides, crossover skip, quad stretch, high knee pull, single leg RDL or pendulum, lunge walk.</t>
  </si>
  <si>
    <t>https://youtu.be/DRfxeWZrODQ?t=2m23s</t>
  </si>
  <si>
    <t>Psychological skills training functions best when we practice farther out from competition. Let's start off with a survey. Answer the following questions on a 1-10 scale to the degree to which you have the mental skills of top performing athletes:</t>
  </si>
  <si>
    <t>Using a light to medium tension band, loop the band under your feet and over your neck. Perform a good morning, focusing on spinal posture and hip hinging.</t>
  </si>
  <si>
    <t>https://youtu.be/V02CCfGPct0</t>
  </si>
  <si>
    <t>MOVEMENT SKILL-BUILDING</t>
  </si>
  <si>
    <t>hip hinge</t>
  </si>
  <si>
    <t>BANDED RDL</t>
  </si>
  <si>
    <t>Attaching a band to a post behind you, step inside the band so that it's around your waist. Step away from the post to create moderate tension in the band. Perform a hip hinge and controlled but forcible hinge forward to complete the movement. Keep a neutral spine.</t>
  </si>
  <si>
    <t>https://youtu.be/Y7Th_hwenck</t>
  </si>
  <si>
    <t>Determination</t>
  </si>
  <si>
    <t>BOX JUMP</t>
  </si>
  <si>
    <t>athleticism</t>
  </si>
  <si>
    <t xml:space="preserve">Begin with lower box heights; you can always work up higher but we prefer control over ego jumps. Take an athletic stance and use a short arm swing to launch yourself upward. Pay attention in video to where your knees are tracking. Land under control and aim to stop all motion within 2 seconds of landing. </t>
  </si>
  <si>
    <t>https://www.youtube.com/watch?v=8MJVz3Xs-ks</t>
  </si>
  <si>
    <t>Stress management</t>
  </si>
  <si>
    <t>BROAD JUMP</t>
  </si>
  <si>
    <t>Begin with an athletic, neutral stance with your arms in front of you, palms to the floor. Swing your arms back as you crouch, and simultaneously jump forward as you throw your arms forward. Aim to land, balanced, in the same athletic stance as you regain control. Repeat.</t>
  </si>
  <si>
    <t>Courage</t>
  </si>
  <si>
    <t>HYPEREXTENSIONS</t>
  </si>
  <si>
    <t>low back</t>
  </si>
  <si>
    <t>Use either a 45º or a 90º hyperextension machine. Tuck the ribcage and keep your efforts on pivoting using the glute muscles and not the low back</t>
  </si>
  <si>
    <t>https://youtu.be/yZCURyhwsgg</t>
  </si>
  <si>
    <t>Leadership</t>
  </si>
  <si>
    <t>Communication</t>
  </si>
  <si>
    <t>LU RAISE</t>
  </si>
  <si>
    <t>Perform a lateral raise from a relaxed position with 2.5-10kg plates in each hand, using a full a range of motion that you can, finishing with the backs of your hands facing each other over your head.</t>
  </si>
  <si>
    <t>https://youtu.be/JsdrrWn2pok</t>
  </si>
  <si>
    <t>Imagery/Visualization</t>
  </si>
  <si>
    <t>SCAPULAR RETRACTION WORK</t>
  </si>
  <si>
    <t>scap work</t>
  </si>
  <si>
    <t xml:space="preserve">Maintaining scapular retraction is a large piece of effective bench pressing. Work on controlling this area of your body using the band demonstrations in the video. Work with your coach to refine this control over time. </t>
  </si>
  <si>
    <t>https://youtu.be/B6X35u5mVsE</t>
  </si>
  <si>
    <t>Consistent Effort</t>
  </si>
  <si>
    <t>SINGLE LEG WALL REACH</t>
  </si>
  <si>
    <t>Space yourself close to a wall so that at full arm's reach with a single leg RDL, you will barely touch the wall. Perform a single leg RDL using your opposite foot as the hand you're reaching with.</t>
  </si>
  <si>
    <t>https://youtu.be/bu43fj3wEKU</t>
  </si>
  <si>
    <t>Motivation</t>
  </si>
  <si>
    <t>upper body</t>
  </si>
  <si>
    <t>Self-talk</t>
  </si>
  <si>
    <t>(IF BENCHING) BAND CIRCLES</t>
  </si>
  <si>
    <t>Using a theraband, voodoo floss or similar tool, grab the ends of the band with light to moderate tension and begin with the band in a resting snatch hold. Moving both arms in unison, raise the arms and cirlce so that the band finishes behind the body. Reverse. Repeat for a few repetitions.</t>
  </si>
  <si>
    <t>https://youtu.be/niLD6dKW2hc</t>
  </si>
  <si>
    <t>Confidence</t>
  </si>
  <si>
    <t>Use a theraband, voodoo floss, etc and wrap around a post with low to moderate tension, one end in each hand. Perform with as many reps as desired. band Pullapart, band pullover, band front raise, single arm cross body (rear delt), band flye, band overhead triceps extension, band stretches.</t>
  </si>
  <si>
    <t>https://youtu.be/9jTbbpYD_f0</t>
  </si>
  <si>
    <t>Mental Preparation</t>
  </si>
  <si>
    <t>lats</t>
  </si>
  <si>
    <t>Using a barbell in a rack/smith machine or a pair of hanging rings, set your feet on on object at such a height you can be parallel to the floor at completion of the movement. Grab the bar/rings and pull yourself up, holding a brief contraction at the top. Repeat for 5-10 reps.</t>
  </si>
  <si>
    <t>https://youtu.be/hUcAnkJxhgw</t>
  </si>
  <si>
    <t>Concentration</t>
  </si>
  <si>
    <t>Use a low to moderate load and do 5-12 reps on a lat pulldown in a dynamic fashion. Focus on a forceful pull.</t>
  </si>
  <si>
    <t>https://youtu.be/h5HWM9XbFrk</t>
  </si>
  <si>
    <t>Raise one arm upward in front of you. Make sure that as you flex at the shoulder that you’re shoulder blade moves with your arm. Turn your arm over and find the biggest possible range “behind” you. Reverse the rep—start by extending the arm backward, max out extension, then turn your arm and find as much overhead range as possible before maxing anterior range and returning your arm to your side.</t>
  </si>
  <si>
    <t>https://youtu.be/MdH5DdS9ItQ</t>
  </si>
  <si>
    <t>Using this information, begin a conversation with your coach on ways to improve or aspects you would like help building a plan toward improving!</t>
  </si>
  <si>
    <t>Attach a light or medium band around a post, step inside and place the band around the butt. Step back with a fair amount of band tension and squat for 5-15 reps. Follow with 5-15 reps of RDL or sumo deadlift.</t>
  </si>
  <si>
    <t>https://youtu.be/7bAt9R7VJk0</t>
  </si>
  <si>
    <t>10-20 sec. deep squat hold (push knees out), 5x squat with hands on feet, 5-10x air squat. These may also be performed counterbalanced with a focus on pelvic positioning.</t>
  </si>
  <si>
    <t>https://youtu.be/4k-WAWAHn4Q</t>
  </si>
  <si>
    <t>based on your movement, coach adds these to increase development &amp; execution</t>
  </si>
  <si>
    <t>cardio</t>
  </si>
  <si>
    <t>SELF CONFIDENCE</t>
  </si>
  <si>
    <t>complex</t>
  </si>
  <si>
    <t>Perform the following with an empty bar: 10x BB Row, 10x RDL, 10x Hang Clean, 10x OHP, 10x Good Morning, 10x Back Squat/Front Squat. May repeat for 1-2 cycles. Some variation of this is perfectly acceptable.</t>
  </si>
  <si>
    <t>https://youtu.be/2JJ8CjDLDpU</t>
  </si>
  <si>
    <t xml:space="preserve">In powerlifting specifically, success with lifts often boils down to an optimal state of arousal and a high self-regulatory efficacy. Our self-efficacy is determined by a background of performance accomplishments, vicarious experiences, verbal persuasion, imagined future experiences, our physiological state, and our emotional state. Further, our confidence can be boosted by developing mastery, by feeling good about our body and our body weight, by having a support group of lifters, friends, and family, and by feeling comfortable in our environment. Often times, acting confident helps to make you confident in the future. </t>
  </si>
  <si>
    <t>Using a low to low weight kettlebell and with the goal of quality movement first and speed second, perform: 10-20 kettlebell goblet squats, 10-30 kettlebell swings, 5-10 kettlebell snatches, and 5-10 KB RDL. Some variation of this is perfectly acceptable.</t>
  </si>
  <si>
    <t>Using a recumbent bike, select a very low resistance and cycle for 2:00-5:00. You may spend this time visualizing movements in the session ahead, going over the plan, listening to music, focusing on breathing, or readying your mental state. This is a time to leave what's outside the gym behind and enter your place of optimal performance.</t>
  </si>
  <si>
    <t>Using a Concept 2 rower or similar machine, row at a comfortable pace for 2:00 to 5:00, or +/-500m focusing on long, full range of motion. Pulling toward the shoulders and head will increased shoulder activation. Pulling toward the belly will increase lat activation, comparatively. You may spend this time visualizing movements in the session ahead, going over the plan, listening to music, focusing on breathing, or readying your mental state.</t>
  </si>
  <si>
    <t>Use a moderate walking pace. You may spend 5-10 minutes visualizing movements in the session ahead, going over the plan, listening to music, focusing on breathing, or readying your mental state. This is a time to leave what's outside the gym behind and enter your place of optimal performance.</t>
  </si>
  <si>
    <t>deep stability work and activation to aid main lift performance</t>
  </si>
  <si>
    <t>Which of these skills do you think you need to improve on?</t>
  </si>
  <si>
    <t>GOAL SETTING</t>
  </si>
  <si>
    <t>Goal setting has a powerful effect on behavior and is extremely effective. Goals direct attention to specific elements of performance, mobilize our efforts, prolong our efforts, and allow us to develop new strategies to success. Positive feedback regarding process is necessary in order for goals to work. We need feedback that we're progressing in the right direction. This is only possible with well-formed goals.</t>
  </si>
  <si>
    <t>PRINCIPLES OF GOAL SETTING:</t>
  </si>
  <si>
    <t>• Goals should be specific</t>
  </si>
  <si>
    <t>• Record your goals</t>
  </si>
  <si>
    <t>• Moderately difficult but realistic</t>
  </si>
  <si>
    <t>• Develop strategies to achieve goals</t>
  </si>
  <si>
    <t>• Both short and long term</t>
  </si>
  <si>
    <t>• Consider my personality and motivation</t>
  </si>
  <si>
    <t>• Performance, process, and outcome-oriented</t>
  </si>
  <si>
    <t>• Receive support from coach</t>
  </si>
  <si>
    <t>• Set practice and competition goals</t>
  </si>
  <si>
    <t>• Receive evaluation and feedback of goals</t>
  </si>
  <si>
    <t>SHORT TERM GOALS</t>
  </si>
  <si>
    <t>LONG TERM GOALS</t>
  </si>
  <si>
    <t>PERFORMANCE-ORIENTED</t>
  </si>
  <si>
    <t>PROCESS-ORIENTED</t>
  </si>
  <si>
    <t>OUTCOME ORIENTED</t>
  </si>
  <si>
    <t>Material adapted from Foundations of Sport and Exercise Psychology 5th Edition, Weinberg, Robert &amp; Daniel Gould</t>
  </si>
  <si>
    <t>ramping load progressions before work sets</t>
  </si>
  <si>
    <t>On a good training day, click here</t>
  </si>
  <si>
    <t>On a bad training day, click here</t>
  </si>
  <si>
    <t>BAD TRAINING DAYS</t>
  </si>
  <si>
    <t>Clearly describe what happened:</t>
  </si>
  <si>
    <t>possible scenarios:</t>
  </si>
  <si>
    <t>Why do you think this happened?</t>
  </si>
  <si>
    <t>How did this make you feel?</t>
  </si>
  <si>
    <t xml:space="preserve">How do you think you can improve? </t>
  </si>
  <si>
    <t xml:space="preserve">How can this be avoided? </t>
  </si>
  <si>
    <t>Three takeaways or lessons from your bad session:</t>
  </si>
  <si>
    <t>SOME CONTEXT</t>
  </si>
  <si>
    <t>Bad days, whether in the gym or in competition, happen. In fact, days of diminished performance should be expected given our knowledge as to how fitness and fatigue relate. That said, even in “fresh” states, we may simply have off days. They’re a part of being an athlete and are inescapable, no matter how diligently we work or how good we are. Though inevitable, we can change the way we react to them so that they don’t lead to more as a result of our psychological outlook.</t>
  </si>
  <si>
    <t>ALLOW MISTAKES TO BE A LEARNING CURVE FOR GROWTH:</t>
  </si>
  <si>
    <t>Instead of dwelling on mistakes and allowing negative self talk to consume us about our errors, shift your focus to allowing the mistake to become something you can learn from. View them as something that can make us better. When you let go of the past performance and think of it as something you can learn from, it can become a platform for growth. Remember to focus on the things you have active control over, to view mistakes as temporary and as something that you have the agency to change.</t>
  </si>
  <si>
    <t>For example: Bombing out of a powerlifting meet. Opportunity for growth: Why did this happen? What could you do in the future to avoid this from happening? How can you be better at attempt selections? Etc.</t>
  </si>
  <si>
    <t>APPLICATION: Let Go and Overcome</t>
  </si>
  <si>
    <r>
      <rPr>
        <sz val="9"/>
        <rFont val="Calibri"/>
        <family val="2"/>
      </rPr>
      <t xml:space="preserve">1) Don't try to fight negative emotions such as sadness, anger, grief, etc. Just because an emotion is negative, doesn’t mean it’s a BAD thing. </t>
    </r>
    <r>
      <rPr>
        <b/>
        <sz val="9"/>
        <rFont val="Calibri"/>
        <family val="2"/>
      </rPr>
      <t>Internalize your emotions</t>
    </r>
    <r>
      <rPr>
        <sz val="9"/>
        <rFont val="Calibri"/>
        <family val="2"/>
      </rPr>
      <t xml:space="preserve"> and give yourself a set amount of time to be upset. Make sure you stick to that time and use it as a cue for when you will stop (i.e. I will allow myself the next 10 minutes to be upset, or until my new training block starts tomorrow). After that, leave it in the past.</t>
    </r>
  </si>
  <si>
    <r>
      <rPr>
        <sz val="9"/>
        <rFont val="Calibri"/>
        <family val="2"/>
      </rPr>
      <t xml:space="preserve">2) What are three takeaways or lessons that you can learn from your bad session? If you had a bad day in the gym and weren't able to hit your prescribed weight… let’s </t>
    </r>
    <r>
      <rPr>
        <b/>
        <sz val="9"/>
        <rFont val="Calibri"/>
        <family val="2"/>
      </rPr>
      <t>think about why that was</t>
    </r>
    <r>
      <rPr>
        <sz val="9"/>
        <rFont val="Calibri"/>
        <family val="2"/>
      </rPr>
      <t>. Didn’t get enough sleep? Did you notice an error in your form? Did you allow for too much negative self-talk? Write them down.</t>
    </r>
  </si>
  <si>
    <r>
      <rPr>
        <sz val="9"/>
        <rFont val="Calibri"/>
        <family val="2"/>
      </rPr>
      <t xml:space="preserve">3) Use visualization/imagery to walk through the same situation. This time, with a </t>
    </r>
    <r>
      <rPr>
        <b/>
        <sz val="9"/>
        <rFont val="Calibri"/>
        <family val="2"/>
      </rPr>
      <t>positive and successful outcome</t>
    </r>
    <r>
      <rPr>
        <sz val="9"/>
        <rFont val="Calibri"/>
        <family val="2"/>
      </rPr>
      <t xml:space="preserve">. Don't rehearse the error… rather EXACTLY how you would have liked it to go. This will help boost your self-confidence, allow you to move past any failures, and create a </t>
    </r>
    <r>
      <rPr>
        <b/>
        <sz val="9"/>
        <rFont val="Calibri"/>
        <family val="2"/>
      </rPr>
      <t>new and positive self-perception</t>
    </r>
    <r>
      <rPr>
        <sz val="9"/>
        <rFont val="Calibri"/>
        <family val="2"/>
      </rPr>
      <t>… which will help you succeed for the next time.</t>
    </r>
  </si>
  <si>
    <t>GOOD TRAINING DAYS</t>
  </si>
  <si>
    <t>Perhaps you just had an abnormally good training day. Let's take a moment to appreciate and internalize this, as well as document some aspects of the day. This can be beneficial to reflect on how to create more good training days by putting some of the same things in place in the future.</t>
  </si>
  <si>
    <t>What made this experience positive?</t>
  </si>
  <si>
    <t xml:space="preserve">How much sleep did you get the night before? </t>
  </si>
  <si>
    <t>SELECT</t>
  </si>
  <si>
    <t>What did your diet look like the day leading into it?</t>
  </si>
  <si>
    <t>How were anxiety levels? Were you psyched up or calm and collected?</t>
  </si>
  <si>
    <t xml:space="preserve">Did you use visualization or imagery before the session? If so, what did that look like? </t>
  </si>
  <si>
    <t>Did you use positive self-talk? How confident did you feel?</t>
  </si>
  <si>
    <t>How were stress levels?</t>
  </si>
  <si>
    <t>What kind of music were you listening to, if any?</t>
  </si>
  <si>
    <t>What was going through your head immediately before your lift?</t>
  </si>
  <si>
    <t xml:space="preserve">How did you feel afterwards? </t>
  </si>
  <si>
    <t>List of Squat</t>
  </si>
  <si>
    <t>List of Bench</t>
  </si>
  <si>
    <t>List of Deadlift</t>
  </si>
  <si>
    <t>SQ</t>
  </si>
  <si>
    <t>bn</t>
  </si>
  <si>
    <t>dl</t>
  </si>
  <si>
    <t>sq</t>
  </si>
  <si>
    <t>BN</t>
  </si>
  <si>
    <t>DL</t>
  </si>
  <si>
    <t>UNIT OF MEASURE</t>
  </si>
  <si>
    <t>lbs</t>
  </si>
  <si>
    <t>Leg Press</t>
  </si>
  <si>
    <t>Bananas</t>
  </si>
  <si>
    <t>Sumo Deadlift</t>
  </si>
  <si>
    <t>CURRENT</t>
  </si>
  <si>
    <t>Front Squat</t>
  </si>
  <si>
    <t>3:1:0 Tempo Bench</t>
  </si>
  <si>
    <t>squat</t>
  </si>
  <si>
    <t>Bench</t>
  </si>
  <si>
    <t>Comp Deadlit</t>
  </si>
  <si>
    <t>X REPS</t>
  </si>
  <si>
    <t>SQUAT</t>
  </si>
  <si>
    <t>BENCH</t>
  </si>
  <si>
    <t>DEADLIFT</t>
  </si>
  <si>
    <t>Comp Squat</t>
  </si>
  <si>
    <t>Competition Deadlift</t>
  </si>
  <si>
    <t>Comp Stance Deadlift</t>
  </si>
  <si>
    <t>Barbell Squat</t>
  </si>
  <si>
    <t>Paused Bench</t>
  </si>
  <si>
    <t>Competition Stance Deadlift</t>
  </si>
  <si>
    <t>PREVIOUS</t>
  </si>
  <si>
    <t>Paused Squat</t>
  </si>
  <si>
    <t>Pause Bench</t>
  </si>
  <si>
    <t>Conv Deadlift</t>
  </si>
  <si>
    <t>Paused Squat, 2ct</t>
  </si>
  <si>
    <t>Pause Bench Press</t>
  </si>
  <si>
    <t>Conventional Deadlift</t>
  </si>
  <si>
    <t>Paused Squat, 2 count</t>
  </si>
  <si>
    <t>Paused Bench Press</t>
  </si>
  <si>
    <t>Squat w/ Belt</t>
  </si>
  <si>
    <t>Paused Bench, 2ct</t>
  </si>
  <si>
    <t>Sumo DL</t>
  </si>
  <si>
    <t>Beltless Squat</t>
  </si>
  <si>
    <t>Paused Bench, 2 count</t>
  </si>
  <si>
    <t>Conv DL</t>
  </si>
  <si>
    <t>Squat Walkout</t>
  </si>
  <si>
    <t>Pause Bench, 2ct</t>
  </si>
  <si>
    <t>Conventional DL</t>
  </si>
  <si>
    <t>Block Pull</t>
  </si>
  <si>
    <t>SSB Squat</t>
  </si>
  <si>
    <t>Spoto Press</t>
  </si>
  <si>
    <t>Rack Pull</t>
  </si>
  <si>
    <t>Safety Bar Squat</t>
  </si>
  <si>
    <t>Larsen Press</t>
  </si>
  <si>
    <t>Snatch Grip Deadlift</t>
  </si>
  <si>
    <t>Squat w/Bands</t>
  </si>
  <si>
    <t>2-board Press</t>
  </si>
  <si>
    <t>Deficit DL</t>
  </si>
  <si>
    <t>Squat with Bands</t>
  </si>
  <si>
    <t>Close Grip Bench Press</t>
  </si>
  <si>
    <t>Deficit Deadlift</t>
  </si>
  <si>
    <t>NUTRITION/BASICS</t>
  </si>
  <si>
    <t>MACROS</t>
  </si>
  <si>
    <t>Squat w/Chains</t>
  </si>
  <si>
    <t>CGBP</t>
  </si>
  <si>
    <t>Deficit Deadlift, 2"</t>
  </si>
  <si>
    <t>Squat with Chains</t>
  </si>
  <si>
    <t>1-board Press</t>
  </si>
  <si>
    <t>Deficit Deadlift, 4"</t>
  </si>
  <si>
    <t>START OF TRAINING</t>
  </si>
  <si>
    <t>DAY</t>
  </si>
  <si>
    <t>Box Squat</t>
  </si>
  <si>
    <t>Bench Press w/board</t>
  </si>
  <si>
    <t>Deficit Deadlift, 6"</t>
  </si>
  <si>
    <t>FIRST NAME</t>
  </si>
  <si>
    <t>First</t>
  </si>
  <si>
    <t>HIGH CALORIE DAYS</t>
  </si>
  <si>
    <t>Smith Machine Squat</t>
  </si>
  <si>
    <t>Incline Bench</t>
  </si>
  <si>
    <t>Deadlift to Knees</t>
  </si>
  <si>
    <t>LAST NAME</t>
  </si>
  <si>
    <t>Last</t>
  </si>
  <si>
    <t>EXACT</t>
  </si>
  <si>
    <t>Front Box Squat</t>
  </si>
  <si>
    <t>Decline Bench</t>
  </si>
  <si>
    <t>Deadlift to Knees + Finish</t>
  </si>
  <si>
    <t>HEIGHT</t>
  </si>
  <si>
    <t>WINDOW</t>
  </si>
  <si>
    <t>Double Paused Squat</t>
  </si>
  <si>
    <t>DB Bench</t>
  </si>
  <si>
    <t>Deadlift w/ 2 Pauses</t>
  </si>
  <si>
    <t>AGE</t>
  </si>
  <si>
    <t>LOW CALORIE DAYS</t>
  </si>
  <si>
    <t>Dbl Paused Squat</t>
  </si>
  <si>
    <t>Incline DB Bench</t>
  </si>
  <si>
    <t>Deadlift w/chains</t>
  </si>
  <si>
    <t>STARTING BW</t>
  </si>
  <si>
    <t>Slow Squat</t>
  </si>
  <si>
    <t>Decline DB Bench</t>
  </si>
  <si>
    <t>Deadlift w/ Chains</t>
  </si>
  <si>
    <t>MAINTENANCE KCALS</t>
  </si>
  <si>
    <t>Push Up</t>
  </si>
  <si>
    <t>Deadlift with chains</t>
  </si>
  <si>
    <t>ACTIVITY LEVEL</t>
  </si>
  <si>
    <t>High Bar Squat</t>
  </si>
  <si>
    <t>Pushup</t>
  </si>
  <si>
    <t>Deadlift w/bands</t>
  </si>
  <si>
    <t>Low Bar Squat</t>
  </si>
  <si>
    <t>Weighted pushup</t>
  </si>
  <si>
    <t>Deadlift with bands</t>
  </si>
  <si>
    <t>SEX</t>
  </si>
  <si>
    <t>Zercher Squat</t>
  </si>
  <si>
    <t>Weighted Push Up</t>
  </si>
  <si>
    <t>Romanian Deadlift</t>
  </si>
  <si>
    <t>BF%</t>
  </si>
  <si>
    <t>Pin Squat</t>
  </si>
  <si>
    <t>Floor Press</t>
  </si>
  <si>
    <t>RDL</t>
  </si>
  <si>
    <t>LEAN GAIN OR CUT?</t>
  </si>
  <si>
    <t>select here</t>
  </si>
  <si>
    <t>Squat to Pins</t>
  </si>
  <si>
    <t>DB Floor Press</t>
  </si>
  <si>
    <t>SLDL</t>
  </si>
  <si>
    <t>Paused High Bar Squat</t>
  </si>
  <si>
    <t>Bench over Foam</t>
  </si>
  <si>
    <t>Stiff Legged Deadlift</t>
  </si>
  <si>
    <t>SESSIONS/WK</t>
  </si>
  <si>
    <t>KCAL/SESSION</t>
  </si>
  <si>
    <t>TOTAL KCAL/WK</t>
  </si>
  <si>
    <t>eKCALS/10 MINS</t>
  </si>
  <si>
    <t>Paused Front Squat</t>
  </si>
  <si>
    <t>Slow Bench</t>
  </si>
  <si>
    <t>Sumo Block Pull</t>
  </si>
  <si>
    <t>LISS</t>
  </si>
  <si>
    <t>Tempo Squat (3:1:3)</t>
  </si>
  <si>
    <t>Reverse Grip Bench</t>
  </si>
  <si>
    <t>1 + 1/2 Deadlift</t>
  </si>
  <si>
    <t>HIIT</t>
  </si>
  <si>
    <t>#intervals:</t>
  </si>
  <si>
    <t>Tempo Squat (3:0:3)</t>
  </si>
  <si>
    <t>Bench Lockout</t>
  </si>
  <si>
    <t>Paused DL</t>
  </si>
  <si>
    <t>Goblet Squat</t>
  </si>
  <si>
    <t>Pin Bench</t>
  </si>
  <si>
    <t>Squat w/ Briefs</t>
  </si>
  <si>
    <t>Bench to Pins</t>
  </si>
  <si>
    <t>Paused Deadlift, 2ct</t>
  </si>
  <si>
    <t>Squat w/ Wraps</t>
  </si>
  <si>
    <t>Bench w/chains</t>
  </si>
  <si>
    <t>Paused Deadlift to knees</t>
  </si>
  <si>
    <t>Squat w/ Suit + Wraps</t>
  </si>
  <si>
    <t>Wide Grip Bench</t>
  </si>
  <si>
    <t>Pause Deadlift</t>
  </si>
  <si>
    <t>Tempo Squat (2:0:0)</t>
  </si>
  <si>
    <t>TnG Bench</t>
  </si>
  <si>
    <t>Paused Deadlift, just off floor</t>
  </si>
  <si>
    <t>Tempo Squat (2:1:0)</t>
  </si>
  <si>
    <t>Barbell Bench Press</t>
  </si>
  <si>
    <t>Deadlift w/ Briefs</t>
  </si>
  <si>
    <t>CHOOSE 15-40% TOTAL KCALS</t>
  </si>
  <si>
    <t>Paused SSB Squat</t>
  </si>
  <si>
    <t>Deadlift w/ Suit</t>
  </si>
  <si>
    <t>Duffalo Bar Squat</t>
  </si>
  <si>
    <t>Bench Negatives</t>
  </si>
  <si>
    <t>Deadlift w/ Pause</t>
  </si>
  <si>
    <t>Buffalo Bar Squat</t>
  </si>
  <si>
    <t>Slingshot Bench</t>
  </si>
  <si>
    <t>Slingshot Press</t>
  </si>
  <si>
    <t>Paused Sumo Deadlift</t>
  </si>
  <si>
    <t>Tempo (3:0:1) High Bar</t>
  </si>
  <si>
    <t>2-ct Paused Bench</t>
  </si>
  <si>
    <t>Paused Sumo Deadlift, 2ct</t>
  </si>
  <si>
    <t>Close-grip Bench</t>
  </si>
  <si>
    <t>Paused Conventional Deadlift</t>
  </si>
  <si>
    <t>Pin Press</t>
  </si>
  <si>
    <t>Deadlift w/Pause</t>
  </si>
  <si>
    <t>BB Inline Press</t>
  </si>
  <si>
    <t>Controlled Eccentric Deadlift</t>
  </si>
  <si>
    <t>DB Flat Bench</t>
  </si>
  <si>
    <t>Comp Deadlift</t>
  </si>
  <si>
    <t>Machine Horizontal Press</t>
  </si>
  <si>
    <t>Bench w/ Shirt</t>
  </si>
  <si>
    <t>Raw Bench</t>
  </si>
  <si>
    <t>NUTRITION MICROCYCLE (DAYS)</t>
  </si>
  <si>
    <t>T-shirt Bench Press</t>
  </si>
  <si>
    <t>Duffalo Bar Bench</t>
  </si>
  <si>
    <t>Buffalo Bar Bench</t>
  </si>
  <si>
    <t>Comp Bench Yet Again MFer</t>
  </si>
  <si>
    <t>Comp Bench</t>
  </si>
  <si>
    <t>Competition Bench</t>
  </si>
</sst>
</file>

<file path=xl/styles.xml><?xml version="1.0" encoding="utf-8"?>
<styleSheet xmlns="http://schemas.openxmlformats.org/spreadsheetml/2006/main" xmlns:x14ac="http://schemas.microsoft.com/office/spreadsheetml/2009/9/ac" xmlns:mc="http://schemas.openxmlformats.org/markup-compatibility/2006">
  <numFmts count="17">
    <numFmt numFmtId="164" formatCode="m/d"/>
    <numFmt numFmtId="165" formatCode="m/d/yy"/>
    <numFmt numFmtId="166" formatCode="&quot;WEEK &quot;0"/>
    <numFmt numFmtId="167" formatCode="m&quot;/&quot;d"/>
    <numFmt numFmtId="168" formatCode="0&quot; x&quot;"/>
    <numFmt numFmtId="169" formatCode="[&lt;=10]&quot;@&quot;0.0;[&gt;10]##&quot;%&quot;"/>
    <numFmt numFmtId="170" formatCode="m-d"/>
    <numFmt numFmtId="171" formatCode="0&quot;-day average&quot;"/>
    <numFmt numFmtId="172" formatCode="M/d/yyyy"/>
    <numFmt numFmtId="173" formatCode="0.0%"/>
    <numFmt numFmtId="174" formatCode="&quot;x &quot;0"/>
    <numFmt numFmtId="175" formatCode="&quot;@&quot;0.0"/>
    <numFmt numFmtId="176" formatCode="&quot;@&quot;00"/>
    <numFmt numFmtId="177" formatCode="0&quot; kcals&quot;"/>
    <numFmt numFmtId="178" formatCode="&quot;+/- &quot;0"/>
    <numFmt numFmtId="179" formatCode="0.0"/>
    <numFmt numFmtId="180" formatCode="0&quot;%&quot;"/>
  </numFmts>
  <fonts count="88">
    <font>
      <sz val="10"/>
      <color rgb="FF000000"/>
      <name val="Arial"/>
      <family val="2"/>
    </font>
    <font>
      <sz val="10"/>
      <color theme="1"/>
      <name val="Arial"/>
      <family val="2"/>
    </font>
    <font>
      <sz val="10"/>
      <name val="Open Sans"/>
      <family val="2"/>
    </font>
    <font>
      <b/>
      <sz val="15"/>
      <color rgb="FF000000"/>
      <name val="Open Sans"/>
      <family val="2"/>
    </font>
    <font>
      <sz val="14"/>
      <color rgb="FF434343"/>
      <name val="Open Sans"/>
      <family val="2"/>
    </font>
    <font>
      <sz val="10"/>
      <color rgb="FF1A1A1A"/>
      <name val="Open Sans"/>
      <family val="2"/>
    </font>
    <font>
      <i/>
      <sz val="18"/>
      <color rgb="FF980000"/>
      <name val="Open Sans"/>
      <family val="2"/>
    </font>
    <font>
      <sz val="11"/>
      <color rgb="FF1A1A1A"/>
      <name val="Open Sans"/>
      <family val="2"/>
    </font>
    <font>
      <sz val="10"/>
      <color rgb="FF434343"/>
      <name val="Open Sans"/>
      <family val="2"/>
    </font>
    <font>
      <sz val="18"/>
      <color rgb="FF980000"/>
      <name val="Open Sans"/>
      <family val="2"/>
    </font>
    <font>
      <b/>
      <sz val="11"/>
      <color rgb="FF434343"/>
      <name val="Open Sans"/>
      <family val="2"/>
    </font>
    <font>
      <i/>
      <sz val="10"/>
      <color rgb="FF434343"/>
      <name val="Open Sans"/>
      <family val="2"/>
    </font>
    <font>
      <b/>
      <sz val="10"/>
      <color rgb="FF434343"/>
      <name val="Open Sans"/>
      <family val="2"/>
    </font>
    <font>
      <b/>
      <u val="single"/>
      <sz val="15"/>
      <color rgb="FF980000"/>
      <name val="Open Sans"/>
      <family val="2"/>
    </font>
    <font>
      <u val="single"/>
      <sz val="11"/>
      <color rgb="FF434343"/>
      <name val="Open Sans"/>
      <family val="2"/>
    </font>
    <font>
      <sz val="10"/>
      <color rgb="FFFFFFFF"/>
      <name val="Calibri"/>
      <family val="2"/>
    </font>
    <font>
      <i/>
      <sz val="9"/>
      <name val="Calibri"/>
      <family val="2"/>
    </font>
    <font>
      <sz val="10"/>
      <name val="Calibri"/>
      <family val="2"/>
    </font>
    <font>
      <sz val="9"/>
      <name val="Calibri"/>
      <family val="2"/>
    </font>
    <font>
      <i/>
      <sz val="9"/>
      <name val="Arial"/>
      <family val="2"/>
    </font>
    <font>
      <sz val="11"/>
      <color rgb="FF434343"/>
      <name val="Montserrat"/>
      <family val="2"/>
    </font>
    <font>
      <b/>
      <sz val="9"/>
      <color rgb="FF9E424B"/>
      <name val="Montserrat"/>
      <family val="2"/>
    </font>
    <font>
      <sz val="9"/>
      <color rgb="FF999999"/>
      <name val="Calibri"/>
      <family val="2"/>
    </font>
    <font>
      <sz val="9"/>
      <color rgb="FF434343"/>
      <name val="Montserrat"/>
      <family val="2"/>
    </font>
    <font>
      <sz val="10"/>
      <color rgb="FFF3F3F3"/>
      <name val="Calibri"/>
      <family val="2"/>
    </font>
    <font>
      <sz val="10"/>
      <color rgb="FFFF0000"/>
      <name val="Calibri"/>
      <family val="2"/>
    </font>
    <font>
      <b/>
      <sz val="10"/>
      <name val="Calibri"/>
      <family val="2"/>
    </font>
    <font>
      <b/>
      <sz val="10"/>
      <color rgb="FFFF0000"/>
      <name val="Calibri"/>
      <family val="2"/>
    </font>
    <font>
      <sz val="12"/>
      <name val="Calibri"/>
      <family val="2"/>
    </font>
    <font>
      <b/>
      <sz val="9"/>
      <name val="Calibri"/>
      <family val="2"/>
    </font>
    <font>
      <b/>
      <sz val="9"/>
      <color rgb="FF434343"/>
      <name val="Calibri"/>
      <family val="2"/>
    </font>
    <font>
      <b/>
      <sz val="10"/>
      <color rgb="FF5B0F00"/>
      <name val="Calibri"/>
      <family val="2"/>
    </font>
    <font>
      <sz val="10"/>
      <color rgb="FF434343"/>
      <name val="Calibri"/>
      <family val="2"/>
    </font>
    <font>
      <sz val="11"/>
      <color rgb="FF000000"/>
      <name val="Calibri"/>
      <family val="2"/>
    </font>
    <font>
      <sz val="19"/>
      <color rgb="FF9E424B"/>
      <name val="Open Sans"/>
      <family val="2"/>
    </font>
    <font>
      <sz val="17"/>
      <color rgb="FF434343"/>
      <name val="Open Sans"/>
      <family val="2"/>
    </font>
    <font>
      <sz val="14"/>
      <color rgb="FF666666"/>
      <name val="Open Sans"/>
      <family val="2"/>
    </font>
    <font>
      <sz val="33"/>
      <color rgb="FFFFFFFF"/>
      <name val="Open Sans"/>
      <family val="2"/>
    </font>
    <font>
      <sz val="14"/>
      <color rgb="FF999999"/>
      <name val="Open Sans"/>
      <family val="2"/>
    </font>
    <font>
      <sz val="9"/>
      <color rgb="FFFFFFFF"/>
      <name val="Calibri"/>
      <family val="2"/>
    </font>
    <font>
      <b/>
      <sz val="10"/>
      <name val="Roboto"/>
      <family val="2"/>
    </font>
    <font>
      <sz val="9"/>
      <color rgb="FF434343"/>
      <name val="Calibri"/>
      <family val="2"/>
    </font>
    <font>
      <sz val="13"/>
      <color rgb="FFB7B7B7"/>
      <name val="Open Sans"/>
      <family val="2"/>
    </font>
    <font>
      <b/>
      <sz val="9"/>
      <color rgb="FF000000"/>
      <name val="Calibri"/>
      <family val="2"/>
    </font>
    <font>
      <sz val="9"/>
      <color rgb="FF000000"/>
      <name val="Calibri"/>
      <family val="2"/>
    </font>
    <font>
      <sz val="10"/>
      <name val="Arial"/>
      <family val="2"/>
    </font>
    <font>
      <b/>
      <sz val="9"/>
      <color rgb="FFFFFFFF"/>
      <name val="Calibri"/>
      <family val="2"/>
    </font>
    <font>
      <sz val="22"/>
      <color rgb="FF434343"/>
      <name val="Open Sans"/>
      <family val="2"/>
    </font>
    <font>
      <sz val="24"/>
      <color rgb="FF434343"/>
      <name val="Open Sans"/>
      <family val="2"/>
    </font>
    <font>
      <sz val="10"/>
      <color rgb="FFFFFFFF"/>
      <name val="Arial"/>
      <family val="2"/>
    </font>
    <font>
      <sz val="10"/>
      <color rgb="FFB7B7B7"/>
      <name val="Calibri"/>
      <family val="2"/>
    </font>
    <font>
      <i/>
      <sz val="9"/>
      <color rgb="FF434343"/>
      <name val="Calibri"/>
      <family val="2"/>
    </font>
    <font>
      <sz val="11"/>
      <color rgb="FF000000"/>
      <name val="Inconsolata"/>
      <family val="2"/>
    </font>
    <font>
      <b/>
      <sz val="10"/>
      <color rgb="FFFFFFFF"/>
      <name val="Calibri"/>
      <family val="2"/>
    </font>
    <font>
      <sz val="10"/>
      <color rgb="FFFFFFFF"/>
      <name val="Roboto"/>
      <family val="2"/>
    </font>
    <font>
      <sz val="8"/>
      <color rgb="FFFFFFFF"/>
      <name val="Calibri"/>
      <family val="2"/>
    </font>
    <font>
      <sz val="10"/>
      <color rgb="FF000000"/>
      <name val="Calibri"/>
      <family val="2"/>
    </font>
    <font>
      <b/>
      <sz val="15"/>
      <name val="Open Sans"/>
      <family val="2"/>
    </font>
    <font>
      <b/>
      <sz val="10"/>
      <color rgb="FF434343"/>
      <name val="Calibri"/>
      <family val="2"/>
    </font>
    <font>
      <b/>
      <sz val="11"/>
      <name val="Calibri"/>
      <family val="2"/>
    </font>
    <font>
      <b/>
      <sz val="11"/>
      <color rgb="FF434343"/>
      <name val="Calibri"/>
      <family val="2"/>
    </font>
    <font>
      <sz val="11"/>
      <color rgb="FFFFFFFF"/>
      <name val="Calibri"/>
      <family val="2"/>
    </font>
    <font>
      <sz val="11"/>
      <color rgb="FF434343"/>
      <name val="Calibri"/>
      <family val="2"/>
    </font>
    <font>
      <sz val="11"/>
      <color rgb="FF434343"/>
      <name val="Arial"/>
      <family val="2"/>
    </font>
    <font>
      <sz val="10"/>
      <color rgb="FF000000"/>
      <name val="-apple-system"/>
      <family val="2"/>
    </font>
    <font>
      <b/>
      <sz val="14"/>
      <color rgb="FF9E424B"/>
      <name val="Calibri"/>
      <family val="2"/>
    </font>
    <font>
      <b/>
      <sz val="12"/>
      <color rgb="FF9E424B"/>
      <name val="Calibri"/>
      <family val="2"/>
    </font>
    <font>
      <sz val="9"/>
      <color rgb="FF9E424B"/>
      <name val="Calibri"/>
      <family val="2"/>
    </font>
    <font>
      <u val="single"/>
      <sz val="9"/>
      <color rgb="FF000000"/>
      <name val="Calibri"/>
      <family val="2"/>
    </font>
    <font>
      <u val="single"/>
      <sz val="9"/>
      <color rgb="FF9E424B"/>
      <name val="Calibri"/>
      <family val="2"/>
    </font>
    <font>
      <u val="single"/>
      <sz val="10"/>
      <color rgb="FF0000FF"/>
      <name val="Calibri"/>
      <family val="2"/>
    </font>
    <font>
      <sz val="10"/>
      <color rgb="FFFFFFFF"/>
      <name val="Open Sans"/>
      <family val="2"/>
    </font>
    <font>
      <sz val="8"/>
      <name val="Calibri"/>
      <family val="2"/>
    </font>
    <font>
      <b/>
      <u val="single"/>
      <sz val="9"/>
      <color rgb="FF0000FF"/>
      <name val="Calibri"/>
      <family val="2"/>
    </font>
    <font>
      <b/>
      <sz val="10"/>
      <color rgb="FF9E424B"/>
      <name val="Calibri"/>
      <family val="2"/>
    </font>
    <font>
      <b/>
      <sz val="18"/>
      <color rgb="FF9E424B"/>
      <name val="Calibri"/>
      <family val="2"/>
    </font>
    <font>
      <sz val="9"/>
      <color rgb="FF434343"/>
      <name val="Arial"/>
      <family val="2"/>
    </font>
    <font>
      <b/>
      <sz val="9"/>
      <color rgb="FF434343"/>
      <name val="Arial"/>
      <family val="2"/>
    </font>
    <font>
      <b/>
      <sz val="10"/>
      <color rgb="FF434343"/>
      <name val="Arial"/>
      <family val="2"/>
    </font>
    <font>
      <b/>
      <sz val="10"/>
      <color rgb="FFA5644E"/>
      <name val="Calibri"/>
      <family val="2"/>
    </font>
    <font>
      <b/>
      <sz val="10"/>
      <color rgb="FFF3F3F3"/>
      <name val="Calibri"/>
      <family val="2"/>
    </font>
    <font>
      <b/>
      <sz val="9"/>
      <color rgb="FFA5644E"/>
      <name val="Calibri"/>
      <family val="2"/>
    </font>
    <font>
      <sz val="12"/>
      <color rgb="FF434343"/>
      <name val="Calibri"/>
      <family val="2"/>
    </font>
    <font>
      <sz val="10"/>
      <color rgb="FF434343"/>
      <name val="Arial"/>
      <family val="2"/>
    </font>
    <font>
      <b/>
      <sz val="9"/>
      <color rgb="FF434343"/>
      <name val="Calibri, sans-serif"/>
      <family val="2"/>
    </font>
    <font>
      <sz val="9"/>
      <color rgb="FF434343"/>
      <name val="Calibri, sans-serif"/>
      <family val="2"/>
    </font>
    <font>
      <sz val="10"/>
      <color rgb="FF000000"/>
      <name val="Roboto"/>
      <family val="2"/>
    </font>
    <font>
      <sz val="6"/>
      <color rgb="FFFFFFFF"/>
      <name val="Roboto"/>
      <family val="2"/>
    </font>
  </fonts>
  <fills count="11">
    <fill>
      <patternFill patternType="none"/>
    </fill>
    <fill>
      <patternFill patternType="gray125"/>
    </fill>
    <fill>
      <patternFill patternType="solid">
        <fgColor rgb="FFF3F3F3"/>
        <bgColor indexed="64"/>
      </patternFill>
    </fill>
    <fill>
      <patternFill patternType="solid">
        <fgColor rgb="FFFFFFFF"/>
        <bgColor indexed="64"/>
      </patternFill>
    </fill>
    <fill>
      <patternFill patternType="solid">
        <fgColor rgb="FF434343"/>
        <bgColor indexed="64"/>
      </patternFill>
    </fill>
    <fill>
      <patternFill patternType="solid">
        <fgColor rgb="FF9E424B"/>
        <bgColor indexed="64"/>
      </patternFill>
    </fill>
    <fill>
      <patternFill patternType="solid">
        <fgColor rgb="FF666666"/>
        <bgColor indexed="64"/>
      </patternFill>
    </fill>
    <fill>
      <patternFill patternType="solid">
        <fgColor rgb="FFEFEFEF"/>
        <bgColor indexed="64"/>
      </patternFill>
    </fill>
    <fill>
      <patternFill patternType="solid">
        <fgColor rgb="FFD9D9D9"/>
        <bgColor indexed="64"/>
      </patternFill>
    </fill>
    <fill>
      <patternFill patternType="solid">
        <fgColor rgb="FFF1F0F0"/>
        <bgColor indexed="64"/>
      </patternFill>
    </fill>
    <fill>
      <patternFill patternType="solid">
        <fgColor rgb="FFFFE599"/>
        <bgColor indexed="64"/>
      </patternFill>
    </fill>
  </fills>
  <borders count="35">
    <border>
      <left/>
      <right/>
      <top/>
      <bottom/>
      <diagonal/>
    </border>
    <border>
      <left/>
      <right/>
      <top/>
      <bottom style="thin">
        <color rgb="FFD9D9D9"/>
      </bottom>
    </border>
    <border>
      <left/>
      <right/>
      <top style="medium">
        <color rgb="FF9E424B"/>
      </top>
      <bottom/>
    </border>
    <border>
      <left/>
      <right style="thin">
        <color rgb="FFB7B7B7"/>
      </right>
      <top/>
      <bottom/>
    </border>
    <border>
      <left/>
      <right/>
      <top/>
      <bottom style="thin">
        <color rgb="FFB7B7B7"/>
      </bottom>
    </border>
    <border>
      <left/>
      <right style="thin">
        <color rgb="FFB7B7B7"/>
      </right>
      <top/>
      <bottom style="thin">
        <color rgb="FFB7B7B7"/>
      </bottom>
    </border>
    <border>
      <left style="thin">
        <color rgb="FFFFFFFF"/>
      </left>
      <right style="thin">
        <color rgb="FFFFFFFF"/>
      </right>
      <top style="thin">
        <color rgb="FFFFFFFF"/>
      </top>
      <bottom/>
    </border>
    <border>
      <left/>
      <right/>
      <top style="thin">
        <color rgb="FFD9D9D9"/>
      </top>
      <bottom/>
    </border>
    <border>
      <left style="thick">
        <color rgb="FF999999"/>
      </left>
      <right/>
      <top style="thick">
        <color rgb="FF999999"/>
      </top>
      <bottom style="thick">
        <color rgb="FF999999"/>
      </bottom>
    </border>
    <border>
      <left/>
      <right style="thick">
        <color rgb="FF999999"/>
      </right>
      <top style="thick">
        <color rgb="FF999999"/>
      </top>
      <bottom style="thick">
        <color rgb="FF999999"/>
      </bottom>
    </border>
    <border>
      <left/>
      <right/>
      <top/>
      <bottom style="thick">
        <color rgb="FFD75966"/>
      </bottom>
    </border>
    <border>
      <left style="thin">
        <color rgb="FFB7B7B7"/>
      </left>
      <right/>
      <top/>
      <bottom/>
    </border>
    <border>
      <left/>
      <right style="thin">
        <color rgb="FFB7B7B7"/>
      </right>
      <top style="thick">
        <color rgb="FFD75966"/>
      </top>
      <bottom/>
    </border>
    <border>
      <left style="thin">
        <color rgb="FFB7B7B7"/>
      </left>
      <right/>
      <top/>
      <bottom style="thin">
        <color rgb="FFB7B7B7"/>
      </bottom>
    </border>
    <border>
      <left/>
      <right style="thick">
        <color rgb="FFFFFFFF"/>
      </right>
      <top/>
      <bottom/>
    </border>
    <border>
      <left style="thick">
        <color rgb="FFFFFFFF"/>
      </left>
      <right style="thick">
        <color rgb="FFFFFFFF"/>
      </right>
      <top/>
      <bottom/>
    </border>
    <border>
      <left style="thick">
        <color rgb="FFFFFFFF"/>
      </left>
      <right/>
      <top/>
      <bottom/>
    </border>
    <border>
      <left/>
      <right style="thin">
        <color rgb="FF000000"/>
      </right>
      <top/>
      <bottom/>
    </border>
    <border>
      <left/>
      <right/>
      <top/>
      <bottom style="thin">
        <color rgb="FF000000"/>
      </bottom>
    </border>
    <border>
      <left/>
      <right style="thin">
        <color rgb="FF000000"/>
      </right>
      <top/>
      <bottom style="thin">
        <color rgb="FF000000"/>
      </bottom>
    </border>
    <border>
      <left style="dotted">
        <color rgb="FF999999"/>
      </left>
      <right/>
      <top style="dotted">
        <color rgb="FF999999"/>
      </top>
      <bottom/>
    </border>
    <border>
      <left/>
      <right/>
      <top style="dotted">
        <color rgb="FF999999"/>
      </top>
      <bottom/>
    </border>
    <border>
      <left/>
      <right style="dotted">
        <color rgb="FF999999"/>
      </right>
      <top style="dotted">
        <color rgb="FF999999"/>
      </top>
      <bottom/>
    </border>
    <border>
      <left style="dotted">
        <color rgb="FF999999"/>
      </left>
      <right/>
      <top/>
      <bottom style="dotted">
        <color rgb="FF999999"/>
      </bottom>
    </border>
    <border>
      <left/>
      <right/>
      <top/>
      <bottom style="dotted">
        <color rgb="FF999999"/>
      </bottom>
    </border>
    <border>
      <left/>
      <right style="dotted">
        <color rgb="FF999999"/>
      </right>
      <top/>
      <bottom style="dotted">
        <color rgb="FF999999"/>
      </bottom>
    </border>
    <border>
      <left style="dotted">
        <color rgb="FF999999"/>
      </left>
      <right/>
      <top/>
      <bottom/>
    </border>
    <border>
      <left/>
      <right style="dotted">
        <color rgb="FF999999"/>
      </right>
      <top/>
      <bottom/>
    </border>
    <border>
      <left style="dotted">
        <color rgb="FF999999"/>
      </left>
      <right/>
      <top style="dotted">
        <color rgb="FF999999"/>
      </top>
      <bottom style="dotted">
        <color rgb="FF999999"/>
      </bottom>
    </border>
    <border>
      <left/>
      <right/>
      <top style="dotted">
        <color rgb="FF999999"/>
      </top>
      <bottom style="dotted">
        <color rgb="FF999999"/>
      </bottom>
    </border>
    <border>
      <left/>
      <right style="dotted">
        <color rgb="FF999999"/>
      </right>
      <top style="dotted">
        <color rgb="FF999999"/>
      </top>
      <bottom style="dotted">
        <color rgb="FF999999"/>
      </bottom>
    </border>
    <border>
      <left style="thin">
        <color rgb="FF9E424B"/>
      </left>
      <right style="thin">
        <color rgb="FF9E424B"/>
      </right>
      <top style="thin">
        <color rgb="FF9E424B"/>
      </top>
      <bottom style="thin">
        <color rgb="FF9E424B"/>
      </bottom>
    </border>
    <border>
      <left style="thin">
        <color rgb="FF9E424B"/>
      </left>
      <right/>
      <top style="thin">
        <color rgb="FF9E424B"/>
      </top>
      <bottom style="thin">
        <color rgb="FF9E424B"/>
      </bottom>
    </border>
    <border>
      <left/>
      <right/>
      <top style="thin">
        <color rgb="FF9E424B"/>
      </top>
      <bottom style="thin">
        <color rgb="FF9E424B"/>
      </bottom>
    </border>
    <border>
      <left/>
      <right style="thin">
        <color rgb="FF9E424B"/>
      </right>
      <top style="thin">
        <color rgb="FF9E424B"/>
      </top>
      <bottom style="thin">
        <color rgb="FF9E424B"/>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70">
    <xf numFmtId="0" fontId="0" fillId="0" borderId="0" xfId="0" applyFont="1" applyAlignment="1">
      <alignment/>
    </xf>
    <xf numFmtId="0" fontId="2" fillId="0" borderId="0" xfId="0" applyFont="1"/>
    <xf numFmtId="0" fontId="3" fillId="0" borderId="0" xfId="0" applyFont="1" applyAlignment="1">
      <alignment horizontal="left"/>
    </xf>
    <xf numFmtId="0" fontId="2" fillId="0" borderId="0" xfId="0" applyFont="1" applyAlignment="1">
      <alignment/>
    </xf>
    <xf numFmtId="0" fontId="2" fillId="0" borderId="1" xfId="0" applyFont="1" applyBorder="1"/>
    <xf numFmtId="0" fontId="2" fillId="2" borderId="0" xfId="0" applyFont="1" applyFill="1"/>
    <xf numFmtId="0" fontId="4" fillId="2" borderId="2" xfId="0" applyFont="1" applyBorder="1" applyAlignment="1">
      <alignment/>
    </xf>
    <xf numFmtId="0" fontId="5" fillId="2" borderId="0" xfId="0" applyFont="1" applyAlignment="1">
      <alignment wrapText="1"/>
    </xf>
    <xf numFmtId="0" fontId="4" fillId="2" borderId="0" xfId="0" applyFont="1" applyAlignment="1">
      <alignment/>
    </xf>
    <xf numFmtId="0" fontId="2" fillId="2" borderId="0" xfId="0" applyFont="1" applyAlignment="1">
      <alignment vertical="center"/>
    </xf>
    <xf numFmtId="0" fontId="6" fillId="2" borderId="0" xfId="0" applyFont="1" applyAlignment="1">
      <alignment horizontal="right" vertical="center"/>
    </xf>
    <xf numFmtId="0" fontId="5" fillId="2" borderId="0" xfId="0" applyFont="1" applyAlignment="1">
      <alignment vertical="center" wrapText="1"/>
    </xf>
    <xf numFmtId="0" fontId="5" fillId="2" borderId="0" xfId="0" applyFont="1" applyAlignment="1">
      <alignment vertical="center" wrapText="1"/>
    </xf>
    <xf numFmtId="0" fontId="7" fillId="0" borderId="0" xfId="0" applyFont="1" applyAlignment="1">
      <alignment horizontal="center" vertical="center" wrapText="1"/>
    </xf>
    <xf numFmtId="0" fontId="0" fillId="0" borderId="3" xfId="0" applyFont="1" applyBorder="1"/>
    <xf numFmtId="0" fontId="0" fillId="0" borderId="4" xfId="0" applyFont="1" applyBorder="1"/>
    <xf numFmtId="0" fontId="0" fillId="0" borderId="5" xfId="0" applyFont="1" applyBorder="1"/>
    <xf numFmtId="0" fontId="5" fillId="2" borderId="0" xfId="0" applyFont="1" applyAlignment="1">
      <alignment/>
    </xf>
    <xf numFmtId="0" fontId="8" fillId="2" borderId="0" xfId="0" applyFont="1" applyAlignment="1">
      <alignment wrapText="1"/>
    </xf>
    <xf numFmtId="0" fontId="8" fillId="2" borderId="0" xfId="0" applyFont="1"/>
    <xf numFmtId="0" fontId="9" fillId="2" borderId="0" xfId="0" applyFont="1" applyAlignment="1">
      <alignment horizontal="right"/>
    </xf>
    <xf numFmtId="0" fontId="2" fillId="2" borderId="0" xfId="0" applyFont="1" applyAlignment="1">
      <alignment/>
    </xf>
    <xf numFmtId="0" fontId="10" fillId="2" borderId="0" xfId="0" applyFont="1" applyAlignment="1">
      <alignment vertical="center"/>
    </xf>
    <xf numFmtId="0" fontId="8" fillId="2" borderId="0" xfId="0" applyFont="1" applyAlignment="1">
      <alignment vertical="center"/>
    </xf>
    <xf numFmtId="0" fontId="8" fillId="2" borderId="0" xfId="0" applyFont="1" applyAlignment="1">
      <alignment vertical="center" wrapText="1"/>
    </xf>
    <xf numFmtId="0" fontId="11" fillId="2" borderId="0" xfId="0" applyFont="1" applyAlignment="1">
      <alignment vertical="center"/>
    </xf>
    <xf numFmtId="0" fontId="11" fillId="2" borderId="0" xfId="0" applyFont="1" applyAlignment="1">
      <alignment vertical="center"/>
    </xf>
    <xf numFmtId="0" fontId="8" fillId="2" borderId="0" xfId="0" applyFont="1" applyAlignment="1">
      <alignment vertical="center"/>
    </xf>
    <xf numFmtId="0" fontId="10" fillId="2" borderId="0" xfId="0" applyFont="1" applyAlignment="1">
      <alignment vertical="center" wrapText="1"/>
    </xf>
    <xf numFmtId="0" fontId="12" fillId="2" borderId="0" xfId="0" applyFont="1" applyAlignment="1">
      <alignment/>
    </xf>
    <xf numFmtId="0" fontId="12" fillId="2" borderId="0" xfId="0" applyFont="1" applyAlignment="1">
      <alignment vertical="center"/>
    </xf>
    <xf numFmtId="0" fontId="13" fillId="0" borderId="0" xfId="0" applyFont="1" applyAlignment="1">
      <alignment horizontal="center" vertical="center"/>
    </xf>
    <xf numFmtId="0" fontId="14" fillId="0" borderId="4" xfId="0" applyFont="1" applyBorder="1" applyAlignment="1">
      <alignment horizontal="center" vertical="center"/>
    </xf>
    <xf numFmtId="0" fontId="8" fillId="2" borderId="0" xfId="0" applyFont="1" applyAlignment="1">
      <alignment horizontal="left" vertical="center"/>
    </xf>
    <xf numFmtId="0" fontId="12" fillId="2" borderId="0" xfId="0" applyFont="1" applyAlignment="1">
      <alignment horizontal="left" vertical="center"/>
    </xf>
    <xf numFmtId="0" fontId="8" fillId="2" borderId="0" xfId="0" applyFont="1" applyAlignment="1">
      <alignment horizontal="left" vertical="center"/>
    </xf>
    <xf numFmtId="0" fontId="11" fillId="2" borderId="0" xfId="0" applyFont="1" applyAlignment="1">
      <alignment horizontal="left" vertical="center"/>
    </xf>
    <xf numFmtId="0" fontId="6" fillId="2" borderId="0" xfId="0" applyFont="1" applyAlignment="1">
      <alignment horizontal="right" vertical="top"/>
    </xf>
    <xf numFmtId="0" fontId="15" fillId="0" borderId="0" xfId="0" applyFont="1"/>
    <xf numFmtId="0" fontId="16" fillId="0" borderId="0" xfId="0" applyFont="1" applyAlignment="1">
      <alignment horizontal="right"/>
    </xf>
    <xf numFmtId="0" fontId="17" fillId="0" borderId="0" xfId="0" applyFont="1" applyAlignment="1">
      <alignment/>
    </xf>
    <xf numFmtId="164" fontId="18" fillId="0" borderId="0" xfId="0" applyNumberFormat="1" applyFont="1" applyAlignment="1">
      <alignment horizontal="center"/>
    </xf>
    <xf numFmtId="0" fontId="17" fillId="0" borderId="0" xfId="0" applyFont="1"/>
    <xf numFmtId="0" fontId="17" fillId="0" borderId="0" xfId="0" applyFont="1" applyAlignment="1">
      <alignment horizontal="center"/>
    </xf>
    <xf numFmtId="1" fontId="17" fillId="0" borderId="0" xfId="0" applyNumberFormat="1" applyFont="1" applyAlignment="1">
      <alignment horizontal="left"/>
    </xf>
    <xf numFmtId="0" fontId="19" fillId="0" borderId="0" xfId="0" applyFont="1" applyAlignment="1">
      <alignment horizontal="right"/>
    </xf>
    <xf numFmtId="0" fontId="20" fillId="0" borderId="0" xfId="0" applyFont="1" applyAlignment="1">
      <alignment/>
    </xf>
    <xf numFmtId="165" fontId="17" fillId="0" borderId="0" xfId="0" applyNumberFormat="1" applyFont="1" applyAlignment="1">
      <alignment horizontal="center"/>
    </xf>
    <xf numFmtId="0" fontId="20" fillId="0" borderId="0" xfId="0" applyFont="1"/>
    <xf numFmtId="164" fontId="18" fillId="0" borderId="0" xfId="0" applyNumberFormat="1" applyFont="1" applyAlignment="1">
      <alignment horizontal="center"/>
    </xf>
    <xf numFmtId="166" fontId="21" fillId="0" borderId="0" xfId="0" applyNumberFormat="1" applyFont="1" applyAlignment="1">
      <alignment horizontal="left"/>
    </xf>
    <xf numFmtId="167" fontId="22" fillId="0" borderId="6" xfId="0" applyNumberFormat="1" applyFont="1" applyBorder="1" applyAlignment="1">
      <alignment horizontal="center"/>
    </xf>
    <xf numFmtId="0" fontId="23" fillId="0" borderId="0" xfId="0" applyFont="1" applyAlignment="1">
      <alignment/>
    </xf>
    <xf numFmtId="0" fontId="17" fillId="0" borderId="0" xfId="0" applyFont="1" applyAlignment="1">
      <alignment horizontal="right"/>
    </xf>
    <xf numFmtId="0" fontId="23" fillId="0" borderId="0" xfId="0" applyFont="1"/>
    <xf numFmtId="0" fontId="15" fillId="0" borderId="1" xfId="0" applyFont="1" applyBorder="1"/>
    <xf numFmtId="0" fontId="19" fillId="0" borderId="1" xfId="0" applyFont="1" applyBorder="1" applyAlignment="1">
      <alignment horizontal="right"/>
    </xf>
    <xf numFmtId="0" fontId="17" fillId="0" borderId="1" xfId="0" applyFont="1" applyBorder="1" applyAlignment="1">
      <alignment/>
    </xf>
    <xf numFmtId="164" fontId="18" fillId="0" borderId="1" xfId="0" applyNumberFormat="1" applyFont="1" applyBorder="1" applyAlignment="1">
      <alignment horizontal="center"/>
    </xf>
    <xf numFmtId="0" fontId="16" fillId="0" borderId="1" xfId="0" applyFont="1" applyBorder="1" applyAlignment="1">
      <alignment horizontal="left"/>
    </xf>
    <xf numFmtId="0" fontId="17" fillId="0" borderId="1" xfId="0" applyFont="1" applyBorder="1" applyAlignment="1">
      <alignment horizontal="center"/>
    </xf>
    <xf numFmtId="1" fontId="17" fillId="0" borderId="1" xfId="0" applyNumberFormat="1" applyFont="1" applyBorder="1" applyAlignment="1">
      <alignment horizontal="left"/>
    </xf>
    <xf numFmtId="0" fontId="17" fillId="0" borderId="1" xfId="0" applyFont="1" applyBorder="1"/>
    <xf numFmtId="0" fontId="17" fillId="2" borderId="0" xfId="0" applyFont="1"/>
    <xf numFmtId="0" fontId="16" fillId="2" borderId="0" xfId="0" applyFont="1" applyAlignment="1">
      <alignment horizontal="right"/>
    </xf>
    <xf numFmtId="0" fontId="17" fillId="2" borderId="0" xfId="0" applyFont="1" applyAlignment="1">
      <alignment/>
    </xf>
    <xf numFmtId="164" fontId="18" fillId="2" borderId="0" xfId="0" applyNumberFormat="1" applyFont="1" applyAlignment="1">
      <alignment horizontal="center"/>
    </xf>
    <xf numFmtId="0" fontId="17" fillId="2" borderId="0" xfId="0" applyFont="1" applyAlignment="1">
      <alignment horizontal="center"/>
    </xf>
    <xf numFmtId="0" fontId="17" fillId="2" borderId="7" xfId="0" applyFont="1" applyBorder="1" applyAlignment="1">
      <alignment horizontal="center"/>
    </xf>
    <xf numFmtId="1" fontId="17" fillId="2" borderId="0" xfId="0" applyNumberFormat="1" applyFont="1" applyAlignment="1">
      <alignment horizontal="left"/>
    </xf>
    <xf numFmtId="1" fontId="17" fillId="2" borderId="0" xfId="0" applyNumberFormat="1" applyFont="1" applyAlignment="1">
      <alignment horizontal="left"/>
    </xf>
    <xf numFmtId="0" fontId="24" fillId="2" borderId="0" xfId="0" applyFont="1" applyAlignment="1">
      <alignment horizontal="left"/>
    </xf>
    <xf numFmtId="0" fontId="25" fillId="2" borderId="8" xfId="0" applyFont="1" applyBorder="1" applyAlignment="1">
      <alignment/>
    </xf>
    <xf numFmtId="0" fontId="0" fillId="0" borderId="9" xfId="0" applyFont="1" applyBorder="1"/>
    <xf numFmtId="0" fontId="26" fillId="2" borderId="0" xfId="0" applyFont="1" applyAlignment="1">
      <alignment/>
    </xf>
    <xf numFmtId="164" fontId="18" fillId="2" borderId="0" xfId="0" applyNumberFormat="1" applyFont="1" applyAlignment="1">
      <alignment horizontal="center"/>
    </xf>
    <xf numFmtId="0" fontId="27" fillId="2" borderId="0" xfId="0" applyFont="1" applyAlignment="1">
      <alignment horizontal="left" vertical="center"/>
    </xf>
    <xf numFmtId="0" fontId="27" fillId="2" borderId="8" xfId="0" applyFont="1" applyBorder="1" applyAlignment="1">
      <alignment/>
    </xf>
    <xf numFmtId="0" fontId="17" fillId="2" borderId="0" xfId="0" applyFont="1" applyAlignment="1">
      <alignment horizontal="center"/>
    </xf>
    <xf numFmtId="0" fontId="28" fillId="2" borderId="0" xfId="0" applyFont="1" applyAlignment="1">
      <alignment horizontal="center"/>
    </xf>
    <xf numFmtId="1" fontId="17" fillId="2" borderId="0" xfId="0" applyNumberFormat="1" applyFont="1" applyAlignment="1">
      <alignment/>
    </xf>
    <xf numFmtId="0" fontId="0" fillId="2" borderId="0" xfId="0" applyFont="1"/>
    <xf numFmtId="1" fontId="24" fillId="2" borderId="0" xfId="0" applyNumberFormat="1" applyFont="1" applyAlignment="1">
      <alignment horizontal="left"/>
    </xf>
    <xf numFmtId="1" fontId="24" fillId="2" borderId="0" xfId="0" applyNumberFormat="1" applyFont="1" applyAlignment="1">
      <alignment horizontal="left"/>
    </xf>
    <xf numFmtId="0" fontId="24" fillId="2" borderId="0" xfId="0" applyFont="1" applyAlignment="1">
      <alignment horizontal="left"/>
    </xf>
    <xf numFmtId="0" fontId="29" fillId="2" borderId="0" xfId="0" applyFont="1" applyAlignment="1">
      <alignment horizontal="center"/>
    </xf>
    <xf numFmtId="0" fontId="30" fillId="2" borderId="0" xfId="0" applyFont="1" applyAlignment="1">
      <alignment horizontal="center"/>
    </xf>
    <xf numFmtId="164" fontId="30" fillId="2" borderId="0" xfId="0" applyNumberFormat="1" applyFont="1" applyAlignment="1">
      <alignment horizontal="center"/>
    </xf>
    <xf numFmtId="0" fontId="31" fillId="2" borderId="0" xfId="0" applyFont="1" applyAlignment="1">
      <alignment/>
    </xf>
    <xf numFmtId="0" fontId="30" fillId="2" borderId="0" xfId="0" applyFont="1" applyAlignment="1">
      <alignment horizontal="right"/>
    </xf>
    <xf numFmtId="0" fontId="30" fillId="2" borderId="0" xfId="0" applyFont="1" applyAlignment="1">
      <alignment/>
    </xf>
    <xf numFmtId="1" fontId="30" fillId="2" borderId="0" xfId="0" applyNumberFormat="1" applyFont="1" applyAlignment="1">
      <alignment horizontal="left"/>
    </xf>
    <xf numFmtId="0" fontId="32" fillId="2" borderId="0" xfId="0" applyFont="1" applyAlignment="1">
      <alignment/>
    </xf>
    <xf numFmtId="0" fontId="26" fillId="0" borderId="0" xfId="0" applyFont="1" applyAlignment="1">
      <alignment/>
    </xf>
    <xf numFmtId="168" fontId="17" fillId="0" borderId="0" xfId="0" applyNumberFormat="1" applyFont="1" applyAlignment="1">
      <alignment/>
    </xf>
    <xf numFmtId="0" fontId="17" fillId="0" borderId="0" xfId="0" applyFont="1" applyAlignment="1">
      <alignment horizontal="left"/>
    </xf>
    <xf numFmtId="169" fontId="17" fillId="0" borderId="0" xfId="0" applyNumberFormat="1" applyFont="1" applyAlignment="1">
      <alignment horizontal="center"/>
    </xf>
    <xf numFmtId="0" fontId="17" fillId="0" borderId="0" xfId="0" applyFont="1" applyAlignment="1">
      <alignment horizontal="center"/>
    </xf>
    <xf numFmtId="169" fontId="17" fillId="0" borderId="0" xfId="0" applyNumberFormat="1" applyFont="1" applyAlignment="1">
      <alignment horizontal="center"/>
    </xf>
    <xf numFmtId="0" fontId="17" fillId="0" borderId="0" xfId="0" applyFont="1" applyAlignment="1" quotePrefix="1">
      <alignment/>
    </xf>
    <xf numFmtId="168" fontId="17" fillId="2" borderId="0" xfId="0" applyNumberFormat="1" applyFont="1" applyAlignment="1">
      <alignment/>
    </xf>
    <xf numFmtId="0" fontId="17" fillId="2" borderId="0" xfId="0" applyFont="1" applyAlignment="1">
      <alignment horizontal="left"/>
    </xf>
    <xf numFmtId="169" fontId="17" fillId="2" borderId="0" xfId="0" applyNumberFormat="1" applyFont="1" applyAlignment="1">
      <alignment horizontal="center"/>
    </xf>
    <xf numFmtId="0" fontId="17" fillId="0" borderId="0" xfId="0" applyFont="1" applyAlignment="1" quotePrefix="1">
      <alignment horizontal="left"/>
    </xf>
    <xf numFmtId="0" fontId="0" fillId="2" borderId="0" xfId="0" applyFont="1" applyAlignment="1">
      <alignment/>
    </xf>
    <xf numFmtId="170" fontId="17" fillId="0" borderId="0" xfId="0" applyNumberFormat="1" applyFont="1" applyAlignment="1">
      <alignment horizontal="left"/>
    </xf>
    <xf numFmtId="0" fontId="17" fillId="0" borderId="0" xfId="0" applyFont="1" applyAlignment="1" quotePrefix="1">
      <alignment horizontal="center"/>
    </xf>
    <xf numFmtId="0" fontId="16" fillId="2" borderId="0" xfId="0" applyFont="1" applyAlignment="1">
      <alignment horizontal="right"/>
    </xf>
    <xf numFmtId="0" fontId="26" fillId="0" borderId="0" xfId="0" applyFont="1"/>
    <xf numFmtId="169" fontId="33" fillId="3" borderId="0" xfId="0" applyNumberFormat="1" applyFont="1" applyFill="1"/>
    <xf numFmtId="0" fontId="26" fillId="2" borderId="0" xfId="0" applyFont="1"/>
    <xf numFmtId="169" fontId="17" fillId="2" borderId="0" xfId="0" applyNumberFormat="1" applyFont="1" applyAlignment="1">
      <alignment horizontal="center"/>
    </xf>
    <xf numFmtId="0" fontId="17" fillId="0" borderId="0" xfId="0" applyFont="1" applyAlignment="1">
      <alignment vertical="center"/>
    </xf>
    <xf numFmtId="0" fontId="15" fillId="4" borderId="0" xfId="0" applyFont="1" applyFill="1" applyAlignment="1">
      <alignment vertical="center"/>
    </xf>
    <xf numFmtId="0" fontId="15" fillId="4" borderId="0" xfId="0" applyFont="1" applyAlignment="1">
      <alignment vertical="center"/>
    </xf>
    <xf numFmtId="0" fontId="15" fillId="0" borderId="0" xfId="0" applyFont="1" applyAlignment="1">
      <alignment vertical="center"/>
    </xf>
    <xf numFmtId="0" fontId="17" fillId="4" borderId="0" xfId="0" applyFont="1"/>
    <xf numFmtId="0" fontId="34" fillId="0" borderId="0" xfId="0" applyFont="1" applyAlignment="1">
      <alignment vertical="top"/>
    </xf>
    <xf numFmtId="0" fontId="35" fillId="0" borderId="0" xfId="0" applyFont="1" applyAlignment="1">
      <alignment vertical="top"/>
    </xf>
    <xf numFmtId="0" fontId="0" fillId="4" borderId="0" xfId="0" applyFont="1"/>
    <xf numFmtId="0" fontId="36" fillId="0" borderId="0" xfId="0" applyFont="1" applyAlignment="1">
      <alignment wrapText="1"/>
    </xf>
    <xf numFmtId="0" fontId="17" fillId="0" borderId="0" xfId="0" applyFont="1" applyAlignment="1">
      <alignment vertical="center"/>
    </xf>
    <xf numFmtId="0" fontId="17" fillId="5" borderId="0" xfId="0" applyFont="1" applyFill="1"/>
    <xf numFmtId="0" fontId="0" fillId="5" borderId="0" xfId="0" applyFont="1"/>
    <xf numFmtId="0" fontId="37" fillId="5" borderId="0" xfId="0" applyFont="1" applyAlignment="1">
      <alignment/>
    </xf>
    <xf numFmtId="0" fontId="0" fillId="0" borderId="0" xfId="0" applyFont="1" applyAlignment="1">
      <alignment/>
    </xf>
    <xf numFmtId="0" fontId="38" fillId="0" borderId="0" xfId="0" applyFont="1" applyAlignment="1">
      <alignment vertical="top" wrapText="1"/>
    </xf>
    <xf numFmtId="0" fontId="39" fillId="6" borderId="0" xfId="0" applyFont="1" applyFill="1" applyAlignment="1">
      <alignment horizontal="left"/>
    </xf>
    <xf numFmtId="0" fontId="40" fillId="5" borderId="0" xfId="0" applyFont="1" applyAlignment="1">
      <alignment horizontal="right"/>
    </xf>
    <xf numFmtId="0" fontId="41" fillId="0" borderId="0" xfId="0" applyFont="1" applyAlignment="1">
      <alignment horizontal="left" vertical="top"/>
    </xf>
    <xf numFmtId="0" fontId="42" fillId="0" borderId="0" xfId="0" applyFont="1" applyAlignment="1">
      <alignment vertical="center" wrapText="1"/>
    </xf>
    <xf numFmtId="0" fontId="43" fillId="7" borderId="0" xfId="0" applyFont="1" applyFill="1" applyAlignment="1">
      <alignment horizontal="left"/>
    </xf>
    <xf numFmtId="0" fontId="44" fillId="7" borderId="0" xfId="0" applyFont="1" applyAlignment="1">
      <alignment horizontal="left"/>
    </xf>
    <xf numFmtId="0" fontId="43" fillId="3" borderId="0" xfId="0" applyFont="1" applyAlignment="1">
      <alignment horizontal="left"/>
    </xf>
    <xf numFmtId="0" fontId="44" fillId="3" borderId="0" xfId="0" applyFont="1" applyAlignment="1">
      <alignment horizontal="left"/>
    </xf>
    <xf numFmtId="0" fontId="44" fillId="0" borderId="0" xfId="0" applyFont="1" applyAlignment="1">
      <alignment horizontal="left"/>
    </xf>
    <xf numFmtId="0" fontId="17" fillId="5" borderId="10" xfId="0" applyFont="1" applyBorder="1"/>
    <xf numFmtId="0" fontId="17" fillId="0" borderId="10" xfId="0" applyFont="1" applyBorder="1"/>
    <xf numFmtId="0" fontId="32" fillId="0" borderId="0" xfId="0" applyFont="1"/>
    <xf numFmtId="0" fontId="30" fillId="0" borderId="11" xfId="0" applyFont="1" applyBorder="1" applyAlignment="1">
      <alignment horizontal="right"/>
    </xf>
    <xf numFmtId="0" fontId="41" fillId="0" borderId="0" xfId="0" applyFont="1" applyAlignment="1">
      <alignment horizontal="left"/>
    </xf>
    <xf numFmtId="0" fontId="41" fillId="0" borderId="11" xfId="0" applyFont="1" applyBorder="1" applyAlignment="1">
      <alignment horizontal="left"/>
    </xf>
    <xf numFmtId="0" fontId="45" fillId="0" borderId="12" xfId="0" applyFont="1" applyBorder="1" applyAlignment="1">
      <alignment/>
    </xf>
    <xf numFmtId="0" fontId="30" fillId="0" borderId="0" xfId="0" applyFont="1" applyAlignment="1">
      <alignment horizontal="left"/>
    </xf>
    <xf numFmtId="0" fontId="46" fillId="0" borderId="0" xfId="0" applyFont="1" applyAlignment="1">
      <alignment horizontal="left"/>
    </xf>
    <xf numFmtId="0" fontId="47" fillId="0" borderId="0" xfId="0" applyFont="1" applyAlignment="1">
      <alignment horizontal="left" vertical="center"/>
    </xf>
    <xf numFmtId="0" fontId="0" fillId="0" borderId="11" xfId="0" applyFont="1" applyBorder="1"/>
    <xf numFmtId="0" fontId="48" fillId="0" borderId="0" xfId="0" applyFont="1" applyAlignment="1">
      <alignment horizontal="left"/>
    </xf>
    <xf numFmtId="0" fontId="45" fillId="0" borderId="3" xfId="0" applyFont="1" applyBorder="1" applyAlignment="1">
      <alignment/>
    </xf>
    <xf numFmtId="0" fontId="48" fillId="0" borderId="0" xfId="0" applyFont="1" applyAlignment="1">
      <alignment horizontal="left" vertical="center"/>
    </xf>
    <xf numFmtId="0" fontId="49" fillId="0" borderId="0" xfId="0" applyFont="1"/>
    <xf numFmtId="0" fontId="43" fillId="0" borderId="0" xfId="0" applyFont="1" applyAlignment="1">
      <alignment horizontal="left"/>
    </xf>
    <xf numFmtId="0" fontId="50" fillId="0" borderId="0" xfId="0" applyFont="1" applyAlignment="1">
      <alignment/>
    </xf>
    <xf numFmtId="0" fontId="51" fillId="0" borderId="11" xfId="0" applyFont="1" applyBorder="1" applyAlignment="1">
      <alignment horizontal="right" vertical="top"/>
    </xf>
    <xf numFmtId="170" fontId="44" fillId="7" borderId="0" xfId="0" applyNumberFormat="1" applyFont="1" applyAlignment="1">
      <alignment horizontal="left"/>
    </xf>
    <xf numFmtId="0" fontId="17" fillId="0" borderId="11" xfId="0" applyFont="1" applyBorder="1"/>
    <xf numFmtId="0" fontId="17" fillId="0" borderId="4" xfId="0" applyFont="1" applyBorder="1" applyAlignment="1">
      <alignment/>
    </xf>
    <xf numFmtId="0" fontId="17" fillId="0" borderId="4" xfId="0" applyFont="1" applyBorder="1"/>
    <xf numFmtId="0" fontId="17" fillId="0" borderId="13" xfId="0" applyFont="1" applyBorder="1"/>
    <xf numFmtId="0" fontId="45" fillId="0" borderId="5" xfId="0" applyFont="1" applyBorder="1" applyAlignment="1">
      <alignment/>
    </xf>
    <xf numFmtId="0" fontId="2" fillId="0" borderId="11" xfId="0" applyFont="1" applyBorder="1"/>
    <xf numFmtId="0" fontId="48" fillId="0" borderId="0" xfId="0" applyFont="1" applyAlignment="1">
      <alignment horizontal="left"/>
    </xf>
    <xf numFmtId="0" fontId="17" fillId="0" borderId="11" xfId="0" applyFont="1" applyBorder="1" applyAlignment="1">
      <alignment/>
    </xf>
    <xf numFmtId="0" fontId="52" fillId="3" borderId="0" xfId="0" applyFont="1"/>
    <xf numFmtId="0" fontId="17" fillId="0" borderId="0" xfId="0" applyFont="1"/>
    <xf numFmtId="0" fontId="17" fillId="0" borderId="0" xfId="0" applyFont="1" applyAlignment="1">
      <alignment/>
    </xf>
    <xf numFmtId="171" fontId="53" fillId="0" borderId="0" xfId="0" applyNumberFormat="1" applyFont="1" applyAlignment="1">
      <alignment horizontal="right" vertical="center"/>
    </xf>
    <xf numFmtId="0" fontId="54" fillId="0" borderId="0" xfId="0" applyFont="1" applyAlignment="1">
      <alignment horizontal="left"/>
    </xf>
    <xf numFmtId="0" fontId="15" fillId="0" borderId="0" xfId="0" applyFont="1"/>
    <xf numFmtId="0" fontId="39" fillId="0" borderId="0" xfId="0" applyFont="1" applyAlignment="1">
      <alignment vertical="top"/>
    </xf>
    <xf numFmtId="0" fontId="55" fillId="4" borderId="0" xfId="0" applyFont="1" applyAlignment="1">
      <alignment vertical="center"/>
    </xf>
    <xf numFmtId="0" fontId="55" fillId="4" borderId="0" xfId="0" applyFont="1" applyAlignment="1">
      <alignment vertical="center"/>
    </xf>
    <xf numFmtId="0" fontId="55" fillId="4" borderId="0" xfId="0" applyFont="1" applyAlignment="1">
      <alignment horizontal="left" vertical="center"/>
    </xf>
    <xf numFmtId="0" fontId="39" fillId="0" borderId="0" xfId="0" applyFont="1" applyAlignment="1">
      <alignment horizontal="left" vertical="center"/>
    </xf>
    <xf numFmtId="172" fontId="41" fillId="8" borderId="14" xfId="0" applyNumberFormat="1" applyFont="1" applyFill="1" applyBorder="1" applyAlignment="1">
      <alignment horizontal="left"/>
    </xf>
    <xf numFmtId="0" fontId="41" fillId="8" borderId="15" xfId="0" applyFont="1" applyBorder="1" applyAlignment="1">
      <alignment horizontal="left"/>
    </xf>
    <xf numFmtId="0" fontId="41" fillId="8" borderId="15" xfId="0" applyFont="1" applyBorder="1" applyAlignment="1">
      <alignment horizontal="left"/>
    </xf>
    <xf numFmtId="0" fontId="41" fillId="8" borderId="16" xfId="0" applyFont="1" applyBorder="1" applyAlignment="1">
      <alignment horizontal="left"/>
    </xf>
    <xf numFmtId="0" fontId="15" fillId="0" borderId="16" xfId="0" applyFont="1" applyBorder="1" applyAlignment="1">
      <alignment horizontal="left"/>
    </xf>
    <xf numFmtId="172" fontId="41" fillId="3" borderId="14" xfId="0" applyNumberFormat="1" applyFont="1" applyBorder="1" applyAlignment="1">
      <alignment horizontal="left"/>
    </xf>
    <xf numFmtId="0" fontId="41" fillId="3" borderId="15" xfId="0" applyFont="1" applyBorder="1" applyAlignment="1">
      <alignment horizontal="left"/>
    </xf>
    <xf numFmtId="0" fontId="41" fillId="3" borderId="15" xfId="0" applyFont="1" applyBorder="1" applyAlignment="1">
      <alignment horizontal="left"/>
    </xf>
    <xf numFmtId="0" fontId="41" fillId="3" borderId="16" xfId="0" applyFont="1" applyBorder="1" applyAlignment="1">
      <alignment horizontal="left"/>
    </xf>
    <xf numFmtId="0" fontId="41" fillId="8" borderId="16" xfId="0" applyFont="1" applyBorder="1" applyAlignment="1">
      <alignment horizontal="left"/>
    </xf>
    <xf numFmtId="0" fontId="56" fillId="0" borderId="0" xfId="0" applyFont="1" applyAlignment="1">
      <alignment/>
    </xf>
    <xf numFmtId="0" fontId="43" fillId="0" borderId="0" xfId="0" applyFont="1" applyAlignment="1">
      <alignment/>
    </xf>
    <xf numFmtId="0" fontId="44" fillId="0" borderId="0" xfId="0" applyFont="1" applyAlignment="1">
      <alignment/>
    </xf>
    <xf numFmtId="10" fontId="56" fillId="0" borderId="0" xfId="0" applyNumberFormat="1" applyFont="1" applyAlignment="1">
      <alignment horizontal="right"/>
    </xf>
    <xf numFmtId="0" fontId="29" fillId="0" borderId="0" xfId="0" applyFont="1" applyAlignment="1">
      <alignment horizontal="right"/>
    </xf>
    <xf numFmtId="0" fontId="18" fillId="0" borderId="0" xfId="0" applyFont="1"/>
    <xf numFmtId="0" fontId="17" fillId="3" borderId="0" xfId="0" applyFont="1"/>
    <xf numFmtId="0" fontId="17" fillId="3" borderId="0" xfId="0" applyFont="1" applyAlignment="1">
      <alignment horizontal="left"/>
    </xf>
    <xf numFmtId="0" fontId="15" fillId="0" borderId="0" xfId="0" applyFont="1" applyAlignment="1">
      <alignment horizontal="left"/>
    </xf>
    <xf numFmtId="0" fontId="17" fillId="0" borderId="0" xfId="0" applyFont="1" applyAlignment="1">
      <alignment horizontal="left"/>
    </xf>
    <xf numFmtId="0" fontId="57" fillId="0" borderId="0" xfId="0" applyFont="1" applyAlignment="1">
      <alignment/>
    </xf>
    <xf numFmtId="0" fontId="8" fillId="0" borderId="0" xfId="0" applyFont="1" applyAlignment="1">
      <alignment vertical="top"/>
    </xf>
    <xf numFmtId="0" fontId="0" fillId="0" borderId="1" xfId="0" applyFont="1" applyBorder="1"/>
    <xf numFmtId="0" fontId="26" fillId="2" borderId="0" xfId="0" applyFont="1" applyAlignment="1">
      <alignment horizontal="center"/>
    </xf>
    <xf numFmtId="0" fontId="58" fillId="2" borderId="0" xfId="0" applyFont="1" applyAlignment="1">
      <alignment horizontal="center"/>
    </xf>
    <xf numFmtId="0" fontId="59" fillId="2" borderId="0" xfId="0" applyFont="1" applyAlignment="1">
      <alignment horizontal="center" vertical="center" textRotation="90"/>
    </xf>
    <xf numFmtId="0" fontId="60" fillId="2" borderId="0" xfId="0" applyFont="1" applyAlignment="1">
      <alignment horizontal="center" vertical="center" textRotation="90"/>
    </xf>
    <xf numFmtId="0" fontId="41" fillId="2" borderId="0" xfId="0" applyFont="1" applyAlignment="1">
      <alignment horizontal="right"/>
    </xf>
    <xf numFmtId="0" fontId="41" fillId="2" borderId="0" xfId="0" applyFont="1" applyAlignment="1">
      <alignment horizontal="center"/>
    </xf>
    <xf numFmtId="173" fontId="56" fillId="0" borderId="0" xfId="0" applyNumberFormat="1" applyFont="1" applyAlignment="1">
      <alignment horizontal="center"/>
    </xf>
    <xf numFmtId="0" fontId="61" fillId="2" borderId="0" xfId="0" applyFont="1" applyAlignment="1">
      <alignment horizontal="center"/>
    </xf>
    <xf numFmtId="173" fontId="56" fillId="2" borderId="0" xfId="0" applyNumberFormat="1" applyFont="1" applyAlignment="1">
      <alignment horizontal="center"/>
    </xf>
    <xf numFmtId="0" fontId="60" fillId="2" borderId="0" xfId="0" applyFont="1" applyAlignment="1">
      <alignment/>
    </xf>
    <xf numFmtId="0" fontId="62" fillId="2" borderId="0" xfId="0" applyFont="1"/>
    <xf numFmtId="0" fontId="62" fillId="2" borderId="0" xfId="0" applyFont="1" applyAlignment="1">
      <alignment/>
    </xf>
    <xf numFmtId="0" fontId="63" fillId="2" borderId="0" xfId="0" applyFont="1"/>
    <xf numFmtId="0" fontId="64" fillId="9" borderId="0" xfId="0" applyFont="1" applyFill="1" applyAlignment="1">
      <alignment horizontal="left"/>
    </xf>
    <xf numFmtId="0" fontId="58" fillId="2" borderId="0" xfId="0" applyFont="1" applyAlignment="1">
      <alignment/>
    </xf>
    <xf numFmtId="0" fontId="58" fillId="2" borderId="0" xfId="0" applyFont="1"/>
    <xf numFmtId="0" fontId="32" fillId="2" borderId="0" xfId="0" applyFont="1" applyAlignment="1">
      <alignment vertical="top" wrapText="1"/>
    </xf>
    <xf numFmtId="0" fontId="41" fillId="2" borderId="0" xfId="0" applyFont="1" applyAlignment="1">
      <alignment vertical="center" wrapText="1"/>
    </xf>
    <xf numFmtId="0" fontId="30" fillId="3" borderId="0" xfId="0" applyFont="1" applyAlignment="1">
      <alignment/>
    </xf>
    <xf numFmtId="0" fontId="30" fillId="3" borderId="0" xfId="0" applyFont="1"/>
    <xf numFmtId="0" fontId="41" fillId="3" borderId="0" xfId="0" applyFont="1" applyAlignment="1">
      <alignment vertical="top" wrapText="1"/>
    </xf>
    <xf numFmtId="0" fontId="41" fillId="3" borderId="0" xfId="0" applyFont="1" applyAlignment="1">
      <alignment vertical="center" wrapText="1"/>
    </xf>
    <xf numFmtId="0" fontId="30" fillId="3" borderId="0" xfId="0" applyFont="1" applyAlignment="1">
      <alignment vertical="center"/>
    </xf>
    <xf numFmtId="0" fontId="30" fillId="3" borderId="0" xfId="0" applyFont="1" applyAlignment="1">
      <alignment vertical="center"/>
    </xf>
    <xf numFmtId="0" fontId="30" fillId="3" borderId="0" xfId="0" applyFont="1" applyAlignment="1" quotePrefix="1">
      <alignment vertical="center"/>
    </xf>
    <xf numFmtId="0" fontId="30" fillId="2" borderId="0" xfId="0" applyFont="1" applyAlignment="1">
      <alignment vertical="center"/>
    </xf>
    <xf numFmtId="0" fontId="41" fillId="2" borderId="0" xfId="0" applyFont="1" applyAlignment="1">
      <alignment vertical="top" wrapText="1"/>
    </xf>
    <xf numFmtId="0" fontId="65" fillId="2" borderId="0" xfId="0" applyFont="1"/>
    <xf numFmtId="0" fontId="44" fillId="2" borderId="0" xfId="0" applyFont="1" applyAlignment="1">
      <alignment/>
    </xf>
    <xf numFmtId="0" fontId="44" fillId="2" borderId="0" xfId="0" applyFont="1" applyAlignment="1">
      <alignment/>
    </xf>
    <xf numFmtId="0" fontId="24" fillId="2" borderId="0" xfId="0" applyFont="1" applyAlignment="1">
      <alignment/>
    </xf>
    <xf numFmtId="0" fontId="66" fillId="2" borderId="0" xfId="0" applyFont="1" applyAlignment="1">
      <alignment/>
    </xf>
    <xf numFmtId="0" fontId="66" fillId="3" borderId="0" xfId="0" applyFont="1" applyAlignment="1">
      <alignment/>
    </xf>
    <xf numFmtId="0" fontId="41" fillId="0" borderId="0" xfId="0" applyFont="1" applyAlignment="1">
      <alignment vertical="center" wrapText="1"/>
    </xf>
    <xf numFmtId="0" fontId="16" fillId="3" borderId="0" xfId="0" applyFont="1" applyAlignment="1">
      <alignment/>
    </xf>
    <xf numFmtId="0" fontId="58" fillId="3" borderId="0" xfId="0" applyFont="1" applyAlignment="1">
      <alignment/>
    </xf>
    <xf numFmtId="0" fontId="67" fillId="3" borderId="0" xfId="0" applyFont="1" applyAlignment="1">
      <alignment/>
    </xf>
    <xf numFmtId="0" fontId="17" fillId="3" borderId="0" xfId="0" applyFont="1" applyAlignment="1">
      <alignment/>
    </xf>
    <xf numFmtId="0" fontId="68" fillId="2" borderId="0" xfId="0" applyFont="1" applyAlignment="1">
      <alignment/>
    </xf>
    <xf numFmtId="0" fontId="58" fillId="0" borderId="0" xfId="0" applyFont="1" applyAlignment="1">
      <alignment/>
    </xf>
    <xf numFmtId="0" fontId="69" fillId="3" borderId="0" xfId="0" applyFont="1" applyAlignment="1">
      <alignment/>
    </xf>
    <xf numFmtId="0" fontId="41" fillId="0" borderId="0" xfId="0" applyFont="1" applyAlignment="1">
      <alignment wrapText="1"/>
    </xf>
    <xf numFmtId="0" fontId="41" fillId="0" borderId="0" xfId="0" applyFont="1" applyAlignment="1">
      <alignment/>
    </xf>
    <xf numFmtId="0" fontId="17" fillId="2" borderId="0" xfId="0" applyFont="1" applyAlignment="1">
      <alignment/>
    </xf>
    <xf numFmtId="0" fontId="41" fillId="0" borderId="0" xfId="0" applyFont="1" applyAlignment="1">
      <alignment vertical="top" wrapText="1"/>
    </xf>
    <xf numFmtId="0" fontId="58" fillId="3" borderId="0" xfId="0" applyFont="1" applyAlignment="1">
      <alignment/>
    </xf>
    <xf numFmtId="0" fontId="69" fillId="3" borderId="0" xfId="0" applyFont="1" applyAlignment="1">
      <alignment/>
    </xf>
    <xf numFmtId="0" fontId="18" fillId="3" borderId="0" xfId="0" applyFont="1" applyAlignment="1">
      <alignment/>
    </xf>
    <xf numFmtId="0" fontId="70" fillId="2" borderId="0" xfId="0" applyFont="1" applyAlignment="1">
      <alignment/>
    </xf>
    <xf numFmtId="0" fontId="41" fillId="0" borderId="0" xfId="0" applyFont="1" applyAlignment="1">
      <alignment/>
    </xf>
    <xf numFmtId="0" fontId="32" fillId="0" borderId="0" xfId="0" applyFont="1" applyAlignment="1">
      <alignment/>
    </xf>
    <xf numFmtId="0" fontId="52" fillId="4" borderId="0" xfId="0" applyFont="1" applyAlignment="1">
      <alignment/>
    </xf>
    <xf numFmtId="0" fontId="41" fillId="4" borderId="0" xfId="0" applyFont="1" applyAlignment="1">
      <alignment/>
    </xf>
    <xf numFmtId="0" fontId="32" fillId="4" borderId="0" xfId="0" applyFont="1"/>
    <xf numFmtId="0" fontId="32" fillId="4" borderId="17" xfId="0" applyFont="1" applyBorder="1"/>
    <xf numFmtId="0" fontId="71" fillId="4" borderId="0" xfId="0" applyFont="1" applyAlignment="1">
      <alignment vertical="center" wrapText="1"/>
    </xf>
    <xf numFmtId="0" fontId="0" fillId="0" borderId="17" xfId="0" applyFont="1" applyBorder="1"/>
    <xf numFmtId="0" fontId="41" fillId="4" borderId="18" xfId="0" applyFont="1" applyBorder="1" applyAlignment="1">
      <alignment/>
    </xf>
    <xf numFmtId="0" fontId="32" fillId="4" borderId="18" xfId="0" applyFont="1" applyBorder="1"/>
    <xf numFmtId="0" fontId="32" fillId="4" borderId="19" xfId="0" applyFont="1" applyBorder="1"/>
    <xf numFmtId="0" fontId="41" fillId="0" borderId="0" xfId="0" applyFont="1" applyAlignment="1">
      <alignment vertical="top" wrapText="1"/>
    </xf>
    <xf numFmtId="0" fontId="30" fillId="0" borderId="0" xfId="0" applyFont="1" applyAlignment="1">
      <alignment vertical="center"/>
    </xf>
    <xf numFmtId="1" fontId="32" fillId="0" borderId="0" xfId="0" applyNumberFormat="1" applyFont="1" applyAlignment="1">
      <alignment horizontal="left" vertical="center"/>
    </xf>
    <xf numFmtId="0" fontId="32" fillId="2" borderId="0" xfId="0" applyFont="1" applyBorder="1" applyAlignment="1">
      <alignment/>
    </xf>
    <xf numFmtId="0" fontId="30" fillId="0" borderId="0" xfId="0" applyFont="1" applyAlignment="1">
      <alignment vertical="center"/>
    </xf>
    <xf numFmtId="0" fontId="0" fillId="0" borderId="0" xfId="0" applyFont="1" applyBorder="1"/>
    <xf numFmtId="0" fontId="44" fillId="2" borderId="0" xfId="0" applyFont="1" applyAlignment="1">
      <alignment/>
    </xf>
    <xf numFmtId="0" fontId="17" fillId="2" borderId="0" xfId="0" applyFont="1" applyBorder="1" applyAlignment="1">
      <alignment/>
    </xf>
    <xf numFmtId="0" fontId="29" fillId="0" borderId="0" xfId="0" applyFont="1" applyAlignment="1">
      <alignment vertical="center"/>
    </xf>
    <xf numFmtId="0" fontId="41" fillId="2" borderId="0" xfId="0" applyFont="1" applyAlignment="1">
      <alignment vertical="top" wrapText="1"/>
    </xf>
    <xf numFmtId="0" fontId="41" fillId="0" borderId="0" xfId="0" applyFont="1" applyAlignment="1">
      <alignment vertical="center" wrapText="1"/>
    </xf>
    <xf numFmtId="0" fontId="18" fillId="0" borderId="0" xfId="0" applyFont="1" applyAlignment="1">
      <alignment/>
    </xf>
    <xf numFmtId="0" fontId="18" fillId="0" borderId="0" xfId="0" applyFont="1" applyAlignment="1">
      <alignment vertical="top" wrapText="1"/>
    </xf>
    <xf numFmtId="0" fontId="17" fillId="0" borderId="20" xfId="0" applyFont="1" applyBorder="1" applyAlignment="1">
      <alignment vertical="top"/>
    </xf>
    <xf numFmtId="0" fontId="0" fillId="0" borderId="21" xfId="0" applyFont="1" applyBorder="1"/>
    <xf numFmtId="0" fontId="0" fillId="0" borderId="22" xfId="0" applyFont="1" applyBorder="1"/>
    <xf numFmtId="0" fontId="17" fillId="0" borderId="20" xfId="0" applyFont="1" applyBorder="1" applyAlignment="1">
      <alignment vertical="top"/>
    </xf>
    <xf numFmtId="0" fontId="0" fillId="0" borderId="23" xfId="0" applyFont="1" applyBorder="1"/>
    <xf numFmtId="0" fontId="0" fillId="0" borderId="24" xfId="0" applyFont="1" applyBorder="1"/>
    <xf numFmtId="0" fontId="0" fillId="0" borderId="25" xfId="0" applyFont="1" applyBorder="1"/>
    <xf numFmtId="0" fontId="0" fillId="0" borderId="26" xfId="0" applyFont="1" applyBorder="1"/>
    <xf numFmtId="0" fontId="0" fillId="0" borderId="27" xfId="0" applyFont="1" applyBorder="1"/>
    <xf numFmtId="0" fontId="72" fillId="0" borderId="0" xfId="0" applyFont="1" applyAlignment="1">
      <alignment horizontal="right"/>
    </xf>
    <xf numFmtId="0" fontId="29" fillId="0" borderId="0" xfId="0" applyFont="1" applyAlignment="1">
      <alignment/>
    </xf>
    <xf numFmtId="0" fontId="73" fillId="0" borderId="0" xfId="0" applyFont="1" applyAlignment="1">
      <alignment horizontal="center"/>
    </xf>
    <xf numFmtId="0" fontId="29" fillId="0" borderId="0" xfId="0" applyFont="1" applyAlignment="1">
      <alignment horizontal="center"/>
    </xf>
    <xf numFmtId="0" fontId="17" fillId="2" borderId="0" xfId="0" applyFont="1" applyAlignment="1">
      <alignment horizontal="left"/>
    </xf>
    <xf numFmtId="0" fontId="26" fillId="2" borderId="0" xfId="0" applyFont="1" applyAlignment="1">
      <alignment horizontal="left"/>
    </xf>
    <xf numFmtId="0" fontId="18" fillId="0" borderId="0" xfId="0" applyFont="1" applyAlignment="1">
      <alignment horizontal="right"/>
    </xf>
    <xf numFmtId="0" fontId="17" fillId="0" borderId="28" xfId="0" applyFont="1" applyBorder="1" applyAlignment="1">
      <alignment vertical="top" wrapText="1"/>
    </xf>
    <xf numFmtId="0" fontId="0" fillId="0" borderId="29" xfId="0" applyFont="1" applyBorder="1"/>
    <xf numFmtId="0" fontId="0" fillId="0" borderId="30" xfId="0" applyFont="1" applyBorder="1"/>
    <xf numFmtId="0" fontId="18" fillId="0" borderId="0" xfId="0" applyFont="1" applyAlignment="1">
      <alignment wrapText="1"/>
    </xf>
    <xf numFmtId="0" fontId="18" fillId="0" borderId="0" xfId="0" applyFont="1" applyAlignment="1">
      <alignment vertical="center" wrapText="1"/>
    </xf>
    <xf numFmtId="0" fontId="18" fillId="0" borderId="28" xfId="0" applyFont="1" applyBorder="1" applyAlignment="1">
      <alignment vertical="top" wrapText="1"/>
    </xf>
    <xf numFmtId="0" fontId="17" fillId="2" borderId="0" xfId="0" applyFont="1"/>
    <xf numFmtId="0" fontId="74" fillId="2" borderId="0" xfId="0" applyFont="1" applyAlignment="1">
      <alignment/>
    </xf>
    <xf numFmtId="0" fontId="74" fillId="2" borderId="0" xfId="0" applyFont="1"/>
    <xf numFmtId="0" fontId="17" fillId="2" borderId="0" xfId="0" applyFont="1" applyAlignment="1">
      <alignment/>
    </xf>
    <xf numFmtId="0" fontId="15" fillId="2" borderId="0" xfId="0" applyFont="1" applyAlignment="1">
      <alignment horizontal="right"/>
    </xf>
    <xf numFmtId="0" fontId="32" fillId="2" borderId="0" xfId="0" applyFont="1" applyAlignment="1">
      <alignment horizontal="left"/>
    </xf>
    <xf numFmtId="0" fontId="17" fillId="10" borderId="31" xfId="0" applyFont="1" applyFill="1" applyBorder="1" applyAlignment="1">
      <alignment horizontal="center"/>
    </xf>
    <xf numFmtId="0" fontId="75" fillId="2" borderId="0" xfId="0" applyFont="1" applyAlignment="1">
      <alignment/>
    </xf>
    <xf numFmtId="0" fontId="25" fillId="2" borderId="0" xfId="0" applyFont="1" applyAlignment="1">
      <alignment/>
    </xf>
    <xf numFmtId="0" fontId="56" fillId="2" borderId="0" xfId="0" applyFont="1" applyAlignment="1">
      <alignment/>
    </xf>
    <xf numFmtId="0" fontId="15" fillId="2" borderId="0" xfId="0" applyFont="1"/>
    <xf numFmtId="0" fontId="76" fillId="2" borderId="0" xfId="0" applyFont="1" applyAlignment="1">
      <alignment horizontal="right"/>
    </xf>
    <xf numFmtId="0" fontId="76" fillId="2" borderId="0" xfId="0" applyFont="1" applyAlignment="1">
      <alignment/>
    </xf>
    <xf numFmtId="0" fontId="76" fillId="2" borderId="0" xfId="0" applyFont="1"/>
    <xf numFmtId="0" fontId="32" fillId="2" borderId="0" xfId="0" applyFont="1"/>
    <xf numFmtId="0" fontId="15" fillId="2" borderId="0" xfId="0" applyFont="1" applyAlignment="1">
      <alignment horizontal="center"/>
    </xf>
    <xf numFmtId="172" fontId="32" fillId="8" borderId="0" xfId="0" applyNumberFormat="1" applyFont="1" applyAlignment="1">
      <alignment horizontal="right"/>
    </xf>
    <xf numFmtId="0" fontId="17" fillId="8" borderId="16" xfId="0" applyFont="1" applyBorder="1" applyAlignment="1">
      <alignment/>
    </xf>
    <xf numFmtId="174" fontId="26" fillId="8" borderId="0" xfId="0" applyNumberFormat="1" applyFont="1" applyAlignment="1">
      <alignment horizontal="left"/>
    </xf>
    <xf numFmtId="0" fontId="17" fillId="8" borderId="0" xfId="0" applyFont="1" applyAlignment="1">
      <alignment/>
    </xf>
    <xf numFmtId="1" fontId="26" fillId="8" borderId="14" xfId="0" applyNumberFormat="1" applyFont="1" applyBorder="1" applyAlignment="1">
      <alignment horizontal="center"/>
    </xf>
    <xf numFmtId="1" fontId="26" fillId="8" borderId="0" xfId="0" applyNumberFormat="1" applyFont="1" applyAlignment="1">
      <alignment horizontal="center"/>
    </xf>
    <xf numFmtId="0" fontId="15" fillId="2" borderId="0" xfId="0" applyFont="1" applyAlignment="1">
      <alignment/>
    </xf>
    <xf numFmtId="0" fontId="77" fillId="2" borderId="0" xfId="0" applyFont="1" applyAlignment="1">
      <alignment horizontal="right"/>
    </xf>
    <xf numFmtId="0" fontId="77" fillId="2" borderId="0" xfId="0" applyFont="1" applyAlignment="1">
      <alignment/>
    </xf>
    <xf numFmtId="172" fontId="32" fillId="10" borderId="0" xfId="0" applyNumberFormat="1" applyFont="1" applyAlignment="1">
      <alignment horizontal="right"/>
    </xf>
    <xf numFmtId="0" fontId="32" fillId="10" borderId="16" xfId="0" applyFont="1" applyBorder="1" applyAlignment="1">
      <alignment/>
    </xf>
    <xf numFmtId="174" fontId="58" fillId="10" borderId="0" xfId="0" applyNumberFormat="1" applyFont="1" applyAlignment="1">
      <alignment horizontal="left"/>
    </xf>
    <xf numFmtId="175" fontId="32" fillId="10" borderId="0" xfId="0" applyNumberFormat="1" applyFont="1" applyAlignment="1">
      <alignment horizontal="left"/>
    </xf>
    <xf numFmtId="1" fontId="58" fillId="0" borderId="0" xfId="0" applyNumberFormat="1" applyFont="1" applyAlignment="1">
      <alignment horizontal="center"/>
    </xf>
    <xf numFmtId="175" fontId="32" fillId="10" borderId="0" xfId="0" applyNumberFormat="1" applyFont="1" applyAlignment="1">
      <alignment horizontal="left"/>
    </xf>
    <xf numFmtId="172" fontId="32" fillId="0" borderId="0" xfId="0" applyNumberFormat="1" applyFont="1" applyAlignment="1">
      <alignment horizontal="right"/>
    </xf>
    <xf numFmtId="0" fontId="32" fillId="0" borderId="16" xfId="0" applyFont="1" applyBorder="1" applyAlignment="1">
      <alignment/>
    </xf>
    <xf numFmtId="174" fontId="58" fillId="0" borderId="0" xfId="0" applyNumberFormat="1" applyFont="1" applyAlignment="1">
      <alignment horizontal="left"/>
    </xf>
    <xf numFmtId="175" fontId="32" fillId="0" borderId="0" xfId="0" applyNumberFormat="1" applyFont="1" applyAlignment="1">
      <alignment horizontal="left"/>
    </xf>
    <xf numFmtId="1" fontId="78" fillId="0" borderId="0" xfId="0" applyNumberFormat="1" applyFont="1" applyAlignment="1">
      <alignment horizontal="center"/>
    </xf>
    <xf numFmtId="176" fontId="32" fillId="0" borderId="0" xfId="0" applyNumberFormat="1" applyFont="1" applyAlignment="1">
      <alignment horizontal="left"/>
    </xf>
    <xf numFmtId="0" fontId="32" fillId="0" borderId="16" xfId="0" applyFont="1" applyBorder="1"/>
    <xf numFmtId="175" fontId="32" fillId="0" borderId="0" xfId="0" applyNumberFormat="1" applyFont="1" applyAlignment="1">
      <alignment horizontal="left"/>
    </xf>
    <xf numFmtId="176" fontId="32" fillId="0" borderId="0" xfId="0" applyNumberFormat="1" applyFont="1" applyAlignment="1">
      <alignment horizontal="left"/>
    </xf>
    <xf numFmtId="1" fontId="58" fillId="0" borderId="0" xfId="0" applyNumberFormat="1" applyFont="1" applyAlignment="1">
      <alignment horizontal="center"/>
    </xf>
    <xf numFmtId="0" fontId="30" fillId="0" borderId="0" xfId="0" applyFont="1" applyAlignment="1">
      <alignment horizontal="right"/>
    </xf>
    <xf numFmtId="165" fontId="79" fillId="10" borderId="32" xfId="0" applyNumberFormat="1" applyFont="1" applyBorder="1" applyAlignment="1">
      <alignment horizontal="left"/>
    </xf>
    <xf numFmtId="0" fontId="0" fillId="0" borderId="33" xfId="0" applyFont="1" applyBorder="1"/>
    <xf numFmtId="0" fontId="0" fillId="0" borderId="34" xfId="0" applyFont="1" applyBorder="1"/>
    <xf numFmtId="0" fontId="41" fillId="2" borderId="0" xfId="0" applyFont="1" applyAlignment="1">
      <alignment horizontal="right" vertical="center"/>
    </xf>
    <xf numFmtId="0" fontId="79" fillId="10" borderId="32" xfId="0" applyFont="1" applyBorder="1" applyAlignment="1">
      <alignment horizontal="left"/>
    </xf>
    <xf numFmtId="0" fontId="17" fillId="0" borderId="0" xfId="0" applyFont="1" applyAlignment="1">
      <alignment horizontal="right"/>
    </xf>
    <xf numFmtId="0" fontId="17" fillId="0" borderId="0" xfId="0" applyFont="1" applyAlignment="1">
      <alignment horizontal="right"/>
    </xf>
    <xf numFmtId="0" fontId="26" fillId="0" borderId="0" xfId="0" applyFont="1" applyAlignment="1">
      <alignment horizontal="right"/>
    </xf>
    <xf numFmtId="0" fontId="24" fillId="0" borderId="0" xfId="0" applyFont="1" applyAlignment="1">
      <alignment horizontal="right"/>
    </xf>
    <xf numFmtId="0" fontId="80" fillId="0" borderId="0" xfId="0" applyFont="1" applyAlignment="1">
      <alignment horizontal="right"/>
    </xf>
    <xf numFmtId="177" fontId="80" fillId="0" borderId="0" xfId="0" applyNumberFormat="1" applyFont="1" applyAlignment="1">
      <alignment horizontal="right"/>
    </xf>
    <xf numFmtId="178" fontId="80" fillId="0" borderId="0" xfId="0" applyNumberFormat="1" applyFont="1" applyAlignment="1">
      <alignment horizontal="right"/>
    </xf>
    <xf numFmtId="0" fontId="24" fillId="0" borderId="0" xfId="0" applyFont="1" applyAlignment="1">
      <alignment horizontal="right"/>
    </xf>
    <xf numFmtId="0" fontId="32" fillId="0" borderId="31" xfId="0" applyFont="1" applyBorder="1" applyAlignment="1">
      <alignment horizontal="right"/>
    </xf>
    <xf numFmtId="177" fontId="80" fillId="0" borderId="0" xfId="0" applyNumberFormat="1" applyFont="1" applyAlignment="1">
      <alignment horizontal="right"/>
    </xf>
    <xf numFmtId="1" fontId="79" fillId="0" borderId="0" xfId="0" applyNumberFormat="1" applyFont="1" applyAlignment="1">
      <alignment horizontal="left"/>
    </xf>
    <xf numFmtId="178" fontId="80" fillId="0" borderId="0" xfId="0" applyNumberFormat="1" applyFont="1" applyAlignment="1">
      <alignment horizontal="right"/>
    </xf>
    <xf numFmtId="0" fontId="81" fillId="10" borderId="32" xfId="0" applyFont="1" applyBorder="1" applyAlignment="1">
      <alignment horizontal="left"/>
    </xf>
    <xf numFmtId="0" fontId="30" fillId="0" borderId="0" xfId="0" applyFont="1" applyAlignment="1">
      <alignment horizontal="right"/>
    </xf>
    <xf numFmtId="0" fontId="82" fillId="2" borderId="0" xfId="0" applyFont="1" applyAlignment="1">
      <alignment vertical="center"/>
    </xf>
    <xf numFmtId="0" fontId="83" fillId="2" borderId="0" xfId="0" applyFont="1"/>
    <xf numFmtId="0" fontId="30" fillId="2" borderId="0" xfId="0" applyFont="1" applyAlignment="1">
      <alignment horizontal="right"/>
    </xf>
    <xf numFmtId="0" fontId="79" fillId="2" borderId="0" xfId="0" applyFont="1" applyAlignment="1">
      <alignment horizontal="left"/>
    </xf>
    <xf numFmtId="0" fontId="41" fillId="2" borderId="0" xfId="0" applyFont="1" applyAlignment="1">
      <alignment/>
    </xf>
    <xf numFmtId="0" fontId="58" fillId="10" borderId="32" xfId="0" applyFont="1" applyBorder="1" applyAlignment="1">
      <alignment horizontal="left"/>
    </xf>
    <xf numFmtId="0" fontId="32" fillId="0" borderId="0" xfId="0" applyFont="1" applyAlignment="1">
      <alignment horizontal="right"/>
    </xf>
    <xf numFmtId="0" fontId="32" fillId="10" borderId="31" xfId="0" applyFont="1" applyBorder="1" applyAlignment="1">
      <alignment/>
    </xf>
    <xf numFmtId="0" fontId="58" fillId="2" borderId="0" xfId="0" applyFont="1" applyAlignment="1">
      <alignment horizontal="left"/>
    </xf>
    <xf numFmtId="179" fontId="79" fillId="10" borderId="32" xfId="0" applyNumberFormat="1" applyFont="1" applyBorder="1" applyAlignment="1">
      <alignment horizontal="left"/>
    </xf>
    <xf numFmtId="0" fontId="30" fillId="2" borderId="0" xfId="0" applyFont="1" applyAlignment="1">
      <alignment horizontal="left"/>
    </xf>
    <xf numFmtId="180" fontId="79" fillId="10" borderId="32" xfId="0" applyNumberFormat="1" applyFont="1" applyBorder="1" applyAlignment="1">
      <alignment horizontal="left"/>
    </xf>
    <xf numFmtId="0" fontId="30" fillId="2" borderId="0" xfId="0" applyFont="1" applyAlignment="1">
      <alignment horizontal="right"/>
    </xf>
    <xf numFmtId="0" fontId="30" fillId="0" borderId="0" xfId="0" applyFont="1" applyAlignment="1">
      <alignment horizontal="right"/>
    </xf>
    <xf numFmtId="0" fontId="79" fillId="0" borderId="0" xfId="0" applyFont="1" applyAlignment="1">
      <alignment horizontal="left"/>
    </xf>
    <xf numFmtId="0" fontId="79" fillId="0" borderId="0" xfId="0" applyFont="1" applyAlignment="1">
      <alignment horizontal="left"/>
    </xf>
    <xf numFmtId="0" fontId="56" fillId="3" borderId="0" xfId="0" applyFont="1" applyAlignment="1">
      <alignment/>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11">
    <dxf>
      <font>
        <color rgb="FFFFFFFF"/>
      </font>
      <fill>
        <patternFill patternType="solid">
          <fgColor rgb="FFFFFFFF"/>
          <bgColor rgb="FFFFFFFF"/>
        </patternFill>
      </fill>
    </dxf>
    <dxf>
      <font>
        <color rgb="FFFFFFFF"/>
      </font>
      <fill>
        <patternFill patternType="none"/>
      </fill>
    </dxf>
    <dxf>
      <font>
        <b/>
        <color rgb="FF9E424B"/>
      </font>
      <fill>
        <patternFill patternType="none"/>
      </fill>
    </dxf>
    <dxf>
      <fill>
        <patternFill patternType="solid">
          <fgColor rgb="FFF2D5D5"/>
          <bgColor rgb="FFF2D5D5"/>
        </patternFill>
      </fill>
    </dxf>
    <dxf>
      <font>
        <color rgb="FF000000"/>
      </font>
      <fill>
        <patternFill patternType="solid">
          <fgColor rgb="FFFFAFA9"/>
          <bgColor rgb="FFFFAFA9"/>
        </patternFill>
      </fill>
    </dxf>
    <dxf>
      <font>
        <color rgb="FF000000"/>
      </font>
      <fill>
        <patternFill patternType="solid">
          <fgColor rgb="FFCCCCCC"/>
          <bgColor rgb="FFCCCCCC"/>
        </patternFill>
      </fill>
    </dxf>
    <dxf>
      <font>
        <color rgb="FF000000"/>
      </font>
      <fill>
        <patternFill patternType="solid">
          <fgColor rgb="FFF2D5D5"/>
          <bgColor rgb="FFF2D5D5"/>
        </patternFill>
      </fill>
    </dxf>
    <dxf>
      <font>
        <b/>
      </font>
      <fill>
        <patternFill patternType="solid">
          <fgColor rgb="FFF2C8C8"/>
          <bgColor rgb="FFF2C8C8"/>
        </patternFill>
      </fill>
    </dxf>
    <dxf>
      <fill>
        <patternFill patternType="none"/>
      </fill>
    </dxf>
    <dxf>
      <fill>
        <patternFill patternType="solid">
          <fgColor rgb="FFD9D9D9"/>
          <bgColor rgb="FFD9D9D9"/>
        </patternFill>
      </fill>
    </dxf>
    <dxf>
      <fill>
        <patternFill patternType="solid">
          <fgColor rgb="FFFFFFFF"/>
          <bgColor rgb="FFFFFFFF"/>
        </patternFill>
      </fill>
    </dxf>
  </dxfs>
  <tableStyles count="2">
    <tableStyle name="Reference-style" pivot="0" count="2">
      <tableStyleElement type="firstRowStripe" dxfId="9"/>
      <tableStyleElement type="secondRowStripe" dxfId="10"/>
    </tableStyle>
    <tableStyle name="Personal Info-style" pivot="0" count="2">
      <tableStyleElement type="firstRowStripe" dxfId="9"/>
      <tableStyleElement type="secondRowStripe" dxfId="1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4" Type="http://schemas.openxmlformats.org/officeDocument/2006/relationships/worksheet" Target="worksheets/sheet3.xml" /><Relationship Id="rId2" Type="http://schemas.openxmlformats.org/officeDocument/2006/relationships/worksheet" Target="worksheets/sheet1.xml" /><Relationship Id="rId9" Type="http://schemas.openxmlformats.org/officeDocument/2006/relationships/sharedStrings" Target="sharedStrings.xml" /><Relationship Id="rId1" Type="http://schemas.openxmlformats.org/officeDocument/2006/relationships/theme" Target="theme/theme1.xml" /><Relationship Id="rId8" Type="http://schemas.openxmlformats.org/officeDocument/2006/relationships/styles" Target="styles.xml" /><Relationship Id="rId6" Type="http://schemas.openxmlformats.org/officeDocument/2006/relationships/worksheet" Target="worksheets/sheet5.xml" /><Relationship Id="rId7" Type="http://schemas.openxmlformats.org/officeDocument/2006/relationships/worksheet" Target="worksheets/sheet6.xml" /><Relationship Id="rId11" Type="http://schemas.openxmlformats.org/officeDocument/2006/relationships/calcChain" Target="calcChain.xml" /><Relationship Id="rId10" Type="http://schemas.openxmlformats.org/officeDocument/2006/relationships/externalLink" Target="externalLinks/externalLink1.xml" /><Relationship Id="rId5" Type="http://schemas.openxmlformats.org/officeDocument/2006/relationships/worksheet" Target="worksheets/sheet4.xml" /></Relationships>
</file>

<file path=xl/charts/chart1.xml><?xml version="1.0" encoding="utf-8"?>
<c:chartSpace xmlns:c="http://schemas.openxmlformats.org/drawingml/2006/chart" xmlns:a="http://schemas.openxmlformats.org/drawingml/2006/main" xmlns:r="http://schemas.openxmlformats.org/officeDocument/2006/relationships">
  <c:roundedCorners val="0"/>
  <c:chart>
    <c:autoTitleDeleted val="1"/>
    <c:plotArea>
      <c:layout/>
      <c:areaChart>
        <c:grouping val="standard"/>
        <c:varyColors val="0"/>
        <c:ser>
          <c:idx val="0"/>
          <c:order val="0"/>
          <c:spPr>
            <a:solidFill>
              <a:srgbClr val="9E424B">
                <a:alpha val="50000"/>
              </a:srgbClr>
            </a:solidFill>
            <a:ln w="6350" cap="flat" cmpd="sng">
              <a:solidFill>
                <a:srgbClr val="9E424B">
                  <a:alpha val="100000"/>
                </a:srgbClr>
              </a:solidFill>
            </a:ln>
          </c:spPr>
          <c:dLbls>
            <c:numFmt formatCode="General" sourceLinked="1"/>
            <c:showLegendKey val="0"/>
            <c:showVal val="1"/>
            <c:showCatName val="0"/>
            <c:showSerName val="0"/>
            <c:showPercent val="0"/>
            <c:showBubbleSize val="0"/>
            <c:showLeaderLines val="0"/>
          </c:dLbls>
          <c:val>
            <c:numRef>
              <c:f>Home!$C$22:$C$401</c:f>
              <c:numCache/>
            </c:numRef>
          </c:val>
        </c:ser>
        <c:axId val="23725585"/>
        <c:axId val="52928021"/>
      </c:areaChart>
      <c:catAx>
        <c:axId val="23725585"/>
        <c:scaling>
          <c:orientation val="minMax"/>
        </c:scaling>
        <c:delete val="0"/>
        <c:axPos val="b"/>
        <c:numFmt formatCode="General" sourceLinked="1"/>
        <c:majorTickMark val="none"/>
        <c:minorTickMark val="none"/>
        <c:tickLblPos val="nextTo"/>
        <c:spPr>
          <a:ln w="6350" cap="flat" cmpd="sng"/>
        </c:spPr>
        <c:txPr>
          <a:bodyPr/>
          <a:lstStyle/>
          <a:p>
            <a:pPr>
              <a:defRPr lang="en-US" sz="1000" b="0" u="none" baseline="0">
                <a:solidFill>
                  <a:srgbClr val="000000"/>
                </a:solidFill>
                <a:latin typeface="Roboto"/>
                <a:ea typeface="Roboto"/>
                <a:cs typeface="Roboto"/>
              </a:defRPr>
            </a:pPr>
          </a:p>
        </c:txPr>
        <c:crossAx val="52928021"/>
        <c:crosses val="autoZero"/>
        <c:auto val="0"/>
        <c:lblOffset val="100"/>
        <c:noMultiLvlLbl val="0"/>
      </c:catAx>
      <c:valAx>
        <c:axId val="52928021"/>
        <c:scaling>
          <c:orientation val="minMax"/>
        </c:scaling>
        <c:delete val="0"/>
        <c:axPos val="l"/>
        <c:majorGridlines>
          <c:spPr>
            <a:ln w="6350" cap="flat" cmpd="sng">
              <a:solidFill>
                <a:srgbClr val="B7B7B7"/>
              </a:solidFill>
            </a:ln>
          </c:spPr>
        </c:majorGridlines>
        <c:minorGridlines>
          <c:spPr>
            <a:ln w="6350" cap="flat" cmpd="sng">
              <a:solidFill>
                <a:srgbClr val="CCCCCC">
                  <a:alpha val="0"/>
                </a:srgbClr>
              </a:solidFill>
            </a:ln>
          </c:spPr>
        </c:minorGridlines>
        <c:numFmt formatCode="General" sourceLinked="0"/>
        <c:majorTickMark val="none"/>
        <c:minorTickMark val="none"/>
        <c:tickLblPos val="nextTo"/>
        <c:spPr>
          <a:ln w="6350" cap="flat" cmpd="sng"/>
        </c:spPr>
        <c:txPr>
          <a:bodyPr/>
          <a:lstStyle/>
          <a:p>
            <a:pPr>
              <a:defRPr lang="en-US" sz="600" b="0" i="0" u="none" baseline="0">
                <a:solidFill>
                  <a:srgbClr val="FFFFFF"/>
                </a:solidFill>
                <a:latin typeface="Roboto"/>
                <a:ea typeface="Roboto"/>
                <a:cs typeface="Roboto"/>
              </a:defRPr>
            </a:pPr>
          </a:p>
        </c:txPr>
        <c:crossAx val="23725585"/>
        <c:crosses val="autoZero"/>
        <c:crossBetween val="midCat"/>
      </c:valAx>
    </c:plotArea>
    <c:plotVisOnly val="1"/>
    <c:dispBlanksAs val="gap"/>
    <c:showDLblsOverMax val="0"/>
  </c:chart>
  <c:spPr>
    <a:solidFill>
      <a:srgbClr val="FFFFFF">
        <a:alpha val="0"/>
      </a:srgbClr>
    </a:solidFill>
  </c:spPr>
</c:chartSpace>
</file>

<file path=xl/charts/chart2.xml><?xml version="1.0" encoding="utf-8"?>
<c:chartSpace xmlns:c="http://schemas.openxmlformats.org/drawingml/2006/chart" xmlns:a="http://schemas.openxmlformats.org/drawingml/2006/main" xmlns:r="http://schemas.openxmlformats.org/officeDocument/2006/relationships">
  <c:roundedCorners val="0"/>
  <c:chart>
    <c:autoTitleDeleted val="1"/>
    <c:plotArea>
      <c:layout/>
      <c:radarChart>
        <c:radarStyle val="marker"/>
        <c:varyColors val="0"/>
        <c:ser>
          <c:idx val="0"/>
          <c:order val="0"/>
          <c:spPr>
            <a:ln w="19050" cmpd="sng">
              <a:solidFill>
                <a:srgbClr val="9E424B">
                  <a:alpha val="100000"/>
                </a:srgbClr>
              </a:solidFill>
            </a:ln>
          </c:spPr>
          <c:marker>
            <c:symbol val="circle"/>
            <c:size val="10"/>
            <c:spPr>
              <a:solidFill>
                <a:srgbClr val="9E424B">
                  <a:alpha val="100000"/>
                </a:srgbClr>
              </a:solidFill>
              <a:ln w="6350" cap="flat" cmpd="sng">
                <a:solidFill>
                  <a:srgbClr val="9E424B">
                    <a:alpha val="100000"/>
                  </a:srgbClr>
                </a:solidFill>
              </a:ln>
            </c:spPr>
          </c:marker>
          <c:cat>
            <c:strRef>
              <c:f>Reference!$F$79:$F$90</c:f>
              <c:strCache/>
            </c:strRef>
          </c:cat>
          <c:val>
            <c:numRef>
              <c:f>Reference!$G$79:$G$90</c:f>
              <c:numCache/>
            </c:numRef>
          </c:val>
        </c:ser>
        <c:axId val="61692484"/>
        <c:axId val="58495242"/>
      </c:radarChart>
      <c:catAx>
        <c:axId val="61692484"/>
        <c:scaling>
          <c:orientation val="minMax"/>
        </c:scaling>
        <c:delete val="0"/>
        <c:axPos val="b"/>
        <c:numFmt formatCode="General" sourceLinked="1"/>
        <c:majorTickMark val="out"/>
        <c:minorTickMark val="none"/>
        <c:tickLblPos val="nextTo"/>
        <c:spPr>
          <a:ln w="6350" cap="flat" cmpd="sng"/>
        </c:spPr>
        <c:crossAx val="58495242"/>
        <c:crosses val="autoZero"/>
        <c:auto val="0"/>
        <c:lblOffset val="100"/>
        <c:noMultiLvlLbl val="0"/>
      </c:catAx>
      <c:valAx>
        <c:axId val="58495242"/>
        <c:scaling>
          <c:orientation val="minMax"/>
          <c:max val="10"/>
        </c:scaling>
        <c:delete val="0"/>
        <c:axPos val="l"/>
        <c:majorGridlines>
          <c:spPr>
            <a:ln w="6350" cap="flat" cmpd="sng">
              <a:solidFill>
                <a:srgbClr val="B7B7B7"/>
              </a:solidFill>
            </a:ln>
          </c:spPr>
        </c:majorGridlines>
        <c:minorGridlines>
          <c:spPr>
            <a:ln w="6350" cap="flat" cmpd="sng">
              <a:solidFill>
                <a:srgbClr val="CCCCCC">
                  <a:alpha val="0"/>
                </a:srgbClr>
              </a:solidFill>
            </a:ln>
          </c:spPr>
        </c:minorGridlines>
        <c:numFmt formatCode="General" sourceLinked="1"/>
        <c:majorTickMark val="none"/>
        <c:minorTickMark val="none"/>
        <c:tickLblPos val="nextTo"/>
        <c:spPr>
          <a:ln w="6350" cap="flat" cmpd="sng"/>
        </c:spPr>
        <c:txPr>
          <a:bodyPr vert="horz" rot="0"/>
          <a:lstStyle/>
          <a:p>
            <a:pPr>
              <a:defRPr lang="en-US" sz="1000" b="0" u="none" baseline="0">
                <a:solidFill>
                  <a:srgbClr val="000000"/>
                </a:solidFill>
                <a:latin typeface="Roboto"/>
                <a:ea typeface="Roboto"/>
                <a:cs typeface="Roboto"/>
              </a:defRPr>
            </a:pPr>
          </a:p>
        </c:txPr>
        <c:crossAx val="61692484"/>
        <c:crosses val="autoZero"/>
        <c:crossBetween val="between"/>
      </c:valAx>
    </c:plotArea>
    <c:plotVisOnly val="1"/>
    <c:dispBlanksAs val="gap"/>
    <c:showDLblsOverMax val="0"/>
  </c:chart>
</c:chartSpace>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2" Type="http://schemas.openxmlformats.org/officeDocument/2006/relationships/image" Target="../media/image2.jpeg" /><Relationship Id="rId3" Type="http://schemas.openxmlformats.org/officeDocument/2006/relationships/image" Target="../media/image3.jpeg" /><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2" Type="http://schemas.openxmlformats.org/officeDocument/2006/relationships/image" Target="../media/image4.jpeg" /><Relationship Id="rId3" Type="http://schemas.openxmlformats.org/officeDocument/2006/relationships/image" Target="../media/image5.jpeg" /><Relationship Id="rId1" Type="http://schemas.openxmlformats.org/officeDocument/2006/relationships/chart" Target="../charts/chart1.xml" /></Relationships>
</file>

<file path=xl/drawings/_rels/drawing5.xml.rels><?xml version="1.0" encoding="UTF-8" standalone="yes"?><Relationships xmlns="http://schemas.openxmlformats.org/package/2006/relationships"><Relationship Id="rId2" Type="http://schemas.openxmlformats.org/officeDocument/2006/relationships/image" Target="../media/image1.jpeg" /><Relationship Id="rId1"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209550</xdr:colOff>
      <xdr:row>0</xdr:row>
      <xdr:rowOff>190500</xdr:rowOff>
    </xdr:from>
    <xdr:ext cx="371475" cy="409575"/>
    <xdr:pic>
      <xdr:nvPicPr>
        <xdr:cNvPr id="0" name="image3.png" title="Image"/>
        <xdr:cNvPicPr>
          <a:picLocks noChangeAspect="1"/>
        </xdr:cNvPicPr>
      </xdr:nvPicPr>
      <xdr:blipFill>
        <a:blip r:embed="rId1"/>
        <a:stretch>
          <a:fillRect/>
        </a:stretch>
      </xdr:blipFill>
      <xdr:spPr>
        <a:xfrm>
          <a:off x="209550" y="190500"/>
          <a:ext cx="371475" cy="409575"/>
        </a:xfrm>
        <a:prstGeom prst="rect"/>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209550</xdr:colOff>
      <xdr:row>0</xdr:row>
      <xdr:rowOff>190500</xdr:rowOff>
    </xdr:from>
    <xdr:ext cx="371475" cy="409575"/>
    <xdr:pic>
      <xdr:nvPicPr>
        <xdr:cNvPr id="0" name="image3.png" title="Image"/>
        <xdr:cNvPicPr>
          <a:picLocks noChangeAspect="1"/>
        </xdr:cNvPicPr>
      </xdr:nvPicPr>
      <xdr:blipFill>
        <a:blip r:embed="rId1"/>
        <a:stretch>
          <a:fillRect/>
        </a:stretch>
      </xdr:blipFill>
      <xdr:spPr>
        <a:xfrm>
          <a:off x="209550" y="190500"/>
          <a:ext cx="371475" cy="409575"/>
        </a:xfrm>
        <a:prstGeom prst="rect"/>
        <a:noFill/>
      </xdr:spPr>
    </xdr:pic>
    <xdr:clientData fLocksWithSheet="0"/>
  </xdr:oneCellAnchor>
  <xdr:oneCellAnchor>
    <xdr:from>
      <xdr:col>5</xdr:col>
      <xdr:colOff>495300</xdr:colOff>
      <xdr:row>12</xdr:row>
      <xdr:rowOff>123825</xdr:rowOff>
    </xdr:from>
    <xdr:ext cx="4448175" cy="3352800"/>
    <xdr:pic>
      <xdr:nvPicPr>
        <xdr:cNvPr id="0" name="image2.jpg" title="Image"/>
        <xdr:cNvPicPr>
          <a:picLocks noChangeAspect="1"/>
        </xdr:cNvPicPr>
      </xdr:nvPicPr>
      <xdr:blipFill>
        <a:blip r:embed="rId2"/>
        <a:stretch>
          <a:fillRect/>
        </a:stretch>
      </xdr:blipFill>
      <xdr:spPr>
        <a:xfrm>
          <a:off x="4476750" y="2647950"/>
          <a:ext cx="4448175" cy="3352800"/>
        </a:xfrm>
        <a:prstGeom prst="rect"/>
        <a:noFill/>
      </xdr:spPr>
    </xdr:pic>
    <xdr:clientData fLocksWithSheet="0"/>
  </xdr:oneCellAnchor>
  <xdr:oneCellAnchor>
    <xdr:from>
      <xdr:col>0</xdr:col>
      <xdr:colOff>962025</xdr:colOff>
      <xdr:row>30</xdr:row>
      <xdr:rowOff>76200</xdr:rowOff>
    </xdr:from>
    <xdr:ext cx="7553325" cy="2981325"/>
    <xdr:pic>
      <xdr:nvPicPr>
        <xdr:cNvPr id="0" name="image1.jpg" title="Image"/>
        <xdr:cNvPicPr>
          <a:picLocks noChangeAspect="1"/>
        </xdr:cNvPicPr>
      </xdr:nvPicPr>
      <xdr:blipFill>
        <a:blip r:embed="rId3"/>
        <a:stretch>
          <a:fillRect/>
        </a:stretch>
      </xdr:blipFill>
      <xdr:spPr>
        <a:xfrm>
          <a:off x="962025" y="6715125"/>
          <a:ext cx="7553325" cy="2981325"/>
        </a:xfrm>
        <a:prstGeom prst="rect"/>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209550</xdr:colOff>
      <xdr:row>1</xdr:row>
      <xdr:rowOff>95250</xdr:rowOff>
    </xdr:from>
    <xdr:ext cx="371475" cy="409575"/>
    <xdr:pic>
      <xdr:nvPicPr>
        <xdr:cNvPr id="0" name="image3.png" title="Image"/>
        <xdr:cNvPicPr>
          <a:picLocks noChangeAspect="1"/>
        </xdr:cNvPicPr>
      </xdr:nvPicPr>
      <xdr:blipFill>
        <a:blip r:embed="rId1"/>
        <a:stretch>
          <a:fillRect/>
        </a:stretch>
      </xdr:blipFill>
      <xdr:spPr>
        <a:xfrm>
          <a:off x="209550" y="219075"/>
          <a:ext cx="371475" cy="409575"/>
        </a:xfrm>
        <a:prstGeom prst="rect"/>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219075</xdr:colOff>
      <xdr:row>18</xdr:row>
      <xdr:rowOff>0</xdr:rowOff>
    </xdr:from>
    <xdr:ext cx="12668250" cy="962025"/>
    <xdr:graphicFrame>
      <xdr:nvGraphicFramePr>
        <xdr:cNvPr id="1" name="Chart 1" title="Chart"/>
        <xdr:cNvGraphicFramePr/>
      </xdr:nvGraphicFramePr>
      <xdr:xfrm>
        <a:off x="219075" y="4238625"/>
        <a:ext cx="12668250" cy="962025"/>
      </xdr:xfrm>
      <a:graphic>
        <a:graphicData uri="http://schemas.openxmlformats.org/drawingml/2006/chart">
          <c:chart xmlns:c="http://schemas.openxmlformats.org/drawingml/2006/chart" r:id="rId1"/>
        </a:graphicData>
      </a:graphic>
    </xdr:graphicFrame>
    <xdr:clientData fLocksWithSheet="0"/>
  </xdr:oneCellAnchor>
  <xdr:oneCellAnchor>
    <xdr:from>
      <xdr:col>7</xdr:col>
      <xdr:colOff>542925</xdr:colOff>
      <xdr:row>1</xdr:row>
      <xdr:rowOff>257175</xdr:rowOff>
    </xdr:from>
    <xdr:ext cx="3324225" cy="2085975"/>
    <xdr:pic>
      <xdr:nvPicPr>
        <xdr:cNvPr id="0" name="image4.jpg" title="Image"/>
        <xdr:cNvPicPr>
          <a:picLocks noChangeAspect="1"/>
        </xdr:cNvPicPr>
      </xdr:nvPicPr>
      <xdr:blipFill>
        <a:blip r:embed="rId2"/>
        <a:stretch>
          <a:fillRect/>
        </a:stretch>
      </xdr:blipFill>
      <xdr:spPr>
        <a:xfrm>
          <a:off x="4581525" y="495300"/>
          <a:ext cx="3324225" cy="2085975"/>
        </a:xfrm>
        <a:prstGeom prst="rect"/>
        <a:noFill/>
      </xdr:spPr>
    </xdr:pic>
    <xdr:clientData fLocksWithSheet="0"/>
  </xdr:oneCellAnchor>
  <xdr:oneCellAnchor>
    <xdr:from>
      <xdr:col>1</xdr:col>
      <xdr:colOff>66675</xdr:colOff>
      <xdr:row>0</xdr:row>
      <xdr:rowOff>76200</xdr:rowOff>
    </xdr:from>
    <xdr:ext cx="1228725" cy="457200"/>
    <xdr:pic>
      <xdr:nvPicPr>
        <xdr:cNvPr id="0" name="image5.png" title="Image"/>
        <xdr:cNvPicPr>
          <a:picLocks noChangeAspect="1"/>
        </xdr:cNvPicPr>
      </xdr:nvPicPr>
      <xdr:blipFill>
        <a:blip r:embed="rId3"/>
        <a:stretch>
          <a:fillRect/>
        </a:stretch>
      </xdr:blipFill>
      <xdr:spPr>
        <a:xfrm>
          <a:off x="285750" y="76200"/>
          <a:ext cx="1228725" cy="457200"/>
        </a:xfrm>
        <a:prstGeom prst="rect"/>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8</xdr:col>
      <xdr:colOff>38100</xdr:colOff>
      <xdr:row>78</xdr:row>
      <xdr:rowOff>0</xdr:rowOff>
    </xdr:from>
    <xdr:ext cx="3057525" cy="2381250"/>
    <xdr:graphicFrame>
      <xdr:nvGraphicFramePr>
        <xdr:cNvPr id="2" name="Chart 2" title="Chart"/>
        <xdr:cNvGraphicFramePr/>
      </xdr:nvGraphicFramePr>
      <xdr:xfrm>
        <a:off x="3219450" y="15335250"/>
        <a:ext cx="3057525" cy="2381250"/>
      </xdr:xfrm>
      <a:graphic>
        <a:graphicData uri="http://schemas.openxmlformats.org/drawingml/2006/chart">
          <c:chart xmlns:c="http://schemas.openxmlformats.org/drawingml/2006/chart" r:id="rId1"/>
        </a:graphicData>
      </a:graphic>
    </xdr:graphicFrame>
    <xdr:clientData fLocksWithSheet="0"/>
  </xdr:oneCellAnchor>
  <xdr:oneCellAnchor>
    <xdr:from>
      <xdr:col>0</xdr:col>
      <xdr:colOff>190500</xdr:colOff>
      <xdr:row>0</xdr:row>
      <xdr:rowOff>190500</xdr:rowOff>
    </xdr:from>
    <xdr:ext cx="371475" cy="409575"/>
    <xdr:pic>
      <xdr:nvPicPr>
        <xdr:cNvPr id="0" name="image3.png" title="Image"/>
        <xdr:cNvPicPr>
          <a:picLocks noChangeAspect="1"/>
        </xdr:cNvPicPr>
      </xdr:nvPicPr>
      <xdr:blipFill>
        <a:blip r:embed="rId2"/>
        <a:stretch>
          <a:fillRect/>
        </a:stretch>
      </xdr:blipFill>
      <xdr:spPr>
        <a:xfrm>
          <a:off x="190500" y="190500"/>
          <a:ext cx="371475" cy="409575"/>
        </a:xfrm>
        <a:prstGeom prst="rect"/>
        <a:noFill/>
      </xdr:spPr>
    </xdr:pic>
    <xdr:clientData fLocksWithSheet="0"/>
  </xdr:oneCellAnchor>
</xdr:wsDr>
</file>

<file path=xl/externalLinks/_rels/externalLink1.xml.rels><?xml version="1.0" encoding="UTF-8" standalone="yes"?><Relationships xmlns="http://schemas.openxmlformats.org/package/2006/relationships"><Relationship Id="rId1" Type="http://schemas.microsoft.com/office/2006/relationships/xlExternalLinkPath/xlPathMissing" Target="Yearl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Yearly"/>
    </sheetNames>
  </externalBook>
</externalLink>
</file>

<file path=xl/tables/table1.xml><?xml version="1.0" encoding="utf-8"?>
<table xmlns="http://schemas.openxmlformats.org/spreadsheetml/2006/main" id="1" displayName="Table_1" ref="G9:R16" headerRowCount="0" totalsRowShown="0">
  <tableColumns count="12">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s>
  <tableStyleInfo name="Reference-style" showFirstColumn="1" showLastColumn="1" showRowStripes="1" showColumnStripes="0"/>
</table>
</file>

<file path=xl/tables/table2.xml><?xml version="1.0" encoding="utf-8"?>
<table xmlns="http://schemas.openxmlformats.org/spreadsheetml/2006/main" id="2" displayName="Table_2" ref="K15:W21" headerRowCount="0" totalsRowShown="0">
  <tableColumns count="13">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s>
  <tableStyleInfo name="Personal Info-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s>
</file>

<file path=xl/worksheets/_rels/sheet5.xml.rels><?xml version="1.0" encoding="UTF-8" standalone="yes"?><Relationships xmlns="http://schemas.openxmlformats.org/package/2006/relationships"><Relationship Id="rId10" Type="http://schemas.openxmlformats.org/officeDocument/2006/relationships/hyperlink" Target="https://youtu.be/us49hqMvR64" TargetMode="External" /><Relationship Id="rId11" Type="http://schemas.openxmlformats.org/officeDocument/2006/relationships/hyperlink" Target="https://youtu.be/4JTichJq6qI" TargetMode="External" /><Relationship Id="rId12" Type="http://schemas.openxmlformats.org/officeDocument/2006/relationships/hyperlink" Target="https://youtu.be/LHVyCpZyByw" TargetMode="External" /><Relationship Id="rId13" Type="http://schemas.openxmlformats.org/officeDocument/2006/relationships/hyperlink" Target="https://youtu.be/mC9Kx_TjGXk" TargetMode="External" /><Relationship Id="rId9" Type="http://schemas.openxmlformats.org/officeDocument/2006/relationships/hyperlink" Target="https://youtu.be/B6J3RZ9gWvs" TargetMode="External" /><Relationship Id="rId8" Type="http://schemas.openxmlformats.org/officeDocument/2006/relationships/hyperlink" Target="https://youtu.be/LAWF0nyBeRA" TargetMode="External" /><Relationship Id="rId34" Type="http://schemas.openxmlformats.org/officeDocument/2006/relationships/table" Target="../tables/table1.xml" /><Relationship Id="rId35" Type="http://schemas.openxmlformats.org/officeDocument/2006/relationships/drawing" Target="../drawings/drawing5.xml" /><Relationship Id="rId6" Type="http://schemas.openxmlformats.org/officeDocument/2006/relationships/hyperlink" Target="https://youtu.be/qxN_S3yh3cg" TargetMode="External" /><Relationship Id="rId5" Type="http://schemas.openxmlformats.org/officeDocument/2006/relationships/hyperlink" Target="https://youtu.be/VWX0PPZrdfA" TargetMode="External" /><Relationship Id="rId31" Type="http://schemas.openxmlformats.org/officeDocument/2006/relationships/hyperlink" Target="https://youtu.be/7bAt9R7VJk0" TargetMode="External" /><Relationship Id="rId4" Type="http://schemas.openxmlformats.org/officeDocument/2006/relationships/hyperlink" Target="https://youtu.be/EpsujHUAnrg" TargetMode="External" /><Relationship Id="rId33" Type="http://schemas.openxmlformats.org/officeDocument/2006/relationships/hyperlink" Target="https://youtu.be/2JJ8CjDLDpU" TargetMode="External" /><Relationship Id="rId27" Type="http://schemas.openxmlformats.org/officeDocument/2006/relationships/hyperlink" Target="https://youtu.be/9jTbbpYD_f0" TargetMode="External" /><Relationship Id="rId2" Type="http://schemas.openxmlformats.org/officeDocument/2006/relationships/hyperlink" Target="https://youtu.be/G36qMURBIYQ" TargetMode="External" /><Relationship Id="rId1" Type="http://schemas.openxmlformats.org/officeDocument/2006/relationships/hyperlink" Target="https://www.youtube.com/watch?v=m2OFz37JHug" TargetMode="External" /><Relationship Id="rId7" Type="http://schemas.openxmlformats.org/officeDocument/2006/relationships/hyperlink" Target="https://youtu.be/2P6YrYAk6qs" TargetMode="External" /><Relationship Id="rId3" Type="http://schemas.openxmlformats.org/officeDocument/2006/relationships/hyperlink" Target="https://youtu.be/T-oqbuTAf9M" TargetMode="External" /><Relationship Id="rId30" Type="http://schemas.openxmlformats.org/officeDocument/2006/relationships/hyperlink" Target="https://youtu.be/MdH5DdS9ItQ" TargetMode="External" /><Relationship Id="rId21" Type="http://schemas.openxmlformats.org/officeDocument/2006/relationships/hyperlink" Target="https://youtu.be/qj3u4u4xeQc" TargetMode="External" /><Relationship Id="rId32" Type="http://schemas.openxmlformats.org/officeDocument/2006/relationships/hyperlink" Target="https://youtu.be/4k-WAWAHn4Q" TargetMode="External" /><Relationship Id="rId16" Type="http://schemas.openxmlformats.org/officeDocument/2006/relationships/hyperlink" Target="https://youtu.be/tqXkkUIGPas" TargetMode="External" /><Relationship Id="rId22" Type="http://schemas.openxmlformats.org/officeDocument/2006/relationships/hyperlink" Target="https://youtu.be/yZCURyhwsgg" TargetMode="External" /><Relationship Id="rId24" Type="http://schemas.openxmlformats.org/officeDocument/2006/relationships/hyperlink" Target="https://youtu.be/B6X35u5mVsE" TargetMode="External" /><Relationship Id="rId14" Type="http://schemas.openxmlformats.org/officeDocument/2006/relationships/hyperlink" Target="https://youtu.be/qj3u4u4xeQc" TargetMode="External" /><Relationship Id="rId28" Type="http://schemas.openxmlformats.org/officeDocument/2006/relationships/hyperlink" Target="https://youtu.be/hUcAnkJxhgw" TargetMode="External" /><Relationship Id="rId29" Type="http://schemas.openxmlformats.org/officeDocument/2006/relationships/hyperlink" Target="https://youtu.be/h5HWM9XbFrk" TargetMode="External" /><Relationship Id="rId18" Type="http://schemas.openxmlformats.org/officeDocument/2006/relationships/hyperlink" Target="https://youtu.be/V02CCfGPct0" TargetMode="External" /><Relationship Id="rId19" Type="http://schemas.openxmlformats.org/officeDocument/2006/relationships/hyperlink" Target="https://youtu.be/Y7Th_hwenck" TargetMode="External" /><Relationship Id="rId23" Type="http://schemas.openxmlformats.org/officeDocument/2006/relationships/hyperlink" Target="https://youtu.be/JsdrrWn2pok" TargetMode="External" /><Relationship Id="rId25" Type="http://schemas.openxmlformats.org/officeDocument/2006/relationships/hyperlink" Target="https://youtu.be/bu43fj3wEKU" TargetMode="External" /><Relationship Id="rId26" Type="http://schemas.openxmlformats.org/officeDocument/2006/relationships/hyperlink" Target="https://youtu.be/niLD6dKW2hc" TargetMode="External" /><Relationship Id="rId15" Type="http://schemas.openxmlformats.org/officeDocument/2006/relationships/hyperlink" Target="https://youtu.be/QYe4rAFsUxI" TargetMode="External" /><Relationship Id="rId20" Type="http://schemas.openxmlformats.org/officeDocument/2006/relationships/hyperlink" Target="https://www.youtube.com/watch?v=8MJVz3Xs-ks" TargetMode="External" /><Relationship Id="rId17" Type="http://schemas.openxmlformats.org/officeDocument/2006/relationships/hyperlink" Target="https://youtu.be/DRfxeWZrODQ?t=2m23s" TargetMode="External" /></Relationships>
</file>

<file path=xl/worksheets/_rels/sheet6.xml.rels><?xml version="1.0" encoding="UTF-8" standalone="yes"?><Relationships xmlns="http://schemas.openxmlformats.org/package/2006/relationships"><Relationship Id="rId1" Type="http://schemas.openxmlformats.org/officeDocument/2006/relationships/table" Target="../tables/table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mx="http://schemas.microsoft.com/office/mac/excel/2008/main" xmlns:mv="urn:schemas-microsoft-com:mac:vml" xmlns:x15="http://schemas.microsoft.com/office/spreadsheetml/2010/11/main" xmlns:x14ac="http://schemas.microsoft.com/office/spreadsheetml/2009/9/ac">
  <sheetPr>
    <outlinePr summaryBelow="0" summaryRight="0"/>
  </sheetPr>
  <dimension ref="A1:Z1021"/>
  <sheetViews>
    <sheetView showGridLines="0" workbookViewId="0" topLeftCell="A1"/>
  </sheetViews>
  <sheetFormatPr defaultColWidth="12.6342857142857" defaultRowHeight="15.75" customHeight="1"/>
  <cols>
    <col min="1" max="1" width="16.4285714285714" customWidth="1"/>
    <col min="2" max="2" width="5.57142857142857" customWidth="1"/>
  </cols>
  <sheetData>
    <row r="1" spans="1:26" ht="15.75">
      <c r="A1" s="1"/>
      <c s="1"/>
      <c s="1"/>
      <c s="1"/>
      <c s="1"/>
      <c s="1"/>
      <c s="1"/>
      <c s="1"/>
      <c s="1"/>
      <c s="1"/>
      <c s="1"/>
      <c s="1"/>
      <c s="1"/>
      <c s="1"/>
      <c s="1"/>
      <c s="1"/>
      <c s="1"/>
      <c s="1"/>
      <c s="1"/>
      <c s="1"/>
      <c s="1"/>
      <c s="1"/>
      <c s="1"/>
      <c s="1"/>
      <c s="1"/>
      <c s="1"/>
    </row>
    <row r="2" spans="1:26" ht="15.75">
      <c r="A2" s="1"/>
      <c s="2" t="s">
        <v>0</v>
      </c>
      <c s="1"/>
      <c s="1"/>
      <c s="1"/>
      <c s="1"/>
      <c s="1"/>
      <c s="1"/>
      <c s="1"/>
      <c s="1"/>
      <c s="1"/>
      <c s="1"/>
      <c s="1"/>
      <c s="1"/>
      <c s="1"/>
      <c s="1"/>
      <c s="1"/>
      <c s="1"/>
      <c s="1"/>
      <c s="1"/>
      <c s="1"/>
      <c s="1"/>
      <c s="1"/>
      <c s="1"/>
      <c s="1"/>
      <c s="1"/>
    </row>
    <row r="3" spans="1:26" ht="15.75">
      <c r="A3" s="1"/>
      <c s="3" t="s">
        <v>1</v>
      </c>
      <c s="1"/>
      <c s="1"/>
      <c s="1"/>
      <c s="1"/>
      <c s="1"/>
      <c s="1"/>
      <c s="1"/>
      <c s="1"/>
      <c s="1"/>
      <c s="1"/>
      <c s="1"/>
      <c s="1"/>
      <c s="1"/>
      <c s="1"/>
      <c s="1"/>
      <c s="1"/>
      <c s="1"/>
      <c s="1"/>
      <c s="1"/>
      <c s="1"/>
      <c s="1"/>
      <c s="1"/>
      <c s="1"/>
      <c s="1"/>
    </row>
    <row r="4" spans="1:26" ht="15.75">
      <c r="A4" s="4"/>
      <c s="4"/>
      <c s="4"/>
      <c s="4"/>
      <c s="4"/>
      <c s="4"/>
      <c s="4"/>
      <c s="4"/>
      <c s="4"/>
      <c s="4"/>
      <c s="4"/>
      <c s="4"/>
      <c s="4"/>
      <c s="4"/>
      <c s="4"/>
      <c s="4"/>
      <c s="4"/>
      <c s="4"/>
      <c s="4"/>
      <c s="4"/>
      <c s="4"/>
      <c s="4"/>
      <c s="4"/>
      <c s="4"/>
      <c s="4"/>
      <c s="4"/>
    </row>
    <row r="5" spans="1:26" ht="15.75" thickBot="1">
      <c r="A5" s="5"/>
      <c s="5"/>
      <c s="5"/>
      <c s="5"/>
      <c s="5"/>
      <c s="5"/>
      <c s="5"/>
      <c s="5"/>
      <c s="5"/>
      <c s="5"/>
      <c s="5"/>
      <c s="5"/>
      <c s="5"/>
      <c s="5"/>
      <c s="5"/>
      <c s="5"/>
      <c s="5"/>
      <c s="5"/>
      <c s="5"/>
      <c s="5"/>
      <c s="5"/>
      <c s="5"/>
      <c s="5"/>
      <c s="5"/>
      <c s="5"/>
      <c s="5"/>
    </row>
    <row r="6" spans="1:26" ht="15.75">
      <c r="A6" s="5"/>
      <c s="6" t="s">
        <v>2</v>
      </c>
      <c s="7"/>
      <c s="7"/>
      <c s="7"/>
      <c s="7"/>
      <c s="7"/>
      <c s="7"/>
      <c s="7"/>
      <c s="5"/>
      <c s="5"/>
      <c s="5"/>
      <c s="5"/>
      <c s="5"/>
      <c s="5"/>
      <c s="5"/>
      <c s="5"/>
      <c s="5"/>
      <c s="5"/>
      <c s="5"/>
      <c s="5"/>
      <c s="5"/>
      <c s="5"/>
      <c s="5"/>
      <c s="5"/>
      <c s="5"/>
    </row>
    <row r="7" spans="1:26" ht="15.75">
      <c r="A7" s="5"/>
      <c s="8"/>
      <c s="7"/>
      <c s="7"/>
      <c s="7"/>
      <c s="7"/>
      <c s="7"/>
      <c s="7"/>
      <c s="7"/>
      <c s="5"/>
      <c s="5"/>
      <c s="5"/>
      <c s="5"/>
      <c s="5"/>
      <c s="5"/>
      <c s="5"/>
      <c s="5"/>
      <c s="5"/>
      <c s="5"/>
      <c s="5"/>
      <c s="5"/>
      <c s="5"/>
      <c s="5"/>
      <c s="5"/>
      <c s="5"/>
      <c s="5"/>
    </row>
    <row r="8" spans="1:26" ht="33.75" customHeight="1">
      <c r="A8" s="9"/>
      <c s="10">
        <v>1</v>
      </c>
      <c s="11" t="s">
        <v>3</v>
      </c>
      <c r="J8" s="9"/>
      <c s="9"/>
      <c s="9"/>
      <c s="9"/>
      <c s="9"/>
      <c s="9"/>
      <c s="9"/>
      <c s="9"/>
      <c s="9"/>
      <c s="9"/>
      <c s="9"/>
      <c s="9"/>
      <c s="9"/>
      <c s="9"/>
      <c s="9"/>
      <c s="9"/>
      <c s="9"/>
    </row>
    <row r="9" spans="1:26" ht="15.75">
      <c r="A9" s="9"/>
      <c s="10">
        <v>2</v>
      </c>
      <c s="11" t="s">
        <v>4</v>
      </c>
      <c r="J9" s="9"/>
      <c s="9"/>
      <c s="9"/>
      <c s="9"/>
      <c s="9"/>
      <c s="9"/>
      <c s="9"/>
      <c s="9"/>
      <c s="9"/>
      <c s="9"/>
      <c s="9"/>
      <c s="9"/>
      <c s="9"/>
      <c s="9"/>
      <c s="9"/>
      <c s="9"/>
      <c s="9"/>
    </row>
    <row r="10" spans="1:26" ht="15.75">
      <c r="A10" s="9"/>
      <c s="10">
        <v>3</v>
      </c>
      <c s="11" t="s">
        <v>5</v>
      </c>
      <c r="J10" s="9"/>
      <c s="9"/>
      <c s="9"/>
      <c s="9"/>
      <c s="9"/>
      <c s="9"/>
      <c s="9"/>
      <c s="9"/>
      <c s="9"/>
      <c s="9"/>
      <c s="9"/>
      <c s="9"/>
      <c s="9"/>
      <c s="9"/>
      <c s="9"/>
      <c s="9"/>
      <c s="9"/>
    </row>
    <row r="11" spans="1:26" ht="15.75">
      <c r="A11" s="9"/>
      <c s="10">
        <v>4</v>
      </c>
      <c s="12" t="str">
        <f>HYPERLINK("mailto:support@thestrengthathlete.com","Read through the FAQ below, and if you have further questions, don't hesitate to email us by clicking here.")</f>
        <v>Read through the FAQ below, and if you have further questions, don't hesitate to email us by clicking here.</v>
      </c>
      <c r="J11" s="9"/>
      <c s="9"/>
      <c s="9"/>
      <c s="9"/>
      <c s="9"/>
      <c s="9"/>
      <c s="9"/>
      <c s="9"/>
      <c s="9"/>
      <c s="9"/>
      <c s="9"/>
      <c s="9"/>
      <c s="9"/>
      <c s="9"/>
      <c s="9"/>
      <c s="9"/>
      <c s="9"/>
    </row>
    <row r="12" spans="1:26" ht="15.75">
      <c r="A12" s="9"/>
      <c s="10">
        <v>5</v>
      </c>
      <c s="11" t="s">
        <v>6</v>
      </c>
      <c r="J12" s="9"/>
      <c s="9"/>
      <c s="9"/>
      <c s="9"/>
      <c s="9"/>
      <c s="9"/>
      <c s="9"/>
      <c s="9"/>
      <c s="9"/>
      <c s="9"/>
      <c s="9"/>
      <c s="9"/>
      <c s="9"/>
      <c s="9"/>
      <c s="9"/>
      <c s="9"/>
      <c s="9"/>
    </row>
    <row r="13" spans="1:26" ht="15.75">
      <c r="A13" s="5"/>
      <c s="8"/>
      <c s="7"/>
      <c s="7"/>
      <c s="7"/>
      <c s="7"/>
      <c s="7"/>
      <c s="7"/>
      <c s="7"/>
      <c s="5"/>
      <c s="5"/>
      <c s="5"/>
      <c s="5"/>
      <c s="5"/>
      <c s="5"/>
      <c s="5"/>
      <c s="5"/>
      <c s="5"/>
      <c s="5"/>
      <c s="5"/>
      <c s="5"/>
      <c s="5"/>
      <c s="5"/>
      <c s="5"/>
      <c s="5"/>
      <c s="5"/>
    </row>
    <row r="14" spans="1:26" ht="15.75">
      <c r="A14" s="5"/>
      <c s="8"/>
      <c s="13" t="str">
        <f>HYPERLINK("http://www.thestrengthathlete.com/donate","DONATE HERE")</f>
        <v>DONATE HERE</v>
      </c>
      <c r="E14" s="14"/>
      <c s="7"/>
      <c s="13" t="str">
        <f>HYPERLINK("mailto:support@thestrengthathlete.com","CONTACT US")</f>
        <v>CONTACT US</v>
      </c>
      <c r="I14" s="14"/>
      <c s="5"/>
      <c s="5"/>
      <c s="5"/>
      <c s="5"/>
      <c s="5"/>
      <c s="5"/>
      <c s="5"/>
      <c s="5"/>
      <c s="5"/>
      <c s="5"/>
      <c s="5"/>
      <c s="5"/>
      <c s="5"/>
      <c s="5"/>
      <c s="5"/>
      <c s="5"/>
      <c s="5"/>
    </row>
    <row r="15" spans="1:26" ht="15.75">
      <c r="A15" s="5"/>
      <c s="8"/>
      <c s="15"/>
      <c s="15"/>
      <c s="16"/>
      <c s="7"/>
      <c s="15"/>
      <c s="15"/>
      <c s="16"/>
      <c s="5"/>
      <c s="5"/>
      <c s="5"/>
      <c s="5"/>
      <c s="5"/>
      <c s="5"/>
      <c s="5"/>
      <c s="5"/>
      <c s="5"/>
      <c s="5"/>
      <c s="5"/>
      <c s="5"/>
      <c s="5"/>
      <c s="5"/>
      <c s="5"/>
      <c s="5"/>
      <c s="5"/>
    </row>
    <row r="16" spans="1:26" ht="15.75">
      <c r="A16" s="5"/>
      <c s="8"/>
      <c s="7"/>
      <c s="7"/>
      <c s="7"/>
      <c s="7"/>
      <c s="7"/>
      <c s="7"/>
      <c s="7"/>
      <c s="5"/>
      <c s="5"/>
      <c s="5"/>
      <c s="5"/>
      <c s="5"/>
      <c s="5"/>
      <c s="5"/>
      <c s="5"/>
      <c s="5"/>
      <c s="5"/>
      <c s="5"/>
      <c s="5"/>
      <c s="5"/>
      <c s="5"/>
      <c s="5"/>
      <c s="5"/>
      <c s="5"/>
    </row>
    <row r="17" spans="1:26" ht="15.75">
      <c r="A17" s="5"/>
      <c s="8"/>
      <c s="7"/>
      <c s="7"/>
      <c s="7"/>
      <c s="7"/>
      <c s="7"/>
      <c s="7"/>
      <c s="7"/>
      <c s="5"/>
      <c s="5"/>
      <c s="5"/>
      <c s="5"/>
      <c s="5"/>
      <c s="5"/>
      <c s="5"/>
      <c s="5"/>
      <c s="5"/>
      <c s="5"/>
      <c s="5"/>
      <c s="5"/>
      <c s="5"/>
      <c s="5"/>
      <c s="5"/>
      <c s="5"/>
      <c s="5"/>
    </row>
    <row r="18" spans="1:26" ht="15.75">
      <c r="A18" s="5"/>
      <c s="8"/>
      <c s="7"/>
      <c s="7"/>
      <c s="7"/>
      <c s="7"/>
      <c s="7"/>
      <c s="7"/>
      <c s="7"/>
      <c s="5"/>
      <c s="5"/>
      <c s="5"/>
      <c s="5"/>
      <c s="5"/>
      <c s="5"/>
      <c s="5"/>
      <c s="5"/>
      <c s="5"/>
      <c s="5"/>
      <c s="5"/>
      <c s="5"/>
      <c s="5"/>
      <c s="5"/>
      <c s="5"/>
      <c s="5"/>
      <c s="5"/>
    </row>
    <row r="19" spans="1:26" ht="15.75" thickBot="1">
      <c r="A19" s="5"/>
      <c s="8"/>
      <c s="7"/>
      <c s="7"/>
      <c s="7"/>
      <c s="7"/>
      <c s="7"/>
      <c s="7"/>
      <c s="7"/>
      <c s="5"/>
      <c s="5"/>
      <c s="5"/>
      <c s="5"/>
      <c s="5"/>
      <c s="5"/>
      <c s="5"/>
      <c s="5"/>
      <c s="5"/>
      <c s="5"/>
      <c s="5"/>
      <c s="5"/>
      <c s="5"/>
      <c s="5"/>
      <c s="5"/>
      <c s="5"/>
      <c s="5"/>
    </row>
    <row r="20" spans="1:26" ht="15.75">
      <c r="A20" s="5"/>
      <c s="6" t="s">
        <v>7</v>
      </c>
      <c s="7"/>
      <c s="7"/>
      <c s="7"/>
      <c s="7"/>
      <c s="7"/>
      <c s="7"/>
      <c s="7"/>
      <c s="5"/>
      <c s="5"/>
      <c s="5"/>
      <c s="5"/>
      <c s="5"/>
      <c s="5"/>
      <c s="5"/>
      <c s="5"/>
      <c s="5"/>
      <c s="5"/>
      <c s="5"/>
      <c s="5"/>
      <c s="5"/>
      <c s="5"/>
      <c s="5"/>
      <c s="5"/>
      <c s="5"/>
    </row>
    <row r="21" spans="1:26" ht="15.75">
      <c r="A21" s="5"/>
      <c s="17"/>
      <c s="17"/>
      <c s="17"/>
      <c s="17"/>
      <c s="17"/>
      <c s="17"/>
      <c s="17"/>
      <c s="17"/>
      <c s="5"/>
      <c s="5"/>
      <c s="5"/>
      <c s="5"/>
      <c s="5"/>
      <c s="5"/>
      <c s="5"/>
      <c s="5"/>
      <c s="5"/>
      <c s="5"/>
      <c s="5"/>
      <c s="5"/>
      <c s="5"/>
      <c s="5"/>
      <c s="5"/>
      <c s="5"/>
      <c s="5"/>
    </row>
    <row r="22" spans="1:26" ht="15.75">
      <c r="A22" s="5"/>
      <c s="18" t="s">
        <v>8</v>
      </c>
      <c r="J22" s="5"/>
      <c s="5"/>
      <c s="5"/>
      <c s="5"/>
      <c s="5"/>
      <c s="5"/>
      <c s="5"/>
      <c s="5"/>
      <c s="5"/>
      <c s="5"/>
      <c s="5"/>
      <c s="5"/>
      <c s="5"/>
      <c s="5"/>
      <c s="5"/>
      <c s="5"/>
      <c s="5"/>
    </row>
    <row r="23" spans="1:26" ht="15.75">
      <c r="A23" s="5"/>
      <c s="19"/>
      <c s="19"/>
      <c s="19"/>
      <c s="19"/>
      <c s="19"/>
      <c s="19"/>
      <c s="19"/>
      <c s="19"/>
      <c s="5"/>
      <c s="5"/>
      <c s="5"/>
      <c s="5"/>
      <c s="5"/>
      <c s="5"/>
      <c s="5"/>
      <c s="5"/>
      <c s="5"/>
      <c s="5"/>
      <c s="5"/>
      <c s="5"/>
      <c s="5"/>
      <c s="5"/>
      <c s="5"/>
      <c s="5"/>
      <c s="5"/>
    </row>
    <row r="24" spans="1:26" ht="15.75">
      <c r="A24" s="5"/>
      <c s="18" t="s">
        <v>9</v>
      </c>
      <c r="J24" s="5"/>
      <c s="5"/>
      <c s="5"/>
      <c s="5"/>
      <c s="5"/>
      <c s="5"/>
      <c s="5"/>
      <c s="5"/>
      <c s="5"/>
      <c s="5"/>
      <c s="5"/>
      <c s="5"/>
      <c s="5"/>
      <c s="5"/>
      <c s="5"/>
      <c s="5"/>
      <c s="5"/>
    </row>
    <row r="25" spans="1:26" ht="15.75">
      <c r="A25" s="5"/>
      <c s="19"/>
      <c s="19"/>
      <c s="19"/>
      <c s="19"/>
      <c s="19"/>
      <c s="19"/>
      <c s="19"/>
      <c s="19"/>
      <c s="5"/>
      <c s="5"/>
      <c s="5"/>
      <c s="5"/>
      <c s="5"/>
      <c s="5"/>
      <c s="5"/>
      <c s="5"/>
      <c s="5"/>
      <c s="5"/>
      <c s="5"/>
      <c s="5"/>
      <c s="5"/>
      <c s="5"/>
      <c s="5"/>
      <c s="5"/>
      <c s="5"/>
    </row>
    <row r="26" spans="1:26" ht="15.75">
      <c r="A26" s="5"/>
      <c s="18" t="s">
        <v>10</v>
      </c>
      <c r="J26" s="5"/>
      <c s="5"/>
      <c s="5"/>
      <c s="5"/>
      <c s="5"/>
      <c s="5"/>
      <c s="5"/>
      <c s="5"/>
      <c s="5"/>
      <c s="5"/>
      <c s="5"/>
      <c s="5"/>
      <c s="5"/>
      <c s="5"/>
      <c s="5"/>
      <c s="5"/>
      <c s="5"/>
    </row>
    <row r="27" spans="1:26" ht="15.75">
      <c r="A27" s="5"/>
      <c s="19"/>
      <c s="19"/>
      <c s="19"/>
      <c s="19"/>
      <c s="19"/>
      <c s="19"/>
      <c s="19"/>
      <c s="19"/>
      <c s="5"/>
      <c s="5"/>
      <c s="5"/>
      <c s="5"/>
      <c s="5"/>
      <c s="5"/>
      <c s="5"/>
      <c s="5"/>
      <c s="5"/>
      <c s="5"/>
      <c s="5"/>
      <c s="5"/>
      <c s="5"/>
      <c s="5"/>
      <c s="5"/>
      <c s="5"/>
      <c s="5"/>
    </row>
    <row r="28" spans="1:26" ht="15.75">
      <c r="A28" s="5"/>
      <c s="18" t="s">
        <v>11</v>
      </c>
      <c r="J28" s="5"/>
      <c s="5"/>
      <c s="5"/>
      <c s="5"/>
      <c s="5"/>
      <c s="5"/>
      <c s="5"/>
      <c s="5"/>
      <c s="5"/>
      <c s="5"/>
      <c s="5"/>
      <c s="5"/>
      <c s="5"/>
      <c s="5"/>
      <c s="5"/>
      <c s="5"/>
      <c s="5"/>
    </row>
    <row r="29" spans="1:26" ht="15.75">
      <c r="A29" s="5"/>
      <c s="19"/>
      <c s="19"/>
      <c s="19"/>
      <c s="19"/>
      <c s="19"/>
      <c s="19"/>
      <c s="19"/>
      <c s="19"/>
      <c s="5"/>
      <c s="5"/>
      <c s="5"/>
      <c s="5"/>
      <c s="5"/>
      <c s="5"/>
      <c s="5"/>
      <c s="5"/>
      <c s="5"/>
      <c s="5"/>
      <c s="5"/>
      <c s="5"/>
      <c s="5"/>
      <c s="5"/>
      <c s="5"/>
      <c s="5"/>
      <c s="5"/>
    </row>
    <row r="30" spans="1:26" ht="15.75">
      <c r="A30" s="5"/>
      <c s="18" t="s">
        <v>12</v>
      </c>
      <c r="J30" s="5"/>
      <c s="5"/>
      <c s="5"/>
      <c s="5"/>
      <c s="5"/>
      <c s="5"/>
      <c s="5"/>
      <c s="5"/>
      <c s="5"/>
      <c s="5"/>
      <c s="5"/>
      <c s="5"/>
      <c s="5"/>
      <c s="5"/>
      <c s="5"/>
      <c s="5"/>
      <c s="5"/>
    </row>
    <row r="31" spans="1:26" ht="15.75" thickBot="1">
      <c r="A31" s="5"/>
      <c s="5"/>
      <c s="5"/>
      <c s="5"/>
      <c s="5"/>
      <c s="5"/>
      <c s="5"/>
      <c s="5"/>
      <c s="5"/>
      <c s="5"/>
      <c s="5"/>
      <c s="5"/>
      <c s="5"/>
      <c s="5"/>
      <c s="5"/>
      <c s="5"/>
      <c s="5"/>
      <c s="5"/>
      <c s="5"/>
      <c s="5"/>
      <c s="5"/>
      <c s="5"/>
      <c s="5"/>
      <c s="5"/>
      <c s="5"/>
      <c s="5"/>
    </row>
    <row r="32" spans="1:26" ht="15.75">
      <c r="A32" s="5"/>
      <c s="6" t="s">
        <v>13</v>
      </c>
      <c s="5"/>
      <c s="5"/>
      <c s="5"/>
      <c s="5"/>
      <c s="5"/>
      <c s="5"/>
      <c s="5"/>
      <c s="5"/>
      <c s="5"/>
      <c s="5"/>
      <c s="5"/>
      <c s="5"/>
      <c s="5"/>
      <c s="5"/>
      <c s="5"/>
      <c s="5"/>
      <c s="5"/>
      <c s="5"/>
      <c s="5"/>
      <c s="5"/>
      <c s="5"/>
      <c s="5"/>
      <c s="5"/>
      <c s="5"/>
    </row>
    <row r="33" spans="1:26" ht="15.75">
      <c r="A33" s="5"/>
      <c s="20"/>
      <c s="21"/>
      <c s="5"/>
      <c s="5"/>
      <c s="5"/>
      <c s="5"/>
      <c s="5"/>
      <c s="5"/>
      <c s="5"/>
      <c s="5"/>
      <c s="5"/>
      <c s="5"/>
      <c s="5"/>
      <c s="5"/>
      <c s="5"/>
      <c s="5"/>
      <c s="5"/>
      <c s="5"/>
      <c s="5"/>
      <c s="5"/>
      <c s="5"/>
      <c s="5"/>
      <c s="5"/>
      <c s="5"/>
      <c s="5"/>
    </row>
    <row r="34" spans="1:26" ht="15.75">
      <c r="A34" s="9"/>
      <c s="10" t="s">
        <v>14</v>
      </c>
      <c s="22" t="s">
        <v>15</v>
      </c>
      <c s="23"/>
      <c s="23"/>
      <c s="23"/>
      <c s="23"/>
      <c s="23"/>
      <c s="23"/>
      <c s="9"/>
      <c s="9"/>
      <c s="9"/>
      <c s="9"/>
      <c s="9"/>
      <c s="9"/>
      <c s="9"/>
      <c s="9"/>
      <c s="9"/>
      <c s="9"/>
      <c s="9"/>
      <c s="9"/>
      <c s="9"/>
      <c s="9"/>
      <c s="9"/>
      <c s="9"/>
      <c s="9"/>
    </row>
    <row r="35" spans="1:26" ht="15.75">
      <c r="A35" s="9"/>
      <c s="10" t="s">
        <v>16</v>
      </c>
      <c s="24" t="s">
        <v>17</v>
      </c>
      <c r="J35" s="9"/>
      <c s="9"/>
      <c s="9"/>
      <c s="9"/>
      <c s="9"/>
      <c s="9"/>
      <c s="9"/>
      <c s="9"/>
      <c s="9"/>
      <c s="9"/>
      <c s="9"/>
      <c s="9"/>
      <c s="9"/>
      <c s="9"/>
      <c s="9"/>
      <c s="9"/>
      <c s="9"/>
    </row>
    <row r="36" spans="1:26" ht="15.75">
      <c r="A36" s="9"/>
      <c s="25"/>
      <c s="23"/>
      <c s="23"/>
      <c s="23"/>
      <c s="23"/>
      <c s="23"/>
      <c s="23"/>
      <c s="23"/>
      <c s="9"/>
      <c s="9"/>
      <c s="9"/>
      <c s="9"/>
      <c s="9"/>
      <c s="9"/>
      <c s="9"/>
      <c s="9"/>
      <c s="9"/>
      <c s="9"/>
      <c s="9"/>
      <c s="9"/>
      <c s="9"/>
      <c s="9"/>
      <c s="9"/>
      <c s="9"/>
      <c s="9"/>
    </row>
    <row r="37" spans="1:26" ht="15.75">
      <c r="A37" s="9"/>
      <c s="10" t="s">
        <v>14</v>
      </c>
      <c s="22" t="s">
        <v>18</v>
      </c>
      <c r="J37" s="9"/>
      <c s="9"/>
      <c s="9"/>
      <c s="9"/>
      <c s="9"/>
      <c s="9"/>
      <c s="9"/>
      <c s="9"/>
      <c s="9"/>
      <c s="9"/>
      <c s="9"/>
      <c s="9"/>
      <c s="9"/>
      <c s="9"/>
      <c s="9"/>
      <c s="9"/>
      <c s="9"/>
    </row>
    <row r="38" spans="1:26" ht="15.75">
      <c r="A38" s="9"/>
      <c s="10" t="s">
        <v>16</v>
      </c>
      <c s="24" t="s">
        <v>19</v>
      </c>
      <c r="J38" s="9"/>
      <c s="9"/>
      <c s="9"/>
      <c s="9"/>
      <c s="9"/>
      <c s="9"/>
      <c s="9"/>
      <c s="9"/>
      <c s="9"/>
      <c s="9"/>
      <c s="9"/>
      <c s="9"/>
      <c s="9"/>
      <c s="9"/>
      <c s="9"/>
      <c s="9"/>
      <c s="9"/>
    </row>
    <row r="39" spans="1:26" ht="15.75">
      <c r="A39" s="9"/>
      <c s="25"/>
      <c s="23"/>
      <c s="23"/>
      <c s="23"/>
      <c s="23"/>
      <c s="23"/>
      <c s="23"/>
      <c s="23"/>
      <c s="9"/>
      <c s="9"/>
      <c s="9"/>
      <c s="9"/>
      <c s="9"/>
      <c s="9"/>
      <c s="9"/>
      <c s="9"/>
      <c s="9"/>
      <c s="9"/>
      <c s="9"/>
      <c s="9"/>
      <c s="9"/>
      <c s="9"/>
      <c s="9"/>
      <c s="9"/>
      <c s="9"/>
    </row>
    <row r="40" spans="1:26" ht="15.75">
      <c r="A40" s="9"/>
      <c s="10" t="s">
        <v>14</v>
      </c>
      <c s="22" t="s">
        <v>20</v>
      </c>
      <c s="23"/>
      <c s="23"/>
      <c s="23"/>
      <c s="23"/>
      <c s="23"/>
      <c s="23"/>
      <c s="9"/>
      <c s="9"/>
      <c s="9"/>
      <c s="9"/>
      <c s="9"/>
      <c s="9"/>
      <c s="9"/>
      <c s="9"/>
      <c s="9"/>
      <c s="9"/>
      <c s="9"/>
      <c s="9"/>
      <c s="9"/>
      <c s="9"/>
      <c s="9"/>
      <c s="9"/>
      <c s="9"/>
    </row>
    <row r="41" spans="1:26" ht="15.75">
      <c r="A41" s="9"/>
      <c s="10" t="s">
        <v>16</v>
      </c>
      <c s="24" t="s">
        <v>21</v>
      </c>
      <c r="J41" s="9"/>
      <c s="9"/>
      <c s="9"/>
      <c s="9"/>
      <c s="9"/>
      <c s="9"/>
      <c s="9"/>
      <c s="9"/>
      <c s="9"/>
      <c s="9"/>
      <c s="9"/>
      <c s="9"/>
      <c s="9"/>
      <c s="9"/>
      <c s="9"/>
      <c s="9"/>
      <c s="9"/>
    </row>
    <row r="42" spans="1:26" ht="15.75">
      <c r="A42" s="9"/>
      <c s="26"/>
      <c s="27"/>
      <c s="23"/>
      <c s="23"/>
      <c s="23"/>
      <c s="23"/>
      <c s="23"/>
      <c s="23"/>
      <c s="9"/>
      <c s="9"/>
      <c s="9"/>
      <c s="9"/>
      <c s="9"/>
      <c s="9"/>
      <c s="9"/>
      <c s="9"/>
      <c s="9"/>
      <c s="9"/>
      <c s="9"/>
      <c s="9"/>
      <c s="9"/>
      <c s="9"/>
      <c s="9"/>
      <c s="9"/>
      <c s="9"/>
    </row>
    <row r="43" spans="1:26" ht="15.75">
      <c r="A43" s="9"/>
      <c s="10" t="s">
        <v>14</v>
      </c>
      <c s="28" t="s">
        <v>22</v>
      </c>
      <c r="J43" s="9"/>
      <c s="9"/>
      <c s="9"/>
      <c s="9"/>
      <c s="9"/>
      <c s="9"/>
      <c s="9"/>
      <c s="9"/>
      <c s="9"/>
      <c s="9"/>
      <c s="9"/>
      <c s="9"/>
      <c s="9"/>
      <c s="9"/>
      <c s="9"/>
      <c s="9"/>
      <c s="9"/>
    </row>
    <row r="44" spans="1:26" ht="15.75">
      <c r="A44" s="9"/>
      <c s="10" t="s">
        <v>16</v>
      </c>
      <c s="24" t="s">
        <v>23</v>
      </c>
      <c r="J44" s="9"/>
      <c s="9"/>
      <c s="9"/>
      <c s="9"/>
      <c s="9"/>
      <c s="9"/>
      <c s="9"/>
      <c s="9"/>
      <c s="9"/>
      <c s="9"/>
      <c s="9"/>
      <c s="9"/>
      <c s="9"/>
      <c s="9"/>
      <c s="9"/>
      <c s="9"/>
      <c s="9"/>
    </row>
    <row r="45" spans="1:26" ht="15.75" thickBot="1">
      <c r="A45" s="9"/>
      <c s="23"/>
      <c s="23"/>
      <c s="23"/>
      <c s="23"/>
      <c s="23"/>
      <c s="23"/>
      <c s="23"/>
      <c s="23"/>
      <c s="9"/>
      <c s="9"/>
      <c s="9"/>
      <c s="9"/>
      <c s="9"/>
      <c s="9"/>
      <c s="9"/>
      <c s="9"/>
      <c s="9"/>
      <c s="9"/>
      <c s="9"/>
      <c s="9"/>
      <c s="9"/>
      <c s="9"/>
      <c s="9"/>
      <c s="9"/>
      <c s="9"/>
    </row>
    <row r="46" spans="1:26" ht="15.75">
      <c r="A46" s="5"/>
      <c s="6" t="s">
        <v>24</v>
      </c>
      <c s="5"/>
      <c s="5"/>
      <c s="5"/>
      <c s="5"/>
      <c s="5"/>
      <c s="5"/>
      <c s="5"/>
      <c s="5"/>
      <c s="5"/>
      <c s="5"/>
      <c s="5"/>
      <c s="5"/>
      <c s="5"/>
      <c s="5"/>
      <c s="5"/>
      <c s="5"/>
      <c s="5"/>
      <c s="5"/>
      <c s="5"/>
      <c s="5"/>
      <c s="5"/>
      <c s="5"/>
      <c s="5"/>
      <c s="5"/>
    </row>
    <row r="47" spans="1:26" ht="15.75">
      <c r="A47" s="5"/>
      <c s="10"/>
      <c s="29"/>
      <c s="29"/>
      <c s="29"/>
      <c s="29"/>
      <c s="29"/>
      <c s="29"/>
      <c s="29"/>
      <c s="5"/>
      <c s="5"/>
      <c s="5"/>
      <c s="5"/>
      <c s="5"/>
      <c s="5"/>
      <c s="5"/>
      <c s="5"/>
      <c s="5"/>
      <c s="5"/>
      <c s="5"/>
      <c s="5"/>
      <c s="5"/>
      <c s="5"/>
      <c s="5"/>
      <c s="5"/>
      <c s="5"/>
    </row>
    <row r="48" spans="1:26" ht="15.75">
      <c r="A48" s="9"/>
      <c s="10" t="s">
        <v>14</v>
      </c>
      <c s="22" t="s">
        <v>25</v>
      </c>
      <c r="J48" s="9"/>
      <c s="9"/>
      <c s="9"/>
      <c s="9"/>
      <c s="9"/>
      <c s="9"/>
      <c s="9"/>
      <c s="9"/>
      <c s="9"/>
      <c s="9"/>
      <c s="9"/>
      <c s="9"/>
      <c s="9"/>
      <c s="9"/>
      <c s="9"/>
      <c s="9"/>
      <c s="9"/>
    </row>
    <row r="49" spans="1:26" ht="15.75">
      <c r="A49" s="9"/>
      <c s="10" t="s">
        <v>16</v>
      </c>
      <c s="24" t="s">
        <v>26</v>
      </c>
      <c r="J49" s="9"/>
      <c s="9"/>
      <c s="9"/>
      <c s="9"/>
      <c s="9"/>
      <c s="9"/>
      <c s="9"/>
      <c s="9"/>
      <c s="9"/>
      <c s="9"/>
      <c s="9"/>
      <c s="9"/>
      <c s="9"/>
      <c s="9"/>
      <c s="9"/>
      <c s="9"/>
      <c s="9"/>
    </row>
    <row r="50" spans="1:26" ht="15.75">
      <c r="A50" s="9"/>
      <c s="9"/>
      <c s="23"/>
      <c s="9"/>
      <c s="9"/>
      <c s="9"/>
      <c s="9"/>
      <c s="9"/>
      <c s="9"/>
      <c s="9"/>
      <c s="9"/>
      <c s="9"/>
      <c s="9"/>
      <c s="9"/>
      <c s="9"/>
      <c s="9"/>
      <c s="9"/>
      <c s="9"/>
      <c s="9"/>
      <c s="9"/>
      <c s="9"/>
      <c s="9"/>
      <c s="9"/>
      <c s="9"/>
      <c s="9"/>
      <c s="9"/>
    </row>
    <row r="51" spans="1:26" ht="15.75">
      <c r="A51" s="9"/>
      <c s="10" t="s">
        <v>14</v>
      </c>
      <c s="28" t="s">
        <v>27</v>
      </c>
      <c r="J51" s="9"/>
      <c s="9"/>
      <c s="9"/>
      <c s="9"/>
      <c s="9"/>
      <c s="9"/>
      <c s="9"/>
      <c s="9"/>
      <c s="9"/>
      <c s="9"/>
      <c s="9"/>
      <c s="9"/>
      <c s="9"/>
      <c s="9"/>
      <c s="9"/>
      <c s="9"/>
      <c s="9"/>
    </row>
    <row r="52" spans="1:26" ht="15.75">
      <c r="A52" s="9"/>
      <c s="10" t="s">
        <v>16</v>
      </c>
      <c s="24" t="s">
        <v>28</v>
      </c>
      <c r="J52" s="9"/>
      <c s="9"/>
      <c s="9"/>
      <c s="9"/>
      <c s="9"/>
      <c s="9"/>
      <c s="9"/>
      <c s="9"/>
      <c s="9"/>
      <c s="9"/>
      <c s="9"/>
      <c s="9"/>
      <c s="9"/>
      <c s="9"/>
      <c s="9"/>
      <c s="9"/>
      <c s="9"/>
    </row>
    <row r="53" spans="1:26" ht="15.75">
      <c r="A53" s="9"/>
      <c s="9"/>
      <c s="23"/>
      <c s="9"/>
      <c s="9"/>
      <c s="9"/>
      <c s="9"/>
      <c s="9"/>
      <c s="9"/>
      <c s="9"/>
      <c s="9"/>
      <c s="9"/>
      <c s="9"/>
      <c s="9"/>
      <c s="9"/>
      <c s="9"/>
      <c s="9"/>
      <c s="9"/>
      <c s="9"/>
      <c s="9"/>
      <c s="9"/>
      <c s="9"/>
      <c s="9"/>
      <c s="9"/>
      <c s="9"/>
      <c s="9"/>
    </row>
    <row r="54" spans="1:26" ht="15.75">
      <c r="A54" s="9"/>
      <c s="10" t="s">
        <v>14</v>
      </c>
      <c s="28" t="s">
        <v>29</v>
      </c>
      <c r="J54" s="9"/>
      <c s="9"/>
      <c s="9"/>
      <c s="9"/>
      <c s="9"/>
      <c s="9"/>
      <c s="9"/>
      <c s="9"/>
      <c s="9"/>
      <c s="9"/>
      <c s="9"/>
      <c s="9"/>
      <c s="9"/>
      <c s="9"/>
      <c s="9"/>
      <c s="9"/>
      <c s="9"/>
    </row>
    <row r="55" spans="1:26" ht="15.75">
      <c r="A55" s="9"/>
      <c s="10" t="s">
        <v>16</v>
      </c>
      <c s="24" t="s">
        <v>30</v>
      </c>
      <c r="J55" s="9"/>
      <c s="9"/>
      <c s="9"/>
      <c s="9"/>
      <c s="9"/>
      <c s="9"/>
      <c s="9"/>
      <c s="9"/>
      <c s="9"/>
      <c s="9"/>
      <c s="9"/>
      <c s="9"/>
      <c s="9"/>
      <c s="9"/>
      <c s="9"/>
      <c s="9"/>
      <c s="9"/>
    </row>
    <row r="56" spans="1:26" ht="15.75">
      <c r="A56" s="9"/>
      <c s="9"/>
      <c s="23"/>
      <c s="9"/>
      <c s="9"/>
      <c s="9"/>
      <c s="9"/>
      <c s="9"/>
      <c s="9"/>
      <c s="9"/>
      <c s="9"/>
      <c s="9"/>
      <c s="9"/>
      <c s="9"/>
      <c s="9"/>
      <c s="9"/>
      <c s="9"/>
      <c s="9"/>
      <c s="9"/>
      <c s="9"/>
      <c s="9"/>
      <c s="9"/>
      <c s="9"/>
      <c s="9"/>
      <c s="9"/>
      <c s="9"/>
    </row>
    <row r="57" spans="1:26" ht="15.75">
      <c r="A57" s="9"/>
      <c s="10" t="s">
        <v>14</v>
      </c>
      <c s="28" t="s">
        <v>31</v>
      </c>
      <c r="J57" s="9"/>
      <c s="9"/>
      <c s="9"/>
      <c s="9"/>
      <c s="9"/>
      <c s="9"/>
      <c s="9"/>
      <c s="9"/>
      <c s="9"/>
      <c s="9"/>
      <c s="9"/>
      <c s="9"/>
      <c s="9"/>
      <c s="9"/>
      <c s="9"/>
      <c s="9"/>
      <c s="9"/>
    </row>
    <row r="58" spans="1:26" ht="15.75">
      <c r="A58" s="9"/>
      <c s="10" t="s">
        <v>16</v>
      </c>
      <c s="24" t="s">
        <v>32</v>
      </c>
      <c r="J58" s="9"/>
      <c s="9"/>
      <c s="9"/>
      <c s="9"/>
      <c s="9"/>
      <c s="9"/>
      <c s="9"/>
      <c s="9"/>
      <c s="9"/>
      <c s="9"/>
      <c s="9"/>
      <c s="9"/>
      <c s="9"/>
      <c s="9"/>
      <c s="9"/>
      <c s="9"/>
      <c s="9"/>
    </row>
    <row r="59" spans="1:26" ht="15.75">
      <c r="A59" s="9"/>
      <c s="9"/>
      <c s="23"/>
      <c s="9"/>
      <c s="9"/>
      <c s="9"/>
      <c s="9"/>
      <c s="9"/>
      <c s="9"/>
      <c s="9"/>
      <c s="9"/>
      <c s="9"/>
      <c s="9"/>
      <c s="9"/>
      <c s="9"/>
      <c s="9"/>
      <c s="9"/>
      <c s="9"/>
      <c s="9"/>
      <c s="9"/>
      <c s="9"/>
      <c s="9"/>
      <c s="9"/>
      <c s="9"/>
      <c s="9"/>
      <c s="9"/>
    </row>
    <row r="60" spans="1:26" ht="15.75">
      <c r="A60" s="9"/>
      <c s="10" t="s">
        <v>14</v>
      </c>
      <c s="28" t="s">
        <v>33</v>
      </c>
      <c r="J60" s="9"/>
      <c s="9"/>
      <c s="9"/>
      <c s="9"/>
      <c s="9"/>
      <c s="9"/>
      <c s="9"/>
      <c s="9"/>
      <c s="9"/>
      <c s="9"/>
      <c s="9"/>
      <c s="9"/>
      <c s="9"/>
      <c s="9"/>
      <c s="9"/>
      <c s="9"/>
      <c s="9"/>
    </row>
    <row r="61" spans="1:26" ht="15.75">
      <c r="A61" s="9"/>
      <c s="10" t="s">
        <v>16</v>
      </c>
      <c s="24" t="s">
        <v>34</v>
      </c>
      <c r="J61" s="9"/>
      <c s="9"/>
      <c s="9"/>
      <c s="9"/>
      <c s="9"/>
      <c s="9"/>
      <c s="9"/>
      <c s="9"/>
      <c s="9"/>
      <c s="9"/>
      <c s="9"/>
      <c s="9"/>
      <c s="9"/>
      <c s="9"/>
      <c s="9"/>
      <c s="9"/>
      <c s="9"/>
    </row>
    <row r="62" spans="1:26" ht="15.75" thickBot="1">
      <c r="A62" s="9"/>
      <c s="9"/>
      <c s="23"/>
      <c s="9"/>
      <c s="9"/>
      <c s="9"/>
      <c s="9"/>
      <c s="9"/>
      <c s="9"/>
      <c s="9"/>
      <c s="9"/>
      <c s="9"/>
      <c s="9"/>
      <c s="9"/>
      <c s="9"/>
      <c s="9"/>
      <c s="9"/>
      <c s="9"/>
      <c s="9"/>
      <c s="9"/>
      <c s="9"/>
      <c s="9"/>
      <c s="9"/>
      <c s="9"/>
      <c s="9"/>
      <c s="9"/>
    </row>
    <row r="63" spans="1:26" ht="15.75">
      <c r="A63" s="5"/>
      <c s="6" t="s">
        <v>35</v>
      </c>
      <c s="19"/>
      <c s="5"/>
      <c s="5"/>
      <c s="5"/>
      <c s="5"/>
      <c s="5"/>
      <c s="5"/>
      <c s="5"/>
      <c s="5"/>
      <c s="5"/>
      <c s="5"/>
      <c s="5"/>
      <c s="5"/>
      <c s="5"/>
      <c s="5"/>
      <c s="5"/>
      <c s="5"/>
      <c s="5"/>
      <c s="5"/>
      <c s="5"/>
      <c s="5"/>
      <c s="5"/>
      <c s="5"/>
      <c s="5"/>
    </row>
    <row r="64" spans="1:26" ht="15.75">
      <c r="A64" s="5"/>
      <c s="5"/>
      <c s="19"/>
      <c s="5"/>
      <c s="5"/>
      <c s="5"/>
      <c s="5"/>
      <c s="5"/>
      <c s="5"/>
      <c s="5"/>
      <c s="5"/>
      <c s="5"/>
      <c s="5"/>
      <c s="5"/>
      <c s="5"/>
      <c s="5"/>
      <c s="5"/>
      <c s="5"/>
      <c s="5"/>
      <c s="5"/>
      <c s="5"/>
      <c s="5"/>
      <c s="5"/>
      <c s="5"/>
      <c s="5"/>
      <c s="5"/>
    </row>
    <row r="65" spans="1:26" ht="15.75">
      <c r="A65" s="5"/>
      <c s="10" t="s">
        <v>14</v>
      </c>
      <c s="22" t="s">
        <v>36</v>
      </c>
      <c s="5"/>
      <c s="5"/>
      <c s="5"/>
      <c s="5"/>
      <c s="5"/>
      <c s="5"/>
      <c s="5"/>
      <c s="5"/>
      <c s="5"/>
      <c s="5"/>
      <c s="5"/>
      <c s="5"/>
      <c s="5"/>
      <c s="5"/>
      <c s="5"/>
      <c s="5"/>
      <c s="5"/>
      <c s="5"/>
      <c s="5"/>
      <c s="5"/>
      <c s="5"/>
      <c s="5"/>
      <c s="5"/>
    </row>
    <row r="66" spans="1:26" ht="15.75">
      <c r="A66" s="5"/>
      <c s="10" t="s">
        <v>16</v>
      </c>
      <c s="24" t="s">
        <v>37</v>
      </c>
      <c r="J66" s="5"/>
      <c s="5"/>
      <c s="5"/>
      <c s="5"/>
      <c s="5"/>
      <c s="5"/>
      <c s="5"/>
      <c s="5"/>
      <c s="5"/>
      <c s="5"/>
      <c s="5"/>
      <c s="5"/>
      <c s="5"/>
      <c s="5"/>
      <c s="5"/>
      <c s="5"/>
      <c s="5"/>
    </row>
    <row r="67" spans="1:26" ht="15.75">
      <c r="A67" s="5"/>
      <c s="5"/>
      <c s="23"/>
      <c s="5"/>
      <c s="5"/>
      <c s="5"/>
      <c s="5"/>
      <c s="5"/>
      <c s="5"/>
      <c s="5"/>
      <c s="5"/>
      <c s="5"/>
      <c s="5"/>
      <c s="5"/>
      <c s="5"/>
      <c s="5"/>
      <c s="5"/>
      <c s="5"/>
      <c s="5"/>
      <c s="5"/>
      <c s="5"/>
      <c s="5"/>
      <c s="5"/>
      <c s="5"/>
      <c s="5"/>
      <c s="5"/>
    </row>
    <row r="68" spans="1:26" ht="15.75">
      <c r="A68" s="5"/>
      <c s="10" t="s">
        <v>14</v>
      </c>
      <c s="22" t="s">
        <v>38</v>
      </c>
      <c s="5"/>
      <c s="5"/>
      <c s="5"/>
      <c s="5"/>
      <c s="5"/>
      <c s="5"/>
      <c s="5"/>
      <c s="5"/>
      <c s="5"/>
      <c s="5"/>
      <c s="5"/>
      <c s="5"/>
      <c s="5"/>
      <c s="5"/>
      <c s="5"/>
      <c s="5"/>
      <c s="5"/>
      <c s="5"/>
      <c s="5"/>
      <c s="5"/>
      <c s="5"/>
      <c s="5"/>
      <c s="5"/>
    </row>
    <row r="69" spans="1:26" ht="15.75">
      <c r="A69" s="5"/>
      <c s="10" t="s">
        <v>16</v>
      </c>
      <c s="24" t="s">
        <v>39</v>
      </c>
      <c r="J69" s="5"/>
      <c s="5"/>
      <c s="5"/>
      <c s="5"/>
      <c s="5"/>
      <c s="5"/>
      <c s="5"/>
      <c s="5"/>
      <c s="5"/>
      <c s="5"/>
      <c s="5"/>
      <c s="5"/>
      <c s="5"/>
      <c s="5"/>
      <c s="5"/>
      <c s="5"/>
      <c s="5"/>
    </row>
    <row r="70" spans="1:26" ht="15.75">
      <c r="A70" s="5"/>
      <c s="5"/>
      <c s="23"/>
      <c s="5"/>
      <c s="5"/>
      <c s="5"/>
      <c s="5"/>
      <c s="5"/>
      <c s="5"/>
      <c s="5"/>
      <c s="5"/>
      <c s="5"/>
      <c s="5"/>
      <c s="5"/>
      <c s="5"/>
      <c s="5"/>
      <c s="5"/>
      <c s="5"/>
      <c s="5"/>
      <c s="5"/>
      <c s="5"/>
      <c s="5"/>
      <c s="5"/>
      <c s="5"/>
      <c s="5"/>
      <c s="5"/>
    </row>
    <row r="71" spans="1:26" ht="15.75">
      <c r="A71" s="5"/>
      <c s="10" t="s">
        <v>14</v>
      </c>
      <c s="22" t="s">
        <v>40</v>
      </c>
      <c s="5"/>
      <c s="5"/>
      <c s="5"/>
      <c s="5"/>
      <c s="5"/>
      <c s="5"/>
      <c s="5"/>
      <c s="5"/>
      <c s="5"/>
      <c s="5"/>
      <c s="5"/>
      <c s="5"/>
      <c s="5"/>
      <c s="5"/>
      <c s="5"/>
      <c s="5"/>
      <c s="5"/>
      <c s="5"/>
      <c s="5"/>
      <c s="5"/>
      <c s="5"/>
      <c s="5"/>
      <c s="5"/>
    </row>
    <row r="72" spans="1:26" ht="15.75">
      <c r="A72" s="5"/>
      <c s="10" t="s">
        <v>16</v>
      </c>
      <c s="24" t="s">
        <v>41</v>
      </c>
      <c r="J72" s="5"/>
      <c s="5"/>
      <c s="5"/>
      <c s="5"/>
      <c s="5"/>
      <c s="5"/>
      <c s="5"/>
      <c s="5"/>
      <c s="5"/>
      <c s="5"/>
      <c s="5"/>
      <c s="5"/>
      <c s="5"/>
      <c s="5"/>
      <c s="5"/>
      <c s="5"/>
      <c s="5"/>
    </row>
    <row r="73" spans="1:26" ht="15.75">
      <c r="A73" s="5"/>
      <c s="5"/>
      <c s="23"/>
      <c s="5"/>
      <c s="5"/>
      <c s="5"/>
      <c s="5"/>
      <c s="5"/>
      <c s="5"/>
      <c s="5"/>
      <c s="5"/>
      <c s="5"/>
      <c s="5"/>
      <c s="5"/>
      <c s="5"/>
      <c s="5"/>
      <c s="5"/>
      <c s="5"/>
      <c s="5"/>
      <c s="5"/>
      <c s="5"/>
      <c s="5"/>
      <c s="5"/>
      <c s="5"/>
      <c s="5"/>
      <c s="5"/>
    </row>
    <row r="74" spans="1:26" ht="15.75">
      <c r="A74" s="5"/>
      <c s="10" t="s">
        <v>14</v>
      </c>
      <c s="22" t="s">
        <v>42</v>
      </c>
      <c s="5"/>
      <c s="5"/>
      <c s="5"/>
      <c s="5"/>
      <c s="5"/>
      <c s="5"/>
      <c s="5"/>
      <c s="5"/>
      <c s="5"/>
      <c s="5"/>
      <c s="5"/>
      <c s="5"/>
      <c s="5"/>
      <c s="5"/>
      <c s="5"/>
      <c s="5"/>
      <c s="5"/>
      <c s="5"/>
      <c s="5"/>
      <c s="5"/>
      <c s="5"/>
      <c s="5"/>
      <c s="5"/>
    </row>
    <row r="75" spans="1:26" ht="15.75">
      <c r="A75" s="5"/>
      <c s="10" t="s">
        <v>16</v>
      </c>
      <c s="24" t="s">
        <v>43</v>
      </c>
      <c r="J75" s="5"/>
      <c s="5"/>
      <c s="5"/>
      <c s="5"/>
      <c s="5"/>
      <c s="5"/>
      <c s="5"/>
      <c s="5"/>
      <c s="5"/>
      <c s="5"/>
      <c s="5"/>
      <c s="5"/>
      <c s="5"/>
      <c s="5"/>
      <c s="5"/>
      <c s="5"/>
      <c s="5"/>
    </row>
    <row r="76" spans="1:26" ht="15.75">
      <c r="A76" s="5"/>
      <c s="5"/>
      <c s="23"/>
      <c s="5"/>
      <c s="5"/>
      <c s="5"/>
      <c s="5"/>
      <c s="5"/>
      <c s="5"/>
      <c s="5"/>
      <c s="5"/>
      <c s="5"/>
      <c s="5"/>
      <c s="5"/>
      <c s="5"/>
      <c s="5"/>
      <c s="5"/>
      <c s="5"/>
      <c s="5"/>
      <c s="5"/>
      <c s="5"/>
      <c s="5"/>
      <c s="5"/>
      <c s="5"/>
      <c s="5"/>
      <c s="5"/>
    </row>
    <row r="77" spans="1:26" ht="15.75">
      <c r="A77" s="5"/>
      <c s="10" t="s">
        <v>14</v>
      </c>
      <c s="22" t="s">
        <v>44</v>
      </c>
      <c s="5"/>
      <c s="5"/>
      <c s="5"/>
      <c s="5"/>
      <c s="5"/>
      <c s="5"/>
      <c s="5"/>
      <c s="5"/>
      <c s="5"/>
      <c s="5"/>
      <c s="5"/>
      <c s="5"/>
      <c s="5"/>
      <c s="5"/>
      <c s="5"/>
      <c s="5"/>
      <c s="5"/>
      <c s="5"/>
      <c s="5"/>
      <c s="5"/>
      <c s="5"/>
      <c s="5"/>
      <c s="5"/>
    </row>
    <row r="78" spans="1:26" ht="15.75">
      <c r="A78" s="5"/>
      <c s="10" t="s">
        <v>16</v>
      </c>
      <c s="24" t="s">
        <v>45</v>
      </c>
      <c r="J78" s="5"/>
      <c s="5"/>
      <c s="5"/>
      <c s="5"/>
      <c s="5"/>
      <c s="5"/>
      <c s="5"/>
      <c s="5"/>
      <c s="5"/>
      <c s="5"/>
      <c s="5"/>
      <c s="5"/>
      <c s="5"/>
      <c s="5"/>
      <c s="5"/>
      <c s="5"/>
      <c s="5"/>
    </row>
    <row r="79" spans="1:26" ht="15.75">
      <c r="A79" s="5"/>
      <c s="5"/>
      <c s="23"/>
      <c s="5"/>
      <c s="5"/>
      <c s="5"/>
      <c s="5"/>
      <c s="5"/>
      <c s="5"/>
      <c s="5"/>
      <c s="5"/>
      <c s="5"/>
      <c s="5"/>
      <c s="5"/>
      <c s="5"/>
      <c s="5"/>
      <c s="5"/>
      <c s="5"/>
      <c s="5"/>
      <c s="5"/>
      <c s="5"/>
      <c s="5"/>
      <c s="5"/>
      <c s="5"/>
      <c s="5"/>
      <c s="5"/>
    </row>
    <row r="80" spans="1:26" ht="15.75">
      <c r="A80" s="5"/>
      <c s="10" t="s">
        <v>14</v>
      </c>
      <c s="22" t="s">
        <v>46</v>
      </c>
      <c s="5"/>
      <c s="5"/>
      <c s="5"/>
      <c s="5"/>
      <c s="5"/>
      <c s="5"/>
      <c s="5"/>
      <c s="5"/>
      <c s="5"/>
      <c s="5"/>
      <c s="5"/>
      <c s="5"/>
      <c s="5"/>
      <c s="5"/>
      <c s="5"/>
      <c s="5"/>
      <c s="5"/>
      <c s="5"/>
      <c s="5"/>
      <c s="5"/>
      <c s="5"/>
      <c s="5"/>
      <c s="5"/>
    </row>
    <row r="81" spans="1:26" ht="15.75">
      <c r="A81" s="5"/>
      <c s="10" t="s">
        <v>16</v>
      </c>
      <c s="24" t="s">
        <v>47</v>
      </c>
      <c r="J81" s="5"/>
      <c s="5"/>
      <c s="5"/>
      <c s="5"/>
      <c s="5"/>
      <c s="5"/>
      <c s="5"/>
      <c s="5"/>
      <c s="5"/>
      <c s="5"/>
      <c s="5"/>
      <c s="5"/>
      <c s="5"/>
      <c s="5"/>
      <c s="5"/>
      <c s="5"/>
      <c s="5"/>
    </row>
    <row r="82" spans="1:26" ht="15.75" thickBot="1">
      <c r="A82" s="5"/>
      <c s="5"/>
      <c s="5"/>
      <c s="5"/>
      <c s="5"/>
      <c s="5"/>
      <c s="5"/>
      <c s="5"/>
      <c s="5"/>
      <c s="5"/>
      <c s="5"/>
      <c s="5"/>
      <c s="5"/>
      <c s="5"/>
      <c s="5"/>
      <c s="5"/>
      <c s="5"/>
      <c s="5"/>
      <c s="5"/>
      <c s="5"/>
      <c s="5"/>
      <c s="5"/>
      <c s="5"/>
      <c s="5"/>
      <c s="5"/>
      <c s="5"/>
    </row>
    <row r="83" spans="1:26" ht="15.75">
      <c r="A83" s="5"/>
      <c s="6" t="s">
        <v>48</v>
      </c>
      <c s="5"/>
      <c s="5"/>
      <c s="5"/>
      <c s="5"/>
      <c s="5"/>
      <c s="5"/>
      <c s="5"/>
      <c s="5"/>
      <c s="5"/>
      <c s="5"/>
      <c s="5"/>
      <c s="5"/>
      <c s="5"/>
      <c s="5"/>
      <c s="5"/>
      <c s="5"/>
      <c s="5"/>
      <c s="5"/>
      <c s="5"/>
      <c s="5"/>
      <c s="5"/>
      <c s="5"/>
      <c s="5"/>
      <c s="5"/>
    </row>
    <row r="84" spans="1:26" ht="15.75">
      <c r="A84" s="5"/>
      <c s="5"/>
      <c s="5"/>
      <c s="5"/>
      <c s="5"/>
      <c s="5"/>
      <c s="5"/>
      <c s="5"/>
      <c s="5"/>
      <c s="5"/>
      <c s="5"/>
      <c s="5"/>
      <c s="5"/>
      <c s="5"/>
      <c s="5"/>
      <c s="5"/>
      <c s="5"/>
      <c s="5"/>
      <c s="5"/>
      <c s="5"/>
      <c s="5"/>
      <c s="5"/>
      <c s="5"/>
      <c s="5"/>
      <c s="5"/>
      <c s="5"/>
    </row>
    <row r="85" spans="1:26" ht="15.75">
      <c r="A85" s="5"/>
      <c s="10" t="s">
        <v>14</v>
      </c>
      <c s="22" t="s">
        <v>49</v>
      </c>
      <c s="5"/>
      <c s="5"/>
      <c s="5"/>
      <c s="5"/>
      <c s="5"/>
      <c s="5"/>
      <c s="5"/>
      <c s="5"/>
      <c s="5"/>
      <c s="5"/>
      <c s="5"/>
      <c s="5"/>
      <c s="5"/>
      <c s="5"/>
      <c s="5"/>
      <c s="5"/>
      <c s="5"/>
      <c s="5"/>
      <c s="5"/>
      <c s="5"/>
      <c s="5"/>
      <c s="5"/>
      <c s="5"/>
    </row>
    <row r="86" spans="1:26" ht="15.75">
      <c r="A86" s="5"/>
      <c s="10" t="s">
        <v>16</v>
      </c>
      <c s="24" t="s">
        <v>50</v>
      </c>
      <c r="J86" s="5"/>
      <c s="5"/>
      <c s="5"/>
      <c s="5"/>
      <c s="5"/>
      <c s="5"/>
      <c s="5"/>
      <c s="5"/>
      <c s="5"/>
      <c s="5"/>
      <c s="5"/>
      <c s="5"/>
      <c s="5"/>
      <c s="5"/>
      <c s="5"/>
      <c s="5"/>
      <c s="5"/>
    </row>
    <row r="87" spans="1:26" ht="15.75">
      <c r="A87" s="5"/>
      <c s="5"/>
      <c s="23"/>
      <c s="5"/>
      <c s="5"/>
      <c s="5"/>
      <c s="5"/>
      <c s="5"/>
      <c s="5"/>
      <c s="5"/>
      <c s="5"/>
      <c s="5"/>
      <c s="5"/>
      <c s="5"/>
      <c s="5"/>
      <c s="5"/>
      <c s="5"/>
      <c s="5"/>
      <c s="5"/>
      <c s="5"/>
      <c s="5"/>
      <c s="5"/>
      <c s="5"/>
      <c s="5"/>
      <c s="5"/>
      <c s="5"/>
    </row>
    <row r="88" spans="1:26" ht="15.75">
      <c r="A88" s="5"/>
      <c s="10" t="s">
        <v>14</v>
      </c>
      <c s="22" t="s">
        <v>51</v>
      </c>
      <c s="5"/>
      <c s="5"/>
      <c s="5"/>
      <c s="5"/>
      <c s="5"/>
      <c s="5"/>
      <c s="5"/>
      <c s="5"/>
      <c s="5"/>
      <c s="5"/>
      <c s="5"/>
      <c s="5"/>
      <c s="5"/>
      <c s="5"/>
      <c s="5"/>
      <c s="5"/>
      <c s="5"/>
      <c s="5"/>
      <c s="5"/>
      <c s="5"/>
      <c s="5"/>
      <c s="5"/>
      <c s="5"/>
    </row>
    <row r="89" spans="1:26" ht="15.75">
      <c r="A89" s="5"/>
      <c s="10" t="s">
        <v>16</v>
      </c>
      <c s="24" t="s">
        <v>52</v>
      </c>
      <c r="J89" s="5"/>
      <c s="5"/>
      <c s="5"/>
      <c s="5"/>
      <c s="5"/>
      <c s="5"/>
      <c s="5"/>
      <c s="5"/>
      <c s="5"/>
      <c s="5"/>
      <c s="5"/>
      <c s="5"/>
      <c s="5"/>
      <c s="5"/>
      <c s="5"/>
      <c s="5"/>
      <c s="5"/>
    </row>
    <row r="90" spans="1:26" ht="15.75">
      <c r="A90" s="5"/>
      <c s="5"/>
      <c s="23"/>
      <c s="5"/>
      <c s="5"/>
      <c s="5"/>
      <c s="5"/>
      <c s="5"/>
      <c s="5"/>
      <c s="5"/>
      <c s="5"/>
      <c s="5"/>
      <c s="5"/>
      <c s="5"/>
      <c s="5"/>
      <c s="5"/>
      <c s="5"/>
      <c s="5"/>
      <c s="5"/>
      <c s="5"/>
      <c s="5"/>
      <c s="5"/>
      <c s="5"/>
      <c s="5"/>
      <c s="5"/>
      <c s="5"/>
    </row>
    <row r="91" spans="1:26" ht="15.75">
      <c r="A91" s="5"/>
      <c s="10" t="s">
        <v>14</v>
      </c>
      <c s="22" t="s">
        <v>53</v>
      </c>
      <c s="5"/>
      <c s="5"/>
      <c s="5"/>
      <c s="5"/>
      <c s="5"/>
      <c s="5"/>
      <c s="5"/>
      <c s="5"/>
      <c s="5"/>
      <c s="5"/>
      <c s="5"/>
      <c s="5"/>
      <c s="5"/>
      <c s="5"/>
      <c s="5"/>
      <c s="5"/>
      <c s="5"/>
      <c s="5"/>
      <c s="5"/>
      <c s="5"/>
      <c s="5"/>
      <c s="5"/>
      <c s="5"/>
    </row>
    <row r="92" spans="1:26" ht="15.75">
      <c r="A92" s="5"/>
      <c s="10" t="s">
        <v>16</v>
      </c>
      <c s="24" t="s">
        <v>54</v>
      </c>
      <c r="J92" s="5"/>
      <c s="5"/>
      <c s="5"/>
      <c s="5"/>
      <c s="5"/>
      <c s="5"/>
      <c s="5"/>
      <c s="5"/>
      <c s="5"/>
      <c s="5"/>
      <c s="5"/>
      <c s="5"/>
      <c s="5"/>
      <c s="5"/>
      <c s="5"/>
      <c s="5"/>
      <c s="5"/>
    </row>
    <row r="93" spans="1:26" ht="15.75">
      <c r="A93" s="5"/>
      <c s="5"/>
      <c s="23"/>
      <c s="5"/>
      <c s="5"/>
      <c s="5"/>
      <c s="5"/>
      <c s="5"/>
      <c s="5"/>
      <c s="5"/>
      <c s="5"/>
      <c s="5"/>
      <c s="5"/>
      <c s="5"/>
      <c s="5"/>
      <c s="5"/>
      <c s="5"/>
      <c s="5"/>
      <c s="5"/>
      <c s="5"/>
      <c s="5"/>
      <c s="5"/>
      <c s="5"/>
      <c s="5"/>
      <c s="5"/>
      <c s="5"/>
    </row>
    <row r="94" spans="1:26" ht="15.75">
      <c r="A94" s="5"/>
      <c s="10" t="s">
        <v>14</v>
      </c>
      <c s="22" t="s">
        <v>55</v>
      </c>
      <c s="5"/>
      <c s="5"/>
      <c s="5"/>
      <c s="5"/>
      <c s="5"/>
      <c s="5"/>
      <c s="5"/>
      <c s="5"/>
      <c s="5"/>
      <c s="5"/>
      <c s="5"/>
      <c s="5"/>
      <c s="5"/>
      <c s="5"/>
      <c s="5"/>
      <c s="5"/>
      <c s="5"/>
      <c s="5"/>
      <c s="5"/>
      <c s="5"/>
      <c s="5"/>
      <c s="5"/>
      <c s="5"/>
    </row>
    <row r="95" spans="1:26" ht="15.75">
      <c r="A95" s="5"/>
      <c s="10" t="s">
        <v>16</v>
      </c>
      <c s="24" t="s">
        <v>56</v>
      </c>
      <c r="J95" s="5"/>
      <c s="5"/>
      <c s="5"/>
      <c s="5"/>
      <c s="5"/>
      <c s="5"/>
      <c s="5"/>
      <c s="5"/>
      <c s="5"/>
      <c s="5"/>
      <c s="5"/>
      <c s="5"/>
      <c s="5"/>
      <c s="5"/>
      <c s="5"/>
      <c s="5"/>
      <c s="5"/>
    </row>
    <row r="96" spans="1:26" ht="15.75">
      <c r="A96" s="5"/>
      <c s="5"/>
      <c s="23"/>
      <c s="5"/>
      <c s="5"/>
      <c s="5"/>
      <c s="5"/>
      <c s="5"/>
      <c s="5"/>
      <c s="5"/>
      <c s="5"/>
      <c s="5"/>
      <c s="5"/>
      <c s="5"/>
      <c s="5"/>
      <c s="5"/>
      <c s="5"/>
      <c s="5"/>
      <c s="5"/>
      <c s="5"/>
      <c s="5"/>
      <c s="5"/>
      <c s="5"/>
      <c s="5"/>
      <c s="5"/>
      <c s="5"/>
    </row>
    <row r="97" spans="1:26" ht="15.75">
      <c r="A97" s="5"/>
      <c s="10" t="s">
        <v>14</v>
      </c>
      <c s="22" t="s">
        <v>57</v>
      </c>
      <c s="5"/>
      <c s="5"/>
      <c s="5"/>
      <c s="5"/>
      <c s="5"/>
      <c s="5"/>
      <c s="5"/>
      <c s="5"/>
      <c s="5"/>
      <c s="5"/>
      <c s="5"/>
      <c s="5"/>
      <c s="5"/>
      <c s="5"/>
      <c s="5"/>
      <c s="5"/>
      <c s="5"/>
      <c s="5"/>
      <c s="5"/>
      <c s="5"/>
      <c s="5"/>
      <c s="5"/>
      <c s="5"/>
    </row>
    <row r="98" spans="1:26" ht="15.75">
      <c r="A98" s="5"/>
      <c s="10" t="s">
        <v>16</v>
      </c>
      <c s="24" t="s">
        <v>58</v>
      </c>
      <c r="J98" s="5"/>
      <c s="5"/>
      <c s="5"/>
      <c s="5"/>
      <c s="5"/>
      <c s="5"/>
      <c s="5"/>
      <c s="5"/>
      <c s="5"/>
      <c s="5"/>
      <c s="5"/>
      <c s="5"/>
      <c s="5"/>
      <c s="5"/>
      <c s="5"/>
      <c s="5"/>
      <c s="5"/>
    </row>
    <row r="99" spans="1:26" ht="15.75" thickBot="1">
      <c r="A99" s="5"/>
      <c s="5"/>
      <c s="5"/>
      <c s="5"/>
      <c s="5"/>
      <c s="5"/>
      <c s="5"/>
      <c s="5"/>
      <c s="5"/>
      <c s="5"/>
      <c s="5"/>
      <c s="5"/>
      <c s="5"/>
      <c s="5"/>
      <c s="5"/>
      <c s="5"/>
      <c s="5"/>
      <c s="5"/>
      <c s="5"/>
      <c s="5"/>
      <c s="5"/>
      <c s="5"/>
      <c s="5"/>
      <c s="5"/>
      <c s="5"/>
      <c s="5"/>
    </row>
    <row r="100" spans="1:26" ht="15.75">
      <c r="A100" s="5"/>
      <c s="6" t="s">
        <v>59</v>
      </c>
      <c s="5"/>
      <c s="5"/>
      <c s="5"/>
      <c s="5"/>
      <c s="5"/>
      <c s="5"/>
      <c s="5"/>
      <c s="5"/>
      <c s="5"/>
      <c s="5"/>
      <c s="5"/>
      <c s="5"/>
      <c s="5"/>
      <c s="5"/>
      <c s="5"/>
      <c s="5"/>
      <c s="5"/>
      <c s="5"/>
      <c s="5"/>
      <c s="5"/>
      <c s="5"/>
      <c s="5"/>
      <c s="5"/>
      <c s="5"/>
    </row>
    <row r="101" spans="1:26" ht="15.75">
      <c r="A101" s="5"/>
      <c s="10"/>
      <c s="30"/>
      <c s="5"/>
      <c s="5"/>
      <c s="5"/>
      <c s="5"/>
      <c s="5"/>
      <c s="5"/>
      <c s="5"/>
      <c s="5"/>
      <c s="5"/>
      <c s="5"/>
      <c s="5"/>
      <c s="5"/>
      <c s="5"/>
      <c s="5"/>
      <c s="5"/>
      <c s="5"/>
      <c s="5"/>
      <c s="5"/>
      <c s="5"/>
      <c s="5"/>
      <c s="5"/>
      <c s="5"/>
      <c s="5"/>
    </row>
    <row r="102" spans="1:26" ht="15.75">
      <c r="A102" s="5"/>
      <c s="10" t="s">
        <v>14</v>
      </c>
      <c s="22" t="s">
        <v>60</v>
      </c>
      <c s="5"/>
      <c s="5"/>
      <c s="5"/>
      <c s="5"/>
      <c s="5"/>
      <c s="5"/>
      <c s="5"/>
      <c s="5"/>
      <c s="5"/>
      <c s="5"/>
      <c s="5"/>
      <c s="5"/>
      <c s="5"/>
      <c s="5"/>
      <c s="5"/>
      <c s="5"/>
      <c s="5"/>
      <c s="5"/>
      <c s="5"/>
      <c s="5"/>
      <c s="5"/>
      <c s="5"/>
      <c s="5"/>
    </row>
    <row r="103" spans="1:26" ht="15.75">
      <c r="A103" s="5"/>
      <c s="10" t="s">
        <v>16</v>
      </c>
      <c s="24" t="s">
        <v>61</v>
      </c>
      <c r="J103" s="5"/>
      <c s="5"/>
      <c s="5"/>
      <c s="5"/>
      <c s="5"/>
      <c s="5"/>
      <c s="5"/>
      <c s="5"/>
      <c s="5"/>
      <c s="5"/>
      <c s="5"/>
      <c s="5"/>
      <c s="5"/>
      <c s="5"/>
      <c s="5"/>
      <c s="5"/>
      <c s="5"/>
    </row>
    <row r="104" spans="1:26" ht="61.5" customHeight="1">
      <c r="A104" s="5"/>
      <c s="5"/>
      <c s="18" t="s">
        <v>62</v>
      </c>
      <c r="J104" s="5"/>
      <c s="5"/>
      <c s="5"/>
      <c s="5"/>
      <c s="5"/>
      <c s="5"/>
      <c s="5"/>
      <c s="5"/>
      <c s="5"/>
      <c s="5"/>
      <c s="5"/>
      <c s="5"/>
      <c s="5"/>
      <c s="5"/>
      <c s="5"/>
      <c s="5"/>
      <c s="5"/>
    </row>
    <row r="105" spans="1:26" ht="15.75">
      <c r="A105" s="5"/>
      <c s="5"/>
      <c s="27"/>
      <c s="5"/>
      <c s="5"/>
      <c s="5"/>
      <c s="5"/>
      <c s="5"/>
      <c s="5"/>
      <c s="5"/>
      <c s="5"/>
      <c s="5"/>
      <c s="5"/>
      <c s="5"/>
      <c s="5"/>
      <c s="5"/>
      <c s="5"/>
      <c s="5"/>
      <c s="5"/>
      <c s="5"/>
      <c s="5"/>
      <c s="5"/>
      <c s="5"/>
      <c s="5"/>
      <c s="5"/>
      <c s="5"/>
    </row>
    <row r="106" spans="1:26" ht="15.75">
      <c r="A106" s="5"/>
      <c s="5"/>
      <c s="19"/>
      <c s="5"/>
      <c s="31" t="str">
        <f>HYPERLINK("mailto:support@thestrengthathlete.com","EMAIL US")</f>
        <v>EMAIL US</v>
      </c>
      <c r="G106" s="14"/>
      <c s="5"/>
      <c s="5"/>
      <c s="5"/>
      <c s="5"/>
      <c s="5"/>
      <c s="5"/>
      <c s="5"/>
      <c s="5"/>
      <c s="5"/>
      <c s="5"/>
      <c s="5"/>
      <c s="5"/>
      <c s="5"/>
      <c s="5"/>
      <c s="5"/>
      <c s="5"/>
      <c s="5"/>
      <c s="5"/>
      <c s="5"/>
    </row>
    <row r="107" spans="1:26" ht="15.75">
      <c r="A107" s="5"/>
      <c s="5"/>
      <c s="19"/>
      <c s="5"/>
      <c s="15"/>
      <c s="15"/>
      <c s="16"/>
      <c s="5"/>
      <c s="5"/>
      <c s="5"/>
      <c s="5"/>
      <c s="5"/>
      <c s="5"/>
      <c s="5"/>
      <c s="5"/>
      <c s="5"/>
      <c s="5"/>
      <c s="5"/>
      <c s="5"/>
      <c s="5"/>
      <c s="5"/>
      <c s="5"/>
      <c s="5"/>
      <c s="5"/>
      <c s="5"/>
      <c s="5"/>
    </row>
    <row r="108" spans="1:26" ht="15.75">
      <c r="A108" s="5"/>
      <c s="5"/>
      <c s="19"/>
      <c s="5"/>
      <c s="5"/>
      <c s="5"/>
      <c s="5"/>
      <c s="5"/>
      <c s="5"/>
      <c s="5"/>
      <c s="5"/>
      <c s="5"/>
      <c s="5"/>
      <c s="5"/>
      <c s="5"/>
      <c s="5"/>
      <c s="5"/>
      <c s="5"/>
      <c s="5"/>
      <c s="5"/>
      <c s="5"/>
      <c s="5"/>
      <c s="5"/>
      <c s="5"/>
      <c s="5"/>
      <c s="5"/>
    </row>
    <row r="109" spans="1:26" ht="15.75">
      <c r="A109" s="5"/>
      <c s="5"/>
      <c s="5"/>
      <c s="5"/>
      <c s="5"/>
      <c s="5"/>
      <c s="5"/>
      <c s="5"/>
      <c s="5"/>
      <c s="5"/>
      <c s="5"/>
      <c s="5"/>
      <c s="5"/>
      <c s="5"/>
      <c s="5"/>
      <c s="5"/>
      <c s="5"/>
      <c s="5"/>
      <c s="5"/>
      <c s="5"/>
      <c s="5"/>
      <c s="5"/>
      <c s="5"/>
      <c s="5"/>
      <c s="5"/>
      <c s="5"/>
    </row>
    <row r="110" spans="1:26" ht="15.75">
      <c r="A110" s="5"/>
      <c s="5"/>
      <c s="5"/>
      <c s="5"/>
      <c s="5"/>
      <c s="5"/>
      <c s="5"/>
      <c s="5"/>
      <c s="5"/>
      <c s="5"/>
      <c s="5"/>
      <c s="5"/>
      <c s="5"/>
      <c s="5"/>
      <c s="5"/>
      <c s="5"/>
      <c s="5"/>
      <c s="5"/>
      <c s="5"/>
      <c s="5"/>
      <c s="5"/>
      <c s="5"/>
      <c s="5"/>
      <c s="5"/>
      <c s="5"/>
      <c s="5"/>
    </row>
    <row r="111" spans="1:26" ht="15.75">
      <c r="A111" s="5"/>
      <c s="5"/>
      <c s="5"/>
      <c s="5"/>
      <c s="5"/>
      <c s="5"/>
      <c s="5"/>
      <c s="5"/>
      <c s="5"/>
      <c s="5"/>
      <c s="5"/>
      <c s="5"/>
      <c s="5"/>
      <c s="5"/>
      <c s="5"/>
      <c s="5"/>
      <c s="5"/>
      <c s="5"/>
      <c s="5"/>
      <c s="5"/>
      <c s="5"/>
      <c s="5"/>
      <c s="5"/>
      <c s="5"/>
      <c s="5"/>
      <c s="5"/>
    </row>
    <row r="112" spans="1:26" ht="15.75">
      <c r="A112" s="5"/>
      <c s="5"/>
      <c s="5"/>
      <c s="5"/>
      <c s="5"/>
      <c s="5"/>
      <c s="5"/>
      <c s="5"/>
      <c s="5"/>
      <c s="5"/>
      <c s="5"/>
      <c s="5"/>
      <c s="5"/>
      <c s="5"/>
      <c s="5"/>
      <c s="5"/>
      <c s="5"/>
      <c s="5"/>
      <c s="5"/>
      <c s="5"/>
      <c s="5"/>
      <c s="5"/>
      <c s="5"/>
      <c s="5"/>
      <c s="5"/>
      <c s="5"/>
    </row>
    <row r="113" spans="1:26" ht="15.75">
      <c r="A113" s="5"/>
      <c s="5"/>
      <c s="5"/>
      <c s="5"/>
      <c s="5"/>
      <c s="5"/>
      <c s="5"/>
      <c s="5"/>
      <c s="5"/>
      <c s="5"/>
      <c s="5"/>
      <c s="5"/>
      <c s="5"/>
      <c s="5"/>
      <c s="5"/>
      <c s="5"/>
      <c s="5"/>
      <c s="5"/>
      <c s="5"/>
      <c s="5"/>
      <c s="5"/>
      <c s="5"/>
      <c s="5"/>
      <c s="5"/>
      <c s="5"/>
      <c s="5"/>
    </row>
    <row r="114" spans="1:26" ht="15.75">
      <c r="A114" s="5"/>
      <c s="5"/>
      <c s="5"/>
      <c s="5"/>
      <c s="5"/>
      <c s="5"/>
      <c s="5"/>
      <c s="5"/>
      <c s="5"/>
      <c s="5"/>
      <c s="5"/>
      <c s="5"/>
      <c s="5"/>
      <c s="5"/>
      <c s="5"/>
      <c s="5"/>
      <c s="5"/>
      <c s="5"/>
      <c s="5"/>
      <c s="5"/>
      <c s="5"/>
      <c s="5"/>
      <c s="5"/>
      <c s="5"/>
      <c s="5"/>
      <c s="5"/>
    </row>
    <row r="115" spans="1:26" ht="15.75">
      <c r="A115" s="5"/>
      <c s="5"/>
      <c s="5"/>
      <c s="5"/>
      <c s="5"/>
      <c s="5"/>
      <c s="5"/>
      <c s="5"/>
      <c s="5"/>
      <c s="5"/>
      <c s="5"/>
      <c s="5"/>
      <c s="5"/>
      <c s="5"/>
      <c s="5"/>
      <c s="5"/>
      <c s="5"/>
      <c s="5"/>
      <c s="5"/>
      <c s="5"/>
      <c s="5"/>
      <c s="5"/>
      <c s="5"/>
      <c s="5"/>
      <c s="5"/>
      <c s="5"/>
    </row>
    <row r="116" spans="1:26" ht="15.75">
      <c r="A116" s="5"/>
      <c s="5"/>
      <c s="5"/>
      <c s="5"/>
      <c s="5"/>
      <c s="5"/>
      <c s="5"/>
      <c s="5"/>
      <c s="5"/>
      <c s="5"/>
      <c s="5"/>
      <c s="5"/>
      <c s="5"/>
      <c s="5"/>
      <c s="5"/>
      <c s="5"/>
      <c s="5"/>
      <c s="5"/>
      <c s="5"/>
      <c s="5"/>
      <c s="5"/>
      <c s="5"/>
      <c s="5"/>
      <c s="5"/>
      <c s="5"/>
      <c s="5"/>
    </row>
    <row r="117" spans="1:26" ht="15.75">
      <c r="A117" s="5"/>
      <c s="5"/>
      <c s="5"/>
      <c s="5"/>
      <c s="5"/>
      <c s="5"/>
      <c s="5"/>
      <c s="5"/>
      <c s="5"/>
      <c s="5"/>
      <c s="5"/>
      <c s="5"/>
      <c s="5"/>
      <c s="5"/>
      <c s="5"/>
      <c s="5"/>
      <c s="5"/>
      <c s="5"/>
      <c s="5"/>
      <c s="5"/>
      <c s="5"/>
      <c s="5"/>
      <c s="5"/>
      <c s="5"/>
      <c s="5"/>
      <c s="5"/>
    </row>
    <row r="118" spans="1:26" ht="15.75">
      <c r="A118" s="5"/>
      <c s="5"/>
      <c s="5"/>
      <c s="5"/>
      <c s="5"/>
      <c s="5"/>
      <c s="5"/>
      <c s="5"/>
      <c s="5"/>
      <c s="5"/>
      <c s="5"/>
      <c s="5"/>
      <c s="5"/>
      <c s="5"/>
      <c s="5"/>
      <c s="5"/>
      <c s="5"/>
      <c s="5"/>
      <c s="5"/>
      <c s="5"/>
      <c s="5"/>
      <c s="5"/>
      <c s="5"/>
      <c s="5"/>
      <c s="5"/>
      <c s="5"/>
    </row>
    <row r="119" spans="1:26" ht="15.75">
      <c r="A119" s="5"/>
      <c s="5"/>
      <c s="5"/>
      <c s="5"/>
      <c s="5"/>
      <c s="5"/>
      <c s="5"/>
      <c s="5"/>
      <c s="5"/>
      <c s="5"/>
      <c s="5"/>
      <c s="5"/>
      <c s="5"/>
      <c s="5"/>
      <c s="5"/>
      <c s="5"/>
      <c s="5"/>
      <c s="5"/>
      <c s="5"/>
      <c s="5"/>
      <c s="5"/>
      <c s="5"/>
      <c s="5"/>
      <c s="5"/>
      <c s="5"/>
      <c s="5"/>
    </row>
    <row r="120" spans="1:26" ht="15.75">
      <c r="A120" s="5"/>
      <c s="5"/>
      <c s="5"/>
      <c s="5"/>
      <c s="5"/>
      <c s="5"/>
      <c s="5"/>
      <c s="5"/>
      <c s="5"/>
      <c s="5"/>
      <c s="5"/>
      <c s="5"/>
      <c s="5"/>
      <c s="5"/>
      <c s="5"/>
      <c s="5"/>
      <c s="5"/>
      <c s="5"/>
      <c s="5"/>
      <c s="5"/>
      <c s="5"/>
      <c s="5"/>
      <c s="5"/>
      <c s="5"/>
      <c s="5"/>
      <c s="5"/>
    </row>
    <row r="121" spans="1:26" ht="15.75">
      <c r="A121" s="5"/>
      <c s="5"/>
      <c s="5"/>
      <c s="5"/>
      <c s="5"/>
      <c s="5"/>
      <c s="5"/>
      <c s="5"/>
      <c s="5"/>
      <c s="5"/>
      <c s="5"/>
      <c s="5"/>
      <c s="5"/>
      <c s="5"/>
      <c s="5"/>
      <c s="5"/>
      <c s="5"/>
      <c s="5"/>
      <c s="5"/>
      <c s="5"/>
      <c s="5"/>
      <c s="5"/>
      <c s="5"/>
      <c s="5"/>
      <c s="5"/>
      <c s="5"/>
    </row>
    <row r="122" spans="1:26" ht="15.75">
      <c r="A122" s="5"/>
      <c s="5"/>
      <c s="5"/>
      <c s="5"/>
      <c s="5"/>
      <c s="5"/>
      <c s="5"/>
      <c s="5"/>
      <c s="5"/>
      <c s="5"/>
      <c s="5"/>
      <c s="5"/>
      <c s="5"/>
      <c s="5"/>
      <c s="5"/>
      <c s="5"/>
      <c s="5"/>
      <c s="5"/>
      <c s="5"/>
      <c s="5"/>
      <c s="5"/>
      <c s="5"/>
      <c s="5"/>
      <c s="5"/>
      <c s="5"/>
      <c s="5"/>
    </row>
    <row r="123" spans="1:26" ht="15.75">
      <c r="A123" s="5"/>
      <c s="5"/>
      <c s="5"/>
      <c s="5"/>
      <c s="5"/>
      <c s="5"/>
      <c s="5"/>
      <c s="5"/>
      <c s="5"/>
      <c s="5"/>
      <c s="5"/>
      <c s="5"/>
      <c s="5"/>
      <c s="5"/>
      <c s="5"/>
      <c s="5"/>
      <c s="5"/>
      <c s="5"/>
      <c s="5"/>
      <c s="5"/>
      <c s="5"/>
      <c s="5"/>
      <c s="5"/>
      <c s="5"/>
      <c s="5"/>
      <c s="5"/>
    </row>
    <row r="124" spans="1:26" ht="15.75">
      <c r="A124" s="5"/>
      <c s="5"/>
      <c s="5"/>
      <c s="5"/>
      <c s="5"/>
      <c s="5"/>
      <c s="5"/>
      <c s="5"/>
      <c s="5"/>
      <c s="5"/>
      <c s="5"/>
      <c s="5"/>
      <c s="5"/>
      <c s="5"/>
      <c s="5"/>
      <c s="5"/>
      <c s="5"/>
      <c s="5"/>
      <c s="5"/>
      <c s="5"/>
      <c s="5"/>
      <c s="5"/>
      <c s="5"/>
      <c s="5"/>
      <c s="5"/>
      <c s="5"/>
    </row>
    <row r="125" spans="1:26" ht="15.75">
      <c r="A125" s="5"/>
      <c s="5"/>
      <c s="5"/>
      <c s="5"/>
      <c s="5"/>
      <c s="5"/>
      <c s="5"/>
      <c s="5"/>
      <c s="5"/>
      <c s="5"/>
      <c s="5"/>
      <c s="5"/>
      <c s="5"/>
      <c s="5"/>
      <c s="5"/>
      <c s="5"/>
      <c s="5"/>
      <c s="5"/>
      <c s="5"/>
      <c s="5"/>
      <c s="5"/>
      <c s="5"/>
      <c s="5"/>
      <c s="5"/>
      <c s="5"/>
      <c s="5"/>
    </row>
    <row r="126" spans="1:26" ht="15.75">
      <c r="A126" s="5"/>
      <c s="5"/>
      <c s="5"/>
      <c s="5"/>
      <c s="5"/>
      <c s="5"/>
      <c s="5"/>
      <c s="5"/>
      <c s="5"/>
      <c s="5"/>
      <c s="5"/>
      <c s="5"/>
      <c s="5"/>
      <c s="5"/>
      <c s="5"/>
      <c s="5"/>
      <c s="5"/>
      <c s="5"/>
      <c s="5"/>
      <c s="5"/>
      <c s="5"/>
      <c s="5"/>
      <c s="5"/>
      <c s="5"/>
      <c s="5"/>
      <c s="5"/>
    </row>
    <row r="127" spans="1:26" ht="15.75">
      <c r="A127" s="5"/>
      <c s="5"/>
      <c s="5"/>
      <c s="5"/>
      <c s="5"/>
      <c s="5"/>
      <c s="5"/>
      <c s="5"/>
      <c s="5"/>
      <c s="5"/>
      <c s="5"/>
      <c s="5"/>
      <c s="5"/>
      <c s="5"/>
      <c s="5"/>
      <c s="5"/>
      <c s="5"/>
      <c s="5"/>
      <c s="5"/>
      <c s="5"/>
      <c s="5"/>
      <c s="5"/>
      <c s="5"/>
      <c s="5"/>
      <c s="5"/>
      <c s="5"/>
    </row>
    <row r="128" spans="1:26" ht="15.75">
      <c r="A128" s="5"/>
      <c s="5"/>
      <c s="5"/>
      <c s="5"/>
      <c s="5"/>
      <c s="5"/>
      <c s="5"/>
      <c s="5"/>
      <c s="5"/>
      <c s="5"/>
      <c s="5"/>
      <c s="5"/>
      <c s="5"/>
      <c s="5"/>
      <c s="5"/>
      <c s="5"/>
      <c s="5"/>
      <c s="5"/>
      <c s="5"/>
      <c s="5"/>
      <c s="5"/>
      <c s="5"/>
      <c s="5"/>
      <c s="5"/>
      <c s="5"/>
      <c s="5"/>
    </row>
    <row r="129" spans="1:26" ht="15.75">
      <c r="A129" s="5"/>
      <c s="5"/>
      <c s="5"/>
      <c s="5"/>
      <c s="5"/>
      <c s="5"/>
      <c s="5"/>
      <c s="5"/>
      <c s="5"/>
      <c s="5"/>
      <c s="5"/>
      <c s="5"/>
      <c s="5"/>
      <c s="5"/>
      <c s="5"/>
      <c s="5"/>
      <c s="5"/>
      <c s="5"/>
      <c s="5"/>
      <c s="5"/>
      <c s="5"/>
      <c s="5"/>
      <c s="5"/>
      <c s="5"/>
      <c s="5"/>
      <c s="5"/>
    </row>
    <row r="130" spans="1:26" ht="15.75">
      <c r="A130" s="5"/>
      <c s="5"/>
      <c s="5"/>
      <c s="5"/>
      <c s="5"/>
      <c s="5"/>
      <c s="5"/>
      <c s="5"/>
      <c s="5"/>
      <c s="5"/>
      <c s="5"/>
      <c s="5"/>
      <c s="5"/>
      <c s="5"/>
      <c s="5"/>
      <c s="5"/>
      <c s="5"/>
      <c s="5"/>
      <c s="5"/>
      <c s="5"/>
      <c s="5"/>
      <c s="5"/>
      <c s="5"/>
      <c s="5"/>
      <c s="5"/>
      <c s="5"/>
    </row>
    <row r="131" spans="1:26" ht="15.75">
      <c r="A131" s="5"/>
      <c s="5"/>
      <c s="5"/>
      <c s="5"/>
      <c s="5"/>
      <c s="5"/>
      <c s="5"/>
      <c s="5"/>
      <c s="5"/>
      <c s="5"/>
      <c s="5"/>
      <c s="5"/>
      <c s="5"/>
      <c s="5"/>
      <c s="5"/>
      <c s="5"/>
      <c s="5"/>
      <c s="5"/>
      <c s="5"/>
      <c s="5"/>
      <c s="5"/>
      <c s="5"/>
      <c s="5"/>
      <c s="5"/>
      <c s="5"/>
      <c s="5"/>
    </row>
    <row r="132" spans="1:26" ht="15.75">
      <c r="A132" s="5"/>
      <c s="5"/>
      <c s="5"/>
      <c s="5"/>
      <c s="5"/>
      <c s="5"/>
      <c s="5"/>
      <c s="5"/>
      <c s="5"/>
      <c s="5"/>
      <c s="5"/>
      <c s="5"/>
      <c s="5"/>
      <c s="5"/>
      <c s="5"/>
      <c s="5"/>
      <c s="5"/>
      <c s="5"/>
      <c s="5"/>
      <c s="5"/>
      <c s="5"/>
      <c s="5"/>
      <c s="5"/>
      <c s="5"/>
      <c s="5"/>
      <c s="5"/>
    </row>
    <row r="133" spans="1:26" ht="15.75">
      <c r="A133" s="5"/>
      <c s="5"/>
      <c s="5"/>
      <c s="5"/>
      <c s="5"/>
      <c s="5"/>
      <c s="5"/>
      <c s="5"/>
      <c s="5"/>
      <c s="5"/>
      <c s="5"/>
      <c s="5"/>
      <c s="5"/>
      <c s="5"/>
      <c s="5"/>
      <c s="5"/>
      <c s="5"/>
      <c s="5"/>
      <c s="5"/>
      <c s="5"/>
      <c s="5"/>
      <c s="5"/>
      <c s="5"/>
      <c s="5"/>
      <c s="5"/>
      <c s="5"/>
    </row>
    <row r="134" spans="1:26" ht="15.75">
      <c r="A134" s="5"/>
      <c s="5"/>
      <c s="5"/>
      <c s="5"/>
      <c s="5"/>
      <c s="5"/>
      <c s="5"/>
      <c s="5"/>
      <c s="5"/>
      <c s="5"/>
      <c s="5"/>
      <c s="5"/>
      <c s="5"/>
      <c s="5"/>
      <c s="5"/>
      <c s="5"/>
      <c s="5"/>
      <c s="5"/>
      <c s="5"/>
      <c s="5"/>
      <c s="5"/>
      <c s="5"/>
      <c s="5"/>
      <c s="5"/>
      <c s="5"/>
      <c s="5"/>
    </row>
    <row r="135" spans="1:26" ht="15.75">
      <c r="A135" s="5"/>
      <c s="5"/>
      <c s="5"/>
      <c s="5"/>
      <c s="5"/>
      <c s="5"/>
      <c s="5"/>
      <c s="5"/>
      <c s="5"/>
      <c s="5"/>
      <c s="5"/>
      <c s="5"/>
      <c s="5"/>
      <c s="5"/>
      <c s="5"/>
      <c s="5"/>
      <c s="5"/>
      <c s="5"/>
      <c s="5"/>
      <c s="5"/>
      <c s="5"/>
      <c s="5"/>
      <c s="5"/>
      <c s="5"/>
      <c s="5"/>
      <c s="5"/>
    </row>
    <row r="136" spans="1:26" ht="15.75">
      <c r="A136" s="5"/>
      <c s="5"/>
      <c s="5"/>
      <c s="5"/>
      <c s="5"/>
      <c s="5"/>
      <c s="5"/>
      <c s="5"/>
      <c s="5"/>
      <c s="5"/>
      <c s="5"/>
      <c s="5"/>
      <c s="5"/>
      <c s="5"/>
      <c s="5"/>
      <c s="5"/>
      <c s="5"/>
      <c s="5"/>
      <c s="5"/>
      <c s="5"/>
      <c s="5"/>
      <c s="5"/>
      <c s="5"/>
      <c s="5"/>
      <c s="5"/>
      <c s="5"/>
    </row>
    <row r="137" spans="1:26" ht="15.75">
      <c r="A137" s="5"/>
      <c s="5"/>
      <c s="5"/>
      <c s="5"/>
      <c s="5"/>
      <c s="5"/>
      <c s="5"/>
      <c s="5"/>
      <c s="5"/>
      <c s="5"/>
      <c s="5"/>
      <c s="5"/>
      <c s="5"/>
      <c s="5"/>
      <c s="5"/>
      <c s="5"/>
      <c s="5"/>
      <c s="5"/>
      <c s="5"/>
      <c s="5"/>
      <c s="5"/>
      <c s="5"/>
      <c s="5"/>
      <c s="5"/>
      <c s="5"/>
      <c s="5"/>
    </row>
    <row r="138" spans="1:26" ht="15.75">
      <c r="A138" s="5"/>
      <c s="5"/>
      <c s="5"/>
      <c s="5"/>
      <c s="5"/>
      <c s="5"/>
      <c s="5"/>
      <c s="5"/>
      <c s="5"/>
      <c s="5"/>
      <c s="5"/>
      <c s="5"/>
      <c s="5"/>
      <c s="5"/>
      <c s="5"/>
      <c s="5"/>
      <c s="5"/>
      <c s="5"/>
      <c s="5"/>
      <c s="5"/>
      <c s="5"/>
      <c s="5"/>
      <c s="5"/>
      <c s="5"/>
      <c s="5"/>
      <c s="5"/>
    </row>
    <row r="139" spans="1:26" ht="15.75">
      <c r="A139" s="5"/>
      <c s="5"/>
      <c s="5"/>
      <c s="5"/>
      <c s="5"/>
      <c s="5"/>
      <c s="5"/>
      <c s="5"/>
      <c s="5"/>
      <c s="5"/>
      <c s="5"/>
      <c s="5"/>
      <c s="5"/>
      <c s="5"/>
      <c s="5"/>
      <c s="5"/>
      <c s="5"/>
      <c s="5"/>
      <c s="5"/>
      <c s="5"/>
      <c s="5"/>
      <c s="5"/>
      <c s="5"/>
      <c s="5"/>
      <c s="5"/>
      <c s="5"/>
    </row>
    <row r="140" spans="1:26" ht="15.75">
      <c r="A140" s="5"/>
      <c s="5"/>
      <c s="5"/>
      <c s="5"/>
      <c s="5"/>
      <c s="5"/>
      <c s="5"/>
      <c s="5"/>
      <c s="5"/>
      <c s="5"/>
      <c s="5"/>
      <c s="5"/>
      <c s="5"/>
      <c s="5"/>
      <c s="5"/>
      <c s="5"/>
      <c s="5"/>
      <c s="5"/>
      <c s="5"/>
      <c s="5"/>
      <c s="5"/>
      <c s="5"/>
      <c s="5"/>
      <c s="5"/>
      <c s="5"/>
      <c s="5"/>
    </row>
    <row r="141" spans="1:26" ht="15.75">
      <c r="A141" s="5"/>
      <c s="5"/>
      <c s="5"/>
      <c s="5"/>
      <c s="5"/>
      <c s="5"/>
      <c s="5"/>
      <c s="5"/>
      <c s="5"/>
      <c s="5"/>
      <c s="5"/>
      <c s="5"/>
      <c s="5"/>
      <c s="5"/>
      <c s="5"/>
      <c s="5"/>
      <c s="5"/>
      <c s="5"/>
      <c s="5"/>
      <c s="5"/>
      <c s="5"/>
      <c s="5"/>
      <c s="5"/>
      <c s="5"/>
      <c s="5"/>
      <c s="5"/>
    </row>
    <row r="142" spans="1:26" ht="15.75">
      <c r="A142" s="5"/>
      <c s="5"/>
      <c s="5"/>
      <c s="5"/>
      <c s="5"/>
      <c s="5"/>
      <c s="5"/>
      <c s="5"/>
      <c s="5"/>
      <c s="5"/>
      <c s="5"/>
      <c s="5"/>
      <c s="5"/>
      <c s="5"/>
      <c s="5"/>
      <c s="5"/>
      <c s="5"/>
      <c s="5"/>
      <c s="5"/>
      <c s="5"/>
      <c s="5"/>
      <c s="5"/>
      <c s="5"/>
      <c s="5"/>
      <c s="5"/>
      <c s="5"/>
    </row>
    <row r="143" spans="1:26" ht="15.75">
      <c r="A143" s="5"/>
      <c s="5"/>
      <c s="5"/>
      <c s="5"/>
      <c s="5"/>
      <c s="5"/>
      <c s="5"/>
      <c s="5"/>
      <c s="5"/>
      <c s="5"/>
      <c s="5"/>
      <c s="5"/>
      <c s="5"/>
      <c s="5"/>
      <c s="5"/>
      <c s="5"/>
      <c s="5"/>
      <c s="5"/>
      <c s="5"/>
      <c s="5"/>
      <c s="5"/>
      <c s="5"/>
      <c s="5"/>
      <c s="5"/>
      <c s="5"/>
      <c s="5"/>
    </row>
    <row r="144" spans="1:26" ht="15.75">
      <c r="A144" s="5"/>
      <c s="5"/>
      <c s="5"/>
      <c s="5"/>
      <c s="5"/>
      <c s="5"/>
      <c s="5"/>
      <c s="5"/>
      <c s="5"/>
      <c s="5"/>
      <c s="5"/>
      <c s="5"/>
      <c s="5"/>
      <c s="5"/>
      <c s="5"/>
      <c s="5"/>
      <c s="5"/>
      <c s="5"/>
      <c s="5"/>
      <c s="5"/>
      <c s="5"/>
      <c s="5"/>
      <c s="5"/>
      <c s="5"/>
      <c s="5"/>
      <c s="5"/>
    </row>
    <row r="145" spans="1:26" ht="15.75">
      <c r="A145" s="5"/>
      <c s="5"/>
      <c s="5"/>
      <c s="5"/>
      <c s="5"/>
      <c s="5"/>
      <c s="5"/>
      <c s="5"/>
      <c s="5"/>
      <c s="5"/>
      <c s="5"/>
      <c s="5"/>
      <c s="5"/>
      <c s="5"/>
      <c s="5"/>
      <c s="5"/>
      <c s="5"/>
      <c s="5"/>
      <c s="5"/>
      <c s="5"/>
      <c s="5"/>
      <c s="5"/>
      <c s="5"/>
      <c s="5"/>
      <c s="5"/>
      <c s="5"/>
    </row>
    <row r="146" spans="1:26" ht="15.75">
      <c r="A146" s="5"/>
      <c s="5"/>
      <c s="5"/>
      <c s="5"/>
      <c s="5"/>
      <c s="5"/>
      <c s="5"/>
      <c s="5"/>
      <c s="5"/>
      <c s="5"/>
      <c s="5"/>
      <c s="5"/>
      <c s="5"/>
      <c s="5"/>
      <c s="5"/>
      <c s="5"/>
      <c s="5"/>
      <c s="5"/>
      <c s="5"/>
      <c s="5"/>
      <c s="5"/>
      <c s="5"/>
      <c s="5"/>
      <c s="5"/>
      <c s="5"/>
      <c s="5"/>
    </row>
    <row r="147" spans="1:26" ht="15.75">
      <c r="A147" s="5"/>
      <c s="5"/>
      <c s="5"/>
      <c s="5"/>
      <c s="5"/>
      <c s="5"/>
      <c s="5"/>
      <c s="5"/>
      <c s="5"/>
      <c s="5"/>
      <c s="5"/>
      <c s="5"/>
      <c s="5"/>
      <c s="5"/>
      <c s="5"/>
      <c s="5"/>
      <c s="5"/>
      <c s="5"/>
      <c s="5"/>
      <c s="5"/>
      <c s="5"/>
      <c s="5"/>
      <c s="5"/>
      <c s="5"/>
      <c s="5"/>
      <c s="5"/>
    </row>
    <row r="148" spans="1:26" ht="15.75">
      <c r="A148" s="5"/>
      <c s="5"/>
      <c s="5"/>
      <c s="5"/>
      <c s="5"/>
      <c s="5"/>
      <c s="5"/>
      <c s="5"/>
      <c s="5"/>
      <c s="5"/>
      <c s="5"/>
      <c s="5"/>
      <c s="5"/>
      <c s="5"/>
      <c s="5"/>
      <c s="5"/>
      <c s="5"/>
      <c s="5"/>
      <c s="5"/>
      <c s="5"/>
      <c s="5"/>
      <c s="5"/>
      <c s="5"/>
      <c s="5"/>
      <c s="5"/>
      <c s="5"/>
    </row>
    <row r="149" spans="1:26" ht="15.75">
      <c r="A149" s="5"/>
      <c s="5"/>
      <c s="5"/>
      <c s="5"/>
      <c s="5"/>
      <c s="5"/>
      <c s="5"/>
      <c s="5"/>
      <c s="5"/>
      <c s="5"/>
      <c s="5"/>
      <c s="5"/>
      <c s="5"/>
      <c s="5"/>
      <c s="5"/>
      <c s="5"/>
      <c s="5"/>
      <c s="5"/>
      <c s="5"/>
      <c s="5"/>
      <c s="5"/>
      <c s="5"/>
      <c s="5"/>
      <c s="5"/>
      <c s="5"/>
      <c s="5"/>
    </row>
    <row r="150" spans="1:26" ht="15.75">
      <c r="A150" s="5"/>
      <c s="5"/>
      <c s="5"/>
      <c s="5"/>
      <c s="5"/>
      <c s="5"/>
      <c s="5"/>
      <c s="5"/>
      <c s="5"/>
      <c s="5"/>
      <c s="5"/>
      <c s="5"/>
      <c s="5"/>
      <c s="5"/>
      <c s="5"/>
      <c s="5"/>
      <c s="5"/>
      <c s="5"/>
      <c s="5"/>
      <c s="5"/>
      <c s="5"/>
      <c s="5"/>
      <c s="5"/>
      <c s="5"/>
      <c s="5"/>
      <c s="5"/>
    </row>
    <row r="151" spans="1:26" ht="15.75">
      <c r="A151" s="5"/>
      <c s="5"/>
      <c s="5"/>
      <c s="5"/>
      <c s="5"/>
      <c s="5"/>
      <c s="5"/>
      <c s="5"/>
      <c s="5"/>
      <c s="5"/>
      <c s="5"/>
      <c s="5"/>
      <c s="5"/>
      <c s="5"/>
      <c s="5"/>
      <c s="5"/>
      <c s="5"/>
      <c s="5"/>
      <c s="5"/>
      <c s="5"/>
      <c s="5"/>
      <c s="5"/>
      <c s="5"/>
      <c s="5"/>
      <c s="5"/>
      <c s="5"/>
    </row>
    <row r="152" spans="1:26" ht="15.75">
      <c r="A152" s="5"/>
      <c s="5"/>
      <c s="5"/>
      <c s="5"/>
      <c s="5"/>
      <c s="5"/>
      <c s="5"/>
      <c s="5"/>
      <c s="5"/>
      <c s="5"/>
      <c s="5"/>
      <c s="5"/>
      <c s="5"/>
      <c s="5"/>
      <c s="5"/>
      <c s="5"/>
      <c s="5"/>
      <c s="5"/>
      <c s="5"/>
      <c s="5"/>
      <c s="5"/>
      <c s="5"/>
      <c s="5"/>
      <c s="5"/>
      <c s="5"/>
      <c s="5"/>
    </row>
    <row r="153" spans="1:26" ht="15.75">
      <c r="A153" s="5"/>
      <c s="5"/>
      <c s="5"/>
      <c s="5"/>
      <c s="5"/>
      <c s="5"/>
      <c s="5"/>
      <c s="5"/>
      <c s="5"/>
      <c s="5"/>
      <c s="5"/>
      <c s="5"/>
      <c s="5"/>
      <c s="5"/>
      <c s="5"/>
      <c s="5"/>
      <c s="5"/>
      <c s="5"/>
      <c s="5"/>
      <c s="5"/>
      <c s="5"/>
      <c s="5"/>
      <c s="5"/>
      <c s="5"/>
      <c s="5"/>
      <c s="5"/>
    </row>
    <row r="154" spans="1:26" ht="15.75">
      <c r="A154" s="5"/>
      <c s="5"/>
      <c s="5"/>
      <c s="5"/>
      <c s="5"/>
      <c s="5"/>
      <c s="5"/>
      <c s="5"/>
      <c s="5"/>
      <c s="5"/>
      <c s="5"/>
      <c s="5"/>
      <c s="5"/>
      <c s="5"/>
      <c s="5"/>
      <c s="5"/>
      <c s="5"/>
      <c s="5"/>
      <c s="5"/>
      <c s="5"/>
      <c s="5"/>
      <c s="5"/>
      <c s="5"/>
      <c s="5"/>
      <c s="5"/>
      <c s="5"/>
    </row>
    <row r="155" spans="1:26" ht="15.75">
      <c r="A155" s="5"/>
      <c s="5"/>
      <c s="5"/>
      <c s="5"/>
      <c s="5"/>
      <c s="5"/>
      <c s="5"/>
      <c s="5"/>
      <c s="5"/>
      <c s="5"/>
      <c s="5"/>
      <c s="5"/>
      <c s="5"/>
      <c s="5"/>
      <c s="5"/>
      <c s="5"/>
      <c s="5"/>
      <c s="5"/>
      <c s="5"/>
      <c s="5"/>
      <c s="5"/>
      <c s="5"/>
      <c s="5"/>
      <c s="5"/>
      <c s="5"/>
      <c s="5"/>
    </row>
    <row r="156" spans="1:26" ht="15.75">
      <c r="A156" s="5"/>
      <c s="5"/>
      <c s="5"/>
      <c s="5"/>
      <c s="5"/>
      <c s="5"/>
      <c s="5"/>
      <c s="5"/>
      <c s="5"/>
      <c s="5"/>
      <c s="5"/>
      <c s="5"/>
      <c s="5"/>
      <c s="5"/>
      <c s="5"/>
      <c s="5"/>
      <c s="5"/>
      <c s="5"/>
      <c s="5"/>
      <c s="5"/>
      <c s="5"/>
      <c s="5"/>
      <c s="5"/>
      <c s="5"/>
      <c s="5"/>
      <c s="5"/>
    </row>
    <row r="157" spans="1:26" ht="15.75">
      <c r="A157" s="5"/>
      <c s="5"/>
      <c s="5"/>
      <c s="5"/>
      <c s="5"/>
      <c s="5"/>
      <c s="5"/>
      <c s="5"/>
      <c s="5"/>
      <c s="5"/>
      <c s="5"/>
      <c s="5"/>
      <c s="5"/>
      <c s="5"/>
      <c s="5"/>
      <c s="5"/>
      <c s="5"/>
      <c s="5"/>
      <c s="5"/>
      <c s="5"/>
      <c s="5"/>
      <c s="5"/>
      <c s="5"/>
      <c s="5"/>
      <c s="5"/>
      <c s="5"/>
    </row>
    <row r="158" spans="1:26" ht="15.75">
      <c r="A158" s="5"/>
      <c s="5"/>
      <c s="5"/>
      <c s="5"/>
      <c s="5"/>
      <c s="5"/>
      <c s="5"/>
      <c s="5"/>
      <c s="5"/>
      <c s="5"/>
      <c s="5"/>
      <c s="5"/>
      <c s="5"/>
      <c s="5"/>
      <c s="5"/>
      <c s="5"/>
      <c s="5"/>
      <c s="5"/>
      <c s="5"/>
      <c s="5"/>
      <c s="5"/>
      <c s="5"/>
      <c s="5"/>
      <c s="5"/>
      <c s="5"/>
      <c s="5"/>
    </row>
    <row r="159" spans="1:26" ht="15.75">
      <c r="A159" s="5"/>
      <c s="5"/>
      <c s="5"/>
      <c s="5"/>
      <c s="5"/>
      <c s="5"/>
      <c s="5"/>
      <c s="5"/>
      <c s="5"/>
      <c s="5"/>
      <c s="5"/>
      <c s="5"/>
      <c s="5"/>
      <c s="5"/>
      <c s="5"/>
      <c s="5"/>
      <c s="5"/>
      <c s="5"/>
      <c s="5"/>
      <c s="5"/>
      <c s="5"/>
      <c s="5"/>
      <c s="5"/>
      <c s="5"/>
      <c s="5"/>
      <c s="5"/>
    </row>
    <row r="160" spans="1:26" ht="15.75">
      <c r="A160" s="5"/>
      <c s="5"/>
      <c s="5"/>
      <c s="5"/>
      <c s="5"/>
      <c s="5"/>
      <c s="5"/>
      <c s="5"/>
      <c s="5"/>
      <c s="5"/>
      <c s="5"/>
      <c s="5"/>
      <c s="5"/>
      <c s="5"/>
      <c s="5"/>
      <c s="5"/>
      <c s="5"/>
      <c s="5"/>
      <c s="5"/>
      <c s="5"/>
      <c s="5"/>
      <c s="5"/>
      <c s="5"/>
      <c s="5"/>
      <c s="5"/>
      <c s="5"/>
    </row>
    <row r="161" spans="1:26" ht="15.75">
      <c r="A161" s="5"/>
      <c s="5"/>
      <c s="5"/>
      <c s="5"/>
      <c s="5"/>
      <c s="5"/>
      <c s="5"/>
      <c s="5"/>
      <c s="5"/>
      <c s="5"/>
      <c s="5"/>
      <c s="5"/>
      <c s="5"/>
      <c s="5"/>
      <c s="5"/>
      <c s="5"/>
      <c s="5"/>
      <c s="5"/>
      <c s="5"/>
      <c s="5"/>
      <c s="5"/>
      <c s="5"/>
      <c s="5"/>
      <c s="5"/>
      <c s="5"/>
      <c s="5"/>
    </row>
    <row r="162" spans="1:26" ht="15.75">
      <c r="A162" s="5"/>
      <c s="5"/>
      <c s="5"/>
      <c s="5"/>
      <c s="5"/>
      <c s="5"/>
      <c s="5"/>
      <c s="5"/>
      <c s="5"/>
      <c s="5"/>
      <c s="5"/>
      <c s="5"/>
      <c s="5"/>
      <c s="5"/>
      <c s="5"/>
      <c s="5"/>
      <c s="5"/>
      <c s="5"/>
      <c s="5"/>
      <c s="5"/>
      <c s="5"/>
      <c s="5"/>
      <c s="5"/>
      <c s="5"/>
      <c s="5"/>
      <c s="5"/>
    </row>
    <row r="163" spans="1:26" ht="15.75">
      <c r="A163" s="5"/>
      <c s="5"/>
      <c s="5"/>
      <c s="5"/>
      <c s="5"/>
      <c s="5"/>
      <c s="5"/>
      <c s="5"/>
      <c s="5"/>
      <c s="5"/>
      <c s="5"/>
      <c s="5"/>
      <c s="5"/>
      <c s="5"/>
      <c s="5"/>
      <c s="5"/>
      <c s="5"/>
      <c s="5"/>
      <c s="5"/>
      <c s="5"/>
      <c s="5"/>
      <c s="5"/>
      <c s="5"/>
      <c s="5"/>
      <c s="5"/>
      <c s="5"/>
    </row>
    <row r="164" spans="1:26" ht="15.75">
      <c r="A164" s="5"/>
      <c s="5"/>
      <c s="5"/>
      <c s="5"/>
      <c s="5"/>
      <c s="5"/>
      <c s="5"/>
      <c s="5"/>
      <c s="5"/>
      <c s="5"/>
      <c s="5"/>
      <c s="5"/>
      <c s="5"/>
      <c s="5"/>
      <c s="5"/>
      <c s="5"/>
      <c s="5"/>
      <c s="5"/>
      <c s="5"/>
      <c s="5"/>
      <c s="5"/>
      <c s="5"/>
      <c s="5"/>
      <c s="5"/>
      <c s="5"/>
      <c s="5"/>
    </row>
    <row r="165" spans="1:26" ht="15.75">
      <c r="A165" s="5"/>
      <c s="5"/>
      <c s="5"/>
      <c s="5"/>
      <c s="5"/>
      <c s="5"/>
      <c s="5"/>
      <c s="5"/>
      <c s="5"/>
      <c s="5"/>
      <c s="5"/>
      <c s="5"/>
      <c s="5"/>
      <c s="5"/>
      <c s="5"/>
      <c s="5"/>
      <c s="5"/>
      <c s="5"/>
      <c s="5"/>
      <c s="5"/>
      <c s="5"/>
      <c s="5"/>
      <c s="5"/>
      <c s="5"/>
      <c s="5"/>
      <c s="5"/>
    </row>
    <row r="166" spans="1:26" ht="15.75">
      <c r="A166" s="5"/>
      <c s="5"/>
      <c s="5"/>
      <c s="5"/>
      <c s="5"/>
      <c s="5"/>
      <c s="5"/>
      <c s="5"/>
      <c s="5"/>
      <c s="5"/>
      <c s="5"/>
      <c s="5"/>
      <c s="5"/>
      <c s="5"/>
      <c s="5"/>
      <c s="5"/>
      <c s="5"/>
      <c s="5"/>
      <c s="5"/>
      <c s="5"/>
      <c s="5"/>
      <c s="5"/>
      <c s="5"/>
      <c s="5"/>
      <c s="5"/>
      <c s="5"/>
    </row>
    <row r="167" spans="1:26" ht="15.75">
      <c r="A167" s="5"/>
      <c s="5"/>
      <c s="5"/>
      <c s="5"/>
      <c s="5"/>
      <c s="5"/>
      <c s="5"/>
      <c s="5"/>
      <c s="5"/>
      <c s="5"/>
      <c s="5"/>
      <c s="5"/>
      <c s="5"/>
      <c s="5"/>
      <c s="5"/>
      <c s="5"/>
      <c s="5"/>
      <c s="5"/>
      <c s="5"/>
      <c s="5"/>
      <c s="5"/>
      <c s="5"/>
      <c s="5"/>
      <c s="5"/>
      <c s="5"/>
      <c s="5"/>
    </row>
    <row r="168" spans="1:26" ht="15.75">
      <c r="A168" s="5"/>
      <c s="5"/>
      <c s="5"/>
      <c s="5"/>
      <c s="5"/>
      <c s="5"/>
      <c s="5"/>
      <c s="5"/>
      <c s="5"/>
      <c s="5"/>
      <c s="5"/>
      <c s="5"/>
      <c s="5"/>
      <c s="5"/>
      <c s="5"/>
      <c s="5"/>
      <c s="5"/>
      <c s="5"/>
      <c s="5"/>
      <c s="5"/>
      <c s="5"/>
      <c s="5"/>
      <c s="5"/>
      <c s="5"/>
      <c s="5"/>
      <c s="5"/>
    </row>
    <row r="169" spans="1:26" ht="15.75">
      <c r="A169" s="5"/>
      <c s="5"/>
      <c s="5"/>
      <c s="5"/>
      <c s="5"/>
      <c s="5"/>
      <c s="5"/>
      <c s="5"/>
      <c s="5"/>
      <c s="5"/>
      <c s="5"/>
      <c s="5"/>
      <c s="5"/>
      <c s="5"/>
      <c s="5"/>
      <c s="5"/>
      <c s="5"/>
      <c s="5"/>
      <c s="5"/>
      <c s="5"/>
      <c s="5"/>
      <c s="5"/>
      <c s="5"/>
      <c s="5"/>
      <c s="5"/>
      <c s="5"/>
    </row>
    <row r="170" spans="1:26" ht="15.75">
      <c r="A170" s="5"/>
      <c s="5"/>
      <c s="5"/>
      <c s="5"/>
      <c s="5"/>
      <c s="5"/>
      <c s="5"/>
      <c s="5"/>
      <c s="5"/>
      <c s="5"/>
      <c s="5"/>
      <c s="5"/>
      <c s="5"/>
      <c s="5"/>
      <c s="5"/>
      <c s="5"/>
      <c s="5"/>
      <c s="5"/>
      <c s="5"/>
      <c s="5"/>
      <c s="5"/>
      <c s="5"/>
      <c s="5"/>
      <c s="5"/>
      <c s="5"/>
      <c s="5"/>
    </row>
    <row r="171" spans="1:26" ht="15.75">
      <c r="A171" s="5"/>
      <c s="5"/>
      <c s="5"/>
      <c s="5"/>
      <c s="5"/>
      <c s="5"/>
      <c s="5"/>
      <c s="5"/>
      <c s="5"/>
      <c s="5"/>
      <c s="5"/>
      <c s="5"/>
      <c s="5"/>
      <c s="5"/>
      <c s="5"/>
      <c s="5"/>
      <c s="5"/>
      <c s="5"/>
      <c s="5"/>
      <c s="5"/>
      <c s="5"/>
      <c s="5"/>
      <c s="5"/>
      <c s="5"/>
      <c s="5"/>
      <c s="5"/>
    </row>
    <row r="172" spans="1:26" ht="15.75">
      <c r="A172" s="5"/>
      <c s="5"/>
      <c s="5"/>
      <c s="5"/>
      <c s="5"/>
      <c s="5"/>
      <c s="5"/>
      <c s="5"/>
      <c s="5"/>
      <c s="5"/>
      <c s="5"/>
      <c s="5"/>
      <c s="5"/>
      <c s="5"/>
      <c s="5"/>
      <c s="5"/>
      <c s="5"/>
      <c s="5"/>
      <c s="5"/>
      <c s="5"/>
      <c s="5"/>
      <c s="5"/>
      <c s="5"/>
      <c s="5"/>
      <c s="5"/>
      <c s="5"/>
    </row>
    <row r="173" spans="1:26" ht="15.75">
      <c r="A173" s="5"/>
      <c s="5"/>
      <c s="5"/>
      <c s="5"/>
      <c s="5"/>
      <c s="5"/>
      <c s="5"/>
      <c s="5"/>
      <c s="5"/>
      <c s="5"/>
      <c s="5"/>
      <c s="5"/>
      <c s="5"/>
      <c s="5"/>
      <c s="5"/>
      <c s="5"/>
      <c s="5"/>
      <c s="5"/>
      <c s="5"/>
      <c s="5"/>
      <c s="5"/>
      <c s="5"/>
      <c s="5"/>
      <c s="5"/>
      <c s="5"/>
      <c s="5"/>
    </row>
    <row r="174" spans="1:26" ht="15.75">
      <c r="A174" s="5"/>
      <c s="5"/>
      <c s="5"/>
      <c s="5"/>
      <c s="5"/>
      <c s="5"/>
      <c s="5"/>
      <c s="5"/>
      <c s="5"/>
      <c s="5"/>
      <c s="5"/>
      <c s="5"/>
      <c s="5"/>
      <c s="5"/>
      <c s="5"/>
      <c s="5"/>
      <c s="5"/>
      <c s="5"/>
      <c s="5"/>
      <c s="5"/>
      <c s="5"/>
      <c s="5"/>
      <c s="5"/>
      <c s="5"/>
      <c s="5"/>
      <c s="5"/>
    </row>
    <row r="175" spans="1:26" ht="15.75">
      <c r="A175" s="5"/>
      <c s="5"/>
      <c s="5"/>
      <c s="5"/>
      <c s="5"/>
      <c s="5"/>
      <c s="5"/>
      <c s="5"/>
      <c s="5"/>
      <c s="5"/>
      <c s="5"/>
      <c s="5"/>
      <c s="5"/>
      <c s="5"/>
      <c s="5"/>
      <c s="5"/>
      <c s="5"/>
      <c s="5"/>
      <c s="5"/>
      <c s="5"/>
      <c s="5"/>
      <c s="5"/>
      <c s="5"/>
      <c s="5"/>
      <c s="5"/>
      <c s="5"/>
    </row>
    <row r="176" spans="1:26" ht="15.75">
      <c r="A176" s="5"/>
      <c s="5"/>
      <c s="5"/>
      <c s="5"/>
      <c s="5"/>
      <c s="5"/>
      <c s="5"/>
      <c s="5"/>
      <c s="5"/>
      <c s="5"/>
      <c s="5"/>
      <c s="5"/>
      <c s="5"/>
      <c s="5"/>
      <c s="5"/>
      <c s="5"/>
      <c s="5"/>
      <c s="5"/>
      <c s="5"/>
      <c s="5"/>
      <c s="5"/>
      <c s="5"/>
      <c s="5"/>
      <c s="5"/>
      <c s="5"/>
      <c s="5"/>
    </row>
    <row r="177" spans="1:26" ht="15.75">
      <c r="A177" s="5"/>
      <c s="5"/>
      <c s="5"/>
      <c s="5"/>
      <c s="5"/>
      <c s="5"/>
      <c s="5"/>
      <c s="5"/>
      <c s="5"/>
      <c s="5"/>
      <c s="5"/>
      <c s="5"/>
      <c s="5"/>
      <c s="5"/>
      <c s="5"/>
      <c s="5"/>
      <c s="5"/>
      <c s="5"/>
      <c s="5"/>
      <c s="5"/>
      <c s="5"/>
      <c s="5"/>
      <c s="5"/>
      <c s="5"/>
      <c s="5"/>
      <c s="5"/>
    </row>
    <row r="178" spans="1:26" ht="15.75">
      <c r="A178" s="5"/>
      <c s="5"/>
      <c s="5"/>
      <c s="5"/>
      <c s="5"/>
      <c s="5"/>
      <c s="5"/>
      <c s="5"/>
      <c s="5"/>
      <c s="5"/>
      <c s="5"/>
      <c s="5"/>
      <c s="5"/>
      <c s="5"/>
      <c s="5"/>
      <c s="5"/>
      <c s="5"/>
      <c s="5"/>
      <c s="5"/>
      <c s="5"/>
      <c s="5"/>
      <c s="5"/>
      <c s="5"/>
      <c s="5"/>
      <c s="5"/>
      <c s="5"/>
    </row>
    <row r="179" spans="1:26" ht="15.75">
      <c r="A179" s="5"/>
      <c s="5"/>
      <c s="5"/>
      <c s="5"/>
      <c s="5"/>
      <c s="5"/>
      <c s="5"/>
      <c s="5"/>
      <c s="5"/>
      <c s="5"/>
      <c s="5"/>
      <c s="5"/>
      <c s="5"/>
      <c s="5"/>
      <c s="5"/>
      <c s="5"/>
      <c s="5"/>
      <c s="5"/>
      <c s="5"/>
      <c s="5"/>
      <c s="5"/>
      <c s="5"/>
      <c s="5"/>
      <c s="5"/>
      <c s="5"/>
      <c s="5"/>
    </row>
    <row r="180" spans="1:26" ht="15.75">
      <c r="A180" s="5"/>
      <c s="5"/>
      <c s="5"/>
      <c s="5"/>
      <c s="5"/>
      <c s="5"/>
      <c s="5"/>
      <c s="5"/>
      <c s="5"/>
      <c s="5"/>
      <c s="5"/>
      <c s="5"/>
      <c s="5"/>
      <c s="5"/>
      <c s="5"/>
      <c s="5"/>
      <c s="5"/>
      <c s="5"/>
      <c s="5"/>
      <c s="5"/>
      <c s="5"/>
      <c s="5"/>
      <c s="5"/>
      <c s="5"/>
      <c s="5"/>
      <c s="5"/>
    </row>
    <row r="181" spans="1:26" ht="15.75">
      <c r="A181" s="5"/>
      <c s="5"/>
      <c s="5"/>
      <c s="5"/>
      <c s="5"/>
      <c s="5"/>
      <c s="5"/>
      <c s="5"/>
      <c s="5"/>
      <c s="5"/>
      <c s="5"/>
      <c s="5"/>
      <c s="5"/>
      <c s="5"/>
      <c s="5"/>
      <c s="5"/>
      <c s="5"/>
      <c s="5"/>
      <c s="5"/>
      <c s="5"/>
      <c s="5"/>
      <c s="5"/>
      <c s="5"/>
      <c s="5"/>
      <c s="5"/>
      <c s="5"/>
    </row>
    <row r="182" spans="1:26" ht="15.75">
      <c r="A182" s="5"/>
      <c s="5"/>
      <c s="5"/>
      <c s="5"/>
      <c s="5"/>
      <c s="5"/>
      <c s="5"/>
      <c s="5"/>
      <c s="5"/>
      <c s="5"/>
      <c s="5"/>
      <c s="5"/>
      <c s="5"/>
      <c s="5"/>
      <c s="5"/>
      <c s="5"/>
      <c s="5"/>
      <c s="5"/>
      <c s="5"/>
      <c s="5"/>
      <c s="5"/>
      <c s="5"/>
      <c s="5"/>
      <c s="5"/>
      <c s="5"/>
      <c s="5"/>
    </row>
    <row r="183" spans="1:26" ht="15.75">
      <c r="A183" s="5"/>
      <c s="5"/>
      <c s="5"/>
      <c s="5"/>
      <c s="5"/>
      <c s="5"/>
      <c s="5"/>
      <c s="5"/>
      <c s="5"/>
      <c s="5"/>
      <c s="5"/>
      <c s="5"/>
      <c s="5"/>
      <c s="5"/>
      <c s="5"/>
      <c s="5"/>
      <c s="5"/>
      <c s="5"/>
      <c s="5"/>
      <c s="5"/>
      <c s="5"/>
      <c s="5"/>
      <c s="5"/>
      <c s="5"/>
      <c s="5"/>
      <c s="5"/>
    </row>
    <row r="184" spans="1:26" ht="15.75">
      <c r="A184" s="5"/>
      <c s="5"/>
      <c s="5"/>
      <c s="5"/>
      <c s="5"/>
      <c s="5"/>
      <c s="5"/>
      <c s="5"/>
      <c s="5"/>
      <c s="5"/>
      <c s="5"/>
      <c s="5"/>
      <c s="5"/>
      <c s="5"/>
      <c s="5"/>
      <c s="5"/>
      <c s="5"/>
      <c s="5"/>
      <c s="5"/>
      <c s="5"/>
      <c s="5"/>
      <c s="5"/>
      <c s="5"/>
      <c s="5"/>
      <c s="5"/>
      <c s="5"/>
    </row>
    <row r="185" spans="1:26" ht="15.75">
      <c r="A185" s="5"/>
      <c s="5"/>
      <c s="5"/>
      <c s="5"/>
      <c s="5"/>
      <c s="5"/>
      <c s="5"/>
      <c s="5"/>
      <c s="5"/>
      <c s="5"/>
      <c s="5"/>
      <c s="5"/>
      <c s="5"/>
      <c s="5"/>
      <c s="5"/>
      <c s="5"/>
      <c s="5"/>
      <c s="5"/>
      <c s="5"/>
      <c s="5"/>
      <c s="5"/>
      <c s="5"/>
      <c s="5"/>
      <c s="5"/>
      <c s="5"/>
      <c s="5"/>
    </row>
    <row r="186" spans="1:26" ht="15.75">
      <c r="A186" s="5"/>
      <c s="5"/>
      <c s="5"/>
      <c s="5"/>
      <c s="5"/>
      <c s="5"/>
      <c s="5"/>
      <c s="5"/>
      <c s="5"/>
      <c s="5"/>
      <c s="5"/>
      <c s="5"/>
      <c s="5"/>
      <c s="5"/>
      <c s="5"/>
      <c s="5"/>
      <c s="5"/>
      <c s="5"/>
      <c s="5"/>
      <c s="5"/>
      <c s="5"/>
      <c s="5"/>
      <c s="5"/>
      <c s="5"/>
      <c s="5"/>
      <c s="5"/>
    </row>
    <row r="187" spans="1:26" ht="15.75">
      <c r="A187" s="5"/>
      <c s="5"/>
      <c s="5"/>
      <c s="5"/>
      <c s="5"/>
      <c s="5"/>
      <c s="5"/>
      <c s="5"/>
      <c s="5"/>
      <c s="5"/>
      <c s="5"/>
      <c s="5"/>
      <c s="5"/>
      <c s="5"/>
      <c s="5"/>
      <c s="5"/>
      <c s="5"/>
      <c s="5"/>
      <c s="5"/>
      <c s="5"/>
      <c s="5"/>
      <c s="5"/>
      <c s="5"/>
      <c s="5"/>
      <c s="5"/>
      <c s="5"/>
    </row>
    <row r="188" spans="1:26" ht="15.75">
      <c r="A188" s="5"/>
      <c s="5"/>
      <c s="5"/>
      <c s="5"/>
      <c s="5"/>
      <c s="5"/>
      <c s="5"/>
      <c s="5"/>
      <c s="5"/>
      <c s="5"/>
      <c s="5"/>
      <c s="5"/>
      <c s="5"/>
      <c s="5"/>
      <c s="5"/>
      <c s="5"/>
      <c s="5"/>
      <c s="5"/>
      <c s="5"/>
      <c s="5"/>
      <c s="5"/>
      <c s="5"/>
      <c s="5"/>
      <c s="5"/>
      <c s="5"/>
      <c s="5"/>
    </row>
    <row r="189" spans="1:26" ht="15.75">
      <c r="A189" s="5"/>
      <c s="5"/>
      <c s="5"/>
      <c s="5"/>
      <c s="5"/>
      <c s="5"/>
      <c s="5"/>
      <c s="5"/>
      <c s="5"/>
      <c s="5"/>
      <c s="5"/>
      <c s="5"/>
      <c s="5"/>
      <c s="5"/>
      <c s="5"/>
      <c s="5"/>
      <c s="5"/>
      <c s="5"/>
      <c s="5"/>
      <c s="5"/>
      <c s="5"/>
      <c s="5"/>
      <c s="5"/>
      <c s="5"/>
      <c s="5"/>
      <c s="5"/>
    </row>
    <row r="190" spans="1:26" ht="15.75">
      <c r="A190" s="5"/>
      <c s="5"/>
      <c s="5"/>
      <c s="5"/>
      <c s="5"/>
      <c s="5"/>
      <c s="5"/>
      <c s="5"/>
      <c s="5"/>
      <c s="5"/>
      <c s="5"/>
      <c s="5"/>
      <c s="5"/>
      <c s="5"/>
      <c s="5"/>
      <c s="5"/>
      <c s="5"/>
      <c s="5"/>
      <c s="5"/>
      <c s="5"/>
      <c s="5"/>
      <c s="5"/>
      <c s="5"/>
      <c s="5"/>
      <c s="5"/>
      <c s="5"/>
    </row>
    <row r="191" spans="1:26" ht="15.75">
      <c r="A191" s="5"/>
      <c s="5"/>
      <c s="5"/>
      <c s="5"/>
      <c s="5"/>
      <c s="5"/>
      <c s="5"/>
      <c s="5"/>
      <c s="5"/>
      <c s="5"/>
      <c s="5"/>
      <c s="5"/>
      <c s="5"/>
      <c s="5"/>
      <c s="5"/>
      <c s="5"/>
      <c s="5"/>
      <c s="5"/>
      <c s="5"/>
      <c s="5"/>
      <c s="5"/>
      <c s="5"/>
      <c s="5"/>
      <c s="5"/>
      <c s="5"/>
      <c s="5"/>
    </row>
    <row r="192" spans="1:26" ht="15.75">
      <c r="A192" s="5"/>
      <c s="5"/>
      <c s="5"/>
      <c s="5"/>
      <c s="5"/>
      <c s="5"/>
      <c s="5"/>
      <c s="5"/>
      <c s="5"/>
      <c s="5"/>
      <c s="5"/>
      <c s="5"/>
      <c s="5"/>
      <c s="5"/>
      <c s="5"/>
      <c s="5"/>
      <c s="5"/>
      <c s="5"/>
      <c s="5"/>
      <c s="5"/>
      <c s="5"/>
      <c s="5"/>
      <c s="5"/>
      <c s="5"/>
      <c s="5"/>
      <c s="5"/>
    </row>
    <row r="193" spans="1:26" ht="15.75">
      <c r="A193" s="5"/>
      <c s="5"/>
      <c s="5"/>
      <c s="5"/>
      <c s="5"/>
      <c s="5"/>
      <c s="5"/>
      <c s="5"/>
      <c s="5"/>
      <c s="5"/>
      <c s="5"/>
      <c s="5"/>
      <c s="5"/>
      <c s="5"/>
      <c s="5"/>
      <c s="5"/>
      <c s="5"/>
      <c s="5"/>
      <c s="5"/>
      <c s="5"/>
      <c s="5"/>
      <c s="5"/>
      <c s="5"/>
      <c s="5"/>
      <c s="5"/>
      <c s="5"/>
    </row>
    <row r="194" spans="1:26" ht="15.75">
      <c r="A194" s="5"/>
      <c s="5"/>
      <c s="5"/>
      <c s="5"/>
      <c s="5"/>
      <c s="5"/>
      <c s="5"/>
      <c s="5"/>
      <c s="5"/>
      <c s="5"/>
      <c s="5"/>
      <c s="5"/>
      <c s="5"/>
      <c s="5"/>
      <c s="5"/>
      <c s="5"/>
      <c s="5"/>
      <c s="5"/>
      <c s="5"/>
      <c s="5"/>
      <c s="5"/>
      <c s="5"/>
      <c s="5"/>
      <c s="5"/>
      <c s="5"/>
      <c s="5"/>
    </row>
    <row r="195" spans="1:26" ht="15.75">
      <c r="A195" s="5"/>
      <c s="5"/>
      <c s="5"/>
      <c s="5"/>
      <c s="5"/>
      <c s="5"/>
      <c s="5"/>
      <c s="5"/>
      <c s="5"/>
      <c s="5"/>
      <c s="5"/>
      <c s="5"/>
      <c s="5"/>
      <c s="5"/>
      <c s="5"/>
      <c s="5"/>
      <c s="5"/>
      <c s="5"/>
      <c s="5"/>
      <c s="5"/>
      <c s="5"/>
      <c s="5"/>
      <c s="5"/>
      <c s="5"/>
      <c s="5"/>
      <c s="5"/>
    </row>
    <row r="196" spans="1:26" ht="15.75">
      <c r="A196" s="5"/>
      <c s="5"/>
      <c s="5"/>
      <c s="5"/>
      <c s="5"/>
      <c s="5"/>
      <c s="5"/>
      <c s="5"/>
      <c s="5"/>
      <c s="5"/>
      <c s="5"/>
      <c s="5"/>
      <c s="5"/>
      <c s="5"/>
      <c s="5"/>
      <c s="5"/>
      <c s="5"/>
      <c s="5"/>
      <c s="5"/>
      <c s="5"/>
      <c s="5"/>
      <c s="5"/>
      <c s="5"/>
      <c s="5"/>
      <c s="5"/>
      <c s="5"/>
    </row>
    <row r="197" spans="1:26" ht="15.75">
      <c r="A197" s="5"/>
      <c s="5"/>
      <c s="5"/>
      <c s="5"/>
      <c s="5"/>
      <c s="5"/>
      <c s="5"/>
      <c s="5"/>
      <c s="5"/>
      <c s="5"/>
      <c s="5"/>
      <c s="5"/>
      <c s="5"/>
      <c s="5"/>
      <c s="5"/>
      <c s="5"/>
      <c s="5"/>
      <c s="5"/>
      <c s="5"/>
      <c s="5"/>
      <c s="5"/>
      <c s="5"/>
      <c s="5"/>
      <c s="5"/>
      <c s="5"/>
      <c s="5"/>
    </row>
    <row r="198" spans="1:26" ht="15.75">
      <c r="A198" s="5"/>
      <c s="5"/>
      <c s="5"/>
      <c s="5"/>
      <c s="5"/>
      <c s="5"/>
      <c s="5"/>
      <c s="5"/>
      <c s="5"/>
      <c s="5"/>
      <c s="5"/>
      <c s="5"/>
      <c s="5"/>
      <c s="5"/>
      <c s="5"/>
      <c s="5"/>
      <c s="5"/>
      <c s="5"/>
      <c s="5"/>
      <c s="5"/>
      <c s="5"/>
      <c s="5"/>
      <c s="5"/>
      <c s="5"/>
      <c s="5"/>
      <c s="5"/>
    </row>
    <row r="199" spans="1:26" ht="15.75">
      <c r="A199" s="5"/>
      <c s="5"/>
      <c s="5"/>
      <c s="5"/>
      <c s="5"/>
      <c s="5"/>
      <c s="5"/>
      <c s="5"/>
      <c s="5"/>
      <c s="5"/>
      <c s="5"/>
      <c s="5"/>
      <c s="5"/>
      <c s="5"/>
      <c s="5"/>
      <c s="5"/>
      <c s="5"/>
      <c s="5"/>
      <c s="5"/>
      <c s="5"/>
      <c s="5"/>
      <c s="5"/>
      <c s="5"/>
      <c s="5"/>
      <c s="5"/>
      <c s="5"/>
    </row>
    <row r="200" spans="1:26" ht="15.75">
      <c r="A200" s="5"/>
      <c s="5"/>
      <c s="5"/>
      <c s="5"/>
      <c s="5"/>
      <c s="5"/>
      <c s="5"/>
      <c s="5"/>
      <c s="5"/>
      <c s="5"/>
      <c s="5"/>
      <c s="5"/>
      <c s="5"/>
      <c s="5"/>
      <c s="5"/>
      <c s="5"/>
      <c s="5"/>
      <c s="5"/>
      <c s="5"/>
      <c s="5"/>
      <c s="5"/>
      <c s="5"/>
      <c s="5"/>
      <c s="5"/>
      <c s="5"/>
      <c s="5"/>
    </row>
    <row r="201" spans="1:26" ht="15.75">
      <c r="A201" s="5"/>
      <c s="5"/>
      <c s="5"/>
      <c s="5"/>
      <c s="5"/>
      <c s="5"/>
      <c s="5"/>
      <c s="5"/>
      <c s="5"/>
      <c s="5"/>
      <c s="5"/>
      <c s="5"/>
      <c s="5"/>
      <c s="5"/>
      <c s="5"/>
      <c s="5"/>
      <c s="5"/>
      <c s="5"/>
      <c s="5"/>
      <c s="5"/>
      <c s="5"/>
      <c s="5"/>
      <c s="5"/>
      <c s="5"/>
      <c s="5"/>
      <c s="5"/>
    </row>
    <row r="202" spans="1:26" ht="15.75">
      <c r="A202" s="5"/>
      <c s="5"/>
      <c s="5"/>
      <c s="5"/>
      <c s="5"/>
      <c s="5"/>
      <c s="5"/>
      <c s="5"/>
      <c s="5"/>
      <c s="5"/>
      <c s="5"/>
      <c s="5"/>
      <c s="5"/>
      <c s="5"/>
      <c s="5"/>
      <c s="5"/>
      <c s="5"/>
      <c s="5"/>
      <c s="5"/>
      <c s="5"/>
      <c s="5"/>
      <c s="5"/>
      <c s="5"/>
      <c s="5"/>
      <c s="5"/>
      <c s="5"/>
    </row>
    <row r="203" spans="1:26" ht="15.75">
      <c r="A203" s="5"/>
      <c s="5"/>
      <c s="5"/>
      <c s="5"/>
      <c s="5"/>
      <c s="5"/>
      <c s="5"/>
      <c s="5"/>
      <c s="5"/>
      <c s="5"/>
      <c s="5"/>
      <c s="5"/>
      <c s="5"/>
      <c s="5"/>
      <c s="5"/>
      <c s="5"/>
      <c s="5"/>
      <c s="5"/>
      <c s="5"/>
      <c s="5"/>
      <c s="5"/>
      <c s="5"/>
      <c s="5"/>
      <c s="5"/>
      <c s="5"/>
      <c s="5"/>
    </row>
    <row r="204" spans="1:26" ht="15.75">
      <c r="A204" s="5"/>
      <c s="5"/>
      <c s="5"/>
      <c s="5"/>
      <c s="5"/>
      <c s="5"/>
      <c s="5"/>
      <c s="5"/>
      <c s="5"/>
      <c s="5"/>
      <c s="5"/>
      <c s="5"/>
      <c s="5"/>
      <c s="5"/>
      <c s="5"/>
      <c s="5"/>
      <c s="5"/>
      <c s="5"/>
      <c s="5"/>
      <c s="5"/>
      <c s="5"/>
      <c s="5"/>
      <c s="5"/>
      <c s="5"/>
      <c s="5"/>
      <c s="5"/>
    </row>
    <row r="205" spans="1:26" ht="15.75">
      <c r="A205" s="5"/>
      <c s="5"/>
      <c s="5"/>
      <c s="5"/>
      <c s="5"/>
      <c s="5"/>
      <c s="5"/>
      <c s="5"/>
      <c s="5"/>
      <c s="5"/>
      <c s="5"/>
      <c s="5"/>
      <c s="5"/>
      <c s="5"/>
      <c s="5"/>
      <c s="5"/>
      <c s="5"/>
      <c s="5"/>
      <c s="5"/>
      <c s="5"/>
      <c s="5"/>
      <c s="5"/>
      <c s="5"/>
      <c s="5"/>
      <c s="5"/>
      <c s="5"/>
    </row>
    <row r="206" spans="1:26" ht="15.75">
      <c r="A206" s="5"/>
      <c s="5"/>
      <c s="5"/>
      <c s="5"/>
      <c s="5"/>
      <c s="5"/>
      <c s="5"/>
      <c s="5"/>
      <c s="5"/>
      <c s="5"/>
      <c s="5"/>
      <c s="5"/>
      <c s="5"/>
      <c s="5"/>
      <c s="5"/>
      <c s="5"/>
      <c s="5"/>
      <c s="5"/>
      <c s="5"/>
      <c s="5"/>
      <c s="5"/>
      <c s="5"/>
      <c s="5"/>
      <c s="5"/>
      <c s="5"/>
      <c s="5"/>
    </row>
    <row r="207" spans="1:26" ht="15.75">
      <c r="A207" s="5"/>
      <c s="5"/>
      <c s="5"/>
      <c s="5"/>
      <c s="5"/>
      <c s="5"/>
      <c s="5"/>
      <c s="5"/>
      <c s="5"/>
      <c s="5"/>
      <c s="5"/>
      <c s="5"/>
      <c s="5"/>
      <c s="5"/>
      <c s="5"/>
      <c s="5"/>
      <c s="5"/>
      <c s="5"/>
      <c s="5"/>
      <c s="5"/>
      <c s="5"/>
      <c s="5"/>
      <c s="5"/>
      <c s="5"/>
      <c s="5"/>
      <c s="5"/>
    </row>
    <row r="208" spans="1:26" ht="15.75">
      <c r="A208" s="5"/>
      <c s="5"/>
      <c s="5"/>
      <c s="5"/>
      <c s="5"/>
      <c s="5"/>
      <c s="5"/>
      <c s="5"/>
      <c s="5"/>
      <c s="5"/>
      <c s="5"/>
      <c s="5"/>
      <c s="5"/>
      <c s="5"/>
      <c s="5"/>
      <c s="5"/>
      <c s="5"/>
      <c s="5"/>
      <c s="5"/>
      <c s="5"/>
      <c s="5"/>
      <c s="5"/>
      <c s="5"/>
      <c s="5"/>
      <c s="5"/>
      <c s="5"/>
    </row>
    <row r="209" spans="1:26" ht="15.75">
      <c r="A209" s="5"/>
      <c s="5"/>
      <c s="5"/>
      <c s="5"/>
      <c s="5"/>
      <c s="5"/>
      <c s="5"/>
      <c s="5"/>
      <c s="5"/>
      <c s="5"/>
      <c s="5"/>
      <c s="5"/>
      <c s="5"/>
      <c s="5"/>
      <c s="5"/>
      <c s="5"/>
      <c s="5"/>
      <c s="5"/>
      <c s="5"/>
      <c s="5"/>
      <c s="5"/>
      <c s="5"/>
      <c s="5"/>
      <c s="5"/>
      <c s="5"/>
      <c s="5"/>
    </row>
    <row r="210" spans="1:26" ht="15.75">
      <c r="A210" s="5"/>
      <c s="5"/>
      <c s="5"/>
      <c s="5"/>
      <c s="5"/>
      <c s="5"/>
      <c s="5"/>
      <c s="5"/>
      <c s="5"/>
      <c s="5"/>
      <c s="5"/>
      <c s="5"/>
      <c s="5"/>
      <c s="5"/>
      <c s="5"/>
      <c s="5"/>
      <c s="5"/>
      <c s="5"/>
      <c s="5"/>
      <c s="5"/>
      <c s="5"/>
      <c s="5"/>
      <c s="5"/>
      <c s="5"/>
      <c s="5"/>
      <c s="5"/>
    </row>
    <row r="211" spans="1:26" ht="15.75">
      <c r="A211" s="5"/>
      <c s="5"/>
      <c s="5"/>
      <c s="5"/>
      <c s="5"/>
      <c s="5"/>
      <c s="5"/>
      <c s="5"/>
      <c s="5"/>
      <c s="5"/>
      <c s="5"/>
      <c s="5"/>
      <c s="5"/>
      <c s="5"/>
      <c s="5"/>
      <c s="5"/>
      <c s="5"/>
      <c s="5"/>
      <c s="5"/>
      <c s="5"/>
      <c s="5"/>
      <c s="5"/>
      <c s="5"/>
      <c s="5"/>
      <c s="5"/>
      <c s="5"/>
    </row>
    <row r="212" spans="1:26" ht="15.75">
      <c r="A212" s="5"/>
      <c s="5"/>
      <c s="5"/>
      <c s="5"/>
      <c s="5"/>
      <c s="5"/>
      <c s="5"/>
      <c s="5"/>
      <c s="5"/>
      <c s="5"/>
      <c s="5"/>
      <c s="5"/>
      <c s="5"/>
      <c s="5"/>
      <c s="5"/>
      <c s="5"/>
      <c s="5"/>
      <c s="5"/>
      <c s="5"/>
      <c s="5"/>
      <c s="5"/>
      <c s="5"/>
      <c s="5"/>
      <c s="5"/>
      <c s="5"/>
      <c s="5"/>
    </row>
    <row r="213" spans="1:26" ht="15.75">
      <c r="A213" s="5"/>
      <c s="5"/>
      <c s="5"/>
      <c s="5"/>
      <c s="5"/>
      <c s="5"/>
      <c s="5"/>
      <c s="5"/>
      <c s="5"/>
      <c s="5"/>
      <c s="5"/>
      <c s="5"/>
      <c s="5"/>
      <c s="5"/>
      <c s="5"/>
      <c s="5"/>
      <c s="5"/>
      <c s="5"/>
      <c s="5"/>
      <c s="5"/>
      <c s="5"/>
      <c s="5"/>
      <c s="5"/>
      <c s="5"/>
      <c s="5"/>
      <c s="5"/>
    </row>
    <row r="214" spans="1:26" ht="15.75">
      <c r="A214" s="5"/>
      <c s="5"/>
      <c s="5"/>
      <c s="5"/>
      <c s="5"/>
      <c s="5"/>
      <c s="5"/>
      <c s="5"/>
      <c s="5"/>
      <c s="5"/>
      <c s="5"/>
      <c s="5"/>
      <c s="5"/>
      <c s="5"/>
      <c s="5"/>
      <c s="5"/>
      <c s="5"/>
      <c s="5"/>
      <c s="5"/>
      <c s="5"/>
      <c s="5"/>
      <c s="5"/>
      <c s="5"/>
      <c s="5"/>
      <c s="5"/>
      <c s="5"/>
    </row>
    <row r="215" spans="1:26" ht="15.75">
      <c r="A215" s="5"/>
      <c s="5"/>
      <c s="5"/>
      <c s="5"/>
      <c s="5"/>
      <c s="5"/>
      <c s="5"/>
      <c s="5"/>
      <c s="5"/>
      <c s="5"/>
      <c s="5"/>
      <c s="5"/>
      <c s="5"/>
      <c s="5"/>
      <c s="5"/>
      <c s="5"/>
      <c s="5"/>
      <c s="5"/>
      <c s="5"/>
      <c s="5"/>
      <c s="5"/>
      <c s="5"/>
      <c s="5"/>
      <c s="5"/>
      <c s="5"/>
      <c s="5"/>
    </row>
    <row r="216" spans="1:26" ht="15.75">
      <c r="A216" s="5"/>
      <c s="5"/>
      <c s="5"/>
      <c s="5"/>
      <c s="5"/>
      <c s="5"/>
      <c s="5"/>
      <c s="5"/>
      <c s="5"/>
      <c s="5"/>
      <c s="5"/>
      <c s="5"/>
      <c s="5"/>
      <c s="5"/>
      <c s="5"/>
      <c s="5"/>
      <c s="5"/>
      <c s="5"/>
      <c s="5"/>
      <c s="5"/>
      <c s="5"/>
      <c s="5"/>
      <c s="5"/>
      <c s="5"/>
      <c s="5"/>
      <c s="5"/>
    </row>
    <row r="217" spans="1:26" ht="15.75">
      <c r="A217" s="5"/>
      <c s="5"/>
      <c s="5"/>
      <c s="5"/>
      <c s="5"/>
      <c s="5"/>
      <c s="5"/>
      <c s="5"/>
      <c s="5"/>
      <c s="5"/>
      <c s="5"/>
      <c s="5"/>
      <c s="5"/>
      <c s="5"/>
      <c s="5"/>
      <c s="5"/>
      <c s="5"/>
      <c s="5"/>
      <c s="5"/>
      <c s="5"/>
      <c s="5"/>
      <c s="5"/>
      <c s="5"/>
      <c s="5"/>
      <c s="5"/>
      <c s="5"/>
    </row>
    <row r="218" spans="1:26" ht="15.75">
      <c r="A218" s="5"/>
      <c s="5"/>
      <c s="5"/>
      <c s="5"/>
      <c s="5"/>
      <c s="5"/>
      <c s="5"/>
      <c s="5"/>
      <c s="5"/>
      <c s="5"/>
      <c s="5"/>
      <c s="5"/>
      <c s="5"/>
      <c s="5"/>
      <c s="5"/>
      <c s="5"/>
      <c s="5"/>
      <c s="5"/>
      <c s="5"/>
      <c s="5"/>
      <c s="5"/>
      <c s="5"/>
      <c s="5"/>
      <c s="5"/>
      <c s="5"/>
      <c s="5"/>
    </row>
    <row r="219" spans="1:26" ht="15.75">
      <c r="A219" s="5"/>
      <c s="5"/>
      <c s="5"/>
      <c s="5"/>
      <c s="5"/>
      <c s="5"/>
      <c s="5"/>
      <c s="5"/>
      <c s="5"/>
      <c s="5"/>
      <c s="5"/>
      <c s="5"/>
      <c s="5"/>
      <c s="5"/>
      <c s="5"/>
      <c s="5"/>
      <c s="5"/>
      <c s="5"/>
      <c s="5"/>
      <c s="5"/>
      <c s="5"/>
      <c s="5"/>
      <c s="5"/>
      <c s="5"/>
      <c s="5"/>
      <c s="5"/>
    </row>
    <row r="220" spans="1:26" ht="15.75">
      <c r="A220" s="5"/>
      <c s="5"/>
      <c s="5"/>
      <c s="5"/>
      <c s="5"/>
      <c s="5"/>
      <c s="5"/>
      <c s="5"/>
      <c s="5"/>
      <c s="5"/>
      <c s="5"/>
      <c s="5"/>
      <c s="5"/>
      <c s="5"/>
      <c s="5"/>
      <c s="5"/>
      <c s="5"/>
      <c s="5"/>
      <c s="5"/>
      <c s="5"/>
      <c s="5"/>
      <c s="5"/>
      <c s="5"/>
      <c s="5"/>
      <c s="5"/>
      <c s="5"/>
    </row>
    <row r="221" spans="1:26" ht="15.75">
      <c r="A221" s="5"/>
      <c s="5"/>
      <c s="5"/>
      <c s="5"/>
      <c s="5"/>
      <c s="5"/>
      <c s="5"/>
      <c s="5"/>
      <c s="5"/>
      <c s="5"/>
      <c s="5"/>
      <c s="5"/>
      <c s="5"/>
      <c s="5"/>
      <c s="5"/>
      <c s="5"/>
      <c s="5"/>
      <c s="5"/>
      <c s="5"/>
      <c s="5"/>
      <c s="5"/>
      <c s="5"/>
      <c s="5"/>
      <c s="5"/>
      <c s="5"/>
      <c s="5"/>
    </row>
    <row r="222" spans="1:26" ht="15.75">
      <c r="A222" s="5"/>
      <c s="5"/>
      <c s="5"/>
      <c s="5"/>
      <c s="5"/>
      <c s="5"/>
      <c s="5"/>
      <c s="5"/>
      <c s="5"/>
      <c s="5"/>
      <c s="5"/>
      <c s="5"/>
      <c s="5"/>
      <c s="5"/>
      <c s="5"/>
      <c s="5"/>
      <c s="5"/>
      <c s="5"/>
      <c s="5"/>
      <c s="5"/>
      <c s="5"/>
      <c s="5"/>
      <c s="5"/>
      <c s="5"/>
      <c s="5"/>
      <c s="5"/>
    </row>
    <row r="223" spans="1:26" ht="15.75">
      <c r="A223" s="5"/>
      <c s="5"/>
      <c s="5"/>
      <c s="5"/>
      <c s="5"/>
      <c s="5"/>
      <c s="5"/>
      <c s="5"/>
      <c s="5"/>
      <c s="5"/>
      <c s="5"/>
      <c s="5"/>
      <c s="5"/>
      <c s="5"/>
      <c s="5"/>
      <c s="5"/>
      <c s="5"/>
      <c s="5"/>
      <c s="5"/>
      <c s="5"/>
      <c s="5"/>
      <c s="5"/>
      <c s="5"/>
      <c s="5"/>
      <c s="5"/>
      <c s="5"/>
    </row>
    <row r="224" spans="1:26" ht="15.75">
      <c r="A224" s="5"/>
      <c s="5"/>
      <c s="5"/>
      <c s="5"/>
      <c s="5"/>
      <c s="5"/>
      <c s="5"/>
      <c s="5"/>
      <c s="5"/>
      <c s="5"/>
      <c s="5"/>
      <c s="5"/>
      <c s="5"/>
      <c s="5"/>
      <c s="5"/>
      <c s="5"/>
      <c s="5"/>
      <c s="5"/>
      <c s="5"/>
      <c s="5"/>
      <c s="5"/>
      <c s="5"/>
      <c s="5"/>
      <c s="5"/>
      <c s="5"/>
      <c s="5"/>
    </row>
    <row r="225" spans="1:26" ht="15.75">
      <c r="A225" s="5"/>
      <c s="5"/>
      <c s="5"/>
      <c s="5"/>
      <c s="5"/>
      <c s="5"/>
      <c s="5"/>
      <c s="5"/>
      <c s="5"/>
      <c s="5"/>
      <c s="5"/>
      <c s="5"/>
      <c s="5"/>
      <c s="5"/>
      <c s="5"/>
      <c s="5"/>
      <c s="5"/>
      <c s="5"/>
      <c s="5"/>
      <c s="5"/>
      <c s="5"/>
      <c s="5"/>
      <c s="5"/>
      <c s="5"/>
      <c s="5"/>
      <c s="5"/>
    </row>
    <row r="226" spans="1:26" ht="15.75">
      <c r="A226" s="5"/>
      <c s="5"/>
      <c s="5"/>
      <c s="5"/>
      <c s="5"/>
      <c s="5"/>
      <c s="5"/>
      <c s="5"/>
      <c s="5"/>
      <c s="5"/>
      <c s="5"/>
      <c s="5"/>
      <c s="5"/>
      <c s="5"/>
      <c s="5"/>
      <c s="5"/>
      <c s="5"/>
      <c s="5"/>
      <c s="5"/>
      <c s="5"/>
      <c s="5"/>
      <c s="5"/>
      <c s="5"/>
      <c s="5"/>
      <c s="5"/>
      <c s="5"/>
    </row>
    <row r="227" spans="1:26" ht="15.75">
      <c r="A227" s="5"/>
      <c s="5"/>
      <c s="5"/>
      <c s="5"/>
      <c s="5"/>
      <c s="5"/>
      <c s="5"/>
      <c s="5"/>
      <c s="5"/>
      <c s="5"/>
      <c s="5"/>
      <c s="5"/>
      <c s="5"/>
      <c s="5"/>
      <c s="5"/>
      <c s="5"/>
      <c s="5"/>
      <c s="5"/>
      <c s="5"/>
      <c s="5"/>
      <c s="5"/>
      <c s="5"/>
      <c s="5"/>
      <c s="5"/>
      <c s="5"/>
      <c s="5"/>
    </row>
    <row r="228" spans="1:26" ht="15.75">
      <c r="A228" s="5"/>
      <c s="5"/>
      <c s="5"/>
      <c s="5"/>
      <c s="5"/>
      <c s="5"/>
      <c s="5"/>
      <c s="5"/>
      <c s="5"/>
      <c s="5"/>
      <c s="5"/>
      <c s="5"/>
      <c s="5"/>
      <c s="5"/>
      <c s="5"/>
      <c s="5"/>
      <c s="5"/>
      <c s="5"/>
      <c s="5"/>
      <c s="5"/>
      <c s="5"/>
      <c s="5"/>
      <c s="5"/>
      <c s="5"/>
      <c s="5"/>
      <c s="5"/>
    </row>
    <row r="229" spans="1:26" ht="15.75">
      <c r="A229" s="5"/>
      <c s="5"/>
      <c s="5"/>
      <c s="5"/>
      <c s="5"/>
      <c s="5"/>
      <c s="5"/>
      <c s="5"/>
      <c s="5"/>
      <c s="5"/>
      <c s="5"/>
      <c s="5"/>
      <c s="5"/>
      <c s="5"/>
      <c s="5"/>
      <c s="5"/>
      <c s="5"/>
      <c s="5"/>
      <c s="5"/>
      <c s="5"/>
      <c s="5"/>
      <c s="5"/>
      <c s="5"/>
      <c s="5"/>
      <c s="5"/>
      <c s="5"/>
    </row>
    <row r="230" spans="1:26" ht="15.75">
      <c r="A230" s="5"/>
      <c s="5"/>
      <c s="5"/>
      <c s="5"/>
      <c s="5"/>
      <c s="5"/>
      <c s="5"/>
      <c s="5"/>
      <c s="5"/>
      <c s="5"/>
      <c s="5"/>
      <c s="5"/>
      <c s="5"/>
      <c s="5"/>
      <c s="5"/>
      <c s="5"/>
      <c s="5"/>
      <c s="5"/>
      <c s="5"/>
      <c s="5"/>
      <c s="5"/>
      <c s="5"/>
      <c s="5"/>
      <c s="5"/>
      <c s="5"/>
      <c s="5"/>
    </row>
    <row r="231" spans="1:26" ht="15.75">
      <c r="A231" s="5"/>
      <c s="5"/>
      <c s="5"/>
      <c s="5"/>
      <c s="5"/>
      <c s="5"/>
      <c s="5"/>
      <c s="5"/>
      <c s="5"/>
      <c s="5"/>
      <c s="5"/>
      <c s="5"/>
      <c s="5"/>
      <c s="5"/>
      <c s="5"/>
      <c s="5"/>
      <c s="5"/>
      <c s="5"/>
      <c s="5"/>
      <c s="5"/>
      <c s="5"/>
      <c s="5"/>
      <c s="5"/>
      <c s="5"/>
      <c s="5"/>
      <c s="5"/>
    </row>
    <row r="232" spans="1:26" ht="15.75">
      <c r="A232" s="5"/>
      <c s="5"/>
      <c s="5"/>
      <c s="5"/>
      <c s="5"/>
      <c s="5"/>
      <c s="5"/>
      <c s="5"/>
      <c s="5"/>
      <c s="5"/>
      <c s="5"/>
      <c s="5"/>
      <c s="5"/>
      <c s="5"/>
      <c s="5"/>
      <c s="5"/>
      <c s="5"/>
      <c s="5"/>
      <c s="5"/>
      <c s="5"/>
      <c s="5"/>
      <c s="5"/>
      <c s="5"/>
      <c s="5"/>
      <c s="5"/>
      <c s="5"/>
    </row>
    <row r="233" spans="1:26" ht="15.75">
      <c r="A233" s="5"/>
      <c s="5"/>
      <c s="5"/>
      <c s="5"/>
      <c s="5"/>
      <c s="5"/>
      <c s="5"/>
      <c s="5"/>
      <c s="5"/>
      <c s="5"/>
      <c s="5"/>
      <c s="5"/>
      <c s="5"/>
      <c s="5"/>
      <c s="5"/>
      <c s="5"/>
      <c s="5"/>
      <c s="5"/>
      <c s="5"/>
      <c s="5"/>
      <c s="5"/>
      <c s="5"/>
      <c s="5"/>
      <c s="5"/>
      <c s="5"/>
      <c s="5"/>
    </row>
    <row r="234" spans="1:26" ht="15.75">
      <c r="A234" s="5"/>
      <c s="5"/>
      <c s="5"/>
      <c s="5"/>
      <c s="5"/>
      <c s="5"/>
      <c s="5"/>
      <c s="5"/>
      <c s="5"/>
      <c s="5"/>
      <c s="5"/>
      <c s="5"/>
      <c s="5"/>
      <c s="5"/>
      <c s="5"/>
      <c s="5"/>
      <c s="5"/>
      <c s="5"/>
      <c s="5"/>
      <c s="5"/>
      <c s="5"/>
      <c s="5"/>
      <c s="5"/>
      <c s="5"/>
      <c s="5"/>
      <c s="5"/>
    </row>
    <row r="235" spans="1:26" ht="15.75">
      <c r="A235" s="5"/>
      <c s="5"/>
      <c s="5"/>
      <c s="5"/>
      <c s="5"/>
      <c s="5"/>
      <c s="5"/>
      <c s="5"/>
      <c s="5"/>
      <c s="5"/>
      <c s="5"/>
      <c s="5"/>
      <c s="5"/>
      <c s="5"/>
      <c s="5"/>
      <c s="5"/>
      <c s="5"/>
      <c s="5"/>
      <c s="5"/>
      <c s="5"/>
      <c s="5"/>
      <c s="5"/>
      <c s="5"/>
      <c s="5"/>
      <c s="5"/>
      <c s="5"/>
    </row>
    <row r="236" spans="1:26" ht="15.75">
      <c r="A236" s="5"/>
      <c s="5"/>
      <c s="5"/>
      <c s="5"/>
      <c s="5"/>
      <c s="5"/>
      <c s="5"/>
      <c s="5"/>
      <c s="5"/>
      <c s="5"/>
      <c s="5"/>
      <c s="5"/>
      <c s="5"/>
      <c s="5"/>
      <c s="5"/>
      <c s="5"/>
      <c s="5"/>
      <c s="5"/>
      <c s="5"/>
      <c s="5"/>
      <c s="5"/>
      <c s="5"/>
      <c s="5"/>
      <c s="5"/>
      <c s="5"/>
      <c s="5"/>
    </row>
    <row r="237" spans="1:26" ht="15.75">
      <c r="A237" s="5"/>
      <c s="5"/>
      <c s="5"/>
      <c s="5"/>
      <c s="5"/>
      <c s="5"/>
      <c s="5"/>
      <c s="5"/>
      <c s="5"/>
      <c s="5"/>
      <c s="5"/>
      <c s="5"/>
      <c s="5"/>
      <c s="5"/>
      <c s="5"/>
      <c s="5"/>
      <c s="5"/>
      <c s="5"/>
      <c s="5"/>
      <c s="5"/>
      <c s="5"/>
      <c s="5"/>
      <c s="5"/>
      <c s="5"/>
      <c s="5"/>
      <c s="5"/>
    </row>
    <row r="238" spans="1:26" ht="15.75">
      <c r="A238" s="5"/>
      <c s="5"/>
      <c s="5"/>
      <c s="5"/>
      <c s="5"/>
      <c s="5"/>
      <c s="5"/>
      <c s="5"/>
      <c s="5"/>
      <c s="5"/>
      <c s="5"/>
      <c s="5"/>
      <c s="5"/>
      <c s="5"/>
      <c s="5"/>
      <c s="5"/>
      <c s="5"/>
      <c s="5"/>
      <c s="5"/>
      <c s="5"/>
      <c s="5"/>
      <c s="5"/>
      <c s="5"/>
      <c s="5"/>
      <c s="5"/>
      <c s="5"/>
    </row>
    <row r="239" spans="1:26" ht="15.75">
      <c r="A239" s="5"/>
      <c s="5"/>
      <c s="5"/>
      <c s="5"/>
      <c s="5"/>
      <c s="5"/>
      <c s="5"/>
      <c s="5"/>
      <c s="5"/>
      <c s="5"/>
      <c s="5"/>
      <c s="5"/>
      <c s="5"/>
      <c s="5"/>
      <c s="5"/>
      <c s="5"/>
      <c s="5"/>
      <c s="5"/>
      <c s="5"/>
      <c s="5"/>
      <c s="5"/>
      <c s="5"/>
      <c s="5"/>
      <c s="5"/>
      <c s="5"/>
      <c s="5"/>
    </row>
    <row r="240" spans="1:26" ht="15.75">
      <c r="A240" s="5"/>
      <c s="5"/>
      <c s="5"/>
      <c s="5"/>
      <c s="5"/>
      <c s="5"/>
      <c s="5"/>
      <c s="5"/>
      <c s="5"/>
      <c s="5"/>
      <c s="5"/>
      <c s="5"/>
      <c s="5"/>
      <c s="5"/>
      <c s="5"/>
      <c s="5"/>
      <c s="5"/>
      <c s="5"/>
      <c s="5"/>
      <c s="5"/>
      <c s="5"/>
      <c s="5"/>
      <c s="5"/>
      <c s="5"/>
      <c s="5"/>
      <c s="5"/>
    </row>
    <row r="241" spans="1:26" ht="15.75">
      <c r="A241" s="5"/>
      <c s="5"/>
      <c s="5"/>
      <c s="5"/>
      <c s="5"/>
      <c s="5"/>
      <c s="5"/>
      <c s="5"/>
      <c s="5"/>
      <c s="5"/>
      <c s="5"/>
      <c s="5"/>
      <c s="5"/>
      <c s="5"/>
      <c s="5"/>
      <c s="5"/>
      <c s="5"/>
      <c s="5"/>
      <c s="5"/>
      <c s="5"/>
      <c s="5"/>
      <c s="5"/>
      <c s="5"/>
      <c s="5"/>
      <c s="5"/>
      <c s="5"/>
    </row>
    <row r="242" spans="1:26" ht="15.75">
      <c r="A242" s="5"/>
      <c s="5"/>
      <c s="5"/>
      <c s="5"/>
      <c s="5"/>
      <c s="5"/>
      <c s="5"/>
      <c s="5"/>
      <c s="5"/>
      <c s="5"/>
      <c s="5"/>
      <c s="5"/>
      <c s="5"/>
      <c s="5"/>
      <c s="5"/>
      <c s="5"/>
      <c s="5"/>
      <c s="5"/>
      <c s="5"/>
      <c s="5"/>
      <c s="5"/>
      <c s="5"/>
      <c s="5"/>
      <c s="5"/>
      <c s="5"/>
      <c s="5"/>
    </row>
    <row r="243" spans="1:26" ht="15.75">
      <c r="A243" s="5"/>
      <c s="5"/>
      <c s="5"/>
      <c s="5"/>
      <c s="5"/>
      <c s="5"/>
      <c s="5"/>
      <c s="5"/>
      <c s="5"/>
      <c s="5"/>
      <c s="5"/>
      <c s="5"/>
      <c s="5"/>
      <c s="5"/>
      <c s="5"/>
      <c s="5"/>
      <c s="5"/>
      <c s="5"/>
      <c s="5"/>
      <c s="5"/>
      <c s="5"/>
      <c s="5"/>
      <c s="5"/>
      <c s="5"/>
      <c s="5"/>
      <c s="5"/>
    </row>
    <row r="244" spans="1:26" ht="15.75">
      <c r="A244" s="5"/>
      <c s="5"/>
      <c s="5"/>
      <c s="5"/>
      <c s="5"/>
      <c s="5"/>
      <c s="5"/>
      <c s="5"/>
      <c s="5"/>
      <c s="5"/>
      <c s="5"/>
      <c s="5"/>
      <c s="5"/>
      <c s="5"/>
      <c s="5"/>
      <c s="5"/>
      <c s="5"/>
      <c s="5"/>
      <c s="5"/>
      <c s="5"/>
      <c s="5"/>
      <c s="5"/>
      <c s="5"/>
      <c s="5"/>
      <c s="5"/>
      <c s="5"/>
    </row>
    <row r="245" spans="1:26" ht="15.75">
      <c r="A245" s="5"/>
      <c s="5"/>
      <c s="5"/>
      <c s="5"/>
      <c s="5"/>
      <c s="5"/>
      <c s="5"/>
      <c s="5"/>
      <c s="5"/>
      <c s="5"/>
      <c s="5"/>
      <c s="5"/>
      <c s="5"/>
      <c s="5"/>
      <c s="5"/>
      <c s="5"/>
      <c s="5"/>
      <c s="5"/>
      <c s="5"/>
      <c s="5"/>
      <c s="5"/>
      <c s="5"/>
      <c s="5"/>
      <c s="5"/>
      <c s="5"/>
      <c s="5"/>
    </row>
    <row r="246" spans="1:26" ht="15.75">
      <c r="A246" s="5"/>
      <c s="5"/>
      <c s="5"/>
      <c s="5"/>
      <c s="5"/>
      <c s="5"/>
      <c s="5"/>
      <c s="5"/>
      <c s="5"/>
      <c s="5"/>
      <c s="5"/>
      <c s="5"/>
      <c s="5"/>
      <c s="5"/>
      <c s="5"/>
      <c s="5"/>
      <c s="5"/>
      <c s="5"/>
      <c s="5"/>
      <c s="5"/>
      <c s="5"/>
      <c s="5"/>
      <c s="5"/>
      <c s="5"/>
      <c s="5"/>
      <c s="5"/>
    </row>
    <row r="247" spans="1:26" ht="15.75">
      <c r="A247" s="5"/>
      <c s="5"/>
      <c s="5"/>
      <c s="5"/>
      <c s="5"/>
      <c s="5"/>
      <c s="5"/>
      <c s="5"/>
      <c s="5"/>
      <c s="5"/>
      <c s="5"/>
      <c s="5"/>
      <c s="5"/>
      <c s="5"/>
      <c s="5"/>
      <c s="5"/>
      <c s="5"/>
      <c s="5"/>
      <c s="5"/>
      <c s="5"/>
      <c s="5"/>
      <c s="5"/>
      <c s="5"/>
      <c s="5"/>
      <c s="5"/>
      <c s="5"/>
    </row>
    <row r="248" spans="1:26" ht="15.75">
      <c r="A248" s="5"/>
      <c s="5"/>
      <c s="5"/>
      <c s="5"/>
      <c s="5"/>
      <c s="5"/>
      <c s="5"/>
      <c s="5"/>
      <c s="5"/>
      <c s="5"/>
      <c s="5"/>
      <c s="5"/>
      <c s="5"/>
      <c s="5"/>
      <c s="5"/>
      <c s="5"/>
      <c s="5"/>
      <c s="5"/>
      <c s="5"/>
      <c s="5"/>
      <c s="5"/>
      <c s="5"/>
      <c s="5"/>
      <c s="5"/>
      <c s="5"/>
      <c s="5"/>
    </row>
    <row r="249" spans="1:26" ht="15.75">
      <c r="A249" s="5"/>
      <c s="5"/>
      <c s="5"/>
      <c s="5"/>
      <c s="5"/>
      <c s="5"/>
      <c s="5"/>
      <c s="5"/>
      <c s="5"/>
      <c s="5"/>
      <c s="5"/>
      <c s="5"/>
      <c s="5"/>
      <c s="5"/>
      <c s="5"/>
      <c s="5"/>
      <c s="5"/>
      <c s="5"/>
      <c s="5"/>
      <c s="5"/>
      <c s="5"/>
      <c s="5"/>
      <c s="5"/>
      <c s="5"/>
      <c s="5"/>
      <c s="5"/>
    </row>
    <row r="250" spans="1:26" ht="15.75">
      <c r="A250" s="5"/>
      <c s="5"/>
      <c s="5"/>
      <c s="5"/>
      <c s="5"/>
      <c s="5"/>
      <c s="5"/>
      <c s="5"/>
      <c s="5"/>
      <c s="5"/>
      <c s="5"/>
      <c s="5"/>
      <c s="5"/>
      <c s="5"/>
      <c s="5"/>
      <c s="5"/>
      <c s="5"/>
      <c s="5"/>
      <c s="5"/>
      <c s="5"/>
      <c s="5"/>
      <c s="5"/>
      <c s="5"/>
      <c s="5"/>
      <c s="5"/>
      <c s="5"/>
    </row>
    <row r="251" spans="1:26" ht="15.75">
      <c r="A251" s="5"/>
      <c s="5"/>
      <c s="5"/>
      <c s="5"/>
      <c s="5"/>
      <c s="5"/>
      <c s="5"/>
      <c s="5"/>
      <c s="5"/>
      <c s="5"/>
      <c s="5"/>
      <c s="5"/>
      <c s="5"/>
      <c s="5"/>
      <c s="5"/>
      <c s="5"/>
      <c s="5"/>
      <c s="5"/>
      <c s="5"/>
      <c s="5"/>
      <c s="5"/>
      <c s="5"/>
      <c s="5"/>
      <c s="5"/>
      <c s="5"/>
      <c s="5"/>
    </row>
    <row r="252" spans="1:26" ht="15.75">
      <c r="A252" s="5"/>
      <c s="5"/>
      <c s="5"/>
      <c s="5"/>
      <c s="5"/>
      <c s="5"/>
      <c s="5"/>
      <c s="5"/>
      <c s="5"/>
      <c s="5"/>
      <c s="5"/>
      <c s="5"/>
      <c s="5"/>
      <c s="5"/>
      <c s="5"/>
      <c s="5"/>
      <c s="5"/>
      <c s="5"/>
      <c s="5"/>
      <c s="5"/>
      <c s="5"/>
      <c s="5"/>
      <c s="5"/>
      <c s="5"/>
      <c s="5"/>
      <c s="5"/>
    </row>
    <row r="253" spans="1:26" ht="15.75">
      <c r="A253" s="5"/>
      <c s="5"/>
      <c s="5"/>
      <c s="5"/>
      <c s="5"/>
      <c s="5"/>
      <c s="5"/>
      <c s="5"/>
      <c s="5"/>
      <c s="5"/>
      <c s="5"/>
      <c s="5"/>
      <c s="5"/>
      <c s="5"/>
      <c s="5"/>
      <c s="5"/>
      <c s="5"/>
      <c s="5"/>
      <c s="5"/>
      <c s="5"/>
      <c s="5"/>
      <c s="5"/>
      <c s="5"/>
      <c s="5"/>
      <c s="5"/>
      <c s="5"/>
    </row>
    <row r="254" spans="1:26" ht="15.75">
      <c r="A254" s="5"/>
      <c s="5"/>
      <c s="5"/>
      <c s="5"/>
      <c s="5"/>
      <c s="5"/>
      <c s="5"/>
      <c s="5"/>
      <c s="5"/>
      <c s="5"/>
      <c s="5"/>
      <c s="5"/>
      <c s="5"/>
      <c s="5"/>
      <c s="5"/>
      <c s="5"/>
      <c s="5"/>
      <c s="5"/>
      <c s="5"/>
      <c s="5"/>
      <c s="5"/>
      <c s="5"/>
      <c s="5"/>
      <c s="5"/>
      <c s="5"/>
      <c s="5"/>
    </row>
    <row r="255" spans="1:26" ht="15.75">
      <c r="A255" s="5"/>
      <c s="5"/>
      <c s="5"/>
      <c s="5"/>
      <c s="5"/>
      <c s="5"/>
      <c s="5"/>
      <c s="5"/>
      <c s="5"/>
      <c s="5"/>
      <c s="5"/>
      <c s="5"/>
      <c s="5"/>
      <c s="5"/>
      <c s="5"/>
      <c s="5"/>
      <c s="5"/>
      <c s="5"/>
      <c s="5"/>
      <c s="5"/>
      <c s="5"/>
      <c s="5"/>
      <c s="5"/>
      <c s="5"/>
      <c s="5"/>
      <c s="5"/>
    </row>
    <row r="256" spans="1:26" ht="15.75">
      <c r="A256" s="5"/>
      <c s="5"/>
      <c s="5"/>
      <c s="5"/>
      <c s="5"/>
      <c s="5"/>
      <c s="5"/>
      <c s="5"/>
      <c s="5"/>
      <c s="5"/>
      <c s="5"/>
      <c s="5"/>
      <c s="5"/>
      <c s="5"/>
      <c s="5"/>
      <c s="5"/>
      <c s="5"/>
      <c s="5"/>
      <c s="5"/>
      <c s="5"/>
      <c s="5"/>
      <c s="5"/>
      <c s="5"/>
      <c s="5"/>
      <c s="5"/>
      <c s="5"/>
    </row>
    <row r="257" spans="1:26" ht="15.75">
      <c r="A257" s="5"/>
      <c s="5"/>
      <c s="5"/>
      <c s="5"/>
      <c s="5"/>
      <c s="5"/>
      <c s="5"/>
      <c s="5"/>
      <c s="5"/>
      <c s="5"/>
      <c s="5"/>
      <c s="5"/>
      <c s="5"/>
      <c s="5"/>
      <c s="5"/>
      <c s="5"/>
      <c s="5"/>
      <c s="5"/>
      <c s="5"/>
      <c s="5"/>
      <c s="5"/>
      <c s="5"/>
      <c s="5"/>
      <c s="5"/>
      <c s="5"/>
      <c s="5"/>
    </row>
    <row r="258" spans="1:26" ht="15.75">
      <c r="A258" s="5"/>
      <c s="5"/>
      <c s="5"/>
      <c s="5"/>
      <c s="5"/>
      <c s="5"/>
      <c s="5"/>
      <c s="5"/>
      <c s="5"/>
      <c s="5"/>
      <c s="5"/>
      <c s="5"/>
      <c s="5"/>
      <c s="5"/>
      <c s="5"/>
      <c s="5"/>
      <c s="5"/>
      <c s="5"/>
      <c s="5"/>
      <c s="5"/>
      <c s="5"/>
      <c s="5"/>
      <c s="5"/>
      <c s="5"/>
      <c s="5"/>
      <c s="5"/>
    </row>
    <row r="259" spans="1:26" ht="15.75">
      <c r="A259" s="5"/>
      <c s="5"/>
      <c s="5"/>
      <c s="5"/>
      <c s="5"/>
      <c s="5"/>
      <c s="5"/>
      <c s="5"/>
      <c s="5"/>
      <c s="5"/>
      <c s="5"/>
      <c s="5"/>
      <c s="5"/>
      <c s="5"/>
      <c s="5"/>
      <c s="5"/>
      <c s="5"/>
      <c s="5"/>
      <c s="5"/>
      <c s="5"/>
      <c s="5"/>
      <c s="5"/>
      <c s="5"/>
      <c s="5"/>
      <c s="5"/>
      <c s="5"/>
    </row>
    <row r="260" spans="1:26" ht="15.75">
      <c r="A260" s="5"/>
      <c s="5"/>
      <c s="5"/>
      <c s="5"/>
      <c s="5"/>
      <c s="5"/>
      <c s="5"/>
      <c s="5"/>
      <c s="5"/>
      <c s="5"/>
      <c s="5"/>
      <c s="5"/>
      <c s="5"/>
      <c s="5"/>
      <c s="5"/>
      <c s="5"/>
      <c s="5"/>
      <c s="5"/>
      <c s="5"/>
      <c s="5"/>
      <c s="5"/>
      <c s="5"/>
      <c s="5"/>
      <c s="5"/>
      <c s="5"/>
      <c s="5"/>
    </row>
    <row r="261" spans="1:26" ht="15.75">
      <c r="A261" s="5"/>
      <c s="5"/>
      <c s="5"/>
      <c s="5"/>
      <c s="5"/>
      <c s="5"/>
      <c s="5"/>
      <c s="5"/>
      <c s="5"/>
      <c s="5"/>
      <c s="5"/>
      <c s="5"/>
      <c s="5"/>
      <c s="5"/>
      <c s="5"/>
      <c s="5"/>
      <c s="5"/>
      <c s="5"/>
      <c s="5"/>
      <c s="5"/>
      <c s="5"/>
      <c s="5"/>
      <c s="5"/>
      <c s="5"/>
      <c s="5"/>
      <c s="5"/>
    </row>
    <row r="262" spans="1:26" ht="15.75">
      <c r="A262" s="5"/>
      <c s="5"/>
      <c s="5"/>
      <c s="5"/>
      <c s="5"/>
      <c s="5"/>
      <c s="5"/>
      <c s="5"/>
      <c s="5"/>
      <c s="5"/>
      <c s="5"/>
      <c s="5"/>
      <c s="5"/>
      <c s="5"/>
      <c s="5"/>
      <c s="5"/>
      <c s="5"/>
      <c s="5"/>
      <c s="5"/>
      <c s="5"/>
      <c s="5"/>
      <c s="5"/>
      <c s="5"/>
      <c s="5"/>
      <c s="5"/>
      <c s="5"/>
    </row>
    <row r="263" spans="1:26" ht="15.75">
      <c r="A263" s="5"/>
      <c s="5"/>
      <c s="5"/>
      <c s="5"/>
      <c s="5"/>
      <c s="5"/>
      <c s="5"/>
      <c s="5"/>
      <c s="5"/>
      <c s="5"/>
      <c s="5"/>
      <c s="5"/>
      <c s="5"/>
      <c s="5"/>
      <c s="5"/>
      <c s="5"/>
      <c s="5"/>
      <c s="5"/>
      <c s="5"/>
      <c s="5"/>
      <c s="5"/>
      <c s="5"/>
      <c s="5"/>
      <c s="5"/>
      <c s="5"/>
      <c s="5"/>
    </row>
    <row r="264" spans="1:26" ht="15.75">
      <c r="A264" s="5"/>
      <c s="5"/>
      <c s="5"/>
      <c s="5"/>
      <c s="5"/>
      <c s="5"/>
      <c s="5"/>
      <c s="5"/>
      <c s="5"/>
      <c s="5"/>
      <c s="5"/>
      <c s="5"/>
      <c s="5"/>
      <c s="5"/>
      <c s="5"/>
      <c s="5"/>
      <c s="5"/>
      <c s="5"/>
      <c s="5"/>
      <c s="5"/>
      <c s="5"/>
      <c s="5"/>
      <c s="5"/>
      <c s="5"/>
      <c s="5"/>
      <c s="5"/>
    </row>
    <row r="265" spans="1:26" ht="15.75">
      <c r="A265" s="5"/>
      <c s="5"/>
      <c s="5"/>
      <c s="5"/>
      <c s="5"/>
      <c s="5"/>
      <c s="5"/>
      <c s="5"/>
      <c s="5"/>
      <c s="5"/>
      <c s="5"/>
      <c s="5"/>
      <c s="5"/>
      <c s="5"/>
      <c s="5"/>
      <c s="5"/>
      <c s="5"/>
      <c s="5"/>
      <c s="5"/>
      <c s="5"/>
      <c s="5"/>
      <c s="5"/>
      <c s="5"/>
      <c s="5"/>
      <c s="5"/>
      <c s="5"/>
    </row>
    <row r="266" spans="1:26" ht="15.75">
      <c r="A266" s="5"/>
      <c s="5"/>
      <c s="5"/>
      <c s="5"/>
      <c s="5"/>
      <c s="5"/>
      <c s="5"/>
      <c s="5"/>
      <c s="5"/>
      <c s="5"/>
      <c s="5"/>
      <c s="5"/>
      <c s="5"/>
      <c s="5"/>
      <c s="5"/>
      <c s="5"/>
      <c s="5"/>
      <c s="5"/>
      <c s="5"/>
      <c s="5"/>
      <c s="5"/>
      <c s="5"/>
      <c s="5"/>
      <c s="5"/>
      <c s="5"/>
      <c s="5"/>
    </row>
    <row r="267" spans="1:26" ht="15.75">
      <c r="A267" s="5"/>
      <c s="5"/>
      <c s="5"/>
      <c s="5"/>
      <c s="5"/>
      <c s="5"/>
      <c s="5"/>
      <c s="5"/>
      <c s="5"/>
      <c s="5"/>
      <c s="5"/>
      <c s="5"/>
      <c s="5"/>
      <c s="5"/>
      <c s="5"/>
      <c s="5"/>
      <c s="5"/>
      <c s="5"/>
      <c s="5"/>
      <c s="5"/>
      <c s="5"/>
      <c s="5"/>
      <c s="5"/>
      <c s="5"/>
      <c s="5"/>
      <c s="5"/>
    </row>
    <row r="268" spans="1:26" ht="15.75">
      <c r="A268" s="5"/>
      <c s="5"/>
      <c s="5"/>
      <c s="5"/>
      <c s="5"/>
      <c s="5"/>
      <c s="5"/>
      <c s="5"/>
      <c s="5"/>
      <c s="5"/>
      <c s="5"/>
      <c s="5"/>
      <c s="5"/>
      <c s="5"/>
      <c s="5"/>
      <c s="5"/>
      <c s="5"/>
      <c s="5"/>
      <c s="5"/>
      <c s="5"/>
      <c s="5"/>
      <c s="5"/>
      <c s="5"/>
      <c s="5"/>
      <c s="5"/>
      <c s="5"/>
    </row>
    <row r="269" spans="1:26" ht="15.75">
      <c r="A269" s="5"/>
      <c s="5"/>
      <c s="5"/>
      <c s="5"/>
      <c s="5"/>
      <c s="5"/>
      <c s="5"/>
      <c s="5"/>
      <c s="5"/>
      <c s="5"/>
      <c s="5"/>
      <c s="5"/>
      <c s="5"/>
      <c s="5"/>
      <c s="5"/>
      <c s="5"/>
      <c s="5"/>
      <c s="5"/>
      <c s="5"/>
      <c s="5"/>
      <c s="5"/>
      <c s="5"/>
      <c s="5"/>
      <c s="5"/>
      <c s="5"/>
      <c s="5"/>
    </row>
    <row r="270" spans="1:26" ht="15.75">
      <c r="A270" s="5"/>
      <c s="5"/>
      <c s="5"/>
      <c s="5"/>
      <c s="5"/>
      <c s="5"/>
      <c s="5"/>
      <c s="5"/>
      <c s="5"/>
      <c s="5"/>
      <c s="5"/>
      <c s="5"/>
      <c s="5"/>
      <c s="5"/>
      <c s="5"/>
      <c s="5"/>
      <c s="5"/>
      <c s="5"/>
      <c s="5"/>
      <c s="5"/>
      <c s="5"/>
      <c s="5"/>
      <c s="5"/>
      <c s="5"/>
      <c s="5"/>
      <c s="5"/>
    </row>
    <row r="271" spans="1:26" ht="15.75">
      <c r="A271" s="5"/>
      <c s="5"/>
      <c s="5"/>
      <c s="5"/>
      <c s="5"/>
      <c s="5"/>
      <c s="5"/>
      <c s="5"/>
      <c s="5"/>
      <c s="5"/>
      <c s="5"/>
      <c s="5"/>
      <c s="5"/>
      <c s="5"/>
      <c s="5"/>
      <c s="5"/>
      <c s="5"/>
      <c s="5"/>
      <c s="5"/>
      <c s="5"/>
      <c s="5"/>
      <c s="5"/>
      <c s="5"/>
      <c s="5"/>
      <c s="5"/>
      <c s="5"/>
    </row>
    <row r="272" spans="1:26" ht="15.75">
      <c r="A272" s="5"/>
      <c s="5"/>
      <c s="5"/>
      <c s="5"/>
      <c s="5"/>
      <c s="5"/>
      <c s="5"/>
      <c s="5"/>
      <c s="5"/>
      <c s="5"/>
      <c s="5"/>
      <c s="5"/>
      <c s="5"/>
      <c s="5"/>
      <c s="5"/>
      <c s="5"/>
      <c s="5"/>
      <c s="5"/>
      <c s="5"/>
      <c s="5"/>
      <c s="5"/>
      <c s="5"/>
      <c s="5"/>
      <c s="5"/>
      <c s="5"/>
      <c s="5"/>
    </row>
    <row r="273" spans="1:26" ht="15.75">
      <c r="A273" s="5"/>
      <c s="5"/>
      <c s="5"/>
      <c s="5"/>
      <c s="5"/>
      <c s="5"/>
      <c s="5"/>
      <c s="5"/>
      <c s="5"/>
      <c s="5"/>
      <c s="5"/>
      <c s="5"/>
      <c s="5"/>
      <c s="5"/>
      <c s="5"/>
      <c s="5"/>
      <c s="5"/>
      <c s="5"/>
      <c s="5"/>
      <c s="5"/>
      <c s="5"/>
      <c s="5"/>
      <c s="5"/>
      <c s="5"/>
      <c s="5"/>
      <c s="5"/>
    </row>
    <row r="274" spans="1:26" ht="15.75">
      <c r="A274" s="5"/>
      <c s="5"/>
      <c s="5"/>
      <c s="5"/>
      <c s="5"/>
      <c s="5"/>
      <c s="5"/>
      <c s="5"/>
      <c s="5"/>
      <c s="5"/>
      <c s="5"/>
      <c s="5"/>
      <c s="5"/>
      <c s="5"/>
      <c s="5"/>
      <c s="5"/>
      <c s="5"/>
      <c s="5"/>
      <c s="5"/>
      <c s="5"/>
      <c s="5"/>
      <c s="5"/>
      <c s="5"/>
      <c s="5"/>
      <c s="5"/>
      <c s="5"/>
    </row>
    <row r="275" spans="1:26" ht="15.75">
      <c r="A275" s="5"/>
      <c s="5"/>
      <c s="5"/>
      <c s="5"/>
      <c s="5"/>
      <c s="5"/>
      <c s="5"/>
      <c s="5"/>
      <c s="5"/>
      <c s="5"/>
      <c s="5"/>
      <c s="5"/>
      <c s="5"/>
      <c s="5"/>
      <c s="5"/>
      <c s="5"/>
      <c s="5"/>
      <c s="5"/>
      <c s="5"/>
      <c s="5"/>
      <c s="5"/>
      <c s="5"/>
      <c s="5"/>
      <c s="5"/>
      <c s="5"/>
      <c s="5"/>
    </row>
    <row r="276" spans="1:26" ht="15.75">
      <c r="A276" s="5"/>
      <c s="5"/>
      <c s="5"/>
      <c s="5"/>
      <c s="5"/>
      <c s="5"/>
      <c s="5"/>
      <c s="5"/>
      <c s="5"/>
      <c s="5"/>
      <c s="5"/>
      <c s="5"/>
      <c s="5"/>
      <c s="5"/>
      <c s="5"/>
      <c s="5"/>
      <c s="5"/>
      <c s="5"/>
      <c s="5"/>
      <c s="5"/>
      <c s="5"/>
      <c s="5"/>
      <c s="5"/>
      <c s="5"/>
      <c s="5"/>
      <c s="5"/>
    </row>
    <row r="277" spans="1:26" ht="15.75">
      <c r="A277" s="5"/>
      <c s="5"/>
      <c s="5"/>
      <c s="5"/>
      <c s="5"/>
      <c s="5"/>
      <c s="5"/>
      <c s="5"/>
      <c s="5"/>
      <c s="5"/>
      <c s="5"/>
      <c s="5"/>
      <c s="5"/>
      <c s="5"/>
      <c s="5"/>
      <c s="5"/>
      <c s="5"/>
      <c s="5"/>
      <c s="5"/>
      <c s="5"/>
      <c s="5"/>
      <c s="5"/>
      <c s="5"/>
      <c s="5"/>
      <c s="5"/>
      <c s="5"/>
    </row>
    <row r="278" spans="1:26" ht="15.75">
      <c r="A278" s="5"/>
      <c s="5"/>
      <c s="5"/>
      <c s="5"/>
      <c s="5"/>
      <c s="5"/>
      <c s="5"/>
      <c s="5"/>
      <c s="5"/>
      <c s="5"/>
      <c s="5"/>
      <c s="5"/>
      <c s="5"/>
      <c s="5"/>
      <c s="5"/>
      <c s="5"/>
      <c s="5"/>
      <c s="5"/>
      <c s="5"/>
      <c s="5"/>
      <c s="5"/>
      <c s="5"/>
      <c s="5"/>
      <c s="5"/>
      <c s="5"/>
      <c s="5"/>
    </row>
    <row r="279" spans="1:26" ht="15.75">
      <c r="A279" s="5"/>
      <c s="5"/>
      <c s="5"/>
      <c s="5"/>
      <c s="5"/>
      <c s="5"/>
      <c s="5"/>
      <c s="5"/>
      <c s="5"/>
      <c s="5"/>
      <c s="5"/>
      <c s="5"/>
      <c s="5"/>
      <c s="5"/>
      <c s="5"/>
      <c s="5"/>
      <c s="5"/>
      <c s="5"/>
      <c s="5"/>
      <c s="5"/>
      <c s="5"/>
      <c s="5"/>
      <c s="5"/>
      <c s="5"/>
      <c s="5"/>
      <c s="5"/>
    </row>
    <row r="280" spans="1:26" ht="15.75">
      <c r="A280" s="5"/>
      <c s="5"/>
      <c s="5"/>
      <c s="5"/>
      <c s="5"/>
      <c s="5"/>
      <c s="5"/>
      <c s="5"/>
      <c s="5"/>
      <c s="5"/>
      <c s="5"/>
      <c s="5"/>
      <c s="5"/>
      <c s="5"/>
      <c s="5"/>
      <c s="5"/>
      <c s="5"/>
      <c s="5"/>
      <c s="5"/>
      <c s="5"/>
      <c s="5"/>
      <c s="5"/>
      <c s="5"/>
      <c s="5"/>
      <c s="5"/>
      <c s="5"/>
    </row>
    <row r="281" spans="1:26" ht="15.75">
      <c r="A281" s="5"/>
      <c s="5"/>
      <c s="5"/>
      <c s="5"/>
      <c s="5"/>
      <c s="5"/>
      <c s="5"/>
      <c s="5"/>
      <c s="5"/>
      <c s="5"/>
      <c s="5"/>
      <c s="5"/>
      <c s="5"/>
      <c s="5"/>
      <c s="5"/>
      <c s="5"/>
      <c s="5"/>
      <c s="5"/>
      <c s="5"/>
      <c s="5"/>
      <c s="5"/>
      <c s="5"/>
      <c s="5"/>
      <c s="5"/>
      <c s="5"/>
      <c s="5"/>
    </row>
    <row r="282" spans="1:26" ht="15.75">
      <c r="A282" s="5"/>
      <c s="5"/>
      <c s="5"/>
      <c s="5"/>
      <c s="5"/>
      <c s="5"/>
      <c s="5"/>
      <c s="5"/>
      <c s="5"/>
      <c s="5"/>
      <c s="5"/>
      <c s="5"/>
      <c s="5"/>
      <c s="5"/>
      <c s="5"/>
      <c s="5"/>
      <c s="5"/>
      <c s="5"/>
      <c s="5"/>
      <c s="5"/>
      <c s="5"/>
      <c s="5"/>
      <c s="5"/>
      <c s="5"/>
      <c s="5"/>
      <c s="5"/>
    </row>
    <row r="283" spans="1:26" ht="15.75">
      <c r="A283" s="5"/>
      <c s="5"/>
      <c s="5"/>
      <c s="5"/>
      <c s="5"/>
      <c s="5"/>
      <c s="5"/>
      <c s="5"/>
      <c s="5"/>
      <c s="5"/>
      <c s="5"/>
      <c s="5"/>
      <c s="5"/>
      <c s="5"/>
      <c s="5"/>
      <c s="5"/>
      <c s="5"/>
      <c s="5"/>
      <c s="5"/>
      <c s="5"/>
      <c s="5"/>
      <c s="5"/>
      <c s="5"/>
      <c s="5"/>
      <c s="5"/>
      <c s="5"/>
    </row>
    <row r="284" spans="1:26" ht="15.75">
      <c r="A284" s="5"/>
      <c s="5"/>
      <c s="5"/>
      <c s="5"/>
      <c s="5"/>
      <c s="5"/>
      <c s="5"/>
      <c s="5"/>
      <c s="5"/>
      <c s="5"/>
      <c s="5"/>
      <c s="5"/>
      <c s="5"/>
      <c s="5"/>
      <c s="5"/>
      <c s="5"/>
      <c s="5"/>
      <c s="5"/>
      <c s="5"/>
      <c s="5"/>
      <c s="5"/>
      <c s="5"/>
      <c s="5"/>
      <c s="5"/>
      <c s="5"/>
      <c s="5"/>
    </row>
    <row r="285" spans="1:26" ht="15.75">
      <c r="A285" s="5"/>
      <c s="5"/>
      <c s="5"/>
      <c s="5"/>
      <c s="5"/>
      <c s="5"/>
      <c s="5"/>
      <c s="5"/>
      <c s="5"/>
      <c s="5"/>
      <c s="5"/>
      <c s="5"/>
      <c s="5"/>
      <c s="5"/>
      <c s="5"/>
      <c s="5"/>
      <c s="5"/>
      <c s="5"/>
      <c s="5"/>
      <c s="5"/>
      <c s="5"/>
      <c s="5"/>
      <c s="5"/>
      <c s="5"/>
      <c s="5"/>
      <c s="5"/>
    </row>
    <row r="286" spans="1:26" ht="15.75">
      <c r="A286" s="5"/>
      <c s="5"/>
      <c s="5"/>
      <c s="5"/>
      <c s="5"/>
      <c s="5"/>
      <c s="5"/>
      <c s="5"/>
      <c s="5"/>
      <c s="5"/>
      <c s="5"/>
      <c s="5"/>
      <c s="5"/>
      <c s="5"/>
      <c s="5"/>
      <c s="5"/>
      <c s="5"/>
      <c s="5"/>
      <c s="5"/>
      <c s="5"/>
      <c s="5"/>
      <c s="5"/>
      <c s="5"/>
      <c s="5"/>
      <c s="5"/>
      <c s="5"/>
    </row>
    <row r="287" spans="1:26" ht="15.75">
      <c r="A287" s="5"/>
      <c s="5"/>
      <c s="5"/>
      <c s="5"/>
      <c s="5"/>
      <c s="5"/>
      <c s="5"/>
      <c s="5"/>
      <c s="5"/>
      <c s="5"/>
      <c s="5"/>
      <c s="5"/>
      <c s="5"/>
      <c s="5"/>
      <c s="5"/>
      <c s="5"/>
      <c s="5"/>
      <c s="5"/>
      <c s="5"/>
      <c s="5"/>
      <c s="5"/>
      <c s="5"/>
      <c s="5"/>
      <c s="5"/>
      <c s="5"/>
      <c s="5"/>
    </row>
    <row r="288" spans="1:26" ht="15.75">
      <c r="A288" s="5"/>
      <c s="5"/>
      <c s="5"/>
      <c s="5"/>
      <c s="5"/>
      <c s="5"/>
      <c s="5"/>
      <c s="5"/>
      <c s="5"/>
      <c s="5"/>
      <c s="5"/>
      <c s="5"/>
      <c s="5"/>
      <c s="5"/>
      <c s="5"/>
      <c s="5"/>
      <c s="5"/>
      <c s="5"/>
      <c s="5"/>
      <c s="5"/>
      <c s="5"/>
      <c s="5"/>
      <c s="5"/>
      <c s="5"/>
      <c s="5"/>
      <c s="5"/>
    </row>
    <row r="289" spans="1:26" ht="15.75">
      <c r="A289" s="5"/>
      <c s="5"/>
      <c s="5"/>
      <c s="5"/>
      <c s="5"/>
      <c s="5"/>
      <c s="5"/>
      <c s="5"/>
      <c s="5"/>
      <c s="5"/>
      <c s="5"/>
      <c s="5"/>
      <c s="5"/>
      <c s="5"/>
      <c s="5"/>
      <c s="5"/>
      <c s="5"/>
      <c s="5"/>
      <c s="5"/>
      <c s="5"/>
      <c s="5"/>
      <c s="5"/>
      <c s="5"/>
      <c s="5"/>
      <c s="5"/>
      <c s="5"/>
    </row>
    <row r="290" spans="1:26" ht="15.75">
      <c r="A290" s="5"/>
      <c s="5"/>
      <c s="5"/>
      <c s="5"/>
      <c s="5"/>
      <c s="5"/>
      <c s="5"/>
      <c s="5"/>
      <c s="5"/>
      <c s="5"/>
      <c s="5"/>
      <c s="5"/>
      <c s="5"/>
      <c s="5"/>
      <c s="5"/>
      <c s="5"/>
      <c s="5"/>
      <c s="5"/>
      <c s="5"/>
      <c s="5"/>
      <c s="5"/>
      <c s="5"/>
      <c s="5"/>
      <c s="5"/>
      <c s="5"/>
      <c s="5"/>
    </row>
    <row r="291" spans="1:26" ht="15.75">
      <c r="A291" s="5"/>
      <c s="5"/>
      <c s="5"/>
      <c s="5"/>
      <c s="5"/>
      <c s="5"/>
      <c s="5"/>
      <c s="5"/>
      <c s="5"/>
      <c s="5"/>
      <c s="5"/>
      <c s="5"/>
      <c s="5"/>
      <c s="5"/>
      <c s="5"/>
      <c s="5"/>
      <c s="5"/>
      <c s="5"/>
      <c s="5"/>
      <c s="5"/>
      <c s="5"/>
      <c s="5"/>
      <c s="5"/>
      <c s="5"/>
      <c s="5"/>
      <c s="5"/>
    </row>
    <row r="292" spans="1:26" ht="15.75">
      <c r="A292" s="5"/>
      <c s="5"/>
      <c s="5"/>
      <c s="5"/>
      <c s="5"/>
      <c s="5"/>
      <c s="5"/>
      <c s="5"/>
      <c s="5"/>
      <c s="5"/>
      <c s="5"/>
      <c s="5"/>
      <c s="5"/>
      <c s="5"/>
      <c s="5"/>
      <c s="5"/>
      <c s="5"/>
      <c s="5"/>
      <c s="5"/>
      <c s="5"/>
      <c s="5"/>
      <c s="5"/>
      <c s="5"/>
      <c s="5"/>
      <c s="5"/>
      <c s="5"/>
    </row>
    <row r="293" spans="1:26" ht="15.75">
      <c r="A293" s="5"/>
      <c s="5"/>
      <c s="5"/>
      <c s="5"/>
      <c s="5"/>
      <c s="5"/>
      <c s="5"/>
      <c s="5"/>
      <c s="5"/>
      <c s="5"/>
      <c s="5"/>
      <c s="5"/>
      <c s="5"/>
      <c s="5"/>
      <c s="5"/>
      <c s="5"/>
      <c s="5"/>
      <c s="5"/>
      <c s="5"/>
      <c s="5"/>
      <c s="5"/>
      <c s="5"/>
      <c s="5"/>
      <c s="5"/>
      <c s="5"/>
      <c s="5"/>
    </row>
    <row r="294" spans="1:26" ht="15.75">
      <c r="A294" s="5"/>
      <c s="5"/>
      <c s="5"/>
      <c s="5"/>
      <c s="5"/>
      <c s="5"/>
      <c s="5"/>
      <c s="5"/>
      <c s="5"/>
      <c s="5"/>
      <c s="5"/>
      <c s="5"/>
      <c s="5"/>
      <c s="5"/>
      <c s="5"/>
      <c s="5"/>
      <c s="5"/>
      <c s="5"/>
      <c s="5"/>
      <c s="5"/>
      <c s="5"/>
      <c s="5"/>
      <c s="5"/>
      <c s="5"/>
      <c s="5"/>
      <c s="5"/>
    </row>
    <row r="295" spans="1:26" ht="15.75">
      <c r="A295" s="5"/>
      <c s="5"/>
      <c s="5"/>
      <c s="5"/>
      <c s="5"/>
      <c s="5"/>
      <c s="5"/>
      <c s="5"/>
      <c s="5"/>
      <c s="5"/>
      <c s="5"/>
      <c s="5"/>
      <c s="5"/>
      <c s="5"/>
      <c s="5"/>
      <c s="5"/>
      <c s="5"/>
      <c s="5"/>
      <c s="5"/>
      <c s="5"/>
      <c s="5"/>
      <c s="5"/>
      <c s="5"/>
      <c s="5"/>
      <c s="5"/>
      <c s="5"/>
    </row>
    <row r="296" spans="1:26" ht="15.75">
      <c r="A296" s="5"/>
      <c s="5"/>
      <c s="5"/>
      <c s="5"/>
      <c s="5"/>
      <c s="5"/>
      <c s="5"/>
      <c s="5"/>
      <c s="5"/>
      <c s="5"/>
      <c s="5"/>
      <c s="5"/>
      <c s="5"/>
      <c s="5"/>
      <c s="5"/>
      <c s="5"/>
      <c s="5"/>
      <c s="5"/>
      <c s="5"/>
      <c s="5"/>
      <c s="5"/>
      <c s="5"/>
      <c s="5"/>
      <c s="5"/>
      <c s="5"/>
      <c s="5"/>
    </row>
    <row r="297" spans="1:26" ht="15.75">
      <c r="A297" s="5"/>
      <c s="5"/>
      <c s="5"/>
      <c s="5"/>
      <c s="5"/>
      <c s="5"/>
      <c s="5"/>
      <c s="5"/>
      <c s="5"/>
      <c s="5"/>
      <c s="5"/>
      <c s="5"/>
      <c s="5"/>
      <c s="5"/>
      <c s="5"/>
      <c s="5"/>
      <c s="5"/>
      <c s="5"/>
      <c s="5"/>
      <c s="5"/>
      <c s="5"/>
      <c s="5"/>
      <c s="5"/>
      <c s="5"/>
      <c s="5"/>
      <c s="5"/>
    </row>
    <row r="298" spans="1:26" ht="15.75">
      <c r="A298" s="5"/>
      <c s="5"/>
      <c s="5"/>
      <c s="5"/>
      <c s="5"/>
      <c s="5"/>
      <c s="5"/>
      <c s="5"/>
      <c s="5"/>
      <c s="5"/>
      <c s="5"/>
      <c s="5"/>
      <c s="5"/>
      <c s="5"/>
      <c s="5"/>
      <c s="5"/>
      <c s="5"/>
      <c s="5"/>
      <c s="5"/>
      <c s="5"/>
      <c s="5"/>
      <c s="5"/>
      <c s="5"/>
      <c s="5"/>
      <c s="5"/>
      <c s="5"/>
    </row>
    <row r="299" spans="1:26" ht="15.75">
      <c r="A299" s="5"/>
      <c s="5"/>
      <c s="5"/>
      <c s="5"/>
      <c s="5"/>
      <c s="5"/>
      <c s="5"/>
      <c s="5"/>
      <c s="5"/>
      <c s="5"/>
      <c s="5"/>
      <c s="5"/>
      <c s="5"/>
      <c s="5"/>
      <c s="5"/>
      <c s="5"/>
      <c s="5"/>
      <c s="5"/>
      <c s="5"/>
      <c s="5"/>
      <c s="5"/>
      <c s="5"/>
      <c s="5"/>
      <c s="5"/>
      <c s="5"/>
      <c s="5"/>
    </row>
    <row r="300" spans="1:26" ht="15.75">
      <c r="A300" s="5"/>
      <c s="5"/>
      <c s="5"/>
      <c s="5"/>
      <c s="5"/>
      <c s="5"/>
      <c s="5"/>
      <c s="5"/>
      <c s="5"/>
      <c s="5"/>
      <c s="5"/>
      <c s="5"/>
      <c s="5"/>
      <c s="5"/>
      <c s="5"/>
      <c s="5"/>
      <c s="5"/>
      <c s="5"/>
      <c s="5"/>
      <c s="5"/>
      <c s="5"/>
      <c s="5"/>
      <c s="5"/>
      <c s="5"/>
      <c s="5"/>
      <c s="5"/>
    </row>
    <row r="301" spans="1:26" ht="15.75">
      <c r="A301" s="5"/>
      <c s="5"/>
      <c s="5"/>
      <c s="5"/>
      <c s="5"/>
      <c s="5"/>
      <c s="5"/>
      <c s="5"/>
      <c s="5"/>
      <c s="5"/>
      <c s="5"/>
      <c s="5"/>
      <c s="5"/>
      <c s="5"/>
      <c s="5"/>
      <c s="5"/>
      <c s="5"/>
      <c s="5"/>
      <c s="5"/>
      <c s="5"/>
      <c s="5"/>
      <c s="5"/>
      <c s="5"/>
      <c s="5"/>
      <c s="5"/>
      <c s="5"/>
    </row>
    <row r="302" spans="1:26" ht="15.75">
      <c r="A302" s="5"/>
      <c s="5"/>
      <c s="5"/>
      <c s="5"/>
      <c s="5"/>
      <c s="5"/>
      <c s="5"/>
      <c s="5"/>
      <c s="5"/>
      <c s="5"/>
      <c s="5"/>
      <c s="5"/>
      <c s="5"/>
      <c s="5"/>
      <c s="5"/>
      <c s="5"/>
      <c s="5"/>
      <c s="5"/>
      <c s="5"/>
      <c s="5"/>
      <c s="5"/>
      <c s="5"/>
      <c s="5"/>
      <c s="5"/>
      <c s="5"/>
      <c s="5"/>
    </row>
    <row r="303" spans="1:26" ht="15.75">
      <c r="A303" s="5"/>
      <c s="5"/>
      <c s="5"/>
      <c s="5"/>
      <c s="5"/>
      <c s="5"/>
      <c s="5"/>
      <c s="5"/>
      <c s="5"/>
      <c s="5"/>
      <c s="5"/>
      <c s="5"/>
      <c s="5"/>
      <c s="5"/>
      <c s="5"/>
      <c s="5"/>
      <c s="5"/>
      <c s="5"/>
      <c s="5"/>
      <c s="5"/>
      <c s="5"/>
      <c s="5"/>
      <c s="5"/>
      <c s="5"/>
      <c s="5"/>
      <c s="5"/>
    </row>
    <row r="304" spans="1:26" ht="15.75">
      <c r="A304" s="5"/>
      <c s="5"/>
      <c s="5"/>
      <c s="5"/>
      <c s="5"/>
      <c s="5"/>
      <c s="5"/>
      <c s="5"/>
      <c s="5"/>
      <c s="5"/>
      <c s="5"/>
      <c s="5"/>
      <c s="5"/>
      <c s="5"/>
      <c s="5"/>
      <c s="5"/>
      <c s="5"/>
      <c s="5"/>
      <c s="5"/>
      <c s="5"/>
      <c s="5"/>
      <c s="5"/>
      <c s="5"/>
      <c s="5"/>
      <c s="5"/>
      <c s="5"/>
    </row>
    <row r="305" spans="1:26" ht="15.75">
      <c r="A305" s="5"/>
      <c s="5"/>
      <c s="5"/>
      <c s="5"/>
      <c s="5"/>
      <c s="5"/>
      <c s="5"/>
      <c s="5"/>
      <c s="5"/>
      <c s="5"/>
      <c s="5"/>
      <c s="5"/>
      <c s="5"/>
      <c s="5"/>
      <c s="5"/>
      <c s="5"/>
      <c s="5"/>
      <c s="5"/>
      <c s="5"/>
      <c s="5"/>
      <c s="5"/>
      <c s="5"/>
      <c s="5"/>
      <c s="5"/>
      <c s="5"/>
      <c s="5"/>
    </row>
    <row r="306" spans="1:26" ht="15.75">
      <c r="A306" s="5"/>
      <c s="5"/>
      <c s="5"/>
      <c s="5"/>
      <c s="5"/>
      <c s="5"/>
      <c s="5"/>
      <c s="5"/>
      <c s="5"/>
      <c s="5"/>
      <c s="5"/>
      <c s="5"/>
      <c s="5"/>
      <c s="5"/>
      <c s="5"/>
      <c s="5"/>
      <c s="5"/>
      <c s="5"/>
      <c s="5"/>
      <c s="5"/>
      <c s="5"/>
      <c s="5"/>
      <c s="5"/>
      <c s="5"/>
      <c s="5"/>
      <c s="5"/>
    </row>
    <row r="307" spans="1:26" ht="15.75">
      <c r="A307" s="5"/>
      <c s="5"/>
      <c s="5"/>
      <c s="5"/>
      <c s="5"/>
      <c s="5"/>
      <c s="5"/>
      <c s="5"/>
      <c s="5"/>
      <c s="5"/>
      <c s="5"/>
      <c s="5"/>
      <c s="5"/>
      <c s="5"/>
      <c s="5"/>
      <c s="5"/>
      <c s="5"/>
      <c s="5"/>
      <c s="5"/>
      <c s="5"/>
      <c s="5"/>
      <c s="5"/>
      <c s="5"/>
      <c s="5"/>
      <c s="5"/>
      <c s="5"/>
    </row>
    <row r="308" spans="1:26" ht="15.75">
      <c r="A308" s="5"/>
      <c s="5"/>
      <c s="5"/>
      <c s="5"/>
      <c s="5"/>
      <c s="5"/>
      <c s="5"/>
      <c s="5"/>
      <c s="5"/>
      <c s="5"/>
      <c s="5"/>
      <c s="5"/>
      <c s="5"/>
      <c s="5"/>
      <c s="5"/>
      <c s="5"/>
      <c s="5"/>
      <c s="5"/>
      <c s="5"/>
      <c s="5"/>
      <c s="5"/>
      <c s="5"/>
      <c s="5"/>
      <c s="5"/>
      <c s="5"/>
      <c s="5"/>
    </row>
    <row r="309" spans="1:26" ht="15.75">
      <c r="A309" s="5"/>
      <c s="5"/>
      <c s="5"/>
      <c s="5"/>
      <c s="5"/>
      <c s="5"/>
      <c s="5"/>
      <c s="5"/>
      <c s="5"/>
      <c s="5"/>
      <c s="5"/>
      <c s="5"/>
      <c s="5"/>
      <c s="5"/>
      <c s="5"/>
      <c s="5"/>
      <c s="5"/>
      <c s="5"/>
      <c s="5"/>
      <c s="5"/>
      <c s="5"/>
      <c s="5"/>
      <c s="5"/>
      <c s="5"/>
      <c s="5"/>
      <c s="5"/>
    </row>
    <row r="310" spans="1:26" ht="15.75">
      <c r="A310" s="5"/>
      <c s="5"/>
      <c s="5"/>
      <c s="5"/>
      <c s="5"/>
      <c s="5"/>
      <c s="5"/>
      <c s="5"/>
      <c s="5"/>
      <c s="5"/>
      <c s="5"/>
      <c s="5"/>
      <c s="5"/>
      <c s="5"/>
      <c s="5"/>
      <c s="5"/>
      <c s="5"/>
      <c s="5"/>
      <c s="5"/>
      <c s="5"/>
      <c s="5"/>
      <c s="5"/>
      <c s="5"/>
      <c s="5"/>
      <c s="5"/>
      <c s="5"/>
    </row>
    <row r="311" spans="1:26" ht="15.75">
      <c r="A311" s="5"/>
      <c s="5"/>
      <c s="5"/>
      <c s="5"/>
      <c s="5"/>
      <c s="5"/>
      <c s="5"/>
      <c s="5"/>
      <c s="5"/>
      <c s="5"/>
      <c s="5"/>
      <c s="5"/>
      <c s="5"/>
      <c s="5"/>
      <c s="5"/>
      <c s="5"/>
      <c s="5"/>
      <c s="5"/>
      <c s="5"/>
      <c s="5"/>
      <c s="5"/>
      <c s="5"/>
      <c s="5"/>
      <c s="5"/>
      <c s="5"/>
      <c s="5"/>
    </row>
    <row r="312" spans="1:26" ht="15.75">
      <c r="A312" s="5"/>
      <c s="5"/>
      <c s="5"/>
      <c s="5"/>
      <c s="5"/>
      <c s="5"/>
      <c s="5"/>
      <c s="5"/>
      <c s="5"/>
      <c s="5"/>
      <c s="5"/>
      <c s="5"/>
      <c s="5"/>
      <c s="5"/>
      <c s="5"/>
      <c s="5"/>
      <c s="5"/>
      <c s="5"/>
      <c s="5"/>
      <c s="5"/>
      <c s="5"/>
      <c s="5"/>
      <c s="5"/>
      <c s="5"/>
      <c s="5"/>
      <c s="5"/>
    </row>
    <row r="313" spans="1:26" ht="15.75">
      <c r="A313" s="5"/>
      <c s="5"/>
      <c s="5"/>
      <c s="5"/>
      <c s="5"/>
      <c s="5"/>
      <c s="5"/>
      <c s="5"/>
      <c s="5"/>
      <c s="5"/>
      <c s="5"/>
      <c s="5"/>
      <c s="5"/>
      <c s="5"/>
      <c s="5"/>
      <c s="5"/>
      <c s="5"/>
      <c s="5"/>
      <c s="5"/>
      <c s="5"/>
      <c s="5"/>
      <c s="5"/>
      <c s="5"/>
      <c s="5"/>
      <c s="5"/>
      <c s="5"/>
    </row>
    <row r="314" spans="1:26" ht="15.75">
      <c r="A314" s="5"/>
      <c s="5"/>
      <c s="5"/>
      <c s="5"/>
      <c s="5"/>
      <c s="5"/>
      <c s="5"/>
      <c s="5"/>
      <c s="5"/>
      <c s="5"/>
      <c s="5"/>
      <c s="5"/>
      <c s="5"/>
      <c s="5"/>
      <c s="5"/>
      <c s="5"/>
      <c s="5"/>
      <c s="5"/>
      <c s="5"/>
      <c s="5"/>
      <c s="5"/>
      <c s="5"/>
      <c s="5"/>
      <c s="5"/>
      <c s="5"/>
      <c s="5"/>
    </row>
    <row r="315" spans="1:26" ht="15.75">
      <c r="A315" s="5"/>
      <c s="5"/>
      <c s="5"/>
      <c s="5"/>
      <c s="5"/>
      <c s="5"/>
      <c s="5"/>
      <c s="5"/>
      <c s="5"/>
      <c s="5"/>
      <c s="5"/>
      <c s="5"/>
      <c s="5"/>
      <c s="5"/>
      <c s="5"/>
      <c s="5"/>
      <c s="5"/>
      <c s="5"/>
      <c s="5"/>
      <c s="5"/>
      <c s="5"/>
      <c s="5"/>
      <c s="5"/>
      <c s="5"/>
      <c s="5"/>
      <c s="5"/>
    </row>
    <row r="316" spans="1:26" ht="15.75">
      <c r="A316" s="5"/>
      <c s="5"/>
      <c s="5"/>
      <c s="5"/>
      <c s="5"/>
      <c s="5"/>
      <c s="5"/>
      <c s="5"/>
      <c s="5"/>
      <c s="5"/>
      <c s="5"/>
      <c s="5"/>
      <c s="5"/>
      <c s="5"/>
      <c s="5"/>
      <c s="5"/>
      <c s="5"/>
      <c s="5"/>
      <c s="5"/>
      <c s="5"/>
      <c s="5"/>
      <c s="5"/>
      <c s="5"/>
      <c s="5"/>
      <c s="5"/>
      <c s="5"/>
    </row>
    <row r="317" spans="1:26" ht="15.75">
      <c r="A317" s="5"/>
      <c s="5"/>
      <c s="5"/>
      <c s="5"/>
      <c s="5"/>
      <c s="5"/>
      <c s="5"/>
      <c s="5"/>
      <c s="5"/>
      <c s="5"/>
      <c s="5"/>
      <c s="5"/>
      <c s="5"/>
      <c s="5"/>
      <c s="5"/>
      <c s="5"/>
      <c s="5"/>
      <c s="5"/>
      <c s="5"/>
      <c s="5"/>
      <c s="5"/>
      <c s="5"/>
      <c s="5"/>
      <c s="5"/>
      <c s="5"/>
      <c s="5"/>
    </row>
    <row r="318" spans="1:26" ht="15.75">
      <c r="A318" s="5"/>
      <c s="5"/>
      <c s="5"/>
      <c s="5"/>
      <c s="5"/>
      <c s="5"/>
      <c s="5"/>
      <c s="5"/>
      <c s="5"/>
      <c s="5"/>
      <c s="5"/>
      <c s="5"/>
      <c s="5"/>
      <c s="5"/>
      <c s="5"/>
      <c s="5"/>
      <c s="5"/>
      <c s="5"/>
      <c s="5"/>
      <c s="5"/>
      <c s="5"/>
      <c s="5"/>
      <c s="5"/>
      <c s="5"/>
      <c s="5"/>
      <c s="5"/>
    </row>
    <row r="319" spans="1:26" ht="15.75">
      <c r="A319" s="5"/>
      <c s="5"/>
      <c s="5"/>
      <c s="5"/>
      <c s="5"/>
      <c s="5"/>
      <c s="5"/>
      <c s="5"/>
      <c s="5"/>
      <c s="5"/>
      <c s="5"/>
      <c s="5"/>
      <c s="5"/>
      <c s="5"/>
      <c s="5"/>
      <c s="5"/>
      <c s="5"/>
      <c s="5"/>
      <c s="5"/>
      <c s="5"/>
      <c s="5"/>
      <c s="5"/>
      <c s="5"/>
      <c s="5"/>
      <c s="5"/>
      <c s="5"/>
    </row>
    <row r="320" spans="1:26" ht="15.75">
      <c r="A320" s="5"/>
      <c s="5"/>
      <c s="5"/>
      <c s="5"/>
      <c s="5"/>
      <c s="5"/>
      <c s="5"/>
      <c s="5"/>
      <c s="5"/>
      <c s="5"/>
      <c s="5"/>
      <c s="5"/>
      <c s="5"/>
      <c s="5"/>
      <c s="5"/>
      <c s="5"/>
      <c s="5"/>
      <c s="5"/>
      <c s="5"/>
      <c s="5"/>
      <c s="5"/>
      <c s="5"/>
      <c s="5"/>
      <c s="5"/>
      <c s="5"/>
      <c s="5"/>
    </row>
    <row r="321" spans="1:26" ht="15.75">
      <c r="A321" s="5"/>
      <c s="5"/>
      <c s="5"/>
      <c s="5"/>
      <c s="5"/>
      <c s="5"/>
      <c s="5"/>
      <c s="5"/>
      <c s="5"/>
      <c s="5"/>
      <c s="5"/>
      <c s="5"/>
      <c s="5"/>
      <c s="5"/>
      <c s="5"/>
      <c s="5"/>
      <c s="5"/>
      <c s="5"/>
      <c s="5"/>
      <c s="5"/>
      <c s="5"/>
      <c s="5"/>
      <c s="5"/>
      <c s="5"/>
      <c s="5"/>
      <c s="5"/>
    </row>
    <row r="322" spans="1:26" ht="15.75">
      <c r="A322" s="5"/>
      <c s="5"/>
      <c s="5"/>
      <c s="5"/>
      <c s="5"/>
      <c s="5"/>
      <c s="5"/>
      <c s="5"/>
      <c s="5"/>
      <c s="5"/>
      <c s="5"/>
      <c s="5"/>
      <c s="5"/>
      <c s="5"/>
      <c s="5"/>
      <c s="5"/>
      <c s="5"/>
      <c s="5"/>
      <c s="5"/>
      <c s="5"/>
      <c s="5"/>
      <c s="5"/>
      <c s="5"/>
      <c s="5"/>
      <c s="5"/>
      <c s="5"/>
    </row>
    <row r="323" spans="1:26" ht="15.75">
      <c r="A323" s="5"/>
      <c s="5"/>
      <c s="5"/>
      <c s="5"/>
      <c s="5"/>
      <c s="5"/>
      <c s="5"/>
      <c s="5"/>
      <c s="5"/>
      <c s="5"/>
      <c s="5"/>
      <c s="5"/>
      <c s="5"/>
      <c s="5"/>
      <c s="5"/>
      <c s="5"/>
      <c s="5"/>
      <c s="5"/>
      <c s="5"/>
      <c s="5"/>
      <c s="5"/>
      <c s="5"/>
      <c s="5"/>
      <c s="5"/>
      <c s="5"/>
      <c s="5"/>
    </row>
    <row r="324" spans="1:26" ht="15.75">
      <c r="A324" s="5"/>
      <c s="5"/>
      <c s="5"/>
      <c s="5"/>
      <c s="5"/>
      <c s="5"/>
      <c s="5"/>
      <c s="5"/>
      <c s="5"/>
      <c s="5"/>
      <c s="5"/>
      <c s="5"/>
      <c s="5"/>
      <c s="5"/>
      <c s="5"/>
      <c s="5"/>
      <c s="5"/>
      <c s="5"/>
      <c s="5"/>
      <c s="5"/>
      <c s="5"/>
      <c s="5"/>
      <c s="5"/>
      <c s="5"/>
      <c s="5"/>
      <c s="5"/>
    </row>
    <row r="325" spans="1:26" ht="15.75">
      <c r="A325" s="5"/>
      <c s="5"/>
      <c s="5"/>
      <c s="5"/>
      <c s="5"/>
      <c s="5"/>
      <c s="5"/>
      <c s="5"/>
      <c s="5"/>
      <c s="5"/>
      <c s="5"/>
      <c s="5"/>
      <c s="5"/>
      <c s="5"/>
      <c s="5"/>
      <c s="5"/>
      <c s="5"/>
      <c s="5"/>
      <c s="5"/>
      <c s="5"/>
      <c s="5"/>
      <c s="5"/>
      <c s="5"/>
      <c s="5"/>
      <c s="5"/>
      <c s="5"/>
    </row>
    <row r="326" spans="1:26" ht="15.75">
      <c r="A326" s="5"/>
      <c s="5"/>
      <c s="5"/>
      <c s="5"/>
      <c s="5"/>
      <c s="5"/>
      <c s="5"/>
      <c s="5"/>
      <c s="5"/>
      <c s="5"/>
      <c s="5"/>
      <c s="5"/>
      <c s="5"/>
      <c s="5"/>
      <c s="5"/>
      <c s="5"/>
      <c s="5"/>
      <c s="5"/>
      <c s="5"/>
      <c s="5"/>
      <c s="5"/>
      <c s="5"/>
      <c s="5"/>
      <c s="5"/>
      <c s="5"/>
      <c s="5"/>
    </row>
    <row r="327" spans="1:26" ht="15.75">
      <c r="A327" s="5"/>
      <c s="5"/>
      <c s="5"/>
      <c s="5"/>
      <c s="5"/>
      <c s="5"/>
      <c s="5"/>
      <c s="5"/>
      <c s="5"/>
      <c s="5"/>
      <c s="5"/>
      <c s="5"/>
      <c s="5"/>
      <c s="5"/>
      <c s="5"/>
      <c s="5"/>
      <c s="5"/>
      <c s="5"/>
      <c s="5"/>
      <c s="5"/>
      <c s="5"/>
      <c s="5"/>
      <c s="5"/>
      <c s="5"/>
      <c s="5"/>
      <c s="5"/>
    </row>
    <row r="328" spans="1:26" ht="15.75">
      <c r="A328" s="5"/>
      <c s="5"/>
      <c s="5"/>
      <c s="5"/>
      <c s="5"/>
      <c s="5"/>
      <c s="5"/>
      <c s="5"/>
      <c s="5"/>
      <c s="5"/>
      <c s="5"/>
      <c s="5"/>
      <c s="5"/>
      <c s="5"/>
      <c s="5"/>
      <c s="5"/>
      <c s="5"/>
      <c s="5"/>
      <c s="5"/>
      <c s="5"/>
      <c s="5"/>
      <c s="5"/>
      <c s="5"/>
      <c s="5"/>
      <c s="5"/>
      <c s="5"/>
    </row>
    <row r="329" spans="1:26" ht="15.75">
      <c r="A329" s="5"/>
      <c s="5"/>
      <c s="5"/>
      <c s="5"/>
      <c s="5"/>
      <c s="5"/>
      <c s="5"/>
      <c s="5"/>
      <c s="5"/>
      <c s="5"/>
      <c s="5"/>
      <c s="5"/>
      <c s="5"/>
      <c s="5"/>
      <c s="5"/>
      <c s="5"/>
      <c s="5"/>
      <c s="5"/>
      <c s="5"/>
      <c s="5"/>
      <c s="5"/>
      <c s="5"/>
      <c s="5"/>
      <c s="5"/>
      <c s="5"/>
      <c s="5"/>
    </row>
    <row r="330" spans="1:26" ht="15.75">
      <c r="A330" s="5"/>
      <c s="5"/>
      <c s="5"/>
      <c s="5"/>
      <c s="5"/>
      <c s="5"/>
      <c s="5"/>
      <c s="5"/>
      <c s="5"/>
      <c s="5"/>
      <c s="5"/>
      <c s="5"/>
      <c s="5"/>
      <c s="5"/>
      <c s="5"/>
      <c s="5"/>
      <c s="5"/>
      <c s="5"/>
      <c s="5"/>
      <c s="5"/>
      <c s="5"/>
      <c s="5"/>
      <c s="5"/>
      <c s="5"/>
      <c s="5"/>
      <c s="5"/>
    </row>
    <row r="331" spans="1:26" ht="15.75">
      <c r="A331" s="5"/>
      <c s="5"/>
      <c s="5"/>
      <c s="5"/>
      <c s="5"/>
      <c s="5"/>
      <c s="5"/>
      <c s="5"/>
      <c s="5"/>
      <c s="5"/>
      <c s="5"/>
      <c s="5"/>
      <c s="5"/>
      <c s="5"/>
      <c s="5"/>
      <c s="5"/>
      <c s="5"/>
      <c s="5"/>
      <c s="5"/>
      <c s="5"/>
      <c s="5"/>
      <c s="5"/>
      <c s="5"/>
      <c s="5"/>
      <c s="5"/>
      <c s="5"/>
    </row>
    <row r="332" spans="1:26" ht="15.75">
      <c r="A332" s="5"/>
      <c s="5"/>
      <c s="5"/>
      <c s="5"/>
      <c s="5"/>
      <c s="5"/>
      <c s="5"/>
      <c s="5"/>
      <c s="5"/>
      <c s="5"/>
      <c s="5"/>
      <c s="5"/>
      <c s="5"/>
      <c s="5"/>
      <c s="5"/>
      <c s="5"/>
      <c s="5"/>
      <c s="5"/>
      <c s="5"/>
      <c s="5"/>
      <c s="5"/>
      <c s="5"/>
      <c s="5"/>
      <c s="5"/>
      <c s="5"/>
      <c s="5"/>
    </row>
    <row r="333" spans="1:26" ht="15.75">
      <c r="A333" s="5"/>
      <c s="5"/>
      <c s="5"/>
      <c s="5"/>
      <c s="5"/>
      <c s="5"/>
      <c s="5"/>
      <c s="5"/>
      <c s="5"/>
      <c s="5"/>
      <c s="5"/>
      <c s="5"/>
      <c s="5"/>
      <c s="5"/>
      <c s="5"/>
      <c s="5"/>
      <c s="5"/>
      <c s="5"/>
      <c s="5"/>
      <c s="5"/>
      <c s="5"/>
      <c s="5"/>
      <c s="5"/>
      <c s="5"/>
      <c s="5"/>
      <c s="5"/>
    </row>
    <row r="334" spans="1:26" ht="15.75">
      <c r="A334" s="5"/>
      <c s="5"/>
      <c s="5"/>
      <c s="5"/>
      <c s="5"/>
      <c s="5"/>
      <c s="5"/>
      <c s="5"/>
      <c s="5"/>
      <c s="5"/>
      <c s="5"/>
      <c s="5"/>
      <c s="5"/>
      <c s="5"/>
      <c s="5"/>
      <c s="5"/>
      <c s="5"/>
      <c s="5"/>
      <c s="5"/>
      <c s="5"/>
      <c s="5"/>
      <c s="5"/>
      <c s="5"/>
      <c s="5"/>
      <c s="5"/>
      <c s="5"/>
    </row>
    <row r="335" spans="1:26" ht="15.75">
      <c r="A335" s="5"/>
      <c s="5"/>
      <c s="5"/>
      <c s="5"/>
      <c s="5"/>
      <c s="5"/>
      <c s="5"/>
      <c s="5"/>
      <c s="5"/>
      <c s="5"/>
      <c s="5"/>
      <c s="5"/>
      <c s="5"/>
      <c s="5"/>
      <c s="5"/>
      <c s="5"/>
      <c s="5"/>
      <c s="5"/>
      <c s="5"/>
      <c s="5"/>
      <c s="5"/>
      <c s="5"/>
      <c s="5"/>
      <c s="5"/>
      <c s="5"/>
      <c s="5"/>
    </row>
    <row r="336" spans="1:26" ht="15.75">
      <c r="A336" s="5"/>
      <c s="5"/>
      <c s="5"/>
      <c s="5"/>
      <c s="5"/>
      <c s="5"/>
      <c s="5"/>
      <c s="5"/>
      <c s="5"/>
      <c s="5"/>
      <c s="5"/>
      <c s="5"/>
      <c s="5"/>
      <c s="5"/>
      <c s="5"/>
      <c s="5"/>
      <c s="5"/>
      <c s="5"/>
      <c s="5"/>
      <c s="5"/>
      <c s="5"/>
      <c s="5"/>
      <c s="5"/>
      <c s="5"/>
      <c s="5"/>
      <c s="5"/>
    </row>
    <row r="337" spans="1:26" ht="15.75">
      <c r="A337" s="5"/>
      <c s="5"/>
      <c s="5"/>
      <c s="5"/>
      <c s="5"/>
      <c s="5"/>
      <c s="5"/>
      <c s="5"/>
      <c s="5"/>
      <c s="5"/>
      <c s="5"/>
      <c s="5"/>
      <c s="5"/>
      <c s="5"/>
      <c s="5"/>
      <c s="5"/>
      <c s="5"/>
      <c s="5"/>
      <c s="5"/>
      <c s="5"/>
      <c s="5"/>
      <c s="5"/>
      <c s="5"/>
      <c s="5"/>
      <c s="5"/>
      <c s="5"/>
    </row>
    <row r="338" spans="1:26" ht="15.75">
      <c r="A338" s="5"/>
      <c s="5"/>
      <c s="5"/>
      <c s="5"/>
      <c s="5"/>
      <c s="5"/>
      <c s="5"/>
      <c s="5"/>
      <c s="5"/>
      <c s="5"/>
      <c s="5"/>
      <c s="5"/>
      <c s="5"/>
      <c s="5"/>
      <c s="5"/>
      <c s="5"/>
      <c s="5"/>
      <c s="5"/>
      <c s="5"/>
      <c s="5"/>
      <c s="5"/>
      <c s="5"/>
      <c s="5"/>
      <c s="5"/>
      <c s="5"/>
      <c s="5"/>
    </row>
    <row r="339" spans="1:26" ht="15.75">
      <c r="A339" s="5"/>
      <c s="5"/>
      <c s="5"/>
      <c s="5"/>
      <c s="5"/>
      <c s="5"/>
      <c s="5"/>
      <c s="5"/>
      <c s="5"/>
      <c s="5"/>
      <c s="5"/>
      <c s="5"/>
      <c s="5"/>
      <c s="5"/>
      <c s="5"/>
      <c s="5"/>
      <c s="5"/>
      <c s="5"/>
      <c s="5"/>
      <c s="5"/>
      <c s="5"/>
      <c s="5"/>
      <c s="5"/>
      <c s="5"/>
      <c s="5"/>
      <c s="5"/>
    </row>
    <row r="340" spans="1:26" ht="15.75">
      <c r="A340" s="5"/>
      <c s="5"/>
      <c s="5"/>
      <c s="5"/>
      <c s="5"/>
      <c s="5"/>
      <c s="5"/>
      <c s="5"/>
      <c s="5"/>
      <c s="5"/>
      <c s="5"/>
      <c s="5"/>
      <c s="5"/>
      <c s="5"/>
      <c s="5"/>
      <c s="5"/>
      <c s="5"/>
      <c s="5"/>
      <c s="5"/>
      <c s="5"/>
      <c s="5"/>
      <c s="5"/>
      <c s="5"/>
      <c s="5"/>
      <c s="5"/>
      <c s="5"/>
    </row>
    <row r="341" spans="1:26" ht="15.75">
      <c r="A341" s="5"/>
      <c s="5"/>
      <c s="5"/>
      <c s="5"/>
      <c s="5"/>
      <c s="5"/>
      <c s="5"/>
      <c s="5"/>
      <c s="5"/>
      <c s="5"/>
      <c s="5"/>
      <c s="5"/>
      <c s="5"/>
      <c s="5"/>
      <c s="5"/>
      <c s="5"/>
      <c s="5"/>
      <c s="5"/>
      <c s="5"/>
      <c s="5"/>
      <c s="5"/>
      <c s="5"/>
      <c s="5"/>
      <c s="5"/>
      <c s="5"/>
      <c s="5"/>
    </row>
    <row r="342" spans="1:26" ht="15.75">
      <c r="A342" s="5"/>
      <c s="5"/>
      <c s="5"/>
      <c s="5"/>
      <c s="5"/>
      <c s="5"/>
      <c s="5"/>
      <c s="5"/>
      <c s="5"/>
      <c s="5"/>
      <c s="5"/>
      <c s="5"/>
      <c s="5"/>
      <c s="5"/>
      <c s="5"/>
      <c s="5"/>
      <c s="5"/>
      <c s="5"/>
      <c s="5"/>
      <c s="5"/>
      <c s="5"/>
      <c s="5"/>
      <c s="5"/>
      <c s="5"/>
      <c s="5"/>
      <c s="5"/>
    </row>
    <row r="343" spans="1:26" ht="15.75">
      <c r="A343" s="5"/>
      <c s="5"/>
      <c s="5"/>
      <c s="5"/>
      <c s="5"/>
      <c s="5"/>
      <c s="5"/>
      <c s="5"/>
      <c s="5"/>
      <c s="5"/>
      <c s="5"/>
      <c s="5"/>
      <c s="5"/>
      <c s="5"/>
      <c s="5"/>
      <c s="5"/>
      <c s="5"/>
      <c s="5"/>
      <c s="5"/>
      <c s="5"/>
      <c s="5"/>
      <c s="5"/>
      <c s="5"/>
      <c s="5"/>
      <c s="5"/>
      <c s="5"/>
    </row>
    <row r="344" spans="1:26" ht="15.75">
      <c r="A344" s="5"/>
      <c s="5"/>
      <c s="5"/>
      <c s="5"/>
      <c s="5"/>
      <c s="5"/>
      <c s="5"/>
      <c s="5"/>
      <c s="5"/>
      <c s="5"/>
      <c s="5"/>
      <c s="5"/>
      <c s="5"/>
      <c s="5"/>
      <c s="5"/>
      <c s="5"/>
      <c s="5"/>
      <c s="5"/>
      <c s="5"/>
      <c s="5"/>
      <c s="5"/>
      <c s="5"/>
      <c s="5"/>
      <c s="5"/>
      <c s="5"/>
      <c s="5"/>
    </row>
    <row r="345" spans="1:26" ht="15.75">
      <c r="A345" s="5"/>
      <c s="5"/>
      <c s="5"/>
      <c s="5"/>
      <c s="5"/>
      <c s="5"/>
      <c s="5"/>
      <c s="5"/>
      <c s="5"/>
      <c s="5"/>
      <c s="5"/>
      <c s="5"/>
      <c s="5"/>
      <c s="5"/>
      <c s="5"/>
      <c s="5"/>
      <c s="5"/>
      <c s="5"/>
      <c s="5"/>
      <c s="5"/>
      <c s="5"/>
      <c s="5"/>
      <c s="5"/>
      <c s="5"/>
      <c s="5"/>
      <c s="5"/>
    </row>
    <row r="346" spans="1:26" ht="15.75">
      <c r="A346" s="5"/>
      <c s="5"/>
      <c s="5"/>
      <c s="5"/>
      <c s="5"/>
      <c s="5"/>
      <c s="5"/>
      <c s="5"/>
      <c s="5"/>
      <c s="5"/>
      <c s="5"/>
      <c s="5"/>
      <c s="5"/>
      <c s="5"/>
      <c s="5"/>
      <c s="5"/>
      <c s="5"/>
      <c s="5"/>
      <c s="5"/>
      <c s="5"/>
      <c s="5"/>
      <c s="5"/>
      <c s="5"/>
      <c s="5"/>
      <c s="5"/>
      <c s="5"/>
    </row>
    <row r="347" spans="1:26" ht="15.75">
      <c r="A347" s="5"/>
      <c s="5"/>
      <c s="5"/>
      <c s="5"/>
      <c s="5"/>
      <c s="5"/>
      <c s="5"/>
      <c s="5"/>
      <c s="5"/>
      <c s="5"/>
      <c s="5"/>
      <c s="5"/>
      <c s="5"/>
      <c s="5"/>
      <c s="5"/>
      <c s="5"/>
      <c s="5"/>
      <c s="5"/>
      <c s="5"/>
      <c s="5"/>
      <c s="5"/>
      <c s="5"/>
      <c s="5"/>
      <c s="5"/>
      <c s="5"/>
      <c s="5"/>
    </row>
    <row r="348" spans="1:26" ht="15.75">
      <c r="A348" s="5"/>
      <c s="5"/>
      <c s="5"/>
      <c s="5"/>
      <c s="5"/>
      <c s="5"/>
      <c s="5"/>
      <c s="5"/>
      <c s="5"/>
      <c s="5"/>
      <c s="5"/>
      <c s="5"/>
      <c s="5"/>
      <c s="5"/>
      <c s="5"/>
      <c s="5"/>
      <c s="5"/>
      <c s="5"/>
      <c s="5"/>
      <c s="5"/>
      <c s="5"/>
      <c s="5"/>
      <c s="5"/>
      <c s="5"/>
      <c s="5"/>
      <c s="5"/>
    </row>
    <row r="349" spans="1:26" ht="15.75">
      <c r="A349" s="5"/>
      <c s="5"/>
      <c s="5"/>
      <c s="5"/>
      <c s="5"/>
      <c s="5"/>
      <c s="5"/>
      <c s="5"/>
      <c s="5"/>
      <c s="5"/>
      <c s="5"/>
      <c s="5"/>
      <c s="5"/>
      <c s="5"/>
      <c s="5"/>
      <c s="5"/>
      <c s="5"/>
      <c s="5"/>
      <c s="5"/>
      <c s="5"/>
      <c s="5"/>
      <c s="5"/>
      <c s="5"/>
      <c s="5"/>
      <c s="5"/>
      <c s="5"/>
    </row>
    <row r="350" spans="1:26" ht="15.75">
      <c r="A350" s="5"/>
      <c s="5"/>
      <c s="5"/>
      <c s="5"/>
      <c s="5"/>
      <c s="5"/>
      <c s="5"/>
      <c s="5"/>
      <c s="5"/>
      <c s="5"/>
      <c s="5"/>
      <c s="5"/>
      <c s="5"/>
      <c s="5"/>
      <c s="5"/>
      <c s="5"/>
      <c s="5"/>
      <c s="5"/>
      <c s="5"/>
      <c s="5"/>
      <c s="5"/>
      <c s="5"/>
      <c s="5"/>
      <c s="5"/>
      <c s="5"/>
      <c s="5"/>
    </row>
    <row r="351" spans="1:26" ht="15.75">
      <c r="A351" s="5"/>
      <c s="5"/>
      <c s="5"/>
      <c s="5"/>
      <c s="5"/>
      <c s="5"/>
      <c s="5"/>
      <c s="5"/>
      <c s="5"/>
      <c s="5"/>
      <c s="5"/>
      <c s="5"/>
      <c s="5"/>
      <c s="5"/>
      <c s="5"/>
      <c s="5"/>
      <c s="5"/>
      <c s="5"/>
      <c s="5"/>
      <c s="5"/>
      <c s="5"/>
      <c s="5"/>
      <c s="5"/>
      <c s="5"/>
      <c s="5"/>
      <c s="5"/>
    </row>
    <row r="352" spans="1:26" ht="15.75">
      <c r="A352" s="5"/>
      <c s="5"/>
      <c s="5"/>
      <c s="5"/>
      <c s="5"/>
      <c s="5"/>
      <c s="5"/>
      <c s="5"/>
      <c s="5"/>
      <c s="5"/>
      <c s="5"/>
      <c s="5"/>
      <c s="5"/>
      <c s="5"/>
      <c s="5"/>
      <c s="5"/>
      <c s="5"/>
      <c s="5"/>
      <c s="5"/>
      <c s="5"/>
      <c s="5"/>
      <c s="5"/>
      <c s="5"/>
      <c s="5"/>
      <c s="5"/>
      <c s="5"/>
    </row>
    <row r="353" spans="1:26" ht="15.75">
      <c r="A353" s="5"/>
      <c s="5"/>
      <c s="5"/>
      <c s="5"/>
      <c s="5"/>
      <c s="5"/>
      <c s="5"/>
      <c s="5"/>
      <c s="5"/>
      <c s="5"/>
      <c s="5"/>
      <c s="5"/>
      <c s="5"/>
      <c s="5"/>
      <c s="5"/>
      <c s="5"/>
      <c s="5"/>
      <c s="5"/>
      <c s="5"/>
      <c s="5"/>
      <c s="5"/>
      <c s="5"/>
      <c s="5"/>
      <c s="5"/>
      <c s="5"/>
      <c s="5"/>
    </row>
    <row r="354" spans="1:26" ht="15.75">
      <c r="A354" s="5"/>
      <c s="5"/>
      <c s="5"/>
      <c s="5"/>
      <c s="5"/>
      <c s="5"/>
      <c s="5"/>
      <c s="5"/>
      <c s="5"/>
      <c s="5"/>
      <c s="5"/>
      <c s="5"/>
      <c s="5"/>
      <c s="5"/>
      <c s="5"/>
      <c s="5"/>
      <c s="5"/>
      <c s="5"/>
      <c s="5"/>
      <c s="5"/>
      <c s="5"/>
      <c s="5"/>
      <c s="5"/>
      <c s="5"/>
      <c s="5"/>
      <c s="5"/>
    </row>
    <row r="355" spans="1:26" ht="15.75">
      <c r="A355" s="5"/>
      <c s="5"/>
      <c s="5"/>
      <c s="5"/>
      <c s="5"/>
      <c s="5"/>
      <c s="5"/>
      <c s="5"/>
      <c s="5"/>
      <c s="5"/>
      <c s="5"/>
      <c s="5"/>
      <c s="5"/>
      <c s="5"/>
      <c s="5"/>
      <c s="5"/>
      <c s="5"/>
      <c s="5"/>
      <c s="5"/>
      <c s="5"/>
      <c s="5"/>
      <c s="5"/>
      <c s="5"/>
      <c s="5"/>
      <c s="5"/>
      <c s="5"/>
    </row>
    <row r="356" spans="1:26" ht="15.75">
      <c r="A356" s="5"/>
      <c s="5"/>
      <c s="5"/>
      <c s="5"/>
      <c s="5"/>
      <c s="5"/>
      <c s="5"/>
      <c s="5"/>
      <c s="5"/>
      <c s="5"/>
      <c s="5"/>
      <c s="5"/>
      <c s="5"/>
      <c s="5"/>
      <c s="5"/>
      <c s="5"/>
      <c s="5"/>
      <c s="5"/>
      <c s="5"/>
      <c s="5"/>
      <c s="5"/>
      <c s="5"/>
      <c s="5"/>
      <c s="5"/>
      <c s="5"/>
      <c s="5"/>
    </row>
    <row r="357" spans="1:26" ht="15.75">
      <c r="A357" s="5"/>
      <c s="5"/>
      <c s="5"/>
      <c s="5"/>
      <c s="5"/>
      <c s="5"/>
      <c s="5"/>
      <c s="5"/>
      <c s="5"/>
      <c s="5"/>
      <c s="5"/>
      <c s="5"/>
      <c s="5"/>
      <c s="5"/>
      <c s="5"/>
      <c s="5"/>
      <c s="5"/>
      <c s="5"/>
      <c s="5"/>
      <c s="5"/>
      <c s="5"/>
      <c s="5"/>
      <c s="5"/>
      <c s="5"/>
      <c s="5"/>
      <c s="5"/>
    </row>
    <row r="358" spans="1:26" ht="15.75">
      <c r="A358" s="5"/>
      <c s="5"/>
      <c s="5"/>
      <c s="5"/>
      <c s="5"/>
      <c s="5"/>
      <c s="5"/>
      <c s="5"/>
      <c s="5"/>
      <c s="5"/>
      <c s="5"/>
      <c s="5"/>
      <c s="5"/>
      <c s="5"/>
      <c s="5"/>
      <c s="5"/>
      <c s="5"/>
      <c s="5"/>
      <c s="5"/>
      <c s="5"/>
      <c s="5"/>
      <c s="5"/>
      <c s="5"/>
      <c s="5"/>
      <c s="5"/>
      <c s="5"/>
    </row>
    <row r="359" spans="1:26" ht="15.75">
      <c r="A359" s="5"/>
      <c s="5"/>
      <c s="5"/>
      <c s="5"/>
      <c s="5"/>
      <c s="5"/>
      <c s="5"/>
      <c s="5"/>
      <c s="5"/>
      <c s="5"/>
      <c s="5"/>
      <c s="5"/>
      <c s="5"/>
      <c s="5"/>
      <c s="5"/>
      <c s="5"/>
      <c s="5"/>
      <c s="5"/>
      <c s="5"/>
      <c s="5"/>
      <c s="5"/>
      <c s="5"/>
      <c s="5"/>
      <c s="5"/>
      <c s="5"/>
      <c s="5"/>
    </row>
    <row r="360" spans="1:26" ht="15.75">
      <c r="A360" s="5"/>
      <c s="5"/>
      <c s="5"/>
      <c s="5"/>
      <c s="5"/>
      <c s="5"/>
      <c s="5"/>
      <c s="5"/>
      <c s="5"/>
      <c s="5"/>
      <c s="5"/>
      <c s="5"/>
      <c s="5"/>
      <c s="5"/>
      <c s="5"/>
      <c s="5"/>
      <c s="5"/>
      <c s="5"/>
      <c s="5"/>
      <c s="5"/>
      <c s="5"/>
      <c s="5"/>
      <c s="5"/>
      <c s="5"/>
      <c s="5"/>
      <c s="5"/>
    </row>
    <row r="361" spans="1:26" ht="15.75">
      <c r="A361" s="5"/>
      <c s="5"/>
      <c s="5"/>
      <c s="5"/>
      <c s="5"/>
      <c s="5"/>
      <c s="5"/>
      <c s="5"/>
      <c s="5"/>
      <c s="5"/>
      <c s="5"/>
      <c s="5"/>
      <c s="5"/>
      <c s="5"/>
      <c s="5"/>
      <c s="5"/>
      <c s="5"/>
      <c s="5"/>
      <c s="5"/>
      <c s="5"/>
      <c s="5"/>
      <c s="5"/>
      <c s="5"/>
      <c s="5"/>
      <c s="5"/>
      <c s="5"/>
    </row>
    <row r="362" spans="1:26" ht="15.75">
      <c r="A362" s="5"/>
      <c s="5"/>
      <c s="5"/>
      <c s="5"/>
      <c s="5"/>
      <c s="5"/>
      <c s="5"/>
      <c s="5"/>
      <c s="5"/>
      <c s="5"/>
      <c s="5"/>
      <c s="5"/>
      <c s="5"/>
      <c s="5"/>
      <c s="5"/>
      <c s="5"/>
      <c s="5"/>
      <c s="5"/>
      <c s="5"/>
      <c s="5"/>
      <c s="5"/>
      <c s="5"/>
      <c s="5"/>
      <c s="5"/>
      <c s="5"/>
      <c s="5"/>
    </row>
    <row r="363" spans="1:26" ht="15.75">
      <c r="A363" s="5"/>
      <c s="5"/>
      <c s="5"/>
      <c s="5"/>
      <c s="5"/>
      <c s="5"/>
      <c s="5"/>
      <c s="5"/>
      <c s="5"/>
      <c s="5"/>
      <c s="5"/>
      <c s="5"/>
      <c s="5"/>
      <c s="5"/>
      <c s="5"/>
      <c s="5"/>
      <c s="5"/>
      <c s="5"/>
      <c s="5"/>
      <c s="5"/>
      <c s="5"/>
      <c s="5"/>
      <c s="5"/>
      <c s="5"/>
      <c s="5"/>
      <c s="5"/>
    </row>
    <row r="364" spans="1:26" ht="15.75">
      <c r="A364" s="5"/>
      <c s="5"/>
      <c s="5"/>
      <c s="5"/>
      <c s="5"/>
      <c s="5"/>
      <c s="5"/>
      <c s="5"/>
      <c s="5"/>
      <c s="5"/>
      <c s="5"/>
      <c s="5"/>
      <c s="5"/>
      <c s="5"/>
      <c s="5"/>
      <c s="5"/>
      <c s="5"/>
      <c s="5"/>
      <c s="5"/>
      <c s="5"/>
      <c s="5"/>
      <c s="5"/>
      <c s="5"/>
      <c s="5"/>
      <c s="5"/>
      <c s="5"/>
    </row>
    <row r="365" spans="1:26" ht="15.75">
      <c r="A365" s="5"/>
      <c s="5"/>
      <c s="5"/>
      <c s="5"/>
      <c s="5"/>
      <c s="5"/>
      <c s="5"/>
      <c s="5"/>
      <c s="5"/>
      <c s="5"/>
      <c s="5"/>
      <c s="5"/>
      <c s="5"/>
      <c s="5"/>
      <c s="5"/>
      <c s="5"/>
      <c s="5"/>
      <c s="5"/>
      <c s="5"/>
      <c s="5"/>
      <c s="5"/>
      <c s="5"/>
      <c s="5"/>
      <c s="5"/>
      <c s="5"/>
      <c s="5"/>
    </row>
    <row r="366" spans="1:26" ht="15.75">
      <c r="A366" s="5"/>
      <c s="5"/>
      <c s="5"/>
      <c s="5"/>
      <c s="5"/>
      <c s="5"/>
      <c s="5"/>
      <c s="5"/>
      <c s="5"/>
      <c s="5"/>
      <c s="5"/>
      <c s="5"/>
      <c s="5"/>
      <c s="5"/>
      <c s="5"/>
      <c s="5"/>
      <c s="5"/>
      <c s="5"/>
      <c s="5"/>
      <c s="5"/>
      <c s="5"/>
      <c s="5"/>
      <c s="5"/>
      <c s="5"/>
      <c s="5"/>
      <c s="5"/>
    </row>
    <row r="367" spans="1:26" ht="15.75">
      <c r="A367" s="5"/>
      <c s="5"/>
      <c s="5"/>
      <c s="5"/>
      <c s="5"/>
      <c s="5"/>
      <c s="5"/>
      <c s="5"/>
      <c s="5"/>
      <c s="5"/>
      <c s="5"/>
      <c s="5"/>
      <c s="5"/>
      <c s="5"/>
      <c s="5"/>
      <c s="5"/>
      <c s="5"/>
      <c s="5"/>
      <c s="5"/>
      <c s="5"/>
      <c s="5"/>
      <c s="5"/>
      <c s="5"/>
      <c s="5"/>
      <c s="5"/>
      <c s="5"/>
    </row>
    <row r="368" spans="1:26" ht="15.75">
      <c r="A368" s="5"/>
      <c s="5"/>
      <c s="5"/>
      <c s="5"/>
      <c s="5"/>
      <c s="5"/>
      <c s="5"/>
      <c s="5"/>
      <c s="5"/>
      <c s="5"/>
      <c s="5"/>
      <c s="5"/>
      <c s="5"/>
      <c s="5"/>
      <c s="5"/>
      <c s="5"/>
      <c s="5"/>
      <c s="5"/>
      <c s="5"/>
      <c s="5"/>
      <c s="5"/>
      <c s="5"/>
      <c s="5"/>
      <c s="5"/>
      <c s="5"/>
      <c s="5"/>
    </row>
    <row r="369" spans="1:26" ht="15.75">
      <c r="A369" s="5"/>
      <c s="5"/>
      <c s="5"/>
      <c s="5"/>
      <c s="5"/>
      <c s="5"/>
      <c s="5"/>
      <c s="5"/>
      <c s="5"/>
      <c s="5"/>
      <c s="5"/>
      <c s="5"/>
      <c s="5"/>
      <c s="5"/>
      <c s="5"/>
      <c s="5"/>
      <c s="5"/>
      <c s="5"/>
      <c s="5"/>
      <c s="5"/>
      <c s="5"/>
      <c s="5"/>
      <c s="5"/>
      <c s="5"/>
      <c s="5"/>
      <c s="5"/>
    </row>
    <row r="370" spans="1:26" ht="15.75">
      <c r="A370" s="5"/>
      <c s="5"/>
      <c s="5"/>
      <c s="5"/>
      <c s="5"/>
      <c s="5"/>
      <c s="5"/>
      <c s="5"/>
      <c s="5"/>
      <c s="5"/>
      <c s="5"/>
      <c s="5"/>
      <c s="5"/>
      <c s="5"/>
      <c s="5"/>
      <c s="5"/>
      <c s="5"/>
      <c s="5"/>
      <c s="5"/>
      <c s="5"/>
      <c s="5"/>
      <c s="5"/>
      <c s="5"/>
      <c s="5"/>
      <c s="5"/>
      <c s="5"/>
    </row>
    <row r="371" spans="1:26" ht="15.75">
      <c r="A371" s="5"/>
      <c s="5"/>
      <c s="5"/>
      <c s="5"/>
      <c s="5"/>
      <c s="5"/>
      <c s="5"/>
      <c s="5"/>
      <c s="5"/>
      <c s="5"/>
      <c s="5"/>
      <c s="5"/>
      <c s="5"/>
      <c s="5"/>
      <c s="5"/>
      <c s="5"/>
      <c s="5"/>
      <c s="5"/>
      <c s="5"/>
      <c s="5"/>
      <c s="5"/>
      <c s="5"/>
      <c s="5"/>
      <c s="5"/>
      <c s="5"/>
      <c s="5"/>
    </row>
    <row r="372" spans="1:26" ht="15.75">
      <c r="A372" s="5"/>
      <c s="5"/>
      <c s="5"/>
      <c s="5"/>
      <c s="5"/>
      <c s="5"/>
      <c s="5"/>
      <c s="5"/>
      <c s="5"/>
      <c s="5"/>
      <c s="5"/>
      <c s="5"/>
      <c s="5"/>
      <c s="5"/>
      <c s="5"/>
      <c s="5"/>
      <c s="5"/>
      <c s="5"/>
      <c s="5"/>
      <c s="5"/>
      <c s="5"/>
      <c s="5"/>
      <c s="5"/>
      <c s="5"/>
      <c s="5"/>
      <c s="5"/>
    </row>
    <row r="373" spans="1:26" ht="15.75">
      <c r="A373" s="5"/>
      <c s="5"/>
      <c s="5"/>
      <c s="5"/>
      <c s="5"/>
      <c s="5"/>
      <c s="5"/>
      <c s="5"/>
      <c s="5"/>
      <c s="5"/>
      <c s="5"/>
      <c s="5"/>
      <c s="5"/>
      <c s="5"/>
      <c s="5"/>
      <c s="5"/>
      <c s="5"/>
      <c s="5"/>
      <c s="5"/>
      <c s="5"/>
      <c s="5"/>
      <c s="5"/>
      <c s="5"/>
      <c s="5"/>
      <c s="5"/>
      <c s="5"/>
    </row>
    <row r="374" spans="1:26" ht="15.75">
      <c r="A374" s="5"/>
      <c s="5"/>
      <c s="5"/>
      <c s="5"/>
      <c s="5"/>
      <c s="5"/>
      <c s="5"/>
      <c s="5"/>
      <c s="5"/>
      <c s="5"/>
      <c s="5"/>
      <c s="5"/>
      <c s="5"/>
      <c s="5"/>
      <c s="5"/>
      <c s="5"/>
      <c s="5"/>
      <c s="5"/>
      <c s="5"/>
      <c s="5"/>
      <c s="5"/>
      <c s="5"/>
      <c s="5"/>
      <c s="5"/>
      <c s="5"/>
      <c s="5"/>
    </row>
    <row r="375" spans="1:26" ht="15.75">
      <c r="A375" s="5"/>
      <c s="5"/>
      <c s="5"/>
      <c s="5"/>
      <c s="5"/>
      <c s="5"/>
      <c s="5"/>
      <c s="5"/>
      <c s="5"/>
      <c s="5"/>
      <c s="5"/>
      <c s="5"/>
      <c s="5"/>
      <c s="5"/>
      <c s="5"/>
      <c s="5"/>
      <c s="5"/>
      <c s="5"/>
      <c s="5"/>
      <c s="5"/>
      <c s="5"/>
      <c s="5"/>
      <c s="5"/>
      <c s="5"/>
      <c s="5"/>
      <c s="5"/>
    </row>
    <row r="376" spans="1:26" ht="15.75">
      <c r="A376" s="5"/>
      <c s="5"/>
      <c s="5"/>
      <c s="5"/>
      <c s="5"/>
      <c s="5"/>
      <c s="5"/>
      <c s="5"/>
      <c s="5"/>
      <c s="5"/>
      <c s="5"/>
      <c s="5"/>
      <c s="5"/>
      <c s="5"/>
      <c s="5"/>
      <c s="5"/>
      <c s="5"/>
      <c s="5"/>
      <c s="5"/>
      <c s="5"/>
      <c s="5"/>
      <c s="5"/>
      <c s="5"/>
      <c s="5"/>
      <c s="5"/>
      <c s="5"/>
    </row>
    <row r="377" spans="1:26" ht="15.75">
      <c r="A377" s="5"/>
      <c s="5"/>
      <c s="5"/>
      <c s="5"/>
      <c s="5"/>
      <c s="5"/>
      <c s="5"/>
      <c s="5"/>
      <c s="5"/>
      <c s="5"/>
      <c s="5"/>
      <c s="5"/>
      <c s="5"/>
      <c s="5"/>
      <c s="5"/>
      <c s="5"/>
      <c s="5"/>
      <c s="5"/>
      <c s="5"/>
      <c s="5"/>
      <c s="5"/>
      <c s="5"/>
      <c s="5"/>
      <c s="5"/>
      <c s="5"/>
      <c s="5"/>
    </row>
    <row r="378" spans="1:26" ht="15.75">
      <c r="A378" s="5"/>
      <c s="5"/>
      <c s="5"/>
      <c s="5"/>
      <c s="5"/>
      <c s="5"/>
      <c s="5"/>
      <c s="5"/>
      <c s="5"/>
      <c s="5"/>
      <c s="5"/>
      <c s="5"/>
      <c s="5"/>
      <c s="5"/>
      <c s="5"/>
      <c s="5"/>
      <c s="5"/>
      <c s="5"/>
      <c s="5"/>
      <c s="5"/>
      <c s="5"/>
      <c s="5"/>
      <c s="5"/>
      <c s="5"/>
      <c s="5"/>
      <c s="5"/>
    </row>
    <row r="379" spans="1:26" ht="15.75">
      <c r="A379" s="5"/>
      <c s="5"/>
      <c s="5"/>
      <c s="5"/>
      <c s="5"/>
      <c s="5"/>
      <c s="5"/>
      <c s="5"/>
      <c s="5"/>
      <c s="5"/>
      <c s="5"/>
      <c s="5"/>
      <c s="5"/>
      <c s="5"/>
      <c s="5"/>
      <c s="5"/>
      <c s="5"/>
      <c s="5"/>
      <c s="5"/>
      <c s="5"/>
      <c s="5"/>
      <c s="5"/>
      <c s="5"/>
      <c s="5"/>
      <c s="5"/>
      <c s="5"/>
    </row>
    <row r="380" spans="1:26" ht="15.75">
      <c r="A380" s="5"/>
      <c s="5"/>
      <c s="5"/>
      <c s="5"/>
      <c s="5"/>
      <c s="5"/>
      <c s="5"/>
      <c s="5"/>
      <c s="5"/>
      <c s="5"/>
      <c s="5"/>
      <c s="5"/>
      <c s="5"/>
      <c s="5"/>
      <c s="5"/>
      <c s="5"/>
      <c s="5"/>
      <c s="5"/>
      <c s="5"/>
      <c s="5"/>
      <c s="5"/>
      <c s="5"/>
      <c s="5"/>
      <c s="5"/>
      <c s="5"/>
      <c s="5"/>
    </row>
    <row r="381" spans="1:26" ht="15.75">
      <c r="A381" s="5"/>
      <c s="5"/>
      <c s="5"/>
      <c s="5"/>
      <c s="5"/>
      <c s="5"/>
      <c s="5"/>
      <c s="5"/>
      <c s="5"/>
      <c s="5"/>
      <c s="5"/>
      <c s="5"/>
      <c s="5"/>
      <c s="5"/>
      <c s="5"/>
      <c s="5"/>
      <c s="5"/>
      <c s="5"/>
      <c s="5"/>
      <c s="5"/>
      <c s="5"/>
      <c s="5"/>
      <c s="5"/>
      <c s="5"/>
      <c s="5"/>
      <c s="5"/>
    </row>
    <row r="382" spans="1:26" ht="15.75">
      <c r="A382" s="5"/>
      <c s="5"/>
      <c s="5"/>
      <c s="5"/>
      <c s="5"/>
      <c s="5"/>
      <c s="5"/>
      <c s="5"/>
      <c s="5"/>
      <c s="5"/>
      <c s="5"/>
      <c s="5"/>
      <c s="5"/>
      <c s="5"/>
      <c s="5"/>
      <c s="5"/>
      <c s="5"/>
      <c s="5"/>
      <c s="5"/>
      <c s="5"/>
      <c s="5"/>
      <c s="5"/>
      <c s="5"/>
      <c s="5"/>
      <c s="5"/>
      <c s="5"/>
    </row>
    <row r="383" spans="1:26" ht="15.75">
      <c r="A383" s="5"/>
      <c s="5"/>
      <c s="5"/>
      <c s="5"/>
      <c s="5"/>
      <c s="5"/>
      <c s="5"/>
      <c s="5"/>
      <c s="5"/>
      <c s="5"/>
      <c s="5"/>
      <c s="5"/>
      <c s="5"/>
      <c s="5"/>
      <c s="5"/>
      <c s="5"/>
      <c s="5"/>
      <c s="5"/>
      <c s="5"/>
      <c s="5"/>
      <c s="5"/>
      <c s="5"/>
      <c s="5"/>
      <c s="5"/>
      <c s="5"/>
      <c s="5"/>
    </row>
    <row r="384" spans="1:26" ht="15.75">
      <c r="A384" s="5"/>
      <c s="5"/>
      <c s="5"/>
      <c s="5"/>
      <c s="5"/>
      <c s="5"/>
      <c s="5"/>
      <c s="5"/>
      <c s="5"/>
      <c s="5"/>
      <c s="5"/>
      <c s="5"/>
      <c s="5"/>
      <c s="5"/>
      <c s="5"/>
      <c s="5"/>
      <c s="5"/>
      <c s="5"/>
      <c s="5"/>
      <c s="5"/>
      <c s="5"/>
      <c s="5"/>
      <c s="5"/>
      <c s="5"/>
      <c s="5"/>
      <c s="5"/>
    </row>
    <row r="385" spans="1:26" ht="15.75">
      <c r="A385" s="5"/>
      <c s="5"/>
      <c s="5"/>
      <c s="5"/>
      <c s="5"/>
      <c s="5"/>
      <c s="5"/>
      <c s="5"/>
      <c s="5"/>
      <c s="5"/>
      <c s="5"/>
      <c s="5"/>
      <c s="5"/>
      <c s="5"/>
      <c s="5"/>
      <c s="5"/>
      <c s="5"/>
      <c s="5"/>
      <c s="5"/>
      <c s="5"/>
      <c s="5"/>
      <c s="5"/>
      <c s="5"/>
      <c s="5"/>
      <c s="5"/>
      <c s="5"/>
    </row>
    <row r="386" spans="1:26" ht="15.75">
      <c r="A386" s="5"/>
      <c s="5"/>
      <c s="5"/>
      <c s="5"/>
      <c s="5"/>
      <c s="5"/>
      <c s="5"/>
      <c s="5"/>
      <c s="5"/>
      <c s="5"/>
      <c s="5"/>
      <c s="5"/>
      <c s="5"/>
      <c s="5"/>
      <c s="5"/>
      <c s="5"/>
      <c s="5"/>
      <c s="5"/>
      <c s="5"/>
      <c s="5"/>
      <c s="5"/>
      <c s="5"/>
      <c s="5"/>
      <c s="5"/>
      <c s="5"/>
      <c s="5"/>
    </row>
    <row r="387" spans="1:26" ht="15.75">
      <c r="A387" s="5"/>
      <c s="5"/>
      <c s="5"/>
      <c s="5"/>
      <c s="5"/>
      <c s="5"/>
      <c s="5"/>
      <c s="5"/>
      <c s="5"/>
      <c s="5"/>
      <c s="5"/>
      <c s="5"/>
      <c s="5"/>
      <c s="5"/>
      <c s="5"/>
      <c s="5"/>
      <c s="5"/>
      <c s="5"/>
      <c s="5"/>
      <c s="5"/>
      <c s="5"/>
      <c s="5"/>
      <c s="5"/>
      <c s="5"/>
      <c s="5"/>
      <c s="5"/>
    </row>
    <row r="388" spans="1:26" ht="15.75">
      <c r="A388" s="5"/>
      <c s="5"/>
      <c s="5"/>
      <c s="5"/>
      <c s="5"/>
      <c s="5"/>
      <c s="5"/>
      <c s="5"/>
      <c s="5"/>
      <c s="5"/>
      <c s="5"/>
      <c s="5"/>
      <c s="5"/>
      <c s="5"/>
      <c s="5"/>
      <c s="5"/>
      <c s="5"/>
      <c s="5"/>
      <c s="5"/>
      <c s="5"/>
      <c s="5"/>
      <c s="5"/>
      <c s="5"/>
      <c s="5"/>
      <c s="5"/>
      <c s="5"/>
    </row>
    <row r="389" spans="1:26" ht="15.75">
      <c r="A389" s="5"/>
      <c s="5"/>
      <c s="5"/>
      <c s="5"/>
      <c s="5"/>
      <c s="5"/>
      <c s="5"/>
      <c s="5"/>
      <c s="5"/>
      <c s="5"/>
      <c s="5"/>
      <c s="5"/>
      <c s="5"/>
      <c s="5"/>
      <c s="5"/>
      <c s="5"/>
      <c s="5"/>
      <c s="5"/>
      <c s="5"/>
      <c s="5"/>
      <c s="5"/>
      <c s="5"/>
      <c s="5"/>
      <c s="5"/>
      <c s="5"/>
      <c s="5"/>
    </row>
    <row r="390" spans="1:26" ht="15.75">
      <c r="A390" s="5"/>
      <c s="5"/>
      <c s="5"/>
      <c s="5"/>
      <c s="5"/>
      <c s="5"/>
      <c s="5"/>
      <c s="5"/>
      <c s="5"/>
      <c s="5"/>
      <c s="5"/>
      <c s="5"/>
      <c s="5"/>
      <c s="5"/>
      <c s="5"/>
      <c s="5"/>
      <c s="5"/>
      <c s="5"/>
      <c s="5"/>
      <c s="5"/>
      <c s="5"/>
      <c s="5"/>
      <c s="5"/>
      <c s="5"/>
      <c s="5"/>
      <c s="5"/>
    </row>
    <row r="391" spans="1:26" ht="15.75">
      <c r="A391" s="5"/>
      <c s="5"/>
      <c s="5"/>
      <c s="5"/>
      <c s="5"/>
      <c s="5"/>
      <c s="5"/>
      <c s="5"/>
      <c s="5"/>
      <c s="5"/>
      <c s="5"/>
      <c s="5"/>
      <c s="5"/>
      <c s="5"/>
      <c s="5"/>
      <c s="5"/>
      <c s="5"/>
      <c s="5"/>
      <c s="5"/>
      <c s="5"/>
      <c s="5"/>
      <c s="5"/>
      <c s="5"/>
      <c s="5"/>
      <c s="5"/>
      <c s="5"/>
    </row>
    <row r="392" spans="1:26" ht="15.75">
      <c r="A392" s="5"/>
      <c s="5"/>
      <c s="5"/>
      <c s="5"/>
      <c s="5"/>
      <c s="5"/>
      <c s="5"/>
      <c s="5"/>
      <c s="5"/>
      <c s="5"/>
      <c s="5"/>
      <c s="5"/>
      <c s="5"/>
      <c s="5"/>
      <c s="5"/>
      <c s="5"/>
      <c s="5"/>
      <c s="5"/>
      <c s="5"/>
      <c s="5"/>
      <c s="5"/>
      <c s="5"/>
      <c s="5"/>
      <c s="5"/>
      <c s="5"/>
      <c s="5"/>
    </row>
    <row r="393" spans="1:26" ht="15.75">
      <c r="A393" s="5"/>
      <c s="5"/>
      <c s="5"/>
      <c s="5"/>
      <c s="5"/>
      <c s="5"/>
      <c s="5"/>
      <c s="5"/>
      <c s="5"/>
      <c s="5"/>
      <c s="5"/>
      <c s="5"/>
      <c s="5"/>
      <c s="5"/>
      <c s="5"/>
      <c s="5"/>
      <c s="5"/>
      <c s="5"/>
      <c s="5"/>
      <c s="5"/>
      <c s="5"/>
      <c s="5"/>
      <c s="5"/>
      <c s="5"/>
      <c s="5"/>
      <c s="5"/>
    </row>
    <row r="394" spans="1:26" ht="15.75">
      <c r="A394" s="5"/>
      <c s="5"/>
      <c s="5"/>
      <c s="5"/>
      <c s="5"/>
      <c s="5"/>
      <c s="5"/>
      <c s="5"/>
      <c s="5"/>
      <c s="5"/>
      <c s="5"/>
      <c s="5"/>
      <c s="5"/>
      <c s="5"/>
      <c s="5"/>
      <c s="5"/>
      <c s="5"/>
      <c s="5"/>
      <c s="5"/>
      <c s="5"/>
      <c s="5"/>
      <c s="5"/>
      <c s="5"/>
      <c s="5"/>
      <c s="5"/>
      <c s="5"/>
    </row>
    <row r="395" spans="1:26" ht="15.75">
      <c r="A395" s="5"/>
      <c s="5"/>
      <c s="5"/>
      <c s="5"/>
      <c s="5"/>
      <c s="5"/>
      <c s="5"/>
      <c s="5"/>
      <c s="5"/>
      <c s="5"/>
      <c s="5"/>
      <c s="5"/>
      <c s="5"/>
      <c s="5"/>
      <c s="5"/>
      <c s="5"/>
      <c s="5"/>
      <c s="5"/>
      <c s="5"/>
      <c s="5"/>
      <c s="5"/>
      <c s="5"/>
      <c s="5"/>
      <c s="5"/>
      <c s="5"/>
      <c s="5"/>
    </row>
    <row r="396" spans="1:26" ht="15.75">
      <c r="A396" s="5"/>
      <c s="5"/>
      <c s="5"/>
      <c s="5"/>
      <c s="5"/>
      <c s="5"/>
      <c s="5"/>
      <c s="5"/>
      <c s="5"/>
      <c s="5"/>
      <c s="5"/>
      <c s="5"/>
      <c s="5"/>
      <c s="5"/>
      <c s="5"/>
      <c s="5"/>
      <c s="5"/>
      <c s="5"/>
      <c s="5"/>
      <c s="5"/>
      <c s="5"/>
      <c s="5"/>
      <c s="5"/>
      <c s="5"/>
      <c s="5"/>
      <c s="5"/>
    </row>
    <row r="397" spans="1:26" ht="15.75">
      <c r="A397" s="5"/>
      <c s="5"/>
      <c s="5"/>
      <c s="5"/>
      <c s="5"/>
      <c s="5"/>
      <c s="5"/>
      <c s="5"/>
      <c s="5"/>
      <c s="5"/>
      <c s="5"/>
      <c s="5"/>
      <c s="5"/>
      <c s="5"/>
      <c s="5"/>
      <c s="5"/>
      <c s="5"/>
      <c s="5"/>
      <c s="5"/>
      <c s="5"/>
      <c s="5"/>
      <c s="5"/>
      <c s="5"/>
      <c s="5"/>
      <c s="5"/>
      <c s="5"/>
    </row>
    <row r="398" spans="1:26" ht="15.75">
      <c r="A398" s="5"/>
      <c s="5"/>
      <c s="5"/>
      <c s="5"/>
      <c s="5"/>
      <c s="5"/>
      <c s="5"/>
      <c s="5"/>
      <c s="5"/>
      <c s="5"/>
      <c s="5"/>
      <c s="5"/>
      <c s="5"/>
      <c s="5"/>
      <c s="5"/>
      <c s="5"/>
      <c s="5"/>
      <c s="5"/>
      <c s="5"/>
      <c s="5"/>
      <c s="5"/>
      <c s="5"/>
      <c s="5"/>
      <c s="5"/>
      <c s="5"/>
      <c s="5"/>
    </row>
    <row r="399" spans="1:26" ht="15.75">
      <c r="A399" s="5"/>
      <c s="5"/>
      <c s="5"/>
      <c s="5"/>
      <c s="5"/>
      <c s="5"/>
      <c s="5"/>
      <c s="5"/>
      <c s="5"/>
      <c s="5"/>
      <c s="5"/>
      <c s="5"/>
      <c s="5"/>
      <c s="5"/>
      <c s="5"/>
      <c s="5"/>
      <c s="5"/>
      <c s="5"/>
      <c s="5"/>
      <c s="5"/>
      <c s="5"/>
      <c s="5"/>
      <c s="5"/>
      <c s="5"/>
      <c s="5"/>
      <c s="5"/>
    </row>
    <row r="400" spans="1:26" ht="15.75">
      <c r="A400" s="5"/>
      <c s="5"/>
      <c s="5"/>
      <c s="5"/>
      <c s="5"/>
      <c s="5"/>
      <c s="5"/>
      <c s="5"/>
      <c s="5"/>
      <c s="5"/>
      <c s="5"/>
      <c s="5"/>
      <c s="5"/>
      <c s="5"/>
      <c s="5"/>
      <c s="5"/>
      <c s="5"/>
      <c s="5"/>
      <c s="5"/>
      <c s="5"/>
      <c s="5"/>
      <c s="5"/>
      <c s="5"/>
      <c s="5"/>
      <c s="5"/>
      <c s="5"/>
    </row>
    <row r="401" spans="1:26" ht="15.75">
      <c r="A401" s="5"/>
      <c s="5"/>
      <c s="5"/>
      <c s="5"/>
      <c s="5"/>
      <c s="5"/>
      <c s="5"/>
      <c s="5"/>
      <c s="5"/>
      <c s="5"/>
      <c s="5"/>
      <c s="5"/>
      <c s="5"/>
      <c s="5"/>
      <c s="5"/>
      <c s="5"/>
      <c s="5"/>
      <c s="5"/>
      <c s="5"/>
      <c s="5"/>
      <c s="5"/>
      <c s="5"/>
      <c s="5"/>
      <c s="5"/>
      <c s="5"/>
      <c s="5"/>
    </row>
    <row r="402" spans="1:26" ht="15.75">
      <c r="A402" s="5"/>
      <c s="5"/>
      <c s="5"/>
      <c s="5"/>
      <c s="5"/>
      <c s="5"/>
      <c s="5"/>
      <c s="5"/>
      <c s="5"/>
      <c s="5"/>
      <c s="5"/>
      <c s="5"/>
      <c s="5"/>
      <c s="5"/>
      <c s="5"/>
      <c s="5"/>
      <c s="5"/>
      <c s="5"/>
      <c s="5"/>
      <c s="5"/>
      <c s="5"/>
      <c s="5"/>
      <c s="5"/>
      <c s="5"/>
      <c s="5"/>
      <c s="5"/>
    </row>
    <row r="403" spans="1:26" ht="15.75">
      <c r="A403" s="5"/>
      <c s="5"/>
      <c s="5"/>
      <c s="5"/>
      <c s="5"/>
      <c s="5"/>
      <c s="5"/>
      <c s="5"/>
      <c s="5"/>
      <c s="5"/>
      <c s="5"/>
      <c s="5"/>
      <c s="5"/>
      <c s="5"/>
      <c s="5"/>
      <c s="5"/>
      <c s="5"/>
      <c s="5"/>
      <c s="5"/>
      <c s="5"/>
      <c s="5"/>
      <c s="5"/>
      <c s="5"/>
      <c s="5"/>
      <c s="5"/>
      <c s="5"/>
    </row>
    <row r="404" spans="1:26" ht="15.75">
      <c r="A404" s="5"/>
      <c s="5"/>
      <c s="5"/>
      <c s="5"/>
      <c s="5"/>
      <c s="5"/>
      <c s="5"/>
      <c s="5"/>
      <c s="5"/>
      <c s="5"/>
      <c s="5"/>
      <c s="5"/>
      <c s="5"/>
      <c s="5"/>
      <c s="5"/>
      <c s="5"/>
      <c s="5"/>
      <c s="5"/>
      <c s="5"/>
      <c s="5"/>
      <c s="5"/>
      <c s="5"/>
      <c s="5"/>
      <c s="5"/>
      <c s="5"/>
      <c s="5"/>
    </row>
    <row r="405" spans="1:26" ht="15.75">
      <c r="A405" s="5"/>
      <c s="5"/>
      <c s="5"/>
      <c s="5"/>
      <c s="5"/>
      <c s="5"/>
      <c s="5"/>
      <c s="5"/>
      <c s="5"/>
      <c s="5"/>
      <c s="5"/>
      <c s="5"/>
      <c s="5"/>
      <c s="5"/>
      <c s="5"/>
      <c s="5"/>
      <c s="5"/>
      <c s="5"/>
      <c s="5"/>
      <c s="5"/>
      <c s="5"/>
      <c s="5"/>
      <c s="5"/>
      <c s="5"/>
      <c s="5"/>
      <c s="5"/>
    </row>
    <row r="406" spans="1:26" ht="15.75">
      <c r="A406" s="5"/>
      <c s="5"/>
      <c s="5"/>
      <c s="5"/>
      <c s="5"/>
      <c s="5"/>
      <c s="5"/>
      <c s="5"/>
      <c s="5"/>
      <c s="5"/>
      <c s="5"/>
      <c s="5"/>
      <c s="5"/>
      <c s="5"/>
      <c s="5"/>
      <c s="5"/>
      <c s="5"/>
      <c s="5"/>
      <c s="5"/>
      <c s="5"/>
      <c s="5"/>
      <c s="5"/>
      <c s="5"/>
      <c s="5"/>
      <c s="5"/>
      <c s="5"/>
    </row>
    <row r="407" spans="1:26" ht="15.75">
      <c r="A407" s="5"/>
      <c s="5"/>
      <c s="5"/>
      <c s="5"/>
      <c s="5"/>
      <c s="5"/>
      <c s="5"/>
      <c s="5"/>
      <c s="5"/>
      <c s="5"/>
      <c s="5"/>
      <c s="5"/>
      <c s="5"/>
      <c s="5"/>
      <c s="5"/>
      <c s="5"/>
      <c s="5"/>
      <c s="5"/>
      <c s="5"/>
      <c s="5"/>
      <c s="5"/>
      <c s="5"/>
      <c s="5"/>
      <c s="5"/>
      <c s="5"/>
      <c s="5"/>
    </row>
    <row r="408" spans="1:26" ht="15.75">
      <c r="A408" s="5"/>
      <c s="5"/>
      <c s="5"/>
      <c s="5"/>
      <c s="5"/>
      <c s="5"/>
      <c s="5"/>
      <c s="5"/>
      <c s="5"/>
      <c s="5"/>
      <c s="5"/>
      <c s="5"/>
      <c s="5"/>
      <c s="5"/>
      <c s="5"/>
      <c s="5"/>
      <c s="5"/>
      <c s="5"/>
      <c s="5"/>
      <c s="5"/>
      <c s="5"/>
      <c s="5"/>
      <c s="5"/>
      <c s="5"/>
      <c s="5"/>
      <c s="5"/>
    </row>
    <row r="409" spans="1:26" ht="15.75">
      <c r="A409" s="5"/>
      <c s="5"/>
      <c s="5"/>
      <c s="5"/>
      <c s="5"/>
      <c s="5"/>
      <c s="5"/>
      <c s="5"/>
      <c s="5"/>
      <c s="5"/>
      <c s="5"/>
      <c s="5"/>
      <c s="5"/>
      <c s="5"/>
      <c s="5"/>
      <c s="5"/>
      <c s="5"/>
      <c s="5"/>
      <c s="5"/>
      <c s="5"/>
      <c s="5"/>
      <c s="5"/>
      <c s="5"/>
      <c s="5"/>
      <c s="5"/>
      <c s="5"/>
    </row>
    <row r="410" spans="1:26" ht="15.75">
      <c r="A410" s="5"/>
      <c s="5"/>
      <c s="5"/>
      <c s="5"/>
      <c s="5"/>
      <c s="5"/>
      <c s="5"/>
      <c s="5"/>
      <c s="5"/>
      <c s="5"/>
      <c s="5"/>
      <c s="5"/>
      <c s="5"/>
      <c s="5"/>
      <c s="5"/>
      <c s="5"/>
      <c s="5"/>
      <c s="5"/>
      <c s="5"/>
      <c s="5"/>
      <c s="5"/>
      <c s="5"/>
      <c s="5"/>
      <c s="5"/>
      <c s="5"/>
      <c s="5"/>
    </row>
    <row r="411" spans="1:26" ht="15.75">
      <c r="A411" s="5"/>
      <c s="5"/>
      <c s="5"/>
      <c s="5"/>
      <c s="5"/>
      <c s="5"/>
      <c s="5"/>
      <c s="5"/>
      <c s="5"/>
      <c s="5"/>
      <c s="5"/>
      <c s="5"/>
      <c s="5"/>
      <c s="5"/>
      <c s="5"/>
      <c s="5"/>
      <c s="5"/>
      <c s="5"/>
      <c s="5"/>
      <c s="5"/>
      <c s="5"/>
      <c s="5"/>
      <c s="5"/>
      <c s="5"/>
      <c s="5"/>
      <c s="5"/>
    </row>
    <row r="412" spans="1:26" ht="15.75">
      <c r="A412" s="5"/>
      <c s="5"/>
      <c s="5"/>
      <c s="5"/>
      <c s="5"/>
      <c s="5"/>
      <c s="5"/>
      <c s="5"/>
      <c s="5"/>
      <c s="5"/>
      <c s="5"/>
      <c s="5"/>
      <c s="5"/>
      <c s="5"/>
      <c s="5"/>
      <c s="5"/>
      <c s="5"/>
      <c s="5"/>
      <c s="5"/>
      <c s="5"/>
      <c s="5"/>
      <c s="5"/>
      <c s="5"/>
      <c s="5"/>
      <c s="5"/>
      <c s="5"/>
    </row>
    <row r="413" spans="1:26" ht="15.75">
      <c r="A413" s="5"/>
      <c s="5"/>
      <c s="5"/>
      <c s="5"/>
      <c s="5"/>
      <c s="5"/>
      <c s="5"/>
      <c s="5"/>
      <c s="5"/>
      <c s="5"/>
      <c s="5"/>
      <c s="5"/>
      <c s="5"/>
      <c s="5"/>
      <c s="5"/>
      <c s="5"/>
      <c s="5"/>
      <c s="5"/>
      <c s="5"/>
      <c s="5"/>
      <c s="5"/>
      <c s="5"/>
      <c s="5"/>
      <c s="5"/>
      <c s="5"/>
      <c s="5"/>
    </row>
    <row r="414" spans="1:26" ht="15.75">
      <c r="A414" s="5"/>
      <c s="5"/>
      <c s="5"/>
      <c s="5"/>
      <c s="5"/>
      <c s="5"/>
      <c s="5"/>
      <c s="5"/>
      <c s="5"/>
      <c s="5"/>
      <c s="5"/>
      <c s="5"/>
      <c s="5"/>
      <c s="5"/>
      <c s="5"/>
      <c s="5"/>
      <c s="5"/>
      <c s="5"/>
      <c s="5"/>
      <c s="5"/>
      <c s="5"/>
      <c s="5"/>
      <c s="5"/>
      <c s="5"/>
      <c s="5"/>
      <c s="5"/>
    </row>
    <row r="415" spans="1:26" ht="15.75">
      <c r="A415" s="5"/>
      <c s="5"/>
      <c s="5"/>
      <c s="5"/>
      <c s="5"/>
      <c s="5"/>
      <c s="5"/>
      <c s="5"/>
      <c s="5"/>
      <c s="5"/>
      <c s="5"/>
      <c s="5"/>
      <c s="5"/>
      <c s="5"/>
      <c s="5"/>
      <c s="5"/>
      <c s="5"/>
      <c s="5"/>
      <c s="5"/>
      <c s="5"/>
      <c s="5"/>
      <c s="5"/>
      <c s="5"/>
      <c s="5"/>
      <c s="5"/>
      <c s="5"/>
    </row>
    <row r="416" spans="1:26" ht="15.75">
      <c r="A416" s="5"/>
      <c s="5"/>
      <c s="5"/>
      <c s="5"/>
      <c s="5"/>
      <c s="5"/>
      <c s="5"/>
      <c s="5"/>
      <c s="5"/>
      <c s="5"/>
      <c s="5"/>
      <c s="5"/>
      <c s="5"/>
      <c s="5"/>
      <c s="5"/>
      <c s="5"/>
      <c s="5"/>
      <c s="5"/>
      <c s="5"/>
      <c s="5"/>
      <c s="5"/>
      <c s="5"/>
      <c s="5"/>
      <c s="5"/>
      <c s="5"/>
      <c s="5"/>
    </row>
    <row r="417" spans="1:26" ht="15.75">
      <c r="A417" s="5"/>
      <c s="5"/>
      <c s="5"/>
      <c s="5"/>
      <c s="5"/>
      <c s="5"/>
      <c s="5"/>
      <c s="5"/>
      <c s="5"/>
      <c s="5"/>
      <c s="5"/>
      <c s="5"/>
      <c s="5"/>
      <c s="5"/>
      <c s="5"/>
      <c s="5"/>
      <c s="5"/>
      <c s="5"/>
      <c s="5"/>
      <c s="5"/>
      <c s="5"/>
      <c s="5"/>
      <c s="5"/>
      <c s="5"/>
      <c s="5"/>
      <c s="5"/>
    </row>
    <row r="418" spans="1:26" ht="15.75">
      <c r="A418" s="5"/>
      <c s="5"/>
      <c s="5"/>
      <c s="5"/>
      <c s="5"/>
      <c s="5"/>
      <c s="5"/>
      <c s="5"/>
      <c s="5"/>
      <c s="5"/>
      <c s="5"/>
      <c s="5"/>
      <c s="5"/>
      <c s="5"/>
      <c s="5"/>
      <c s="5"/>
      <c s="5"/>
      <c s="5"/>
      <c s="5"/>
      <c s="5"/>
      <c s="5"/>
      <c s="5"/>
      <c s="5"/>
      <c s="5"/>
      <c s="5"/>
      <c s="5"/>
    </row>
    <row r="419" spans="1:26" ht="15.75">
      <c r="A419" s="5"/>
      <c s="5"/>
      <c s="5"/>
      <c s="5"/>
      <c s="5"/>
      <c s="5"/>
      <c s="5"/>
      <c s="5"/>
      <c s="5"/>
      <c s="5"/>
      <c s="5"/>
      <c s="5"/>
      <c s="5"/>
      <c s="5"/>
      <c s="5"/>
      <c s="5"/>
      <c s="5"/>
      <c s="5"/>
      <c s="5"/>
      <c s="5"/>
      <c s="5"/>
      <c s="5"/>
      <c s="5"/>
      <c s="5"/>
      <c s="5"/>
      <c s="5"/>
    </row>
    <row r="420" spans="1:26" ht="15.75">
      <c r="A420" s="5"/>
      <c s="5"/>
      <c s="5"/>
      <c s="5"/>
      <c s="5"/>
      <c s="5"/>
      <c s="5"/>
      <c s="5"/>
      <c s="5"/>
      <c s="5"/>
      <c s="5"/>
      <c s="5"/>
      <c s="5"/>
      <c s="5"/>
      <c s="5"/>
      <c s="5"/>
      <c s="5"/>
      <c s="5"/>
      <c s="5"/>
      <c s="5"/>
      <c s="5"/>
      <c s="5"/>
      <c s="5"/>
      <c s="5"/>
      <c s="5"/>
      <c s="5"/>
    </row>
    <row r="421" spans="1:26" ht="15.75">
      <c r="A421" s="5"/>
      <c s="5"/>
      <c s="5"/>
      <c s="5"/>
      <c s="5"/>
      <c s="5"/>
      <c s="5"/>
      <c s="5"/>
      <c s="5"/>
      <c s="5"/>
      <c s="5"/>
      <c s="5"/>
      <c s="5"/>
      <c s="5"/>
      <c s="5"/>
      <c s="5"/>
      <c s="5"/>
      <c s="5"/>
      <c s="5"/>
      <c s="5"/>
      <c s="5"/>
      <c s="5"/>
      <c s="5"/>
      <c s="5"/>
      <c s="5"/>
      <c s="5"/>
    </row>
    <row r="422" spans="1:26" ht="15.75">
      <c r="A422" s="5"/>
      <c s="5"/>
      <c s="5"/>
      <c s="5"/>
      <c s="5"/>
      <c s="5"/>
      <c s="5"/>
      <c s="5"/>
      <c s="5"/>
      <c s="5"/>
      <c s="5"/>
      <c s="5"/>
      <c s="5"/>
      <c s="5"/>
      <c s="5"/>
      <c s="5"/>
      <c s="5"/>
      <c s="5"/>
      <c s="5"/>
      <c s="5"/>
      <c s="5"/>
      <c s="5"/>
      <c s="5"/>
      <c s="5"/>
      <c s="5"/>
      <c s="5"/>
    </row>
    <row r="423" spans="1:26" ht="15.75">
      <c r="A423" s="5"/>
      <c s="5"/>
      <c s="5"/>
      <c s="5"/>
      <c s="5"/>
      <c s="5"/>
      <c s="5"/>
      <c s="5"/>
      <c s="5"/>
      <c s="5"/>
      <c s="5"/>
      <c s="5"/>
      <c s="5"/>
      <c s="5"/>
      <c s="5"/>
      <c s="5"/>
      <c s="5"/>
      <c s="5"/>
      <c s="5"/>
      <c s="5"/>
      <c s="5"/>
      <c s="5"/>
      <c s="5"/>
      <c s="5"/>
      <c s="5"/>
      <c s="5"/>
    </row>
    <row r="424" spans="1:26" ht="15.75">
      <c r="A424" s="5"/>
      <c s="5"/>
      <c s="5"/>
      <c s="5"/>
      <c s="5"/>
      <c s="5"/>
      <c s="5"/>
      <c s="5"/>
      <c s="5"/>
      <c s="5"/>
      <c s="5"/>
      <c s="5"/>
      <c s="5"/>
      <c s="5"/>
      <c s="5"/>
      <c s="5"/>
      <c s="5"/>
      <c s="5"/>
      <c s="5"/>
      <c s="5"/>
      <c s="5"/>
      <c s="5"/>
      <c s="5"/>
      <c s="5"/>
      <c s="5"/>
      <c s="5"/>
    </row>
    <row r="425" spans="1:26" ht="15.75">
      <c r="A425" s="5"/>
      <c s="5"/>
      <c s="5"/>
      <c s="5"/>
      <c s="5"/>
      <c s="5"/>
      <c s="5"/>
      <c s="5"/>
      <c s="5"/>
      <c s="5"/>
      <c s="5"/>
      <c s="5"/>
      <c s="5"/>
      <c s="5"/>
      <c s="5"/>
      <c s="5"/>
      <c s="5"/>
      <c s="5"/>
      <c s="5"/>
      <c s="5"/>
      <c s="5"/>
      <c s="5"/>
      <c s="5"/>
      <c s="5"/>
      <c s="5"/>
      <c s="5"/>
    </row>
    <row r="426" spans="1:26" ht="15.75">
      <c r="A426" s="5"/>
      <c s="5"/>
      <c s="5"/>
      <c s="5"/>
      <c s="5"/>
      <c s="5"/>
      <c s="5"/>
      <c s="5"/>
      <c s="5"/>
      <c s="5"/>
      <c s="5"/>
      <c s="5"/>
      <c s="5"/>
      <c s="5"/>
      <c s="5"/>
      <c s="5"/>
      <c s="5"/>
      <c s="5"/>
      <c s="5"/>
      <c s="5"/>
      <c s="5"/>
      <c s="5"/>
      <c s="5"/>
      <c s="5"/>
      <c s="5"/>
      <c s="5"/>
    </row>
    <row r="427" spans="1:26" ht="15.75">
      <c r="A427" s="5"/>
      <c s="5"/>
      <c s="5"/>
      <c s="5"/>
      <c s="5"/>
      <c s="5"/>
      <c s="5"/>
      <c s="5"/>
      <c s="5"/>
      <c s="5"/>
      <c s="5"/>
      <c s="5"/>
      <c s="5"/>
      <c s="5"/>
      <c s="5"/>
      <c s="5"/>
      <c s="5"/>
      <c s="5"/>
      <c s="5"/>
      <c s="5"/>
      <c s="5"/>
      <c s="5"/>
      <c s="5"/>
      <c s="5"/>
      <c s="5"/>
      <c s="5"/>
    </row>
    <row r="428" spans="1:26" ht="15.75">
      <c r="A428" s="5"/>
      <c s="5"/>
      <c s="5"/>
      <c s="5"/>
      <c s="5"/>
      <c s="5"/>
      <c s="5"/>
      <c s="5"/>
      <c s="5"/>
      <c s="5"/>
      <c s="5"/>
      <c s="5"/>
      <c s="5"/>
      <c s="5"/>
      <c s="5"/>
      <c s="5"/>
      <c s="5"/>
      <c s="5"/>
      <c s="5"/>
      <c s="5"/>
      <c s="5"/>
      <c s="5"/>
      <c s="5"/>
      <c s="5"/>
      <c s="5"/>
      <c s="5"/>
    </row>
    <row r="429" spans="1:26" ht="15.75">
      <c r="A429" s="5"/>
      <c s="5"/>
      <c s="5"/>
      <c s="5"/>
      <c s="5"/>
      <c s="5"/>
      <c s="5"/>
      <c s="5"/>
      <c s="5"/>
      <c s="5"/>
      <c s="5"/>
      <c s="5"/>
      <c s="5"/>
      <c s="5"/>
      <c s="5"/>
      <c s="5"/>
      <c s="5"/>
      <c s="5"/>
      <c s="5"/>
      <c s="5"/>
      <c s="5"/>
      <c s="5"/>
      <c s="5"/>
      <c s="5"/>
      <c s="5"/>
      <c s="5"/>
    </row>
    <row r="430" spans="1:26" ht="15.75">
      <c r="A430" s="5"/>
      <c s="5"/>
      <c s="5"/>
      <c s="5"/>
      <c s="5"/>
      <c s="5"/>
      <c s="5"/>
      <c s="5"/>
      <c s="5"/>
      <c s="5"/>
      <c s="5"/>
      <c s="5"/>
      <c s="5"/>
      <c s="5"/>
      <c s="5"/>
      <c s="5"/>
      <c s="5"/>
      <c s="5"/>
      <c s="5"/>
      <c s="5"/>
      <c s="5"/>
      <c s="5"/>
      <c s="5"/>
      <c s="5"/>
      <c s="5"/>
      <c s="5"/>
    </row>
    <row r="431" spans="1:26" ht="15.75">
      <c r="A431" s="5"/>
      <c s="5"/>
      <c s="5"/>
      <c s="5"/>
      <c s="5"/>
      <c s="5"/>
      <c s="5"/>
      <c s="5"/>
      <c s="5"/>
      <c s="5"/>
      <c s="5"/>
      <c s="5"/>
      <c s="5"/>
      <c s="5"/>
      <c s="5"/>
      <c s="5"/>
      <c s="5"/>
      <c s="5"/>
      <c s="5"/>
      <c s="5"/>
      <c s="5"/>
      <c s="5"/>
      <c s="5"/>
      <c s="5"/>
      <c s="5"/>
      <c s="5"/>
    </row>
    <row r="432" spans="1:26" ht="15.75">
      <c r="A432" s="5"/>
      <c s="5"/>
      <c s="5"/>
      <c s="5"/>
      <c s="5"/>
      <c s="5"/>
      <c s="5"/>
      <c s="5"/>
      <c s="5"/>
      <c s="5"/>
      <c s="5"/>
      <c s="5"/>
      <c s="5"/>
      <c s="5"/>
      <c s="5"/>
      <c s="5"/>
      <c s="5"/>
      <c s="5"/>
      <c s="5"/>
      <c s="5"/>
      <c s="5"/>
      <c s="5"/>
      <c s="5"/>
      <c s="5"/>
      <c s="5"/>
      <c s="5"/>
    </row>
    <row r="433" spans="1:26" ht="15.75">
      <c r="A433" s="5"/>
      <c s="5"/>
      <c s="5"/>
      <c s="5"/>
      <c s="5"/>
      <c s="5"/>
      <c s="5"/>
      <c s="5"/>
      <c s="5"/>
      <c s="5"/>
      <c s="5"/>
      <c s="5"/>
      <c s="5"/>
      <c s="5"/>
      <c s="5"/>
      <c s="5"/>
      <c s="5"/>
      <c s="5"/>
      <c s="5"/>
      <c s="5"/>
      <c s="5"/>
      <c s="5"/>
      <c s="5"/>
      <c s="5"/>
      <c s="5"/>
      <c s="5"/>
    </row>
    <row r="434" spans="1:26" ht="15.75">
      <c r="A434" s="5"/>
      <c s="5"/>
      <c s="5"/>
      <c s="5"/>
      <c s="5"/>
      <c s="5"/>
      <c s="5"/>
      <c s="5"/>
      <c s="5"/>
      <c s="5"/>
      <c s="5"/>
      <c s="5"/>
      <c s="5"/>
      <c s="5"/>
      <c s="5"/>
      <c s="5"/>
      <c s="5"/>
      <c s="5"/>
      <c s="5"/>
      <c s="5"/>
      <c s="5"/>
      <c s="5"/>
      <c s="5"/>
      <c s="5"/>
      <c s="5"/>
      <c s="5"/>
    </row>
    <row r="435" spans="1:26" ht="15.75">
      <c r="A435" s="5"/>
      <c s="5"/>
      <c s="5"/>
      <c s="5"/>
      <c s="5"/>
      <c s="5"/>
      <c s="5"/>
      <c s="5"/>
      <c s="5"/>
      <c s="5"/>
      <c s="5"/>
      <c s="5"/>
      <c s="5"/>
      <c s="5"/>
      <c s="5"/>
      <c s="5"/>
      <c s="5"/>
      <c s="5"/>
      <c s="5"/>
      <c s="5"/>
      <c s="5"/>
      <c s="5"/>
      <c s="5"/>
      <c s="5"/>
      <c s="5"/>
      <c s="5"/>
    </row>
    <row r="436" spans="1:26" ht="15.75">
      <c r="A436" s="5"/>
      <c s="5"/>
      <c s="5"/>
      <c s="5"/>
      <c s="5"/>
      <c s="5"/>
      <c s="5"/>
      <c s="5"/>
      <c s="5"/>
      <c s="5"/>
      <c s="5"/>
      <c s="5"/>
      <c s="5"/>
      <c s="5"/>
      <c s="5"/>
      <c s="5"/>
      <c s="5"/>
      <c s="5"/>
      <c s="5"/>
      <c s="5"/>
      <c s="5"/>
      <c s="5"/>
      <c s="5"/>
      <c s="5"/>
      <c s="5"/>
      <c s="5"/>
    </row>
    <row r="437" spans="1:26" ht="15.75">
      <c r="A437" s="5"/>
      <c s="5"/>
      <c s="5"/>
      <c s="5"/>
      <c s="5"/>
      <c s="5"/>
      <c s="5"/>
      <c s="5"/>
      <c s="5"/>
      <c s="5"/>
      <c s="5"/>
      <c s="5"/>
      <c s="5"/>
      <c s="5"/>
      <c s="5"/>
      <c s="5"/>
      <c s="5"/>
      <c s="5"/>
      <c s="5"/>
      <c s="5"/>
      <c s="5"/>
      <c s="5"/>
      <c s="5"/>
      <c s="5"/>
      <c s="5"/>
      <c s="5"/>
    </row>
    <row r="438" spans="1:26" ht="15.75">
      <c r="A438" s="5"/>
      <c s="5"/>
      <c s="5"/>
      <c s="5"/>
      <c s="5"/>
      <c s="5"/>
      <c s="5"/>
      <c s="5"/>
      <c s="5"/>
      <c s="5"/>
      <c s="5"/>
      <c s="5"/>
      <c s="5"/>
      <c s="5"/>
      <c s="5"/>
      <c s="5"/>
      <c s="5"/>
      <c s="5"/>
      <c s="5"/>
      <c s="5"/>
      <c s="5"/>
      <c s="5"/>
      <c s="5"/>
      <c s="5"/>
      <c s="5"/>
      <c s="5"/>
    </row>
    <row r="439" spans="1:26" ht="15.75">
      <c r="A439" s="5"/>
      <c s="5"/>
      <c s="5"/>
      <c s="5"/>
      <c s="5"/>
      <c s="5"/>
      <c s="5"/>
      <c s="5"/>
      <c s="5"/>
      <c s="5"/>
      <c s="5"/>
      <c s="5"/>
      <c s="5"/>
      <c s="5"/>
      <c s="5"/>
      <c s="5"/>
      <c s="5"/>
      <c s="5"/>
      <c s="5"/>
      <c s="5"/>
      <c s="5"/>
      <c s="5"/>
      <c s="5"/>
      <c s="5"/>
      <c s="5"/>
      <c s="5"/>
    </row>
    <row r="440" spans="1:26" ht="15.75">
      <c r="A440" s="5"/>
      <c s="5"/>
      <c s="5"/>
      <c s="5"/>
      <c s="5"/>
      <c s="5"/>
      <c s="5"/>
      <c s="5"/>
      <c s="5"/>
      <c s="5"/>
      <c s="5"/>
      <c s="5"/>
      <c s="5"/>
      <c s="5"/>
      <c s="5"/>
      <c s="5"/>
      <c s="5"/>
      <c s="5"/>
      <c s="5"/>
      <c s="5"/>
      <c s="5"/>
      <c s="5"/>
      <c s="5"/>
      <c s="5"/>
      <c s="5"/>
      <c s="5"/>
    </row>
    <row r="441" spans="1:26" ht="15.75">
      <c r="A441" s="5"/>
      <c s="5"/>
      <c s="5"/>
      <c s="5"/>
      <c s="5"/>
      <c s="5"/>
      <c s="5"/>
      <c s="5"/>
      <c s="5"/>
      <c s="5"/>
      <c s="5"/>
      <c s="5"/>
      <c s="5"/>
      <c s="5"/>
      <c s="5"/>
      <c s="5"/>
      <c s="5"/>
      <c s="5"/>
      <c s="5"/>
      <c s="5"/>
      <c s="5"/>
      <c s="5"/>
      <c s="5"/>
      <c s="5"/>
      <c s="5"/>
      <c s="5"/>
    </row>
    <row r="442" spans="1:26" ht="15.75">
      <c r="A442" s="5"/>
      <c s="5"/>
      <c s="5"/>
      <c s="5"/>
      <c s="5"/>
      <c s="5"/>
      <c s="5"/>
      <c s="5"/>
      <c s="5"/>
      <c s="5"/>
      <c s="5"/>
      <c s="5"/>
      <c s="5"/>
      <c s="5"/>
      <c s="5"/>
      <c s="5"/>
      <c s="5"/>
      <c s="5"/>
      <c s="5"/>
      <c s="5"/>
      <c s="5"/>
      <c s="5"/>
      <c s="5"/>
      <c s="5"/>
      <c s="5"/>
      <c s="5"/>
    </row>
    <row r="443" spans="1:26" ht="15.75">
      <c r="A443" s="5"/>
      <c s="5"/>
      <c s="5"/>
      <c s="5"/>
      <c s="5"/>
      <c s="5"/>
      <c s="5"/>
      <c s="5"/>
      <c s="5"/>
      <c s="5"/>
      <c s="5"/>
      <c s="5"/>
      <c s="5"/>
      <c s="5"/>
      <c s="5"/>
      <c s="5"/>
      <c s="5"/>
      <c s="5"/>
      <c s="5"/>
      <c s="5"/>
      <c s="5"/>
      <c s="5"/>
      <c s="5"/>
      <c s="5"/>
      <c s="5"/>
      <c s="5"/>
    </row>
    <row r="444" spans="1:26" ht="15.75">
      <c r="A444" s="5"/>
      <c s="5"/>
      <c s="5"/>
      <c s="5"/>
      <c s="5"/>
      <c s="5"/>
      <c s="5"/>
      <c s="5"/>
      <c s="5"/>
      <c s="5"/>
      <c s="5"/>
      <c s="5"/>
      <c s="5"/>
      <c s="5"/>
      <c s="5"/>
      <c s="5"/>
      <c s="5"/>
      <c s="5"/>
      <c s="5"/>
      <c s="5"/>
      <c s="5"/>
      <c s="5"/>
      <c s="5"/>
      <c s="5"/>
      <c s="5"/>
      <c s="5"/>
    </row>
    <row r="445" spans="1:26" ht="15.75">
      <c r="A445" s="5"/>
      <c s="5"/>
      <c s="5"/>
      <c s="5"/>
      <c s="5"/>
      <c s="5"/>
      <c s="5"/>
      <c s="5"/>
      <c s="5"/>
      <c s="5"/>
      <c s="5"/>
      <c s="5"/>
      <c s="5"/>
      <c s="5"/>
      <c s="5"/>
      <c s="5"/>
      <c s="5"/>
      <c s="5"/>
      <c s="5"/>
      <c s="5"/>
      <c s="5"/>
      <c s="5"/>
      <c s="5"/>
      <c s="5"/>
      <c s="5"/>
      <c s="5"/>
    </row>
    <row r="446" spans="1:26" ht="15.75">
      <c r="A446" s="5"/>
      <c s="5"/>
      <c s="5"/>
      <c s="5"/>
      <c s="5"/>
      <c s="5"/>
      <c s="5"/>
      <c s="5"/>
      <c s="5"/>
      <c s="5"/>
      <c s="5"/>
      <c s="5"/>
      <c s="5"/>
      <c s="5"/>
      <c s="5"/>
      <c s="5"/>
      <c s="5"/>
      <c s="5"/>
      <c s="5"/>
      <c s="5"/>
      <c s="5"/>
      <c s="5"/>
      <c s="5"/>
      <c s="5"/>
      <c s="5"/>
      <c s="5"/>
    </row>
    <row r="447" spans="1:26" ht="15.75">
      <c r="A447" s="5"/>
      <c s="5"/>
      <c s="5"/>
      <c s="5"/>
      <c s="5"/>
      <c s="5"/>
      <c s="5"/>
      <c s="5"/>
      <c s="5"/>
      <c s="5"/>
      <c s="5"/>
      <c s="5"/>
      <c s="5"/>
      <c s="5"/>
      <c s="5"/>
      <c s="5"/>
      <c s="5"/>
      <c s="5"/>
      <c s="5"/>
      <c s="5"/>
      <c s="5"/>
      <c s="5"/>
      <c s="5"/>
      <c s="5"/>
      <c s="5"/>
      <c s="5"/>
    </row>
    <row r="448" spans="1:26" ht="15.75">
      <c r="A448" s="5"/>
      <c s="5"/>
      <c s="5"/>
      <c s="5"/>
      <c s="5"/>
      <c s="5"/>
      <c s="5"/>
      <c s="5"/>
      <c s="5"/>
      <c s="5"/>
      <c s="5"/>
      <c s="5"/>
      <c s="5"/>
      <c s="5"/>
      <c s="5"/>
      <c s="5"/>
      <c s="5"/>
      <c s="5"/>
      <c s="5"/>
      <c s="5"/>
      <c s="5"/>
      <c s="5"/>
      <c s="5"/>
      <c s="5"/>
      <c s="5"/>
      <c s="5"/>
    </row>
    <row r="449" spans="1:26" ht="15.75">
      <c r="A449" s="5"/>
      <c s="5"/>
      <c s="5"/>
      <c s="5"/>
      <c s="5"/>
      <c s="5"/>
      <c s="5"/>
      <c s="5"/>
      <c s="5"/>
      <c s="5"/>
      <c s="5"/>
      <c s="5"/>
      <c s="5"/>
      <c s="5"/>
      <c s="5"/>
      <c s="5"/>
      <c s="5"/>
      <c s="5"/>
      <c s="5"/>
      <c s="5"/>
      <c s="5"/>
      <c s="5"/>
      <c s="5"/>
      <c s="5"/>
      <c s="5"/>
      <c s="5"/>
    </row>
    <row r="450" spans="1:26" ht="15.75">
      <c r="A450" s="5"/>
      <c s="5"/>
      <c s="5"/>
      <c s="5"/>
      <c s="5"/>
      <c s="5"/>
      <c s="5"/>
      <c s="5"/>
      <c s="5"/>
      <c s="5"/>
      <c s="5"/>
      <c s="5"/>
      <c s="5"/>
      <c s="5"/>
      <c s="5"/>
      <c s="5"/>
      <c s="5"/>
      <c s="5"/>
      <c s="5"/>
      <c s="5"/>
      <c s="5"/>
      <c s="5"/>
      <c s="5"/>
      <c s="5"/>
      <c s="5"/>
      <c s="5"/>
    </row>
    <row r="451" spans="1:26" ht="15.75">
      <c r="A451" s="5"/>
      <c s="5"/>
      <c s="5"/>
      <c s="5"/>
      <c s="5"/>
      <c s="5"/>
      <c s="5"/>
      <c s="5"/>
      <c s="5"/>
      <c s="5"/>
      <c s="5"/>
      <c s="5"/>
      <c s="5"/>
      <c s="5"/>
      <c s="5"/>
      <c s="5"/>
      <c s="5"/>
      <c s="5"/>
      <c s="5"/>
      <c s="5"/>
      <c s="5"/>
      <c s="5"/>
      <c s="5"/>
      <c s="5"/>
      <c s="5"/>
      <c s="5"/>
    </row>
    <row r="452" spans="1:26" ht="15.75">
      <c r="A452" s="5"/>
      <c s="5"/>
      <c s="5"/>
      <c s="5"/>
      <c s="5"/>
      <c s="5"/>
      <c s="5"/>
      <c s="5"/>
      <c s="5"/>
      <c s="5"/>
      <c s="5"/>
      <c s="5"/>
      <c s="5"/>
      <c s="5"/>
      <c s="5"/>
      <c s="5"/>
      <c s="5"/>
      <c s="5"/>
      <c s="5"/>
      <c s="5"/>
      <c s="5"/>
      <c s="5"/>
      <c s="5"/>
      <c s="5"/>
      <c s="5"/>
      <c s="5"/>
    </row>
    <row r="453" spans="1:26" ht="15.75">
      <c r="A453" s="5"/>
      <c s="5"/>
      <c s="5"/>
      <c s="5"/>
      <c s="5"/>
      <c s="5"/>
      <c s="5"/>
      <c s="5"/>
      <c s="5"/>
      <c s="5"/>
      <c s="5"/>
      <c s="5"/>
      <c s="5"/>
      <c s="5"/>
      <c s="5"/>
      <c s="5"/>
      <c s="5"/>
      <c s="5"/>
      <c s="5"/>
      <c s="5"/>
      <c s="5"/>
      <c s="5"/>
      <c s="5"/>
      <c s="5"/>
      <c s="5"/>
      <c s="5"/>
    </row>
    <row r="454" spans="1:26" ht="15.75">
      <c r="A454" s="5"/>
      <c s="5"/>
      <c s="5"/>
      <c s="5"/>
      <c s="5"/>
      <c s="5"/>
      <c s="5"/>
      <c s="5"/>
      <c s="5"/>
      <c s="5"/>
      <c s="5"/>
      <c s="5"/>
      <c s="5"/>
      <c s="5"/>
      <c s="5"/>
      <c s="5"/>
      <c s="5"/>
      <c s="5"/>
      <c s="5"/>
      <c s="5"/>
      <c s="5"/>
      <c s="5"/>
      <c s="5"/>
      <c s="5"/>
      <c s="5"/>
      <c s="5"/>
    </row>
    <row r="455" spans="1:26" ht="15.75">
      <c r="A455" s="5"/>
      <c s="5"/>
      <c s="5"/>
      <c s="5"/>
      <c s="5"/>
      <c s="5"/>
      <c s="5"/>
      <c s="5"/>
      <c s="5"/>
      <c s="5"/>
      <c s="5"/>
      <c s="5"/>
      <c s="5"/>
      <c s="5"/>
      <c s="5"/>
      <c s="5"/>
      <c s="5"/>
      <c s="5"/>
      <c s="5"/>
      <c s="5"/>
      <c s="5"/>
      <c s="5"/>
      <c s="5"/>
      <c s="5"/>
      <c s="5"/>
      <c s="5"/>
    </row>
    <row r="456" spans="1:26" ht="15.75">
      <c r="A456" s="5"/>
      <c s="5"/>
      <c s="5"/>
      <c s="5"/>
      <c s="5"/>
      <c s="5"/>
      <c s="5"/>
      <c s="5"/>
      <c s="5"/>
      <c s="5"/>
      <c s="5"/>
      <c s="5"/>
      <c s="5"/>
      <c s="5"/>
      <c s="5"/>
      <c s="5"/>
      <c s="5"/>
      <c s="5"/>
      <c s="5"/>
      <c s="5"/>
      <c s="5"/>
      <c s="5"/>
      <c s="5"/>
      <c s="5"/>
      <c s="5"/>
      <c s="5"/>
    </row>
    <row r="457" spans="1:26" ht="15.75">
      <c r="A457" s="5"/>
      <c s="5"/>
      <c s="5"/>
      <c s="5"/>
      <c s="5"/>
      <c s="5"/>
      <c s="5"/>
      <c s="5"/>
      <c s="5"/>
      <c s="5"/>
      <c s="5"/>
      <c s="5"/>
      <c s="5"/>
      <c s="5"/>
      <c s="5"/>
      <c s="5"/>
      <c s="5"/>
      <c s="5"/>
      <c s="5"/>
      <c s="5"/>
      <c s="5"/>
      <c s="5"/>
      <c s="5"/>
      <c s="5"/>
      <c s="5"/>
      <c s="5"/>
    </row>
    <row r="458" spans="1:26" ht="15.75">
      <c r="A458" s="5"/>
      <c s="5"/>
      <c s="5"/>
      <c s="5"/>
      <c s="5"/>
      <c s="5"/>
      <c s="5"/>
      <c s="5"/>
      <c s="5"/>
      <c s="5"/>
      <c s="5"/>
      <c s="5"/>
      <c s="5"/>
      <c s="5"/>
      <c s="5"/>
      <c s="5"/>
      <c s="5"/>
      <c s="5"/>
      <c s="5"/>
      <c s="5"/>
      <c s="5"/>
      <c s="5"/>
      <c s="5"/>
      <c s="5"/>
      <c s="5"/>
      <c s="5"/>
    </row>
    <row r="459" spans="1:26" ht="15.75">
      <c r="A459" s="5"/>
      <c s="5"/>
      <c s="5"/>
      <c s="5"/>
      <c s="5"/>
      <c s="5"/>
      <c s="5"/>
      <c s="5"/>
      <c s="5"/>
      <c s="5"/>
      <c s="5"/>
      <c s="5"/>
      <c s="5"/>
      <c s="5"/>
      <c s="5"/>
      <c s="5"/>
      <c s="5"/>
      <c s="5"/>
      <c s="5"/>
      <c s="5"/>
      <c s="5"/>
      <c s="5"/>
      <c s="5"/>
      <c s="5"/>
      <c s="5"/>
      <c s="5"/>
    </row>
    <row r="460" spans="1:26" ht="15.75">
      <c r="A460" s="5"/>
      <c s="5"/>
      <c s="5"/>
      <c s="5"/>
      <c s="5"/>
      <c s="5"/>
      <c s="5"/>
      <c s="5"/>
      <c s="5"/>
      <c s="5"/>
      <c s="5"/>
      <c s="5"/>
      <c s="5"/>
      <c s="5"/>
      <c s="5"/>
      <c s="5"/>
      <c s="5"/>
      <c s="5"/>
      <c s="5"/>
      <c s="5"/>
      <c s="5"/>
      <c s="5"/>
      <c s="5"/>
      <c s="5"/>
      <c s="5"/>
      <c s="5"/>
    </row>
    <row r="461" spans="1:26" ht="15.75">
      <c r="A461" s="5"/>
      <c s="5"/>
      <c s="5"/>
      <c s="5"/>
      <c s="5"/>
      <c s="5"/>
      <c s="5"/>
      <c s="5"/>
      <c s="5"/>
      <c s="5"/>
      <c s="5"/>
      <c s="5"/>
      <c s="5"/>
      <c s="5"/>
      <c s="5"/>
      <c s="5"/>
      <c s="5"/>
      <c s="5"/>
      <c s="5"/>
      <c s="5"/>
      <c s="5"/>
      <c s="5"/>
      <c s="5"/>
      <c s="5"/>
      <c s="5"/>
      <c s="5"/>
    </row>
    <row r="462" spans="1:26" ht="15.75">
      <c r="A462" s="5"/>
      <c s="5"/>
      <c s="5"/>
      <c s="5"/>
      <c s="5"/>
      <c s="5"/>
      <c s="5"/>
      <c s="5"/>
      <c s="5"/>
      <c s="5"/>
      <c s="5"/>
      <c s="5"/>
      <c s="5"/>
      <c s="5"/>
      <c s="5"/>
      <c s="5"/>
      <c s="5"/>
      <c s="5"/>
      <c s="5"/>
      <c s="5"/>
      <c s="5"/>
      <c s="5"/>
      <c s="5"/>
      <c s="5"/>
      <c s="5"/>
      <c s="5"/>
    </row>
    <row r="463" spans="1:26" ht="15.75">
      <c r="A463" s="5"/>
      <c s="5"/>
      <c s="5"/>
      <c s="5"/>
      <c s="5"/>
      <c s="5"/>
      <c s="5"/>
      <c s="5"/>
      <c s="5"/>
      <c s="5"/>
      <c s="5"/>
      <c s="5"/>
      <c s="5"/>
      <c s="5"/>
      <c s="5"/>
      <c s="5"/>
      <c s="5"/>
      <c s="5"/>
      <c s="5"/>
      <c s="5"/>
      <c s="5"/>
      <c s="5"/>
      <c s="5"/>
      <c s="5"/>
      <c s="5"/>
      <c s="5"/>
    </row>
    <row r="464" spans="1:26" ht="15.75">
      <c r="A464" s="5"/>
      <c s="5"/>
      <c s="5"/>
      <c s="5"/>
      <c s="5"/>
      <c s="5"/>
      <c s="5"/>
      <c s="5"/>
      <c s="5"/>
      <c s="5"/>
      <c s="5"/>
      <c s="5"/>
      <c s="5"/>
      <c s="5"/>
      <c s="5"/>
      <c s="5"/>
      <c s="5"/>
      <c s="5"/>
      <c s="5"/>
      <c s="5"/>
      <c s="5"/>
      <c s="5"/>
      <c s="5"/>
      <c s="5"/>
      <c s="5"/>
      <c s="5"/>
    </row>
    <row r="465" spans="1:26" ht="15.75">
      <c r="A465" s="5"/>
      <c s="5"/>
      <c s="5"/>
      <c s="5"/>
      <c s="5"/>
      <c s="5"/>
      <c s="5"/>
      <c s="5"/>
      <c s="5"/>
      <c s="5"/>
      <c s="5"/>
      <c s="5"/>
      <c s="5"/>
      <c s="5"/>
      <c s="5"/>
      <c s="5"/>
      <c s="5"/>
      <c s="5"/>
      <c s="5"/>
      <c s="5"/>
      <c s="5"/>
      <c s="5"/>
      <c s="5"/>
      <c s="5"/>
      <c s="5"/>
      <c s="5"/>
    </row>
    <row r="466" spans="1:26" ht="15.75">
      <c r="A466" s="5"/>
      <c s="5"/>
      <c s="5"/>
      <c s="5"/>
      <c s="5"/>
      <c s="5"/>
      <c s="5"/>
      <c s="5"/>
      <c s="5"/>
      <c s="5"/>
      <c s="5"/>
      <c s="5"/>
      <c s="5"/>
      <c s="5"/>
      <c s="5"/>
      <c s="5"/>
      <c s="5"/>
      <c s="5"/>
      <c s="5"/>
      <c s="5"/>
      <c s="5"/>
      <c s="5"/>
      <c s="5"/>
      <c s="5"/>
      <c s="5"/>
      <c s="5"/>
    </row>
    <row r="467" spans="1:26" ht="15.75">
      <c r="A467" s="5"/>
      <c s="5"/>
      <c s="5"/>
      <c s="5"/>
      <c s="5"/>
      <c s="5"/>
      <c s="5"/>
      <c s="5"/>
      <c s="5"/>
      <c s="5"/>
      <c s="5"/>
      <c s="5"/>
      <c s="5"/>
      <c s="5"/>
      <c s="5"/>
      <c s="5"/>
      <c s="5"/>
      <c s="5"/>
      <c s="5"/>
      <c s="5"/>
      <c s="5"/>
      <c s="5"/>
      <c s="5"/>
      <c s="5"/>
      <c s="5"/>
      <c s="5"/>
    </row>
    <row r="468" spans="1:26" ht="15.75">
      <c r="A468" s="5"/>
      <c s="5"/>
      <c s="5"/>
      <c s="5"/>
      <c s="5"/>
      <c s="5"/>
      <c s="5"/>
      <c s="5"/>
      <c s="5"/>
      <c s="5"/>
      <c s="5"/>
      <c s="5"/>
      <c s="5"/>
      <c s="5"/>
      <c s="5"/>
      <c s="5"/>
      <c s="5"/>
      <c s="5"/>
      <c s="5"/>
      <c s="5"/>
      <c s="5"/>
      <c s="5"/>
      <c s="5"/>
      <c s="5"/>
      <c s="5"/>
      <c s="5"/>
    </row>
    <row r="469" spans="1:26" ht="15.75">
      <c r="A469" s="5"/>
      <c s="5"/>
      <c s="5"/>
      <c s="5"/>
      <c s="5"/>
      <c s="5"/>
      <c s="5"/>
      <c s="5"/>
      <c s="5"/>
      <c s="5"/>
      <c s="5"/>
      <c s="5"/>
      <c s="5"/>
      <c s="5"/>
      <c s="5"/>
      <c s="5"/>
      <c s="5"/>
      <c s="5"/>
      <c s="5"/>
      <c s="5"/>
      <c s="5"/>
      <c s="5"/>
      <c s="5"/>
      <c s="5"/>
      <c s="5"/>
      <c s="5"/>
    </row>
    <row r="470" spans="1:26" ht="15.75">
      <c r="A470" s="5"/>
      <c s="5"/>
      <c s="5"/>
      <c s="5"/>
      <c s="5"/>
      <c s="5"/>
      <c s="5"/>
      <c s="5"/>
      <c s="5"/>
      <c s="5"/>
      <c s="5"/>
      <c s="5"/>
      <c s="5"/>
      <c s="5"/>
      <c s="5"/>
      <c s="5"/>
      <c s="5"/>
      <c s="5"/>
      <c s="5"/>
      <c s="5"/>
      <c s="5"/>
      <c s="5"/>
      <c s="5"/>
      <c s="5"/>
      <c s="5"/>
      <c s="5"/>
    </row>
    <row r="471" spans="1:26" ht="15.75">
      <c r="A471" s="5"/>
      <c s="5"/>
      <c s="5"/>
      <c s="5"/>
      <c s="5"/>
      <c s="5"/>
      <c s="5"/>
      <c s="5"/>
      <c s="5"/>
      <c s="5"/>
      <c s="5"/>
      <c s="5"/>
      <c s="5"/>
      <c s="5"/>
      <c s="5"/>
      <c s="5"/>
      <c s="5"/>
      <c s="5"/>
      <c s="5"/>
      <c s="5"/>
      <c s="5"/>
      <c s="5"/>
      <c s="5"/>
      <c s="5"/>
      <c s="5"/>
      <c s="5"/>
    </row>
    <row r="472" spans="1:26" ht="15.75">
      <c r="A472" s="5"/>
      <c s="5"/>
      <c s="5"/>
      <c s="5"/>
      <c s="5"/>
      <c s="5"/>
      <c s="5"/>
      <c s="5"/>
      <c s="5"/>
      <c s="5"/>
      <c s="5"/>
      <c s="5"/>
      <c s="5"/>
      <c s="5"/>
      <c s="5"/>
      <c s="5"/>
      <c s="5"/>
      <c s="5"/>
      <c s="5"/>
      <c s="5"/>
      <c s="5"/>
      <c s="5"/>
      <c s="5"/>
      <c s="5"/>
      <c s="5"/>
      <c s="5"/>
    </row>
    <row r="473" spans="1:26" ht="15.75">
      <c r="A473" s="5"/>
      <c s="5"/>
      <c s="5"/>
      <c s="5"/>
      <c s="5"/>
      <c s="5"/>
      <c s="5"/>
      <c s="5"/>
      <c s="5"/>
      <c s="5"/>
      <c s="5"/>
      <c s="5"/>
      <c s="5"/>
      <c s="5"/>
      <c s="5"/>
      <c s="5"/>
      <c s="5"/>
      <c s="5"/>
      <c s="5"/>
      <c s="5"/>
      <c s="5"/>
      <c s="5"/>
      <c s="5"/>
      <c s="5"/>
      <c s="5"/>
      <c s="5"/>
    </row>
    <row r="474" spans="1:26" ht="15.75">
      <c r="A474" s="5"/>
      <c s="5"/>
      <c s="5"/>
      <c s="5"/>
      <c s="5"/>
      <c s="5"/>
      <c s="5"/>
      <c s="5"/>
      <c s="5"/>
      <c s="5"/>
      <c s="5"/>
      <c s="5"/>
      <c s="5"/>
      <c s="5"/>
      <c s="5"/>
      <c s="5"/>
      <c s="5"/>
      <c s="5"/>
      <c s="5"/>
      <c s="5"/>
      <c s="5"/>
      <c s="5"/>
      <c s="5"/>
      <c s="5"/>
      <c s="5"/>
      <c s="5"/>
    </row>
    <row r="475" spans="1:26" ht="15.75">
      <c r="A475" s="5"/>
      <c s="5"/>
      <c s="5"/>
      <c s="5"/>
      <c s="5"/>
      <c s="5"/>
      <c s="5"/>
      <c s="5"/>
      <c s="5"/>
      <c s="5"/>
      <c s="5"/>
      <c s="5"/>
      <c s="5"/>
      <c s="5"/>
      <c s="5"/>
      <c s="5"/>
      <c s="5"/>
      <c s="5"/>
      <c s="5"/>
      <c s="5"/>
      <c s="5"/>
      <c s="5"/>
      <c s="5"/>
      <c s="5"/>
      <c s="5"/>
      <c s="5"/>
    </row>
    <row r="476" spans="1:26" ht="15.75">
      <c r="A476" s="5"/>
      <c s="5"/>
      <c s="5"/>
      <c s="5"/>
      <c s="5"/>
      <c s="5"/>
      <c s="5"/>
      <c s="5"/>
      <c s="5"/>
      <c s="5"/>
      <c s="5"/>
      <c s="5"/>
      <c s="5"/>
      <c s="5"/>
      <c s="5"/>
      <c s="5"/>
      <c s="5"/>
      <c s="5"/>
      <c s="5"/>
      <c s="5"/>
      <c s="5"/>
      <c s="5"/>
      <c s="5"/>
      <c s="5"/>
      <c s="5"/>
      <c s="5"/>
    </row>
    <row r="477" spans="1:26" ht="15.75">
      <c r="A477" s="5"/>
      <c s="5"/>
      <c s="5"/>
      <c s="5"/>
      <c s="5"/>
      <c s="5"/>
      <c s="5"/>
      <c s="5"/>
      <c s="5"/>
      <c s="5"/>
      <c s="5"/>
      <c s="5"/>
      <c s="5"/>
      <c s="5"/>
      <c s="5"/>
      <c s="5"/>
      <c s="5"/>
      <c s="5"/>
      <c s="5"/>
      <c s="5"/>
      <c s="5"/>
      <c s="5"/>
      <c s="5"/>
      <c s="5"/>
      <c s="5"/>
      <c s="5"/>
    </row>
    <row r="478" spans="1:26" ht="15.75">
      <c r="A478" s="5"/>
      <c s="5"/>
      <c s="5"/>
      <c s="5"/>
      <c s="5"/>
      <c s="5"/>
      <c s="5"/>
      <c s="5"/>
      <c s="5"/>
      <c s="5"/>
      <c s="5"/>
      <c s="5"/>
      <c s="5"/>
      <c s="5"/>
      <c s="5"/>
      <c s="5"/>
      <c s="5"/>
      <c s="5"/>
      <c s="5"/>
      <c s="5"/>
      <c s="5"/>
      <c s="5"/>
      <c s="5"/>
      <c s="5"/>
      <c s="5"/>
      <c s="5"/>
    </row>
    <row r="479" spans="1:26" ht="15.75">
      <c r="A479" s="5"/>
      <c s="5"/>
      <c s="5"/>
      <c s="5"/>
      <c s="5"/>
      <c s="5"/>
      <c s="5"/>
      <c s="5"/>
      <c s="5"/>
      <c s="5"/>
      <c s="5"/>
      <c s="5"/>
      <c s="5"/>
      <c s="5"/>
      <c s="5"/>
      <c s="5"/>
      <c s="5"/>
      <c s="5"/>
      <c s="5"/>
      <c s="5"/>
      <c s="5"/>
      <c s="5"/>
      <c s="5"/>
      <c s="5"/>
      <c s="5"/>
      <c s="5"/>
    </row>
    <row r="480" spans="1:26" ht="15.75">
      <c r="A480" s="5"/>
      <c s="5"/>
      <c s="5"/>
      <c s="5"/>
      <c s="5"/>
      <c s="5"/>
      <c s="5"/>
      <c s="5"/>
      <c s="5"/>
      <c s="5"/>
      <c s="5"/>
      <c s="5"/>
      <c s="5"/>
      <c s="5"/>
      <c s="5"/>
      <c s="5"/>
      <c s="5"/>
      <c s="5"/>
      <c s="5"/>
      <c s="5"/>
      <c s="5"/>
      <c s="5"/>
      <c s="5"/>
      <c s="5"/>
      <c s="5"/>
      <c s="5"/>
    </row>
    <row r="481" spans="1:26" ht="15.75">
      <c r="A481" s="5"/>
      <c s="5"/>
      <c s="5"/>
      <c s="5"/>
      <c s="5"/>
      <c s="5"/>
      <c s="5"/>
      <c s="5"/>
      <c s="5"/>
      <c s="5"/>
      <c s="5"/>
      <c s="5"/>
      <c s="5"/>
      <c s="5"/>
      <c s="5"/>
      <c s="5"/>
      <c s="5"/>
      <c s="5"/>
      <c s="5"/>
      <c s="5"/>
      <c s="5"/>
      <c s="5"/>
      <c s="5"/>
      <c s="5"/>
      <c s="5"/>
      <c s="5"/>
    </row>
    <row r="482" spans="1:26" ht="15.75">
      <c r="A482" s="5"/>
      <c s="5"/>
      <c s="5"/>
      <c s="5"/>
      <c s="5"/>
      <c s="5"/>
      <c s="5"/>
      <c s="5"/>
      <c s="5"/>
      <c s="5"/>
      <c s="5"/>
      <c s="5"/>
      <c s="5"/>
      <c s="5"/>
      <c s="5"/>
      <c s="5"/>
      <c s="5"/>
      <c s="5"/>
      <c s="5"/>
      <c s="5"/>
      <c s="5"/>
      <c s="5"/>
      <c s="5"/>
      <c s="5"/>
      <c s="5"/>
      <c s="5"/>
    </row>
    <row r="483" spans="1:26" ht="15.75">
      <c r="A483" s="5"/>
      <c s="5"/>
      <c s="5"/>
      <c s="5"/>
      <c s="5"/>
      <c s="5"/>
      <c s="5"/>
      <c s="5"/>
      <c s="5"/>
      <c s="5"/>
      <c s="5"/>
      <c s="5"/>
      <c s="5"/>
      <c s="5"/>
      <c s="5"/>
      <c s="5"/>
      <c s="5"/>
      <c s="5"/>
      <c s="5"/>
      <c s="5"/>
      <c s="5"/>
      <c s="5"/>
      <c s="5"/>
      <c s="5"/>
      <c s="5"/>
      <c s="5"/>
    </row>
    <row r="484" spans="1:26" ht="15.75">
      <c r="A484" s="5"/>
      <c s="5"/>
      <c s="5"/>
      <c s="5"/>
      <c s="5"/>
      <c s="5"/>
      <c s="5"/>
      <c s="5"/>
      <c s="5"/>
      <c s="5"/>
      <c s="5"/>
      <c s="5"/>
      <c s="5"/>
      <c s="5"/>
      <c s="5"/>
      <c s="5"/>
      <c s="5"/>
      <c s="5"/>
      <c s="5"/>
      <c s="5"/>
      <c s="5"/>
      <c s="5"/>
      <c s="5"/>
      <c s="5"/>
      <c s="5"/>
      <c s="5"/>
    </row>
    <row r="485" spans="1:26" ht="15.75">
      <c r="A485" s="5"/>
      <c s="5"/>
      <c s="5"/>
      <c s="5"/>
      <c s="5"/>
      <c s="5"/>
      <c s="5"/>
      <c s="5"/>
      <c s="5"/>
      <c s="5"/>
      <c s="5"/>
      <c s="5"/>
      <c s="5"/>
      <c s="5"/>
      <c s="5"/>
      <c s="5"/>
      <c s="5"/>
      <c s="5"/>
      <c s="5"/>
      <c s="5"/>
      <c s="5"/>
      <c s="5"/>
      <c s="5"/>
      <c s="5"/>
      <c s="5"/>
      <c s="5"/>
    </row>
    <row r="486" spans="1:26" ht="15.75">
      <c r="A486" s="5"/>
      <c s="5"/>
      <c s="5"/>
      <c s="5"/>
      <c s="5"/>
      <c s="5"/>
      <c s="5"/>
      <c s="5"/>
      <c s="5"/>
      <c s="5"/>
      <c s="5"/>
      <c s="5"/>
      <c s="5"/>
      <c s="5"/>
      <c s="5"/>
      <c s="5"/>
      <c s="5"/>
      <c s="5"/>
      <c s="5"/>
      <c s="5"/>
      <c s="5"/>
      <c s="5"/>
      <c s="5"/>
      <c s="5"/>
      <c s="5"/>
      <c s="5"/>
    </row>
    <row r="487" spans="1:26" ht="15.75">
      <c r="A487" s="5"/>
      <c s="5"/>
      <c s="5"/>
      <c s="5"/>
      <c s="5"/>
      <c s="5"/>
      <c s="5"/>
      <c s="5"/>
      <c s="5"/>
      <c s="5"/>
      <c s="5"/>
      <c s="5"/>
      <c s="5"/>
      <c s="5"/>
      <c s="5"/>
      <c s="5"/>
      <c s="5"/>
      <c s="5"/>
      <c s="5"/>
      <c s="5"/>
      <c s="5"/>
      <c s="5"/>
      <c s="5"/>
      <c s="5"/>
      <c s="5"/>
      <c s="5"/>
    </row>
    <row r="488" spans="1:26" ht="15.75">
      <c r="A488" s="5"/>
      <c s="5"/>
      <c s="5"/>
      <c s="5"/>
      <c s="5"/>
      <c s="5"/>
      <c s="5"/>
      <c s="5"/>
      <c s="5"/>
      <c s="5"/>
      <c s="5"/>
      <c s="5"/>
      <c s="5"/>
      <c s="5"/>
      <c s="5"/>
      <c s="5"/>
      <c s="5"/>
      <c s="5"/>
      <c s="5"/>
      <c s="5"/>
      <c s="5"/>
      <c s="5"/>
      <c s="5"/>
      <c s="5"/>
      <c s="5"/>
      <c s="5"/>
    </row>
    <row r="489" spans="1:26" ht="15.75">
      <c r="A489" s="5"/>
      <c s="5"/>
      <c s="5"/>
      <c s="5"/>
      <c s="5"/>
      <c s="5"/>
      <c s="5"/>
      <c s="5"/>
      <c s="5"/>
      <c s="5"/>
      <c s="5"/>
      <c s="5"/>
      <c s="5"/>
      <c s="5"/>
      <c s="5"/>
      <c s="5"/>
      <c s="5"/>
      <c s="5"/>
      <c s="5"/>
      <c s="5"/>
      <c s="5"/>
      <c s="5"/>
      <c s="5"/>
      <c s="5"/>
      <c s="5"/>
      <c s="5"/>
    </row>
    <row r="490" spans="1:26" ht="15.75">
      <c r="A490" s="5"/>
      <c s="5"/>
      <c s="5"/>
      <c s="5"/>
      <c s="5"/>
      <c s="5"/>
      <c s="5"/>
      <c s="5"/>
      <c s="5"/>
      <c s="5"/>
      <c s="5"/>
      <c s="5"/>
      <c s="5"/>
      <c s="5"/>
      <c s="5"/>
      <c s="5"/>
      <c s="5"/>
      <c s="5"/>
      <c s="5"/>
      <c s="5"/>
      <c s="5"/>
      <c s="5"/>
      <c s="5"/>
      <c s="5"/>
      <c s="5"/>
      <c s="5"/>
    </row>
    <row r="491" spans="1:26" ht="15.75">
      <c r="A491" s="5"/>
      <c s="5"/>
      <c s="5"/>
      <c s="5"/>
      <c s="5"/>
      <c s="5"/>
      <c s="5"/>
      <c s="5"/>
      <c s="5"/>
      <c s="5"/>
      <c s="5"/>
      <c s="5"/>
      <c s="5"/>
      <c s="5"/>
      <c s="5"/>
      <c s="5"/>
      <c s="5"/>
      <c s="5"/>
      <c s="5"/>
      <c s="5"/>
      <c s="5"/>
      <c s="5"/>
      <c s="5"/>
      <c s="5"/>
      <c s="5"/>
      <c s="5"/>
    </row>
    <row r="492" spans="1:26" ht="15.75">
      <c r="A492" s="5"/>
      <c s="5"/>
      <c s="5"/>
      <c s="5"/>
      <c s="5"/>
      <c s="5"/>
      <c s="5"/>
      <c s="5"/>
      <c s="5"/>
      <c s="5"/>
      <c s="5"/>
      <c s="5"/>
      <c s="5"/>
      <c s="5"/>
      <c s="5"/>
      <c s="5"/>
      <c s="5"/>
      <c s="5"/>
      <c s="5"/>
      <c s="5"/>
      <c s="5"/>
      <c s="5"/>
      <c s="5"/>
      <c s="5"/>
      <c s="5"/>
      <c s="5"/>
    </row>
    <row r="493" spans="1:26" ht="15.75">
      <c r="A493" s="5"/>
      <c s="5"/>
      <c s="5"/>
      <c s="5"/>
      <c s="5"/>
      <c s="5"/>
      <c s="5"/>
      <c s="5"/>
      <c s="5"/>
      <c s="5"/>
      <c s="5"/>
      <c s="5"/>
      <c s="5"/>
      <c s="5"/>
      <c s="5"/>
      <c s="5"/>
      <c s="5"/>
      <c s="5"/>
      <c s="5"/>
      <c s="5"/>
      <c s="5"/>
      <c s="5"/>
      <c s="5"/>
      <c s="5"/>
      <c s="5"/>
      <c s="5"/>
    </row>
    <row r="494" spans="1:26" ht="15.75">
      <c r="A494" s="5"/>
      <c s="5"/>
      <c s="5"/>
      <c s="5"/>
      <c s="5"/>
      <c s="5"/>
      <c s="5"/>
      <c s="5"/>
      <c s="5"/>
      <c s="5"/>
      <c s="5"/>
      <c s="5"/>
      <c s="5"/>
      <c s="5"/>
      <c s="5"/>
      <c s="5"/>
      <c s="5"/>
      <c s="5"/>
      <c s="5"/>
      <c s="5"/>
      <c s="5"/>
      <c s="5"/>
      <c s="5"/>
      <c s="5"/>
      <c s="5"/>
      <c s="5"/>
    </row>
    <row r="495" spans="1:26" ht="15.75">
      <c r="A495" s="5"/>
      <c s="5"/>
      <c s="5"/>
      <c s="5"/>
      <c s="5"/>
      <c s="5"/>
      <c s="5"/>
      <c s="5"/>
      <c s="5"/>
      <c s="5"/>
      <c s="5"/>
      <c s="5"/>
      <c s="5"/>
      <c s="5"/>
      <c s="5"/>
      <c s="5"/>
      <c s="5"/>
      <c s="5"/>
      <c s="5"/>
      <c s="5"/>
      <c s="5"/>
      <c s="5"/>
      <c s="5"/>
      <c s="5"/>
      <c s="5"/>
      <c s="5"/>
    </row>
    <row r="496" spans="1:26" ht="15.75">
      <c r="A496" s="5"/>
      <c s="5"/>
      <c s="5"/>
      <c s="5"/>
      <c s="5"/>
      <c s="5"/>
      <c s="5"/>
      <c s="5"/>
      <c s="5"/>
      <c s="5"/>
      <c s="5"/>
      <c s="5"/>
      <c s="5"/>
      <c s="5"/>
      <c s="5"/>
      <c s="5"/>
      <c s="5"/>
      <c s="5"/>
      <c s="5"/>
      <c s="5"/>
      <c s="5"/>
      <c s="5"/>
      <c s="5"/>
      <c s="5"/>
      <c s="5"/>
      <c s="5"/>
    </row>
    <row r="497" spans="1:26" ht="15.75">
      <c r="A497" s="5"/>
      <c s="5"/>
      <c s="5"/>
      <c s="5"/>
      <c s="5"/>
      <c s="5"/>
      <c s="5"/>
      <c s="5"/>
      <c s="5"/>
      <c s="5"/>
      <c s="5"/>
      <c s="5"/>
      <c s="5"/>
      <c s="5"/>
      <c s="5"/>
      <c s="5"/>
      <c s="5"/>
      <c s="5"/>
      <c s="5"/>
      <c s="5"/>
      <c s="5"/>
      <c s="5"/>
      <c s="5"/>
      <c s="5"/>
      <c s="5"/>
      <c s="5"/>
    </row>
    <row r="498" spans="1:26" ht="15.75">
      <c r="A498" s="5"/>
      <c s="5"/>
      <c s="5"/>
      <c s="5"/>
      <c s="5"/>
      <c s="5"/>
      <c s="5"/>
      <c s="5"/>
      <c s="5"/>
      <c s="5"/>
      <c s="5"/>
      <c s="5"/>
      <c s="5"/>
      <c s="5"/>
      <c s="5"/>
      <c s="5"/>
      <c s="5"/>
      <c s="5"/>
      <c s="5"/>
      <c s="5"/>
      <c s="5"/>
      <c s="5"/>
      <c s="5"/>
      <c s="5"/>
      <c s="5"/>
      <c s="5"/>
    </row>
    <row r="499" spans="1:26" ht="15.75">
      <c r="A499" s="5"/>
      <c s="5"/>
      <c s="5"/>
      <c s="5"/>
      <c s="5"/>
      <c s="5"/>
      <c s="5"/>
      <c s="5"/>
      <c s="5"/>
      <c s="5"/>
      <c s="5"/>
      <c s="5"/>
      <c s="5"/>
      <c s="5"/>
      <c s="5"/>
      <c s="5"/>
      <c s="5"/>
      <c s="5"/>
      <c s="5"/>
      <c s="5"/>
      <c s="5"/>
      <c s="5"/>
      <c s="5"/>
      <c s="5"/>
      <c s="5"/>
      <c s="5"/>
    </row>
    <row r="500" spans="1:26" ht="15.75">
      <c r="A500" s="5"/>
      <c s="5"/>
      <c s="5"/>
      <c s="5"/>
      <c s="5"/>
      <c s="5"/>
      <c s="5"/>
      <c s="5"/>
      <c s="5"/>
      <c s="5"/>
      <c s="5"/>
      <c s="5"/>
      <c s="5"/>
      <c s="5"/>
      <c s="5"/>
      <c s="5"/>
      <c s="5"/>
      <c s="5"/>
      <c s="5"/>
      <c s="5"/>
      <c s="5"/>
      <c s="5"/>
      <c s="5"/>
      <c s="5"/>
      <c s="5"/>
      <c s="5"/>
    </row>
    <row r="501" spans="1:26" ht="15.75">
      <c r="A501" s="5"/>
      <c s="5"/>
      <c s="5"/>
      <c s="5"/>
      <c s="5"/>
      <c s="5"/>
      <c s="5"/>
      <c s="5"/>
      <c s="5"/>
      <c s="5"/>
      <c s="5"/>
      <c s="5"/>
      <c s="5"/>
      <c s="5"/>
      <c s="5"/>
      <c s="5"/>
      <c s="5"/>
      <c s="5"/>
      <c s="5"/>
      <c s="5"/>
      <c s="5"/>
      <c s="5"/>
      <c s="5"/>
      <c s="5"/>
      <c s="5"/>
      <c s="5"/>
    </row>
    <row r="502" spans="1:26" ht="15.75">
      <c r="A502" s="5"/>
      <c s="5"/>
      <c s="5"/>
      <c s="5"/>
      <c s="5"/>
      <c s="5"/>
      <c s="5"/>
      <c s="5"/>
      <c s="5"/>
      <c s="5"/>
      <c s="5"/>
      <c s="5"/>
      <c s="5"/>
      <c s="5"/>
      <c s="5"/>
      <c s="5"/>
      <c s="5"/>
      <c s="5"/>
      <c s="5"/>
      <c s="5"/>
      <c s="5"/>
      <c s="5"/>
      <c s="5"/>
      <c s="5"/>
      <c s="5"/>
      <c s="5"/>
    </row>
    <row r="503" spans="1:26" ht="15.75">
      <c r="A503" s="5"/>
      <c s="5"/>
      <c s="5"/>
      <c s="5"/>
      <c s="5"/>
      <c s="5"/>
      <c s="5"/>
      <c s="5"/>
      <c s="5"/>
      <c s="5"/>
      <c s="5"/>
      <c s="5"/>
      <c s="5"/>
      <c s="5"/>
      <c s="5"/>
      <c s="5"/>
      <c s="5"/>
      <c s="5"/>
      <c s="5"/>
      <c s="5"/>
      <c s="5"/>
      <c s="5"/>
      <c s="5"/>
      <c s="5"/>
      <c s="5"/>
      <c s="5"/>
    </row>
    <row r="504" spans="1:26" ht="15.75">
      <c r="A504" s="5"/>
      <c s="5"/>
      <c s="5"/>
      <c s="5"/>
      <c s="5"/>
      <c s="5"/>
      <c s="5"/>
      <c s="5"/>
      <c s="5"/>
      <c s="5"/>
      <c s="5"/>
      <c s="5"/>
      <c s="5"/>
      <c s="5"/>
      <c s="5"/>
      <c s="5"/>
      <c s="5"/>
      <c s="5"/>
      <c s="5"/>
      <c s="5"/>
      <c s="5"/>
      <c s="5"/>
      <c s="5"/>
      <c s="5"/>
      <c s="5"/>
      <c s="5"/>
    </row>
    <row r="505" spans="1:26" ht="15.75">
      <c r="A505" s="5"/>
      <c s="5"/>
      <c s="5"/>
      <c s="5"/>
      <c s="5"/>
      <c s="5"/>
      <c s="5"/>
      <c s="5"/>
      <c s="5"/>
      <c s="5"/>
      <c s="5"/>
      <c s="5"/>
      <c s="5"/>
      <c s="5"/>
      <c s="5"/>
      <c s="5"/>
      <c s="5"/>
      <c s="5"/>
      <c s="5"/>
      <c s="5"/>
      <c s="5"/>
      <c s="5"/>
      <c s="5"/>
      <c s="5"/>
      <c s="5"/>
      <c s="5"/>
    </row>
    <row r="506" spans="1:26" ht="15.75">
      <c r="A506" s="5"/>
      <c s="5"/>
      <c s="5"/>
      <c s="5"/>
      <c s="5"/>
      <c s="5"/>
      <c s="5"/>
      <c s="5"/>
      <c s="5"/>
      <c s="5"/>
      <c s="5"/>
      <c s="5"/>
      <c s="5"/>
      <c s="5"/>
      <c s="5"/>
      <c s="5"/>
      <c s="5"/>
      <c s="5"/>
      <c s="5"/>
      <c s="5"/>
      <c s="5"/>
      <c s="5"/>
      <c s="5"/>
      <c s="5"/>
      <c s="5"/>
      <c s="5"/>
    </row>
    <row r="507" spans="1:26" ht="15.75">
      <c r="A507" s="5"/>
      <c s="5"/>
      <c s="5"/>
      <c s="5"/>
      <c s="5"/>
      <c s="5"/>
      <c s="5"/>
      <c s="5"/>
      <c s="5"/>
      <c s="5"/>
      <c s="5"/>
      <c s="5"/>
      <c s="5"/>
      <c s="5"/>
      <c s="5"/>
      <c s="5"/>
      <c s="5"/>
      <c s="5"/>
      <c s="5"/>
      <c s="5"/>
      <c s="5"/>
      <c s="5"/>
      <c s="5"/>
      <c s="5"/>
      <c s="5"/>
      <c s="5"/>
    </row>
    <row r="508" spans="1:26" ht="15.75">
      <c r="A508" s="5"/>
      <c s="5"/>
      <c s="5"/>
      <c s="5"/>
      <c s="5"/>
      <c s="5"/>
      <c s="5"/>
      <c s="5"/>
      <c s="5"/>
      <c s="5"/>
      <c s="5"/>
      <c s="5"/>
      <c s="5"/>
      <c s="5"/>
      <c s="5"/>
      <c s="5"/>
      <c s="5"/>
      <c s="5"/>
      <c s="5"/>
      <c s="5"/>
      <c s="5"/>
      <c s="5"/>
      <c s="5"/>
      <c s="5"/>
      <c s="5"/>
      <c s="5"/>
    </row>
    <row r="509" spans="1:26" ht="15.75">
      <c r="A509" s="5"/>
      <c s="5"/>
      <c s="5"/>
      <c s="5"/>
      <c s="5"/>
      <c s="5"/>
      <c s="5"/>
      <c s="5"/>
      <c s="5"/>
      <c s="5"/>
      <c s="5"/>
      <c s="5"/>
      <c s="5"/>
      <c s="5"/>
      <c s="5"/>
      <c s="5"/>
      <c s="5"/>
      <c s="5"/>
      <c s="5"/>
      <c s="5"/>
      <c s="5"/>
      <c s="5"/>
      <c s="5"/>
      <c s="5"/>
      <c s="5"/>
      <c s="5"/>
    </row>
    <row r="510" spans="1:26" ht="15.75">
      <c r="A510" s="5"/>
      <c s="5"/>
      <c s="5"/>
      <c s="5"/>
      <c s="5"/>
      <c s="5"/>
      <c s="5"/>
      <c s="5"/>
      <c s="5"/>
      <c s="5"/>
      <c s="5"/>
      <c s="5"/>
      <c s="5"/>
      <c s="5"/>
      <c s="5"/>
      <c s="5"/>
      <c s="5"/>
      <c s="5"/>
      <c s="5"/>
      <c s="5"/>
      <c s="5"/>
      <c s="5"/>
      <c s="5"/>
      <c s="5"/>
      <c s="5"/>
      <c s="5"/>
    </row>
    <row r="511" spans="1:26" ht="15.75">
      <c r="A511" s="5"/>
      <c s="5"/>
      <c s="5"/>
      <c s="5"/>
      <c s="5"/>
      <c s="5"/>
      <c s="5"/>
      <c s="5"/>
      <c s="5"/>
      <c s="5"/>
      <c s="5"/>
      <c s="5"/>
      <c s="5"/>
      <c s="5"/>
      <c s="5"/>
      <c s="5"/>
      <c s="5"/>
      <c s="5"/>
      <c s="5"/>
      <c s="5"/>
      <c s="5"/>
      <c s="5"/>
      <c s="5"/>
      <c s="5"/>
      <c s="5"/>
      <c s="5"/>
    </row>
    <row r="512" spans="1:26" ht="15.75">
      <c r="A512" s="5"/>
      <c s="5"/>
      <c s="5"/>
      <c s="5"/>
      <c s="5"/>
      <c s="5"/>
      <c s="5"/>
      <c s="5"/>
      <c s="5"/>
      <c s="5"/>
      <c s="5"/>
      <c s="5"/>
      <c s="5"/>
      <c s="5"/>
      <c s="5"/>
      <c s="5"/>
      <c s="5"/>
      <c s="5"/>
      <c s="5"/>
      <c s="5"/>
      <c s="5"/>
      <c s="5"/>
      <c s="5"/>
      <c s="5"/>
      <c s="5"/>
      <c s="5"/>
    </row>
    <row r="513" spans="1:26" ht="15.75">
      <c r="A513" s="5"/>
      <c s="5"/>
      <c s="5"/>
      <c s="5"/>
      <c s="5"/>
      <c s="5"/>
      <c s="5"/>
      <c s="5"/>
      <c s="5"/>
      <c s="5"/>
      <c s="5"/>
      <c s="5"/>
      <c s="5"/>
      <c s="5"/>
      <c s="5"/>
      <c s="5"/>
      <c s="5"/>
      <c s="5"/>
      <c s="5"/>
      <c s="5"/>
      <c s="5"/>
      <c s="5"/>
      <c s="5"/>
      <c s="5"/>
      <c s="5"/>
      <c s="5"/>
    </row>
    <row r="514" spans="1:26" ht="15.75">
      <c r="A514" s="5"/>
      <c s="5"/>
      <c s="5"/>
      <c s="5"/>
      <c s="5"/>
      <c s="5"/>
      <c s="5"/>
      <c s="5"/>
      <c s="5"/>
      <c s="5"/>
      <c s="5"/>
      <c s="5"/>
      <c s="5"/>
      <c s="5"/>
      <c s="5"/>
      <c s="5"/>
      <c s="5"/>
      <c s="5"/>
      <c s="5"/>
      <c s="5"/>
      <c s="5"/>
      <c s="5"/>
      <c s="5"/>
      <c s="5"/>
      <c s="5"/>
      <c s="5"/>
    </row>
    <row r="515" spans="1:26" ht="15.75">
      <c r="A515" s="5"/>
      <c s="5"/>
      <c s="5"/>
      <c s="5"/>
      <c s="5"/>
      <c s="5"/>
      <c s="5"/>
      <c s="5"/>
      <c s="5"/>
      <c s="5"/>
      <c s="5"/>
      <c s="5"/>
      <c s="5"/>
      <c s="5"/>
      <c s="5"/>
      <c s="5"/>
      <c s="5"/>
      <c s="5"/>
      <c s="5"/>
      <c s="5"/>
      <c s="5"/>
      <c s="5"/>
      <c s="5"/>
      <c s="5"/>
      <c s="5"/>
      <c s="5"/>
    </row>
    <row r="516" spans="1:26" ht="15.75">
      <c r="A516" s="5"/>
      <c s="5"/>
      <c s="5"/>
      <c s="5"/>
      <c s="5"/>
      <c s="5"/>
      <c s="5"/>
      <c s="5"/>
      <c s="5"/>
      <c s="5"/>
      <c s="5"/>
      <c s="5"/>
      <c s="5"/>
      <c s="5"/>
      <c s="5"/>
      <c s="5"/>
      <c s="5"/>
      <c s="5"/>
      <c s="5"/>
      <c s="5"/>
      <c s="5"/>
      <c s="5"/>
      <c s="5"/>
      <c s="5"/>
      <c s="5"/>
      <c s="5"/>
    </row>
    <row r="517" spans="1:26" ht="15.75">
      <c r="A517" s="5"/>
      <c s="5"/>
      <c s="5"/>
      <c s="5"/>
      <c s="5"/>
      <c s="5"/>
      <c s="5"/>
      <c s="5"/>
      <c s="5"/>
      <c s="5"/>
      <c s="5"/>
      <c s="5"/>
      <c s="5"/>
      <c s="5"/>
      <c s="5"/>
      <c s="5"/>
      <c s="5"/>
      <c s="5"/>
      <c s="5"/>
      <c s="5"/>
      <c s="5"/>
      <c s="5"/>
      <c s="5"/>
      <c s="5"/>
      <c s="5"/>
      <c s="5"/>
    </row>
    <row r="518" spans="1:26" ht="15.75">
      <c r="A518" s="5"/>
      <c s="5"/>
      <c s="5"/>
      <c s="5"/>
      <c s="5"/>
      <c s="5"/>
      <c s="5"/>
      <c s="5"/>
      <c s="5"/>
      <c s="5"/>
      <c s="5"/>
      <c s="5"/>
      <c s="5"/>
      <c s="5"/>
      <c s="5"/>
      <c s="5"/>
      <c s="5"/>
      <c s="5"/>
      <c s="5"/>
      <c s="5"/>
      <c s="5"/>
      <c s="5"/>
      <c s="5"/>
      <c s="5"/>
      <c s="5"/>
      <c s="5"/>
    </row>
    <row r="519" spans="1:26" ht="15.75">
      <c r="A519" s="5"/>
      <c s="5"/>
      <c s="5"/>
      <c s="5"/>
      <c s="5"/>
      <c s="5"/>
      <c s="5"/>
      <c s="5"/>
      <c s="5"/>
      <c s="5"/>
      <c s="5"/>
      <c s="5"/>
      <c s="5"/>
      <c s="5"/>
      <c s="5"/>
      <c s="5"/>
      <c s="5"/>
      <c s="5"/>
      <c s="5"/>
      <c s="5"/>
      <c s="5"/>
      <c s="5"/>
      <c s="5"/>
      <c s="5"/>
      <c s="5"/>
      <c s="5"/>
    </row>
    <row r="520" spans="1:26" ht="15.75">
      <c r="A520" s="5"/>
      <c s="5"/>
      <c s="5"/>
      <c s="5"/>
      <c s="5"/>
      <c s="5"/>
      <c s="5"/>
      <c s="5"/>
      <c s="5"/>
      <c s="5"/>
      <c s="5"/>
      <c s="5"/>
      <c s="5"/>
      <c s="5"/>
      <c s="5"/>
      <c s="5"/>
      <c s="5"/>
      <c s="5"/>
      <c s="5"/>
      <c s="5"/>
      <c s="5"/>
      <c s="5"/>
      <c s="5"/>
      <c s="5"/>
      <c s="5"/>
      <c s="5"/>
    </row>
    <row r="521" spans="1:26" ht="15.75">
      <c r="A521" s="5"/>
      <c s="5"/>
      <c s="5"/>
      <c s="5"/>
      <c s="5"/>
      <c s="5"/>
      <c s="5"/>
      <c s="5"/>
      <c s="5"/>
      <c s="5"/>
      <c s="5"/>
      <c s="5"/>
      <c s="5"/>
      <c s="5"/>
      <c s="5"/>
      <c s="5"/>
      <c s="5"/>
      <c s="5"/>
      <c s="5"/>
      <c s="5"/>
      <c s="5"/>
      <c s="5"/>
      <c s="5"/>
      <c s="5"/>
      <c s="5"/>
      <c s="5"/>
    </row>
    <row r="522" spans="1:26" ht="15.75">
      <c r="A522" s="5"/>
      <c s="5"/>
      <c s="5"/>
      <c s="5"/>
      <c s="5"/>
      <c s="5"/>
      <c s="5"/>
      <c s="5"/>
      <c s="5"/>
      <c s="5"/>
      <c s="5"/>
      <c s="5"/>
      <c s="5"/>
      <c s="5"/>
      <c s="5"/>
      <c s="5"/>
      <c s="5"/>
      <c s="5"/>
      <c s="5"/>
      <c s="5"/>
      <c s="5"/>
      <c s="5"/>
      <c s="5"/>
      <c s="5"/>
      <c s="5"/>
      <c s="5"/>
    </row>
    <row r="523" spans="1:26" ht="15.75">
      <c r="A523" s="5"/>
      <c s="5"/>
      <c s="5"/>
      <c s="5"/>
      <c s="5"/>
      <c s="5"/>
      <c s="5"/>
      <c s="5"/>
      <c s="5"/>
      <c s="5"/>
      <c s="5"/>
      <c s="5"/>
      <c s="5"/>
      <c s="5"/>
      <c s="5"/>
      <c s="5"/>
      <c s="5"/>
      <c s="5"/>
      <c s="5"/>
      <c s="5"/>
      <c s="5"/>
      <c s="5"/>
      <c s="5"/>
      <c s="5"/>
      <c s="5"/>
      <c s="5"/>
    </row>
    <row r="524" spans="1:26" ht="15.75">
      <c r="A524" s="5"/>
      <c s="5"/>
      <c s="5"/>
      <c s="5"/>
      <c s="5"/>
      <c s="5"/>
      <c s="5"/>
      <c s="5"/>
      <c s="5"/>
      <c s="5"/>
      <c s="5"/>
      <c s="5"/>
      <c s="5"/>
      <c s="5"/>
      <c s="5"/>
      <c s="5"/>
      <c s="5"/>
      <c s="5"/>
      <c s="5"/>
      <c s="5"/>
      <c s="5"/>
      <c s="5"/>
      <c s="5"/>
      <c s="5"/>
      <c s="5"/>
      <c s="5"/>
    </row>
    <row r="525" spans="1:26" ht="15.75">
      <c r="A525" s="5"/>
      <c s="5"/>
      <c s="5"/>
      <c s="5"/>
      <c s="5"/>
      <c s="5"/>
      <c s="5"/>
      <c s="5"/>
      <c s="5"/>
      <c s="5"/>
      <c s="5"/>
      <c s="5"/>
      <c s="5"/>
      <c s="5"/>
      <c s="5"/>
      <c s="5"/>
      <c s="5"/>
      <c s="5"/>
      <c s="5"/>
      <c s="5"/>
      <c s="5"/>
      <c s="5"/>
      <c s="5"/>
      <c s="5"/>
      <c s="5"/>
      <c s="5"/>
    </row>
    <row r="526" spans="1:26" ht="15.75">
      <c r="A526" s="5"/>
      <c s="5"/>
      <c s="5"/>
      <c s="5"/>
      <c s="5"/>
      <c s="5"/>
      <c s="5"/>
      <c s="5"/>
      <c s="5"/>
      <c s="5"/>
      <c s="5"/>
      <c s="5"/>
      <c s="5"/>
      <c s="5"/>
      <c s="5"/>
      <c s="5"/>
      <c s="5"/>
      <c s="5"/>
      <c s="5"/>
      <c s="5"/>
      <c s="5"/>
      <c s="5"/>
      <c s="5"/>
      <c s="5"/>
      <c s="5"/>
      <c s="5"/>
    </row>
    <row r="527" spans="1:26" ht="15.75">
      <c r="A527" s="5"/>
      <c s="5"/>
      <c s="5"/>
      <c s="5"/>
      <c s="5"/>
      <c s="5"/>
      <c s="5"/>
      <c s="5"/>
      <c s="5"/>
      <c s="5"/>
      <c s="5"/>
      <c s="5"/>
      <c s="5"/>
      <c s="5"/>
      <c s="5"/>
      <c s="5"/>
      <c s="5"/>
      <c s="5"/>
      <c s="5"/>
      <c s="5"/>
      <c s="5"/>
      <c s="5"/>
      <c s="5"/>
      <c s="5"/>
      <c s="5"/>
      <c s="5"/>
    </row>
    <row r="528" spans="1:26" ht="15.75">
      <c r="A528" s="5"/>
      <c s="5"/>
      <c s="5"/>
      <c s="5"/>
      <c s="5"/>
      <c s="5"/>
      <c s="5"/>
      <c s="5"/>
      <c s="5"/>
      <c s="5"/>
      <c s="5"/>
      <c s="5"/>
      <c s="5"/>
      <c s="5"/>
      <c s="5"/>
      <c s="5"/>
      <c s="5"/>
      <c s="5"/>
      <c s="5"/>
      <c s="5"/>
      <c s="5"/>
      <c s="5"/>
      <c s="5"/>
      <c s="5"/>
      <c s="5"/>
      <c s="5"/>
    </row>
    <row r="529" spans="1:26" ht="15.75">
      <c r="A529" s="5"/>
      <c s="5"/>
      <c s="5"/>
      <c s="5"/>
      <c s="5"/>
      <c s="5"/>
      <c s="5"/>
      <c s="5"/>
      <c s="5"/>
      <c s="5"/>
      <c s="5"/>
      <c s="5"/>
      <c s="5"/>
      <c s="5"/>
      <c s="5"/>
      <c s="5"/>
      <c s="5"/>
      <c s="5"/>
      <c s="5"/>
      <c s="5"/>
      <c s="5"/>
      <c s="5"/>
      <c s="5"/>
      <c s="5"/>
      <c s="5"/>
      <c s="5"/>
    </row>
    <row r="530" spans="1:26" ht="15.75">
      <c r="A530" s="5"/>
      <c s="5"/>
      <c s="5"/>
      <c s="5"/>
      <c s="5"/>
      <c s="5"/>
      <c s="5"/>
      <c s="5"/>
      <c s="5"/>
      <c s="5"/>
      <c s="5"/>
      <c s="5"/>
      <c s="5"/>
      <c s="5"/>
      <c s="5"/>
      <c s="5"/>
      <c s="5"/>
      <c s="5"/>
      <c s="5"/>
      <c s="5"/>
      <c s="5"/>
      <c s="5"/>
      <c s="5"/>
      <c s="5"/>
      <c s="5"/>
      <c s="5"/>
    </row>
    <row r="531" spans="1:26" ht="15.75">
      <c r="A531" s="5"/>
      <c s="5"/>
      <c s="5"/>
      <c s="5"/>
      <c s="5"/>
      <c s="5"/>
      <c s="5"/>
      <c s="5"/>
      <c s="5"/>
      <c s="5"/>
      <c s="5"/>
      <c s="5"/>
      <c s="5"/>
      <c s="5"/>
      <c s="5"/>
      <c s="5"/>
      <c s="5"/>
      <c s="5"/>
      <c s="5"/>
      <c s="5"/>
      <c s="5"/>
      <c s="5"/>
      <c s="5"/>
      <c s="5"/>
      <c s="5"/>
      <c s="5"/>
    </row>
    <row r="532" spans="1:26" ht="15.75">
      <c r="A532" s="5"/>
      <c s="5"/>
      <c s="5"/>
      <c s="5"/>
      <c s="5"/>
      <c s="5"/>
      <c s="5"/>
      <c s="5"/>
      <c s="5"/>
      <c s="5"/>
      <c s="5"/>
      <c s="5"/>
      <c s="5"/>
      <c s="5"/>
      <c s="5"/>
      <c s="5"/>
      <c s="5"/>
      <c s="5"/>
      <c s="5"/>
      <c s="5"/>
      <c s="5"/>
      <c s="5"/>
      <c s="5"/>
      <c s="5"/>
      <c s="5"/>
      <c s="5"/>
    </row>
    <row r="533" spans="1:26" ht="15.75">
      <c r="A533" s="5"/>
      <c s="5"/>
      <c s="5"/>
      <c s="5"/>
      <c s="5"/>
      <c s="5"/>
      <c s="5"/>
      <c s="5"/>
      <c s="5"/>
      <c s="5"/>
      <c s="5"/>
      <c s="5"/>
      <c s="5"/>
      <c s="5"/>
      <c s="5"/>
      <c s="5"/>
      <c s="5"/>
      <c s="5"/>
      <c s="5"/>
      <c s="5"/>
      <c s="5"/>
      <c s="5"/>
      <c s="5"/>
      <c s="5"/>
      <c s="5"/>
      <c s="5"/>
    </row>
    <row r="534" spans="1:26" ht="15.75">
      <c r="A534" s="5"/>
      <c s="5"/>
      <c s="5"/>
      <c s="5"/>
      <c s="5"/>
      <c s="5"/>
      <c s="5"/>
      <c s="5"/>
      <c s="5"/>
      <c s="5"/>
      <c s="5"/>
      <c s="5"/>
      <c s="5"/>
      <c s="5"/>
      <c s="5"/>
      <c s="5"/>
      <c s="5"/>
      <c s="5"/>
      <c s="5"/>
      <c s="5"/>
      <c s="5"/>
      <c s="5"/>
      <c s="5"/>
      <c s="5"/>
      <c s="5"/>
      <c s="5"/>
    </row>
    <row r="535" spans="1:26" ht="15.75">
      <c r="A535" s="5"/>
      <c s="5"/>
      <c s="5"/>
      <c s="5"/>
      <c s="5"/>
      <c s="5"/>
      <c s="5"/>
      <c s="5"/>
      <c s="5"/>
      <c s="5"/>
      <c s="5"/>
      <c s="5"/>
      <c s="5"/>
      <c s="5"/>
      <c s="5"/>
      <c s="5"/>
      <c s="5"/>
      <c s="5"/>
      <c s="5"/>
      <c s="5"/>
      <c s="5"/>
      <c s="5"/>
      <c s="5"/>
      <c s="5"/>
      <c s="5"/>
      <c s="5"/>
    </row>
    <row r="536" spans="1:26" ht="15.75">
      <c r="A536" s="5"/>
      <c s="5"/>
      <c s="5"/>
      <c s="5"/>
      <c s="5"/>
      <c s="5"/>
      <c s="5"/>
      <c s="5"/>
      <c s="5"/>
      <c s="5"/>
      <c s="5"/>
      <c s="5"/>
      <c s="5"/>
      <c s="5"/>
      <c s="5"/>
      <c s="5"/>
      <c s="5"/>
      <c s="5"/>
      <c s="5"/>
      <c s="5"/>
      <c s="5"/>
      <c s="5"/>
      <c s="5"/>
      <c s="5"/>
      <c s="5"/>
      <c s="5"/>
    </row>
    <row r="537" spans="1:26" ht="15.75">
      <c r="A537" s="5"/>
      <c s="5"/>
      <c s="5"/>
      <c s="5"/>
      <c s="5"/>
      <c s="5"/>
      <c s="5"/>
      <c s="5"/>
      <c s="5"/>
      <c s="5"/>
      <c s="5"/>
      <c s="5"/>
      <c s="5"/>
      <c s="5"/>
      <c s="5"/>
      <c s="5"/>
      <c s="5"/>
      <c s="5"/>
      <c s="5"/>
      <c s="5"/>
      <c s="5"/>
      <c s="5"/>
      <c s="5"/>
      <c s="5"/>
      <c s="5"/>
      <c s="5"/>
    </row>
    <row r="538" spans="1:26" ht="15.75">
      <c r="A538" s="5"/>
      <c s="5"/>
      <c s="5"/>
      <c s="5"/>
      <c s="5"/>
      <c s="5"/>
      <c s="5"/>
      <c s="5"/>
      <c s="5"/>
      <c s="5"/>
      <c s="5"/>
      <c s="5"/>
      <c s="5"/>
      <c s="5"/>
      <c s="5"/>
      <c s="5"/>
      <c s="5"/>
      <c s="5"/>
      <c s="5"/>
      <c s="5"/>
      <c s="5"/>
      <c s="5"/>
      <c s="5"/>
      <c s="5"/>
      <c s="5"/>
      <c s="5"/>
    </row>
    <row r="539" spans="1:26" ht="15.75">
      <c r="A539" s="5"/>
      <c s="5"/>
      <c s="5"/>
      <c s="5"/>
      <c s="5"/>
      <c s="5"/>
      <c s="5"/>
      <c s="5"/>
      <c s="5"/>
      <c s="5"/>
      <c s="5"/>
      <c s="5"/>
      <c s="5"/>
      <c s="5"/>
      <c s="5"/>
      <c s="5"/>
      <c s="5"/>
      <c s="5"/>
      <c s="5"/>
      <c s="5"/>
      <c s="5"/>
      <c s="5"/>
      <c s="5"/>
      <c s="5"/>
      <c s="5"/>
      <c s="5"/>
    </row>
    <row r="540" spans="1:26" ht="15.75">
      <c r="A540" s="5"/>
      <c s="5"/>
      <c s="5"/>
      <c s="5"/>
      <c s="5"/>
      <c s="5"/>
      <c s="5"/>
      <c s="5"/>
      <c s="5"/>
      <c s="5"/>
      <c s="5"/>
      <c s="5"/>
      <c s="5"/>
      <c s="5"/>
      <c s="5"/>
      <c s="5"/>
      <c s="5"/>
      <c s="5"/>
      <c s="5"/>
      <c s="5"/>
      <c s="5"/>
      <c s="5"/>
      <c s="5"/>
      <c s="5"/>
      <c s="5"/>
      <c s="5"/>
    </row>
    <row r="541" spans="1:26" ht="15.75">
      <c r="A541" s="5"/>
      <c s="5"/>
      <c s="5"/>
      <c s="5"/>
      <c s="5"/>
      <c s="5"/>
      <c s="5"/>
      <c s="5"/>
      <c s="5"/>
      <c s="5"/>
      <c s="5"/>
      <c s="5"/>
      <c s="5"/>
      <c s="5"/>
      <c s="5"/>
      <c s="5"/>
      <c s="5"/>
      <c s="5"/>
      <c s="5"/>
      <c s="5"/>
      <c s="5"/>
      <c s="5"/>
      <c s="5"/>
      <c s="5"/>
      <c s="5"/>
      <c s="5"/>
    </row>
    <row r="542" spans="1:26" ht="15.75">
      <c r="A542" s="5"/>
      <c s="5"/>
      <c s="5"/>
      <c s="5"/>
      <c s="5"/>
      <c s="5"/>
      <c s="5"/>
      <c s="5"/>
      <c s="5"/>
      <c s="5"/>
      <c s="5"/>
      <c s="5"/>
      <c s="5"/>
      <c s="5"/>
      <c s="5"/>
      <c s="5"/>
      <c s="5"/>
      <c s="5"/>
      <c s="5"/>
      <c s="5"/>
      <c s="5"/>
      <c s="5"/>
      <c s="5"/>
      <c s="5"/>
      <c s="5"/>
      <c s="5"/>
    </row>
    <row r="543" spans="1:26" ht="15.75">
      <c r="A543" s="5"/>
      <c s="5"/>
      <c s="5"/>
      <c s="5"/>
      <c s="5"/>
      <c s="5"/>
      <c s="5"/>
      <c s="5"/>
      <c s="5"/>
      <c s="5"/>
      <c s="5"/>
      <c s="5"/>
      <c s="5"/>
      <c s="5"/>
      <c s="5"/>
      <c s="5"/>
      <c s="5"/>
      <c s="5"/>
      <c s="5"/>
      <c s="5"/>
      <c s="5"/>
      <c s="5"/>
      <c s="5"/>
      <c s="5"/>
      <c s="5"/>
      <c s="5"/>
    </row>
    <row r="544" spans="1:26" ht="15.75">
      <c r="A544" s="5"/>
      <c s="5"/>
      <c s="5"/>
      <c s="5"/>
      <c s="5"/>
      <c s="5"/>
      <c s="5"/>
      <c s="5"/>
      <c s="5"/>
      <c s="5"/>
      <c s="5"/>
      <c s="5"/>
      <c s="5"/>
      <c s="5"/>
      <c s="5"/>
      <c s="5"/>
      <c s="5"/>
      <c s="5"/>
      <c s="5"/>
      <c s="5"/>
      <c s="5"/>
      <c s="5"/>
      <c s="5"/>
      <c s="5"/>
      <c s="5"/>
      <c s="5"/>
    </row>
    <row r="545" spans="1:26" ht="15.75">
      <c r="A545" s="5"/>
      <c s="5"/>
      <c s="5"/>
      <c s="5"/>
      <c s="5"/>
      <c s="5"/>
      <c s="5"/>
      <c s="5"/>
      <c s="5"/>
      <c s="5"/>
      <c s="5"/>
      <c s="5"/>
      <c s="5"/>
      <c s="5"/>
      <c s="5"/>
      <c s="5"/>
      <c s="5"/>
      <c s="5"/>
      <c s="5"/>
      <c s="5"/>
      <c s="5"/>
      <c s="5"/>
      <c s="5"/>
      <c s="5"/>
      <c s="5"/>
      <c s="5"/>
    </row>
    <row r="546" spans="1:26" ht="15.75">
      <c r="A546" s="5"/>
      <c s="5"/>
      <c s="5"/>
      <c s="5"/>
      <c s="5"/>
      <c s="5"/>
      <c s="5"/>
      <c s="5"/>
      <c s="5"/>
      <c s="5"/>
      <c s="5"/>
      <c s="5"/>
      <c s="5"/>
      <c s="5"/>
      <c s="5"/>
      <c s="5"/>
      <c s="5"/>
      <c s="5"/>
      <c s="5"/>
      <c s="5"/>
      <c s="5"/>
      <c s="5"/>
      <c s="5"/>
      <c s="5"/>
      <c s="5"/>
      <c s="5"/>
    </row>
    <row r="547" spans="1:26" ht="15.75">
      <c r="A547" s="5"/>
      <c s="5"/>
      <c s="5"/>
      <c s="5"/>
      <c s="5"/>
      <c s="5"/>
      <c s="5"/>
      <c s="5"/>
      <c s="5"/>
      <c s="5"/>
      <c s="5"/>
      <c s="5"/>
      <c s="5"/>
      <c s="5"/>
      <c s="5"/>
      <c s="5"/>
      <c s="5"/>
      <c s="5"/>
      <c s="5"/>
      <c s="5"/>
      <c s="5"/>
      <c s="5"/>
      <c s="5"/>
      <c s="5"/>
      <c s="5"/>
      <c s="5"/>
    </row>
    <row r="548" spans="1:26" ht="15.75">
      <c r="A548" s="5"/>
      <c s="5"/>
      <c s="5"/>
      <c s="5"/>
      <c s="5"/>
      <c s="5"/>
      <c s="5"/>
      <c s="5"/>
      <c s="5"/>
      <c s="5"/>
      <c s="5"/>
      <c s="5"/>
      <c s="5"/>
      <c s="5"/>
      <c s="5"/>
      <c s="5"/>
      <c s="5"/>
      <c s="5"/>
      <c s="5"/>
      <c s="5"/>
      <c s="5"/>
      <c s="5"/>
      <c s="5"/>
      <c s="5"/>
      <c s="5"/>
      <c s="5"/>
    </row>
    <row r="549" spans="1:26" ht="15.75">
      <c r="A549" s="5"/>
      <c s="5"/>
      <c s="5"/>
      <c s="5"/>
      <c s="5"/>
      <c s="5"/>
      <c s="5"/>
      <c s="5"/>
      <c s="5"/>
      <c s="5"/>
      <c s="5"/>
      <c s="5"/>
      <c s="5"/>
      <c s="5"/>
      <c s="5"/>
      <c s="5"/>
      <c s="5"/>
      <c s="5"/>
      <c s="5"/>
      <c s="5"/>
      <c s="5"/>
      <c s="5"/>
      <c s="5"/>
      <c s="5"/>
      <c s="5"/>
      <c s="5"/>
    </row>
    <row r="550" spans="1:26" ht="15.75">
      <c r="A550" s="5"/>
      <c s="5"/>
      <c s="5"/>
      <c s="5"/>
      <c s="5"/>
      <c s="5"/>
      <c s="5"/>
      <c s="5"/>
      <c s="5"/>
      <c s="5"/>
      <c s="5"/>
      <c s="5"/>
      <c s="5"/>
      <c s="5"/>
      <c s="5"/>
      <c s="5"/>
      <c s="5"/>
      <c s="5"/>
      <c s="5"/>
      <c s="5"/>
      <c s="5"/>
      <c s="5"/>
      <c s="5"/>
      <c s="5"/>
      <c s="5"/>
      <c s="5"/>
    </row>
    <row r="551" spans="1:26" ht="15.75">
      <c r="A551" s="5"/>
      <c s="5"/>
      <c s="5"/>
      <c s="5"/>
      <c s="5"/>
      <c s="5"/>
      <c s="5"/>
      <c s="5"/>
      <c s="5"/>
      <c s="5"/>
      <c s="5"/>
      <c s="5"/>
      <c s="5"/>
      <c s="5"/>
      <c s="5"/>
      <c s="5"/>
      <c s="5"/>
      <c s="5"/>
      <c s="5"/>
      <c s="5"/>
      <c s="5"/>
      <c s="5"/>
      <c s="5"/>
      <c s="5"/>
      <c s="5"/>
      <c s="5"/>
    </row>
    <row r="552" spans="1:26" ht="15.75">
      <c r="A552" s="5"/>
      <c s="5"/>
      <c s="5"/>
      <c s="5"/>
      <c s="5"/>
      <c s="5"/>
      <c s="5"/>
      <c s="5"/>
      <c s="5"/>
      <c s="5"/>
      <c s="5"/>
      <c s="5"/>
      <c s="5"/>
      <c s="5"/>
      <c s="5"/>
      <c s="5"/>
      <c s="5"/>
      <c s="5"/>
      <c s="5"/>
      <c s="5"/>
      <c s="5"/>
      <c s="5"/>
      <c s="5"/>
      <c s="5"/>
      <c s="5"/>
      <c s="5"/>
    </row>
    <row r="553" spans="1:26" ht="15.75">
      <c r="A553" s="5"/>
      <c s="5"/>
      <c s="5"/>
      <c s="5"/>
      <c s="5"/>
      <c s="5"/>
      <c s="5"/>
      <c s="5"/>
      <c s="5"/>
      <c s="5"/>
      <c s="5"/>
      <c s="5"/>
      <c s="5"/>
      <c s="5"/>
      <c s="5"/>
      <c s="5"/>
      <c s="5"/>
      <c s="5"/>
      <c s="5"/>
      <c s="5"/>
      <c s="5"/>
      <c s="5"/>
      <c s="5"/>
      <c s="5"/>
      <c s="5"/>
      <c s="5"/>
    </row>
    <row r="554" spans="1:26" ht="15.75">
      <c r="A554" s="5"/>
      <c s="5"/>
      <c s="5"/>
      <c s="5"/>
      <c s="5"/>
      <c s="5"/>
      <c s="5"/>
      <c s="5"/>
      <c s="5"/>
      <c s="5"/>
      <c s="5"/>
      <c s="5"/>
      <c s="5"/>
      <c s="5"/>
      <c s="5"/>
      <c s="5"/>
      <c s="5"/>
      <c s="5"/>
      <c s="5"/>
      <c s="5"/>
      <c s="5"/>
      <c s="5"/>
      <c s="5"/>
      <c s="5"/>
      <c s="5"/>
      <c s="5"/>
    </row>
    <row r="555" spans="1:26" ht="15.75">
      <c r="A555" s="5"/>
      <c s="5"/>
      <c s="5"/>
      <c s="5"/>
      <c s="5"/>
      <c s="5"/>
      <c s="5"/>
      <c s="5"/>
      <c s="5"/>
      <c s="5"/>
      <c s="5"/>
      <c s="5"/>
      <c s="5"/>
      <c s="5"/>
      <c s="5"/>
      <c s="5"/>
      <c s="5"/>
      <c s="5"/>
      <c s="5"/>
      <c s="5"/>
      <c s="5"/>
      <c s="5"/>
      <c s="5"/>
      <c s="5"/>
      <c s="5"/>
      <c s="5"/>
    </row>
    <row r="556" spans="1:26" ht="15.75">
      <c r="A556" s="5"/>
      <c s="5"/>
      <c s="5"/>
      <c s="5"/>
      <c s="5"/>
      <c s="5"/>
      <c s="5"/>
      <c s="5"/>
      <c s="5"/>
      <c s="5"/>
      <c s="5"/>
      <c s="5"/>
      <c s="5"/>
      <c s="5"/>
      <c s="5"/>
      <c s="5"/>
      <c s="5"/>
      <c s="5"/>
      <c s="5"/>
      <c s="5"/>
      <c s="5"/>
      <c s="5"/>
      <c s="5"/>
      <c s="5"/>
      <c s="5"/>
      <c s="5"/>
    </row>
    <row r="557" spans="1:26" ht="15.75">
      <c r="A557" s="5"/>
      <c s="5"/>
      <c s="5"/>
      <c s="5"/>
      <c s="5"/>
      <c s="5"/>
      <c s="5"/>
      <c s="5"/>
      <c s="5"/>
      <c s="5"/>
      <c s="5"/>
      <c s="5"/>
      <c s="5"/>
      <c s="5"/>
      <c s="5"/>
      <c s="5"/>
      <c s="5"/>
      <c s="5"/>
      <c s="5"/>
      <c s="5"/>
      <c s="5"/>
      <c s="5"/>
      <c s="5"/>
      <c s="5"/>
      <c s="5"/>
      <c s="5"/>
    </row>
    <row r="558" spans="1:26" ht="15.75">
      <c r="A558" s="5"/>
      <c s="5"/>
      <c s="5"/>
      <c s="5"/>
      <c s="5"/>
      <c s="5"/>
      <c s="5"/>
      <c s="5"/>
      <c s="5"/>
      <c s="5"/>
      <c s="5"/>
      <c s="5"/>
      <c s="5"/>
      <c s="5"/>
      <c s="5"/>
      <c s="5"/>
      <c s="5"/>
      <c s="5"/>
      <c s="5"/>
      <c s="5"/>
      <c s="5"/>
      <c s="5"/>
      <c s="5"/>
      <c s="5"/>
      <c s="5"/>
      <c s="5"/>
    </row>
    <row r="559" spans="1:26" ht="15.75">
      <c r="A559" s="5"/>
      <c s="5"/>
      <c s="5"/>
      <c s="5"/>
      <c s="5"/>
      <c s="5"/>
      <c s="5"/>
      <c s="5"/>
      <c s="5"/>
      <c s="5"/>
      <c s="5"/>
      <c s="5"/>
      <c s="5"/>
      <c s="5"/>
      <c s="5"/>
      <c s="5"/>
      <c s="5"/>
      <c s="5"/>
      <c s="5"/>
      <c s="5"/>
      <c s="5"/>
      <c s="5"/>
      <c s="5"/>
      <c s="5"/>
      <c s="5"/>
      <c s="5"/>
    </row>
    <row r="560" spans="1:26" ht="15.75">
      <c r="A560" s="5"/>
      <c s="5"/>
      <c s="5"/>
      <c s="5"/>
      <c s="5"/>
      <c s="5"/>
      <c s="5"/>
      <c s="5"/>
      <c s="5"/>
      <c s="5"/>
      <c s="5"/>
      <c s="5"/>
      <c s="5"/>
      <c s="5"/>
      <c s="5"/>
      <c s="5"/>
      <c s="5"/>
      <c s="5"/>
      <c s="5"/>
      <c s="5"/>
      <c s="5"/>
      <c s="5"/>
      <c s="5"/>
      <c s="5"/>
      <c s="5"/>
      <c s="5"/>
    </row>
    <row r="561" spans="1:26" ht="15.75">
      <c r="A561" s="5"/>
      <c s="5"/>
      <c s="5"/>
      <c s="5"/>
      <c s="5"/>
      <c s="5"/>
      <c s="5"/>
      <c s="5"/>
      <c s="5"/>
      <c s="5"/>
      <c s="5"/>
      <c s="5"/>
      <c s="5"/>
      <c s="5"/>
      <c s="5"/>
      <c s="5"/>
      <c s="5"/>
      <c s="5"/>
      <c s="5"/>
      <c s="5"/>
      <c s="5"/>
      <c s="5"/>
      <c s="5"/>
      <c s="5"/>
      <c s="5"/>
      <c s="5"/>
    </row>
    <row r="562" spans="1:26" ht="15.75">
      <c r="A562" s="5"/>
      <c s="5"/>
      <c s="5"/>
      <c s="5"/>
      <c s="5"/>
      <c s="5"/>
      <c s="5"/>
      <c s="5"/>
      <c s="5"/>
      <c s="5"/>
      <c s="5"/>
      <c s="5"/>
      <c s="5"/>
      <c s="5"/>
      <c s="5"/>
      <c s="5"/>
      <c s="5"/>
      <c s="5"/>
      <c s="5"/>
      <c s="5"/>
      <c s="5"/>
      <c s="5"/>
      <c s="5"/>
      <c s="5"/>
      <c s="5"/>
      <c s="5"/>
    </row>
    <row r="563" spans="1:26" ht="15.75">
      <c r="A563" s="5"/>
      <c s="5"/>
      <c s="5"/>
      <c s="5"/>
      <c s="5"/>
      <c s="5"/>
      <c s="5"/>
      <c s="5"/>
      <c s="5"/>
      <c s="5"/>
      <c s="5"/>
      <c s="5"/>
      <c s="5"/>
      <c s="5"/>
      <c s="5"/>
      <c s="5"/>
      <c s="5"/>
      <c s="5"/>
      <c s="5"/>
      <c s="5"/>
      <c s="5"/>
      <c s="5"/>
      <c s="5"/>
      <c s="5"/>
      <c s="5"/>
      <c s="5"/>
    </row>
    <row r="564" spans="1:26" ht="15.75">
      <c r="A564" s="5"/>
      <c s="5"/>
      <c s="5"/>
      <c s="5"/>
      <c s="5"/>
      <c s="5"/>
      <c s="5"/>
      <c s="5"/>
      <c s="5"/>
      <c s="5"/>
      <c s="5"/>
      <c s="5"/>
      <c s="5"/>
      <c s="5"/>
      <c s="5"/>
      <c s="5"/>
      <c s="5"/>
      <c s="5"/>
      <c s="5"/>
      <c s="5"/>
      <c s="5"/>
      <c s="5"/>
      <c s="5"/>
      <c s="5"/>
      <c s="5"/>
      <c s="5"/>
    </row>
    <row r="565" spans="1:26" ht="15.75">
      <c r="A565" s="5"/>
      <c s="5"/>
      <c s="5"/>
      <c s="5"/>
      <c s="5"/>
      <c s="5"/>
      <c s="5"/>
      <c s="5"/>
      <c s="5"/>
      <c s="5"/>
      <c s="5"/>
      <c s="5"/>
      <c s="5"/>
      <c s="5"/>
      <c s="5"/>
      <c s="5"/>
      <c s="5"/>
      <c s="5"/>
      <c s="5"/>
      <c s="5"/>
      <c s="5"/>
      <c s="5"/>
      <c s="5"/>
      <c s="5"/>
      <c s="5"/>
      <c s="5"/>
    </row>
    <row r="566" spans="1:26" ht="15.75">
      <c r="A566" s="5"/>
      <c s="5"/>
      <c s="5"/>
      <c s="5"/>
      <c s="5"/>
      <c s="5"/>
      <c s="5"/>
      <c s="5"/>
      <c s="5"/>
      <c s="5"/>
      <c s="5"/>
      <c s="5"/>
      <c s="5"/>
      <c s="5"/>
      <c s="5"/>
      <c s="5"/>
      <c s="5"/>
      <c s="5"/>
      <c s="5"/>
      <c s="5"/>
      <c s="5"/>
      <c s="5"/>
      <c s="5"/>
      <c s="5"/>
      <c s="5"/>
      <c s="5"/>
    </row>
    <row r="567" spans="1:26" ht="15.75">
      <c r="A567" s="5"/>
      <c s="5"/>
      <c s="5"/>
      <c s="5"/>
      <c s="5"/>
      <c s="5"/>
      <c s="5"/>
      <c s="5"/>
      <c s="5"/>
      <c s="5"/>
      <c s="5"/>
      <c s="5"/>
      <c s="5"/>
      <c s="5"/>
      <c s="5"/>
      <c s="5"/>
      <c s="5"/>
      <c s="5"/>
      <c s="5"/>
      <c s="5"/>
      <c s="5"/>
      <c s="5"/>
      <c s="5"/>
      <c s="5"/>
      <c s="5"/>
      <c s="5"/>
    </row>
    <row r="568" spans="1:26" ht="15.75">
      <c r="A568" s="5"/>
      <c s="5"/>
      <c s="5"/>
      <c s="5"/>
      <c s="5"/>
      <c s="5"/>
      <c s="5"/>
      <c s="5"/>
      <c s="5"/>
      <c s="5"/>
      <c s="5"/>
      <c s="5"/>
      <c s="5"/>
      <c s="5"/>
      <c s="5"/>
      <c s="5"/>
      <c s="5"/>
      <c s="5"/>
      <c s="5"/>
      <c s="5"/>
      <c s="5"/>
      <c s="5"/>
      <c s="5"/>
      <c s="5"/>
      <c s="5"/>
      <c s="5"/>
    </row>
    <row r="569" spans="1:26" ht="15.75">
      <c r="A569" s="5"/>
      <c s="5"/>
      <c s="5"/>
      <c s="5"/>
      <c s="5"/>
      <c s="5"/>
      <c s="5"/>
      <c s="5"/>
      <c s="5"/>
      <c s="5"/>
      <c s="5"/>
      <c s="5"/>
      <c s="5"/>
      <c s="5"/>
      <c s="5"/>
      <c s="5"/>
      <c s="5"/>
      <c s="5"/>
      <c s="5"/>
      <c s="5"/>
      <c s="5"/>
      <c s="5"/>
      <c s="5"/>
      <c s="5"/>
      <c s="5"/>
      <c s="5"/>
    </row>
    <row r="570" spans="1:26" ht="15.75">
      <c r="A570" s="5"/>
      <c s="5"/>
      <c s="5"/>
      <c s="5"/>
      <c s="5"/>
      <c s="5"/>
      <c s="5"/>
      <c s="5"/>
      <c s="5"/>
      <c s="5"/>
      <c s="5"/>
      <c s="5"/>
      <c s="5"/>
      <c s="5"/>
      <c s="5"/>
      <c s="5"/>
      <c s="5"/>
      <c s="5"/>
      <c s="5"/>
      <c s="5"/>
      <c s="5"/>
      <c s="5"/>
      <c s="5"/>
      <c s="5"/>
      <c s="5"/>
      <c s="5"/>
    </row>
    <row r="571" spans="1:26" ht="15.75">
      <c r="A571" s="5"/>
      <c s="5"/>
      <c s="5"/>
      <c s="5"/>
      <c s="5"/>
      <c s="5"/>
      <c s="5"/>
      <c s="5"/>
      <c s="5"/>
      <c s="5"/>
      <c s="5"/>
      <c s="5"/>
      <c s="5"/>
      <c s="5"/>
      <c s="5"/>
      <c s="5"/>
      <c s="5"/>
      <c s="5"/>
      <c s="5"/>
      <c s="5"/>
      <c s="5"/>
      <c s="5"/>
      <c s="5"/>
      <c s="5"/>
      <c s="5"/>
      <c s="5"/>
    </row>
    <row r="572" spans="1:26" ht="15.75">
      <c r="A572" s="5"/>
      <c s="5"/>
      <c s="5"/>
      <c s="5"/>
      <c s="5"/>
      <c s="5"/>
      <c s="5"/>
      <c s="5"/>
      <c s="5"/>
      <c s="5"/>
      <c s="5"/>
      <c s="5"/>
      <c s="5"/>
      <c s="5"/>
      <c s="5"/>
      <c s="5"/>
      <c s="5"/>
      <c s="5"/>
      <c s="5"/>
      <c s="5"/>
      <c s="5"/>
      <c s="5"/>
      <c s="5"/>
      <c s="5"/>
      <c s="5"/>
      <c s="5"/>
    </row>
    <row r="573" spans="1:26" ht="15.75">
      <c r="A573" s="5"/>
      <c s="5"/>
      <c s="5"/>
      <c s="5"/>
      <c s="5"/>
      <c s="5"/>
      <c s="5"/>
      <c s="5"/>
      <c s="5"/>
      <c s="5"/>
      <c s="5"/>
      <c s="5"/>
      <c s="5"/>
      <c s="5"/>
      <c s="5"/>
      <c s="5"/>
      <c s="5"/>
      <c s="5"/>
      <c s="5"/>
      <c s="5"/>
      <c s="5"/>
      <c s="5"/>
      <c s="5"/>
      <c s="5"/>
      <c s="5"/>
      <c s="5"/>
    </row>
    <row r="574" spans="1:26" ht="15.75">
      <c r="A574" s="5"/>
      <c s="5"/>
      <c s="5"/>
      <c s="5"/>
      <c s="5"/>
      <c s="5"/>
      <c s="5"/>
      <c s="5"/>
      <c s="5"/>
      <c s="5"/>
      <c s="5"/>
      <c s="5"/>
      <c s="5"/>
      <c s="5"/>
      <c s="5"/>
      <c s="5"/>
      <c s="5"/>
      <c s="5"/>
      <c s="5"/>
      <c s="5"/>
      <c s="5"/>
      <c s="5"/>
      <c s="5"/>
      <c s="5"/>
      <c s="5"/>
      <c s="5"/>
    </row>
    <row r="575" spans="1:26" ht="15.75">
      <c r="A575" s="5"/>
      <c s="5"/>
      <c s="5"/>
      <c s="5"/>
      <c s="5"/>
      <c s="5"/>
      <c s="5"/>
      <c s="5"/>
      <c s="5"/>
      <c s="5"/>
      <c s="5"/>
      <c s="5"/>
      <c s="5"/>
      <c s="5"/>
      <c s="5"/>
      <c s="5"/>
      <c s="5"/>
      <c s="5"/>
      <c s="5"/>
      <c s="5"/>
      <c s="5"/>
      <c s="5"/>
      <c s="5"/>
      <c s="5"/>
      <c s="5"/>
      <c s="5"/>
    </row>
    <row r="576" spans="1:26" ht="15.75">
      <c r="A576" s="5"/>
      <c s="5"/>
      <c s="5"/>
      <c s="5"/>
      <c s="5"/>
      <c s="5"/>
      <c s="5"/>
      <c s="5"/>
      <c s="5"/>
      <c s="5"/>
      <c s="5"/>
      <c s="5"/>
      <c s="5"/>
      <c s="5"/>
      <c s="5"/>
      <c s="5"/>
      <c s="5"/>
      <c s="5"/>
      <c s="5"/>
      <c s="5"/>
      <c s="5"/>
      <c s="5"/>
      <c s="5"/>
      <c s="5"/>
      <c s="5"/>
      <c s="5"/>
    </row>
    <row r="577" spans="1:26" ht="15.75">
      <c r="A577" s="5"/>
      <c s="5"/>
      <c s="5"/>
      <c s="5"/>
      <c s="5"/>
      <c s="5"/>
      <c s="5"/>
      <c s="5"/>
      <c s="5"/>
      <c s="5"/>
      <c s="5"/>
      <c s="5"/>
      <c s="5"/>
      <c s="5"/>
      <c s="5"/>
      <c s="5"/>
      <c s="5"/>
      <c s="5"/>
      <c s="5"/>
      <c s="5"/>
      <c s="5"/>
      <c s="5"/>
      <c s="5"/>
      <c s="5"/>
      <c s="5"/>
      <c s="5"/>
    </row>
    <row r="578" spans="1:26" ht="15.75">
      <c r="A578" s="5"/>
      <c s="5"/>
      <c s="5"/>
      <c s="5"/>
      <c s="5"/>
      <c s="5"/>
      <c s="5"/>
      <c s="5"/>
      <c s="5"/>
      <c s="5"/>
      <c s="5"/>
      <c s="5"/>
      <c s="5"/>
      <c s="5"/>
      <c s="5"/>
      <c s="5"/>
      <c s="5"/>
      <c s="5"/>
      <c s="5"/>
      <c s="5"/>
      <c s="5"/>
      <c s="5"/>
      <c s="5"/>
      <c s="5"/>
      <c s="5"/>
      <c s="5"/>
    </row>
    <row r="579" spans="1:26" ht="15.75">
      <c r="A579" s="5"/>
      <c s="5"/>
      <c s="5"/>
      <c s="5"/>
      <c s="5"/>
      <c s="5"/>
      <c s="5"/>
      <c s="5"/>
      <c s="5"/>
      <c s="5"/>
      <c s="5"/>
      <c s="5"/>
      <c s="5"/>
      <c s="5"/>
      <c s="5"/>
      <c s="5"/>
      <c s="5"/>
      <c s="5"/>
      <c s="5"/>
      <c s="5"/>
      <c s="5"/>
      <c s="5"/>
      <c s="5"/>
      <c s="5"/>
      <c s="5"/>
      <c s="5"/>
    </row>
    <row r="580" spans="1:26" ht="15.75">
      <c r="A580" s="5"/>
      <c s="5"/>
      <c s="5"/>
      <c s="5"/>
      <c s="5"/>
      <c s="5"/>
      <c s="5"/>
      <c s="5"/>
      <c s="5"/>
      <c s="5"/>
      <c s="5"/>
      <c s="5"/>
      <c s="5"/>
      <c s="5"/>
      <c s="5"/>
      <c s="5"/>
      <c s="5"/>
      <c s="5"/>
      <c s="5"/>
      <c s="5"/>
      <c s="5"/>
      <c s="5"/>
      <c s="5"/>
      <c s="5"/>
      <c s="5"/>
      <c s="5"/>
    </row>
    <row r="581" spans="1:26" ht="15.75">
      <c r="A581" s="5"/>
      <c s="5"/>
      <c s="5"/>
      <c s="5"/>
      <c s="5"/>
      <c s="5"/>
      <c s="5"/>
      <c s="5"/>
      <c s="5"/>
      <c s="5"/>
      <c s="5"/>
      <c s="5"/>
      <c s="5"/>
      <c s="5"/>
      <c s="5"/>
      <c s="5"/>
      <c s="5"/>
      <c s="5"/>
      <c s="5"/>
      <c s="5"/>
      <c s="5"/>
      <c s="5"/>
      <c s="5"/>
      <c s="5"/>
      <c s="5"/>
      <c s="5"/>
    </row>
    <row r="582" spans="1:26" ht="15.75">
      <c r="A582" s="5"/>
      <c s="5"/>
      <c s="5"/>
      <c s="5"/>
      <c s="5"/>
      <c s="5"/>
      <c s="5"/>
      <c s="5"/>
      <c s="5"/>
      <c s="5"/>
      <c s="5"/>
      <c s="5"/>
      <c s="5"/>
      <c s="5"/>
      <c s="5"/>
      <c s="5"/>
      <c s="5"/>
      <c s="5"/>
      <c s="5"/>
      <c s="5"/>
      <c s="5"/>
      <c s="5"/>
      <c s="5"/>
      <c s="5"/>
      <c s="5"/>
      <c s="5"/>
    </row>
    <row r="583" spans="1:26" ht="15.75">
      <c r="A583" s="5"/>
      <c s="5"/>
      <c s="5"/>
      <c s="5"/>
      <c s="5"/>
      <c s="5"/>
      <c s="5"/>
      <c s="5"/>
      <c s="5"/>
      <c s="5"/>
      <c s="5"/>
      <c s="5"/>
      <c s="5"/>
      <c s="5"/>
      <c s="5"/>
      <c s="5"/>
      <c s="5"/>
      <c s="5"/>
      <c s="5"/>
      <c s="5"/>
      <c s="5"/>
      <c s="5"/>
      <c s="5"/>
      <c s="5"/>
      <c s="5"/>
      <c s="5"/>
    </row>
    <row r="584" spans="1:26" ht="15.75">
      <c r="A584" s="5"/>
      <c s="5"/>
      <c s="5"/>
      <c s="5"/>
      <c s="5"/>
      <c s="5"/>
      <c s="5"/>
      <c s="5"/>
      <c s="5"/>
      <c s="5"/>
      <c s="5"/>
      <c s="5"/>
      <c s="5"/>
      <c s="5"/>
      <c s="5"/>
      <c s="5"/>
      <c s="5"/>
      <c s="5"/>
      <c s="5"/>
      <c s="5"/>
      <c s="5"/>
      <c s="5"/>
      <c s="5"/>
      <c s="5"/>
      <c s="5"/>
      <c s="5"/>
    </row>
    <row r="585" spans="1:26" ht="15.75">
      <c r="A585" s="5"/>
      <c s="5"/>
      <c s="5"/>
      <c s="5"/>
      <c s="5"/>
      <c s="5"/>
      <c s="5"/>
      <c s="5"/>
      <c s="5"/>
      <c s="5"/>
      <c s="5"/>
      <c s="5"/>
      <c s="5"/>
      <c s="5"/>
      <c s="5"/>
      <c s="5"/>
      <c s="5"/>
      <c s="5"/>
      <c s="5"/>
      <c s="5"/>
      <c s="5"/>
      <c s="5"/>
      <c s="5"/>
      <c s="5"/>
      <c s="5"/>
      <c s="5"/>
    </row>
    <row r="586" spans="1:26" ht="15.75">
      <c r="A586" s="5"/>
      <c s="5"/>
      <c s="5"/>
      <c s="5"/>
      <c s="5"/>
      <c s="5"/>
      <c s="5"/>
      <c s="5"/>
      <c s="5"/>
      <c s="5"/>
      <c s="5"/>
      <c s="5"/>
      <c s="5"/>
      <c s="5"/>
      <c s="5"/>
      <c s="5"/>
      <c s="5"/>
      <c s="5"/>
      <c s="5"/>
      <c s="5"/>
      <c s="5"/>
      <c s="5"/>
      <c s="5"/>
      <c s="5"/>
      <c s="5"/>
      <c s="5"/>
    </row>
    <row r="587" spans="1:26" ht="15.75">
      <c r="A587" s="5"/>
      <c s="5"/>
      <c s="5"/>
      <c s="5"/>
      <c s="5"/>
      <c s="5"/>
      <c s="5"/>
      <c s="5"/>
      <c s="5"/>
      <c s="5"/>
      <c s="5"/>
      <c s="5"/>
      <c s="5"/>
      <c s="5"/>
      <c s="5"/>
      <c s="5"/>
      <c s="5"/>
      <c s="5"/>
      <c s="5"/>
      <c s="5"/>
      <c s="5"/>
      <c s="5"/>
      <c s="5"/>
      <c s="5"/>
      <c s="5"/>
      <c s="5"/>
    </row>
    <row r="588" spans="1:26" ht="15.75">
      <c r="A588" s="5"/>
      <c s="5"/>
      <c s="5"/>
      <c s="5"/>
      <c s="5"/>
      <c s="5"/>
      <c s="5"/>
      <c s="5"/>
      <c s="5"/>
      <c s="5"/>
      <c s="5"/>
      <c s="5"/>
      <c s="5"/>
      <c s="5"/>
      <c s="5"/>
      <c s="5"/>
      <c s="5"/>
      <c s="5"/>
      <c s="5"/>
      <c s="5"/>
      <c s="5"/>
      <c s="5"/>
      <c s="5"/>
      <c s="5"/>
      <c s="5"/>
      <c s="5"/>
    </row>
    <row r="589" spans="1:26" ht="15.75">
      <c r="A589" s="5"/>
      <c s="5"/>
      <c s="5"/>
      <c s="5"/>
      <c s="5"/>
      <c s="5"/>
      <c s="5"/>
      <c s="5"/>
      <c s="5"/>
      <c s="5"/>
      <c s="5"/>
      <c s="5"/>
      <c s="5"/>
      <c s="5"/>
      <c s="5"/>
      <c s="5"/>
      <c s="5"/>
      <c s="5"/>
      <c s="5"/>
      <c s="5"/>
      <c s="5"/>
      <c s="5"/>
      <c s="5"/>
      <c s="5"/>
      <c s="5"/>
      <c s="5"/>
    </row>
    <row r="590" spans="1:26" ht="15.75">
      <c r="A590" s="5"/>
      <c s="5"/>
      <c s="5"/>
      <c s="5"/>
      <c s="5"/>
      <c s="5"/>
      <c s="5"/>
      <c s="5"/>
      <c s="5"/>
      <c s="5"/>
      <c s="5"/>
      <c s="5"/>
      <c s="5"/>
      <c s="5"/>
      <c s="5"/>
      <c s="5"/>
      <c s="5"/>
      <c s="5"/>
      <c s="5"/>
      <c s="5"/>
      <c s="5"/>
      <c s="5"/>
      <c s="5"/>
      <c s="5"/>
      <c s="5"/>
      <c s="5"/>
    </row>
    <row r="591" spans="1:26" ht="15.75">
      <c r="A591" s="5"/>
      <c s="5"/>
      <c s="5"/>
      <c s="5"/>
      <c s="5"/>
      <c s="5"/>
      <c s="5"/>
      <c s="5"/>
      <c s="5"/>
      <c s="5"/>
      <c s="5"/>
      <c s="5"/>
      <c s="5"/>
      <c s="5"/>
      <c s="5"/>
      <c s="5"/>
      <c s="5"/>
      <c s="5"/>
      <c s="5"/>
      <c s="5"/>
      <c s="5"/>
      <c s="5"/>
      <c s="5"/>
      <c s="5"/>
      <c s="5"/>
      <c s="5"/>
    </row>
    <row r="592" spans="1:26" ht="15.75">
      <c r="A592" s="5"/>
      <c s="5"/>
      <c s="5"/>
      <c s="5"/>
      <c s="5"/>
      <c s="5"/>
      <c s="5"/>
      <c s="5"/>
      <c s="5"/>
      <c s="5"/>
      <c s="5"/>
      <c s="5"/>
      <c s="5"/>
      <c s="5"/>
      <c s="5"/>
      <c s="5"/>
      <c s="5"/>
      <c s="5"/>
      <c s="5"/>
      <c s="5"/>
      <c s="5"/>
      <c s="5"/>
      <c s="5"/>
      <c s="5"/>
      <c s="5"/>
      <c s="5"/>
    </row>
    <row r="593" spans="1:26" ht="15.75">
      <c r="A593" s="5"/>
      <c s="5"/>
      <c s="5"/>
      <c s="5"/>
      <c s="5"/>
      <c s="5"/>
      <c s="5"/>
      <c s="5"/>
      <c s="5"/>
      <c s="5"/>
      <c s="5"/>
      <c s="5"/>
      <c s="5"/>
      <c s="5"/>
      <c s="5"/>
      <c s="5"/>
      <c s="5"/>
      <c s="5"/>
      <c s="5"/>
      <c s="5"/>
      <c s="5"/>
      <c s="5"/>
      <c s="5"/>
      <c s="5"/>
      <c s="5"/>
      <c s="5"/>
    </row>
    <row r="594" spans="1:26" ht="15.75">
      <c r="A594" s="5"/>
      <c s="5"/>
      <c s="5"/>
      <c s="5"/>
      <c s="5"/>
      <c s="5"/>
      <c s="5"/>
      <c s="5"/>
      <c s="5"/>
      <c s="5"/>
      <c s="5"/>
      <c s="5"/>
      <c s="5"/>
      <c s="5"/>
      <c s="5"/>
      <c s="5"/>
      <c s="5"/>
      <c s="5"/>
      <c s="5"/>
      <c s="5"/>
      <c s="5"/>
      <c s="5"/>
      <c s="5"/>
      <c s="5"/>
      <c s="5"/>
      <c s="5"/>
    </row>
    <row r="595" spans="1:26" ht="15.75">
      <c r="A595" s="5"/>
      <c s="5"/>
      <c s="5"/>
      <c s="5"/>
      <c s="5"/>
      <c s="5"/>
      <c s="5"/>
      <c s="5"/>
      <c s="5"/>
      <c s="5"/>
      <c s="5"/>
      <c s="5"/>
      <c s="5"/>
      <c s="5"/>
      <c s="5"/>
      <c s="5"/>
      <c s="5"/>
      <c s="5"/>
      <c s="5"/>
      <c s="5"/>
      <c s="5"/>
      <c s="5"/>
      <c s="5"/>
      <c s="5"/>
      <c s="5"/>
      <c s="5"/>
    </row>
    <row r="596" spans="1:26" ht="15.75">
      <c r="A596" s="5"/>
      <c s="5"/>
      <c s="5"/>
      <c s="5"/>
      <c s="5"/>
      <c s="5"/>
      <c s="5"/>
      <c s="5"/>
      <c s="5"/>
      <c s="5"/>
      <c s="5"/>
      <c s="5"/>
      <c s="5"/>
      <c s="5"/>
      <c s="5"/>
      <c s="5"/>
      <c s="5"/>
      <c s="5"/>
      <c s="5"/>
      <c s="5"/>
      <c s="5"/>
      <c s="5"/>
      <c s="5"/>
      <c s="5"/>
      <c s="5"/>
      <c s="5"/>
    </row>
    <row r="597" spans="1:26" ht="15.75">
      <c r="A597" s="5"/>
      <c s="5"/>
      <c s="5"/>
      <c s="5"/>
      <c s="5"/>
      <c s="5"/>
      <c s="5"/>
      <c s="5"/>
      <c s="5"/>
      <c s="5"/>
      <c s="5"/>
      <c s="5"/>
      <c s="5"/>
      <c s="5"/>
      <c s="5"/>
      <c s="5"/>
      <c s="5"/>
      <c s="5"/>
      <c s="5"/>
      <c s="5"/>
      <c s="5"/>
      <c s="5"/>
      <c s="5"/>
      <c s="5"/>
      <c s="5"/>
      <c s="5"/>
    </row>
    <row r="598" spans="1:26" ht="15.75">
      <c r="A598" s="5"/>
      <c s="5"/>
      <c s="5"/>
      <c s="5"/>
      <c s="5"/>
      <c s="5"/>
      <c s="5"/>
      <c s="5"/>
      <c s="5"/>
      <c s="5"/>
      <c s="5"/>
      <c s="5"/>
      <c s="5"/>
      <c s="5"/>
      <c s="5"/>
      <c s="5"/>
      <c s="5"/>
      <c s="5"/>
      <c s="5"/>
      <c s="5"/>
      <c s="5"/>
      <c s="5"/>
      <c s="5"/>
      <c s="5"/>
      <c s="5"/>
      <c s="5"/>
    </row>
    <row r="599" spans="1:26" ht="15.75">
      <c r="A599" s="5"/>
      <c s="5"/>
      <c s="5"/>
      <c s="5"/>
      <c s="5"/>
      <c s="5"/>
      <c s="5"/>
      <c s="5"/>
      <c s="5"/>
      <c s="5"/>
      <c s="5"/>
      <c s="5"/>
      <c s="5"/>
      <c s="5"/>
      <c s="5"/>
      <c s="5"/>
      <c s="5"/>
      <c s="5"/>
      <c s="5"/>
      <c s="5"/>
      <c s="5"/>
      <c s="5"/>
      <c s="5"/>
      <c s="5"/>
      <c s="5"/>
      <c s="5"/>
    </row>
    <row r="600" spans="1:26" ht="15.75">
      <c r="A600" s="5"/>
      <c s="5"/>
      <c s="5"/>
      <c s="5"/>
      <c s="5"/>
      <c s="5"/>
      <c s="5"/>
      <c s="5"/>
      <c s="5"/>
      <c s="5"/>
      <c s="5"/>
      <c s="5"/>
      <c s="5"/>
      <c s="5"/>
      <c s="5"/>
      <c s="5"/>
      <c s="5"/>
      <c s="5"/>
      <c s="5"/>
      <c s="5"/>
      <c s="5"/>
      <c s="5"/>
      <c s="5"/>
      <c s="5"/>
      <c s="5"/>
      <c s="5"/>
    </row>
    <row r="601" spans="1:26" ht="15.75">
      <c r="A601" s="5"/>
      <c s="5"/>
      <c s="5"/>
      <c s="5"/>
      <c s="5"/>
      <c s="5"/>
      <c s="5"/>
      <c s="5"/>
      <c s="5"/>
      <c s="5"/>
      <c s="5"/>
      <c s="5"/>
      <c s="5"/>
      <c s="5"/>
      <c s="5"/>
      <c s="5"/>
      <c s="5"/>
      <c s="5"/>
      <c s="5"/>
      <c s="5"/>
      <c s="5"/>
      <c s="5"/>
      <c s="5"/>
      <c s="5"/>
      <c s="5"/>
      <c s="5"/>
    </row>
    <row r="602" spans="1:26" ht="15.75">
      <c r="A602" s="5"/>
      <c s="5"/>
      <c s="5"/>
      <c s="5"/>
      <c s="5"/>
      <c s="5"/>
      <c s="5"/>
      <c s="5"/>
      <c s="5"/>
      <c s="5"/>
      <c s="5"/>
      <c s="5"/>
      <c s="5"/>
      <c s="5"/>
      <c s="5"/>
      <c s="5"/>
      <c s="5"/>
      <c s="5"/>
      <c s="5"/>
      <c s="5"/>
      <c s="5"/>
      <c s="5"/>
      <c s="5"/>
      <c s="5"/>
      <c s="5"/>
      <c s="5"/>
    </row>
    <row r="603" spans="1:26" ht="15.75">
      <c r="A603" s="5"/>
      <c s="5"/>
      <c s="5"/>
      <c s="5"/>
      <c s="5"/>
      <c s="5"/>
      <c s="5"/>
      <c s="5"/>
      <c s="5"/>
      <c s="5"/>
      <c s="5"/>
      <c s="5"/>
      <c s="5"/>
      <c s="5"/>
      <c s="5"/>
      <c s="5"/>
      <c s="5"/>
      <c s="5"/>
      <c s="5"/>
      <c s="5"/>
      <c s="5"/>
      <c s="5"/>
      <c s="5"/>
      <c s="5"/>
      <c s="5"/>
      <c s="5"/>
    </row>
    <row r="604" spans="1:26" ht="15.75">
      <c r="A604" s="5"/>
      <c s="5"/>
      <c s="5"/>
      <c s="5"/>
      <c s="5"/>
      <c s="5"/>
      <c s="5"/>
      <c s="5"/>
      <c s="5"/>
      <c s="5"/>
      <c s="5"/>
      <c s="5"/>
      <c s="5"/>
      <c s="5"/>
      <c s="5"/>
      <c s="5"/>
      <c s="5"/>
      <c s="5"/>
      <c s="5"/>
      <c s="5"/>
      <c s="5"/>
      <c s="5"/>
      <c s="5"/>
      <c s="5"/>
      <c s="5"/>
      <c s="5"/>
    </row>
    <row r="605" spans="1:26" ht="15.75">
      <c r="A605" s="5"/>
      <c s="5"/>
      <c s="5"/>
      <c s="5"/>
      <c s="5"/>
      <c s="5"/>
      <c s="5"/>
      <c s="5"/>
      <c s="5"/>
      <c s="5"/>
      <c s="5"/>
      <c s="5"/>
      <c s="5"/>
      <c s="5"/>
      <c s="5"/>
      <c s="5"/>
      <c s="5"/>
      <c s="5"/>
      <c s="5"/>
      <c s="5"/>
      <c s="5"/>
      <c s="5"/>
      <c s="5"/>
      <c s="5"/>
      <c s="5"/>
      <c s="5"/>
    </row>
    <row r="606" spans="1:26" ht="15.75">
      <c r="A606" s="5"/>
      <c s="5"/>
      <c s="5"/>
      <c s="5"/>
      <c s="5"/>
      <c s="5"/>
      <c s="5"/>
      <c s="5"/>
      <c s="5"/>
      <c s="5"/>
      <c s="5"/>
      <c s="5"/>
      <c s="5"/>
      <c s="5"/>
      <c s="5"/>
      <c s="5"/>
      <c s="5"/>
      <c s="5"/>
      <c s="5"/>
      <c s="5"/>
      <c s="5"/>
      <c s="5"/>
      <c s="5"/>
      <c s="5"/>
      <c s="5"/>
      <c s="5"/>
    </row>
    <row r="607" spans="1:26" ht="15.75">
      <c r="A607" s="5"/>
      <c s="5"/>
      <c s="5"/>
      <c s="5"/>
      <c s="5"/>
      <c s="5"/>
      <c s="5"/>
      <c s="5"/>
      <c s="5"/>
      <c s="5"/>
      <c s="5"/>
      <c s="5"/>
      <c s="5"/>
      <c s="5"/>
      <c s="5"/>
      <c s="5"/>
      <c s="5"/>
      <c s="5"/>
      <c s="5"/>
      <c s="5"/>
      <c s="5"/>
      <c s="5"/>
      <c s="5"/>
      <c s="5"/>
      <c s="5"/>
      <c s="5"/>
    </row>
    <row r="608" spans="1:26" ht="15.75">
      <c r="A608" s="5"/>
      <c s="5"/>
      <c s="5"/>
      <c s="5"/>
      <c s="5"/>
      <c s="5"/>
      <c s="5"/>
      <c s="5"/>
      <c s="5"/>
      <c s="5"/>
      <c s="5"/>
      <c s="5"/>
      <c s="5"/>
      <c s="5"/>
      <c s="5"/>
      <c s="5"/>
      <c s="5"/>
      <c s="5"/>
      <c s="5"/>
      <c s="5"/>
      <c s="5"/>
      <c s="5"/>
      <c s="5"/>
      <c s="5"/>
      <c s="5"/>
      <c s="5"/>
    </row>
    <row r="609" spans="1:26" ht="15.75">
      <c r="A609" s="5"/>
      <c s="5"/>
      <c s="5"/>
      <c s="5"/>
      <c s="5"/>
      <c s="5"/>
      <c s="5"/>
      <c s="5"/>
      <c s="5"/>
      <c s="5"/>
      <c s="5"/>
      <c s="5"/>
      <c s="5"/>
      <c s="5"/>
      <c s="5"/>
      <c s="5"/>
      <c s="5"/>
      <c s="5"/>
      <c s="5"/>
      <c s="5"/>
      <c s="5"/>
      <c s="5"/>
      <c s="5"/>
      <c s="5"/>
      <c s="5"/>
      <c s="5"/>
    </row>
    <row r="610" spans="1:26" ht="15.75">
      <c r="A610" s="5"/>
      <c s="5"/>
      <c s="5"/>
      <c s="5"/>
      <c s="5"/>
      <c s="5"/>
      <c s="5"/>
      <c s="5"/>
      <c s="5"/>
      <c s="5"/>
      <c s="5"/>
      <c s="5"/>
      <c s="5"/>
      <c s="5"/>
      <c s="5"/>
      <c s="5"/>
      <c s="5"/>
      <c s="5"/>
      <c s="5"/>
      <c s="5"/>
      <c s="5"/>
      <c s="5"/>
      <c s="5"/>
      <c s="5"/>
      <c s="5"/>
      <c s="5"/>
    </row>
    <row r="611" spans="1:26" ht="15.75">
      <c r="A611" s="5"/>
      <c s="5"/>
      <c s="5"/>
      <c s="5"/>
      <c s="5"/>
      <c s="5"/>
      <c s="5"/>
      <c s="5"/>
      <c s="5"/>
      <c s="5"/>
      <c s="5"/>
      <c s="5"/>
      <c s="5"/>
      <c s="5"/>
      <c s="5"/>
      <c s="5"/>
      <c s="5"/>
      <c s="5"/>
      <c s="5"/>
      <c s="5"/>
      <c s="5"/>
      <c s="5"/>
      <c s="5"/>
      <c s="5"/>
      <c s="5"/>
      <c s="5"/>
    </row>
    <row r="612" spans="1:26" ht="15.75">
      <c r="A612" s="5"/>
      <c s="5"/>
      <c s="5"/>
      <c s="5"/>
      <c s="5"/>
      <c s="5"/>
      <c s="5"/>
      <c s="5"/>
      <c s="5"/>
      <c s="5"/>
      <c s="5"/>
      <c s="5"/>
      <c s="5"/>
      <c s="5"/>
      <c s="5"/>
      <c s="5"/>
      <c s="5"/>
      <c s="5"/>
      <c s="5"/>
      <c s="5"/>
      <c s="5"/>
      <c s="5"/>
      <c s="5"/>
      <c s="5"/>
      <c s="5"/>
      <c s="5"/>
    </row>
    <row r="613" spans="1:26" ht="15.75">
      <c r="A613" s="5"/>
      <c s="5"/>
      <c s="5"/>
      <c s="5"/>
      <c s="5"/>
      <c s="5"/>
      <c s="5"/>
      <c s="5"/>
      <c s="5"/>
      <c s="5"/>
      <c s="5"/>
      <c s="5"/>
      <c s="5"/>
      <c s="5"/>
      <c s="5"/>
      <c s="5"/>
      <c s="5"/>
      <c s="5"/>
      <c s="5"/>
      <c s="5"/>
      <c s="5"/>
      <c s="5"/>
      <c s="5"/>
      <c s="5"/>
      <c s="5"/>
      <c s="5"/>
    </row>
    <row r="614" spans="1:26" ht="15.75">
      <c r="A614" s="5"/>
      <c s="5"/>
      <c s="5"/>
      <c s="5"/>
      <c s="5"/>
      <c s="5"/>
      <c s="5"/>
      <c s="5"/>
      <c s="5"/>
      <c s="5"/>
      <c s="5"/>
      <c s="5"/>
      <c s="5"/>
      <c s="5"/>
      <c s="5"/>
      <c s="5"/>
      <c s="5"/>
      <c s="5"/>
      <c s="5"/>
      <c s="5"/>
      <c s="5"/>
      <c s="5"/>
      <c s="5"/>
      <c s="5"/>
      <c s="5"/>
      <c s="5"/>
    </row>
    <row r="615" spans="1:26" ht="15.75">
      <c r="A615" s="5"/>
      <c s="5"/>
      <c s="5"/>
      <c s="5"/>
      <c s="5"/>
      <c s="5"/>
      <c s="5"/>
      <c s="5"/>
      <c s="5"/>
      <c s="5"/>
      <c s="5"/>
      <c s="5"/>
      <c s="5"/>
      <c s="5"/>
      <c s="5"/>
      <c s="5"/>
      <c s="5"/>
      <c s="5"/>
      <c s="5"/>
      <c s="5"/>
      <c s="5"/>
      <c s="5"/>
      <c s="5"/>
      <c s="5"/>
      <c s="5"/>
      <c s="5"/>
    </row>
    <row r="616" spans="1:26" ht="15.75">
      <c r="A616" s="5"/>
      <c s="5"/>
      <c s="5"/>
      <c s="5"/>
      <c s="5"/>
      <c s="5"/>
      <c s="5"/>
      <c s="5"/>
      <c s="5"/>
      <c s="5"/>
      <c s="5"/>
      <c s="5"/>
      <c s="5"/>
      <c s="5"/>
      <c s="5"/>
      <c s="5"/>
      <c s="5"/>
      <c s="5"/>
      <c s="5"/>
      <c s="5"/>
      <c s="5"/>
      <c s="5"/>
      <c s="5"/>
      <c s="5"/>
      <c s="5"/>
      <c s="5"/>
    </row>
    <row r="617" spans="1:26" ht="15.75">
      <c r="A617" s="5"/>
      <c s="5"/>
      <c s="5"/>
      <c s="5"/>
      <c s="5"/>
      <c s="5"/>
      <c s="5"/>
      <c s="5"/>
      <c s="5"/>
      <c s="5"/>
      <c s="5"/>
      <c s="5"/>
      <c s="5"/>
      <c s="5"/>
      <c s="5"/>
      <c s="5"/>
      <c s="5"/>
      <c s="5"/>
      <c s="5"/>
      <c s="5"/>
      <c s="5"/>
      <c s="5"/>
      <c s="5"/>
      <c s="5"/>
      <c s="5"/>
      <c s="5"/>
    </row>
    <row r="618" spans="1:26" ht="15.75">
      <c r="A618" s="5"/>
      <c s="5"/>
      <c s="5"/>
      <c s="5"/>
      <c s="5"/>
      <c s="5"/>
      <c s="5"/>
      <c s="5"/>
      <c s="5"/>
      <c s="5"/>
      <c s="5"/>
      <c s="5"/>
      <c s="5"/>
      <c s="5"/>
      <c s="5"/>
      <c s="5"/>
      <c s="5"/>
      <c s="5"/>
      <c s="5"/>
      <c s="5"/>
      <c s="5"/>
      <c s="5"/>
      <c s="5"/>
      <c s="5"/>
      <c s="5"/>
      <c s="5"/>
    </row>
    <row r="619" spans="1:26" ht="15.75">
      <c r="A619" s="5"/>
      <c s="5"/>
      <c s="5"/>
      <c s="5"/>
      <c s="5"/>
      <c s="5"/>
      <c s="5"/>
      <c s="5"/>
      <c s="5"/>
      <c s="5"/>
      <c s="5"/>
      <c s="5"/>
      <c s="5"/>
      <c s="5"/>
      <c s="5"/>
      <c s="5"/>
      <c s="5"/>
      <c s="5"/>
      <c s="5"/>
      <c s="5"/>
      <c s="5"/>
      <c s="5"/>
      <c s="5"/>
      <c s="5"/>
      <c s="5"/>
      <c s="5"/>
    </row>
    <row r="620" spans="1:26" ht="15.75">
      <c r="A620" s="5"/>
      <c s="5"/>
      <c s="5"/>
      <c s="5"/>
      <c s="5"/>
      <c s="5"/>
      <c s="5"/>
      <c s="5"/>
      <c s="5"/>
      <c s="5"/>
      <c s="5"/>
      <c s="5"/>
      <c s="5"/>
      <c s="5"/>
      <c s="5"/>
      <c s="5"/>
      <c s="5"/>
      <c s="5"/>
      <c s="5"/>
      <c s="5"/>
      <c s="5"/>
      <c s="5"/>
      <c s="5"/>
      <c s="5"/>
      <c s="5"/>
      <c s="5"/>
    </row>
    <row r="621" spans="1:26" ht="15.75">
      <c r="A621" s="5"/>
      <c s="5"/>
      <c s="5"/>
      <c s="5"/>
      <c s="5"/>
      <c s="5"/>
      <c s="5"/>
      <c s="5"/>
      <c s="5"/>
      <c s="5"/>
      <c s="5"/>
      <c s="5"/>
      <c s="5"/>
      <c s="5"/>
      <c s="5"/>
      <c s="5"/>
      <c s="5"/>
      <c s="5"/>
      <c s="5"/>
      <c s="5"/>
      <c s="5"/>
      <c s="5"/>
      <c s="5"/>
      <c s="5"/>
      <c s="5"/>
      <c s="5"/>
    </row>
    <row r="622" spans="1:26" ht="15.75">
      <c r="A622" s="5"/>
      <c s="5"/>
      <c s="5"/>
      <c s="5"/>
      <c s="5"/>
      <c s="5"/>
      <c s="5"/>
      <c s="5"/>
      <c s="5"/>
      <c s="5"/>
      <c s="5"/>
      <c s="5"/>
      <c s="5"/>
      <c s="5"/>
      <c s="5"/>
      <c s="5"/>
      <c s="5"/>
      <c s="5"/>
      <c s="5"/>
      <c s="5"/>
      <c s="5"/>
      <c s="5"/>
      <c s="5"/>
      <c s="5"/>
      <c s="5"/>
      <c s="5"/>
    </row>
    <row r="623" spans="1:26" ht="15.75">
      <c r="A623" s="5"/>
      <c s="5"/>
      <c s="5"/>
      <c s="5"/>
      <c s="5"/>
      <c s="5"/>
      <c s="5"/>
      <c s="5"/>
      <c s="5"/>
      <c s="5"/>
      <c s="5"/>
      <c s="5"/>
      <c s="5"/>
      <c s="5"/>
      <c s="5"/>
      <c s="5"/>
      <c s="5"/>
      <c s="5"/>
      <c s="5"/>
      <c s="5"/>
      <c s="5"/>
      <c s="5"/>
      <c s="5"/>
      <c s="5"/>
      <c s="5"/>
      <c s="5"/>
    </row>
    <row r="624" spans="1:26" ht="15.75">
      <c r="A624" s="5"/>
      <c s="5"/>
      <c s="5"/>
      <c s="5"/>
      <c s="5"/>
      <c s="5"/>
      <c s="5"/>
      <c s="5"/>
      <c s="5"/>
      <c s="5"/>
      <c s="5"/>
      <c s="5"/>
      <c s="5"/>
      <c s="5"/>
      <c s="5"/>
      <c s="5"/>
      <c s="5"/>
      <c s="5"/>
      <c s="5"/>
      <c s="5"/>
      <c s="5"/>
      <c s="5"/>
      <c s="5"/>
      <c s="5"/>
      <c s="5"/>
      <c s="5"/>
    </row>
    <row r="625" spans="1:26" ht="15.75">
      <c r="A625" s="5"/>
      <c s="5"/>
      <c s="5"/>
      <c s="5"/>
      <c s="5"/>
      <c s="5"/>
      <c s="5"/>
      <c s="5"/>
      <c s="5"/>
      <c s="5"/>
      <c s="5"/>
      <c s="5"/>
      <c s="5"/>
      <c s="5"/>
      <c s="5"/>
      <c s="5"/>
      <c s="5"/>
      <c s="5"/>
      <c s="5"/>
      <c s="5"/>
      <c s="5"/>
      <c s="5"/>
      <c s="5"/>
      <c s="5"/>
      <c s="5"/>
      <c s="5"/>
    </row>
    <row r="626" spans="1:26" ht="15.75">
      <c r="A626" s="5"/>
      <c s="5"/>
      <c s="5"/>
      <c s="5"/>
      <c s="5"/>
      <c s="5"/>
      <c s="5"/>
      <c s="5"/>
      <c s="5"/>
      <c s="5"/>
      <c s="5"/>
      <c s="5"/>
      <c s="5"/>
      <c s="5"/>
      <c s="5"/>
      <c s="5"/>
      <c s="5"/>
      <c s="5"/>
      <c s="5"/>
      <c s="5"/>
      <c s="5"/>
      <c s="5"/>
      <c s="5"/>
      <c s="5"/>
      <c s="5"/>
      <c s="5"/>
    </row>
    <row r="627" spans="1:26" ht="15.75">
      <c r="A627" s="5"/>
      <c s="5"/>
      <c s="5"/>
      <c s="5"/>
      <c s="5"/>
      <c s="5"/>
      <c s="5"/>
      <c s="5"/>
      <c s="5"/>
      <c s="5"/>
      <c s="5"/>
      <c s="5"/>
      <c s="5"/>
      <c s="5"/>
      <c s="5"/>
      <c s="5"/>
      <c s="5"/>
      <c s="5"/>
      <c s="5"/>
      <c s="5"/>
      <c s="5"/>
      <c s="5"/>
      <c s="5"/>
      <c s="5"/>
      <c s="5"/>
      <c s="5"/>
    </row>
    <row r="628" spans="1:26" ht="15.75">
      <c r="A628" s="5"/>
      <c s="5"/>
      <c s="5"/>
      <c s="5"/>
      <c s="5"/>
      <c s="5"/>
      <c s="5"/>
      <c s="5"/>
      <c s="5"/>
      <c s="5"/>
      <c s="5"/>
      <c s="5"/>
      <c s="5"/>
      <c s="5"/>
      <c s="5"/>
      <c s="5"/>
      <c s="5"/>
      <c s="5"/>
      <c s="5"/>
      <c s="5"/>
      <c s="5"/>
      <c s="5"/>
      <c s="5"/>
      <c s="5"/>
      <c s="5"/>
      <c s="5"/>
    </row>
    <row r="629" spans="1:26" ht="15.75">
      <c r="A629" s="5"/>
      <c s="5"/>
      <c s="5"/>
      <c s="5"/>
      <c s="5"/>
      <c s="5"/>
      <c s="5"/>
      <c s="5"/>
      <c s="5"/>
      <c s="5"/>
      <c s="5"/>
      <c s="5"/>
      <c s="5"/>
      <c s="5"/>
      <c s="5"/>
      <c s="5"/>
      <c s="5"/>
      <c s="5"/>
      <c s="5"/>
      <c s="5"/>
      <c s="5"/>
      <c s="5"/>
      <c s="5"/>
      <c s="5"/>
      <c s="5"/>
      <c s="5"/>
    </row>
    <row r="630" spans="1:26" ht="15.75">
      <c r="A630" s="5"/>
      <c s="5"/>
      <c s="5"/>
      <c s="5"/>
      <c s="5"/>
      <c s="5"/>
      <c s="5"/>
      <c s="5"/>
      <c s="5"/>
      <c s="5"/>
      <c s="5"/>
      <c s="5"/>
      <c s="5"/>
      <c s="5"/>
      <c s="5"/>
      <c s="5"/>
      <c s="5"/>
      <c s="5"/>
      <c s="5"/>
      <c s="5"/>
      <c s="5"/>
      <c s="5"/>
      <c s="5"/>
      <c s="5"/>
      <c s="5"/>
      <c s="5"/>
    </row>
    <row r="631" spans="1:26" ht="15.75">
      <c r="A631" s="5"/>
      <c s="5"/>
      <c s="5"/>
      <c s="5"/>
      <c s="5"/>
      <c s="5"/>
      <c s="5"/>
      <c s="5"/>
      <c s="5"/>
      <c s="5"/>
      <c s="5"/>
      <c s="5"/>
      <c s="5"/>
      <c s="5"/>
      <c s="5"/>
      <c s="5"/>
      <c s="5"/>
      <c s="5"/>
      <c s="5"/>
      <c s="5"/>
      <c s="5"/>
      <c s="5"/>
      <c s="5"/>
      <c s="5"/>
      <c s="5"/>
      <c s="5"/>
    </row>
    <row r="632" spans="1:26" ht="15.75">
      <c r="A632" s="5"/>
      <c s="5"/>
      <c s="5"/>
      <c s="5"/>
      <c s="5"/>
      <c s="5"/>
      <c s="5"/>
      <c s="5"/>
      <c s="5"/>
      <c s="5"/>
      <c s="5"/>
      <c s="5"/>
      <c s="5"/>
      <c s="5"/>
      <c s="5"/>
      <c s="5"/>
      <c s="5"/>
      <c s="5"/>
      <c s="5"/>
      <c s="5"/>
      <c s="5"/>
      <c s="5"/>
      <c s="5"/>
      <c s="5"/>
      <c s="5"/>
      <c s="5"/>
    </row>
    <row r="633" spans="1:26" ht="15.75">
      <c r="A633" s="5"/>
      <c s="5"/>
      <c s="5"/>
      <c s="5"/>
      <c s="5"/>
      <c s="5"/>
      <c s="5"/>
      <c s="5"/>
      <c s="5"/>
      <c s="5"/>
      <c s="5"/>
      <c s="5"/>
      <c s="5"/>
      <c s="5"/>
      <c s="5"/>
      <c s="5"/>
      <c s="5"/>
      <c s="5"/>
      <c s="5"/>
      <c s="5"/>
      <c s="5"/>
      <c s="5"/>
      <c s="5"/>
      <c s="5"/>
      <c s="5"/>
      <c s="5"/>
    </row>
    <row r="634" spans="1:26" ht="15.75">
      <c r="A634" s="5"/>
      <c s="5"/>
      <c s="5"/>
      <c s="5"/>
      <c s="5"/>
      <c s="5"/>
      <c s="5"/>
      <c s="5"/>
      <c s="5"/>
      <c s="5"/>
      <c s="5"/>
      <c s="5"/>
      <c s="5"/>
      <c s="5"/>
      <c s="5"/>
      <c s="5"/>
      <c s="5"/>
      <c s="5"/>
      <c s="5"/>
      <c s="5"/>
      <c s="5"/>
      <c s="5"/>
      <c s="5"/>
      <c s="5"/>
      <c s="5"/>
      <c s="5"/>
    </row>
    <row r="635" spans="1:26" ht="15.75">
      <c r="A635" s="5"/>
      <c s="5"/>
      <c s="5"/>
      <c s="5"/>
      <c s="5"/>
      <c s="5"/>
      <c s="5"/>
      <c s="5"/>
      <c s="5"/>
      <c s="5"/>
      <c s="5"/>
      <c s="5"/>
      <c s="5"/>
      <c s="5"/>
      <c s="5"/>
      <c s="5"/>
      <c s="5"/>
      <c s="5"/>
      <c s="5"/>
      <c s="5"/>
      <c s="5"/>
      <c s="5"/>
      <c s="5"/>
      <c s="5"/>
      <c s="5"/>
      <c s="5"/>
    </row>
    <row r="636" spans="1:26" ht="15.75">
      <c r="A636" s="5"/>
      <c s="5"/>
      <c s="5"/>
      <c s="5"/>
      <c s="5"/>
      <c s="5"/>
      <c s="5"/>
      <c s="5"/>
      <c s="5"/>
      <c s="5"/>
      <c s="5"/>
      <c s="5"/>
      <c s="5"/>
      <c s="5"/>
      <c s="5"/>
      <c s="5"/>
      <c s="5"/>
      <c s="5"/>
      <c s="5"/>
      <c s="5"/>
      <c s="5"/>
      <c s="5"/>
      <c s="5"/>
      <c s="5"/>
      <c s="5"/>
      <c s="5"/>
    </row>
    <row r="637" spans="1:26" ht="15.75">
      <c r="A637" s="5"/>
      <c s="5"/>
      <c s="5"/>
      <c s="5"/>
      <c s="5"/>
      <c s="5"/>
      <c s="5"/>
      <c s="5"/>
      <c s="5"/>
      <c s="5"/>
      <c s="5"/>
      <c s="5"/>
      <c s="5"/>
      <c s="5"/>
      <c s="5"/>
      <c s="5"/>
      <c s="5"/>
      <c s="5"/>
      <c s="5"/>
      <c s="5"/>
      <c s="5"/>
      <c s="5"/>
      <c s="5"/>
      <c s="5"/>
      <c s="5"/>
      <c s="5"/>
    </row>
    <row r="638" spans="1:26" ht="15.75">
      <c r="A638" s="5"/>
      <c s="5"/>
      <c s="5"/>
      <c s="5"/>
      <c s="5"/>
      <c s="5"/>
      <c s="5"/>
      <c s="5"/>
      <c s="5"/>
      <c s="5"/>
      <c s="5"/>
      <c s="5"/>
      <c s="5"/>
      <c s="5"/>
      <c s="5"/>
      <c s="5"/>
      <c s="5"/>
      <c s="5"/>
      <c s="5"/>
      <c s="5"/>
      <c s="5"/>
      <c s="5"/>
      <c s="5"/>
      <c s="5"/>
      <c s="5"/>
      <c s="5"/>
    </row>
    <row r="639" spans="1:26" ht="15.75">
      <c r="A639" s="5"/>
      <c s="5"/>
      <c s="5"/>
      <c s="5"/>
      <c s="5"/>
      <c s="5"/>
      <c s="5"/>
      <c s="5"/>
      <c s="5"/>
      <c s="5"/>
      <c s="5"/>
      <c s="5"/>
      <c s="5"/>
      <c s="5"/>
      <c s="5"/>
      <c s="5"/>
      <c s="5"/>
      <c s="5"/>
      <c s="5"/>
      <c s="5"/>
      <c s="5"/>
      <c s="5"/>
      <c s="5"/>
      <c s="5"/>
      <c s="5"/>
      <c s="5"/>
    </row>
    <row r="640" spans="1:26" ht="15.75">
      <c r="A640" s="5"/>
      <c s="5"/>
      <c s="5"/>
      <c s="5"/>
      <c s="5"/>
      <c s="5"/>
      <c s="5"/>
      <c s="5"/>
      <c s="5"/>
      <c s="5"/>
      <c s="5"/>
      <c s="5"/>
      <c s="5"/>
      <c s="5"/>
      <c s="5"/>
      <c s="5"/>
      <c s="5"/>
      <c s="5"/>
      <c s="5"/>
      <c s="5"/>
      <c s="5"/>
      <c s="5"/>
      <c s="5"/>
      <c s="5"/>
      <c s="5"/>
      <c s="5"/>
    </row>
    <row r="641" spans="1:26" ht="15.75">
      <c r="A641" s="5"/>
      <c s="5"/>
      <c s="5"/>
      <c s="5"/>
      <c s="5"/>
      <c s="5"/>
      <c s="5"/>
      <c s="5"/>
      <c s="5"/>
      <c s="5"/>
      <c s="5"/>
      <c s="5"/>
      <c s="5"/>
      <c s="5"/>
      <c s="5"/>
      <c s="5"/>
      <c s="5"/>
      <c s="5"/>
      <c s="5"/>
      <c s="5"/>
      <c s="5"/>
      <c s="5"/>
      <c s="5"/>
      <c s="5"/>
      <c s="5"/>
      <c s="5"/>
    </row>
    <row r="642" spans="1:26" ht="15.75">
      <c r="A642" s="5"/>
      <c s="5"/>
      <c s="5"/>
      <c s="5"/>
      <c s="5"/>
      <c s="5"/>
      <c s="5"/>
      <c s="5"/>
      <c s="5"/>
      <c s="5"/>
      <c s="5"/>
      <c s="5"/>
      <c s="5"/>
      <c s="5"/>
      <c s="5"/>
      <c s="5"/>
      <c s="5"/>
      <c s="5"/>
      <c s="5"/>
      <c s="5"/>
      <c s="5"/>
      <c s="5"/>
      <c s="5"/>
      <c s="5"/>
      <c s="5"/>
      <c s="5"/>
    </row>
    <row r="643" spans="1:26" ht="15.75">
      <c r="A643" s="5"/>
      <c s="5"/>
      <c s="5"/>
      <c s="5"/>
      <c s="5"/>
      <c s="5"/>
      <c s="5"/>
      <c s="5"/>
      <c s="5"/>
      <c s="5"/>
      <c s="5"/>
      <c s="5"/>
      <c s="5"/>
      <c s="5"/>
      <c s="5"/>
      <c s="5"/>
      <c s="5"/>
      <c s="5"/>
      <c s="5"/>
      <c s="5"/>
      <c s="5"/>
      <c s="5"/>
      <c s="5"/>
      <c s="5"/>
      <c s="5"/>
      <c s="5"/>
    </row>
    <row r="644" spans="1:26" ht="15.75">
      <c r="A644" s="5"/>
      <c s="5"/>
      <c s="5"/>
      <c s="5"/>
      <c s="5"/>
      <c s="5"/>
      <c s="5"/>
      <c s="5"/>
      <c s="5"/>
      <c s="5"/>
      <c s="5"/>
      <c s="5"/>
      <c s="5"/>
      <c s="5"/>
      <c s="5"/>
      <c s="5"/>
      <c s="5"/>
      <c s="5"/>
      <c s="5"/>
      <c s="5"/>
      <c s="5"/>
      <c s="5"/>
      <c s="5"/>
      <c s="5"/>
      <c s="5"/>
      <c s="5"/>
    </row>
    <row r="645" spans="1:26" ht="15.75">
      <c r="A645" s="5"/>
      <c s="5"/>
      <c s="5"/>
      <c s="5"/>
      <c s="5"/>
      <c s="5"/>
      <c s="5"/>
      <c s="5"/>
      <c s="5"/>
      <c s="5"/>
      <c s="5"/>
      <c s="5"/>
      <c s="5"/>
      <c s="5"/>
      <c s="5"/>
      <c s="5"/>
      <c s="5"/>
      <c s="5"/>
      <c s="5"/>
      <c s="5"/>
      <c s="5"/>
      <c s="5"/>
      <c s="5"/>
      <c s="5"/>
      <c s="5"/>
      <c s="5"/>
    </row>
    <row r="646" spans="1:26" ht="15.75">
      <c r="A646" s="5"/>
      <c s="5"/>
      <c s="5"/>
      <c s="5"/>
      <c s="5"/>
      <c s="5"/>
      <c s="5"/>
      <c s="5"/>
      <c s="5"/>
      <c s="5"/>
      <c s="5"/>
      <c s="5"/>
      <c s="5"/>
      <c s="5"/>
      <c s="5"/>
      <c s="5"/>
      <c s="5"/>
      <c s="5"/>
      <c s="5"/>
      <c s="5"/>
      <c s="5"/>
      <c s="5"/>
      <c s="5"/>
      <c s="5"/>
      <c s="5"/>
      <c s="5"/>
    </row>
    <row r="647" spans="1:26" ht="15.75">
      <c r="A647" s="5"/>
      <c s="5"/>
      <c s="5"/>
      <c s="5"/>
      <c s="5"/>
      <c s="5"/>
      <c s="5"/>
      <c s="5"/>
      <c s="5"/>
      <c s="5"/>
      <c s="5"/>
      <c s="5"/>
      <c s="5"/>
      <c s="5"/>
      <c s="5"/>
      <c s="5"/>
      <c s="5"/>
      <c s="5"/>
      <c s="5"/>
      <c s="5"/>
      <c s="5"/>
      <c s="5"/>
      <c s="5"/>
      <c s="5"/>
      <c s="5"/>
      <c s="5"/>
    </row>
    <row r="648" spans="1:26" ht="15.75">
      <c r="A648" s="5"/>
      <c s="5"/>
      <c s="5"/>
      <c s="5"/>
      <c s="5"/>
      <c s="5"/>
      <c s="5"/>
      <c s="5"/>
      <c s="5"/>
      <c s="5"/>
      <c s="5"/>
      <c s="5"/>
      <c s="5"/>
      <c s="5"/>
      <c s="5"/>
      <c s="5"/>
      <c s="5"/>
      <c s="5"/>
      <c s="5"/>
      <c s="5"/>
      <c s="5"/>
      <c s="5"/>
      <c s="5"/>
      <c s="5"/>
      <c s="5"/>
      <c s="5"/>
    </row>
    <row r="649" spans="1:26" ht="15.75">
      <c r="A649" s="5"/>
      <c s="5"/>
      <c s="5"/>
      <c s="5"/>
      <c s="5"/>
      <c s="5"/>
      <c s="5"/>
      <c s="5"/>
      <c s="5"/>
      <c s="5"/>
      <c s="5"/>
      <c s="5"/>
      <c s="5"/>
      <c s="5"/>
      <c s="5"/>
      <c s="5"/>
      <c s="5"/>
      <c s="5"/>
      <c s="5"/>
      <c s="5"/>
      <c s="5"/>
      <c s="5"/>
      <c s="5"/>
      <c s="5"/>
      <c s="5"/>
      <c s="5"/>
    </row>
    <row r="650" spans="1:26" ht="15.75">
      <c r="A650" s="5"/>
      <c s="5"/>
      <c s="5"/>
      <c s="5"/>
      <c s="5"/>
      <c s="5"/>
      <c s="5"/>
      <c s="5"/>
      <c s="5"/>
      <c s="5"/>
      <c s="5"/>
      <c s="5"/>
      <c s="5"/>
      <c s="5"/>
      <c s="5"/>
      <c s="5"/>
      <c s="5"/>
      <c s="5"/>
      <c s="5"/>
      <c s="5"/>
      <c s="5"/>
      <c s="5"/>
      <c s="5"/>
      <c s="5"/>
      <c s="5"/>
      <c s="5"/>
    </row>
    <row r="651" spans="1:26" ht="15.75">
      <c r="A651" s="5"/>
      <c s="5"/>
      <c s="5"/>
      <c s="5"/>
      <c s="5"/>
      <c s="5"/>
      <c s="5"/>
      <c s="5"/>
      <c s="5"/>
      <c s="5"/>
      <c s="5"/>
      <c s="5"/>
      <c s="5"/>
      <c s="5"/>
      <c s="5"/>
      <c s="5"/>
      <c s="5"/>
      <c s="5"/>
      <c s="5"/>
      <c s="5"/>
      <c s="5"/>
      <c s="5"/>
      <c s="5"/>
      <c s="5"/>
      <c s="5"/>
      <c s="5"/>
    </row>
    <row r="652" spans="1:26" ht="15.75">
      <c r="A652" s="5"/>
      <c s="5"/>
      <c s="5"/>
      <c s="5"/>
      <c s="5"/>
      <c s="5"/>
      <c s="5"/>
      <c s="5"/>
      <c s="5"/>
      <c s="5"/>
      <c s="5"/>
      <c s="5"/>
      <c s="5"/>
      <c s="5"/>
      <c s="5"/>
      <c s="5"/>
      <c s="5"/>
      <c s="5"/>
      <c s="5"/>
      <c s="5"/>
      <c s="5"/>
      <c s="5"/>
      <c s="5"/>
      <c s="5"/>
      <c s="5"/>
      <c s="5"/>
    </row>
    <row r="653" spans="1:26" ht="15.75">
      <c r="A653" s="5"/>
      <c s="5"/>
      <c s="5"/>
      <c s="5"/>
      <c s="5"/>
      <c s="5"/>
      <c s="5"/>
      <c s="5"/>
      <c s="5"/>
      <c s="5"/>
      <c s="5"/>
      <c s="5"/>
      <c s="5"/>
      <c s="5"/>
      <c s="5"/>
      <c s="5"/>
      <c s="5"/>
      <c s="5"/>
      <c s="5"/>
      <c s="5"/>
      <c s="5"/>
      <c s="5"/>
      <c s="5"/>
      <c s="5"/>
      <c s="5"/>
      <c s="5"/>
    </row>
    <row r="654" spans="1:26" ht="15.75">
      <c r="A654" s="5"/>
      <c s="5"/>
      <c s="5"/>
      <c s="5"/>
      <c s="5"/>
      <c s="5"/>
      <c s="5"/>
      <c s="5"/>
      <c s="5"/>
      <c s="5"/>
      <c s="5"/>
      <c s="5"/>
      <c s="5"/>
      <c s="5"/>
      <c s="5"/>
      <c s="5"/>
      <c s="5"/>
      <c s="5"/>
      <c s="5"/>
      <c s="5"/>
      <c s="5"/>
      <c s="5"/>
      <c s="5"/>
      <c s="5"/>
      <c s="5"/>
      <c s="5"/>
    </row>
    <row r="655" spans="1:26" ht="15.75">
      <c r="A655" s="5"/>
      <c s="5"/>
      <c s="5"/>
      <c s="5"/>
      <c s="5"/>
      <c s="5"/>
      <c s="5"/>
      <c s="5"/>
      <c s="5"/>
      <c s="5"/>
      <c s="5"/>
      <c s="5"/>
      <c s="5"/>
      <c s="5"/>
      <c s="5"/>
      <c s="5"/>
      <c s="5"/>
      <c s="5"/>
      <c s="5"/>
      <c s="5"/>
      <c s="5"/>
      <c s="5"/>
      <c s="5"/>
      <c s="5"/>
      <c s="5"/>
      <c s="5"/>
    </row>
    <row r="656" spans="1:26" ht="15.75">
      <c r="A656" s="5"/>
      <c s="5"/>
      <c s="5"/>
      <c s="5"/>
      <c s="5"/>
      <c s="5"/>
      <c s="5"/>
      <c s="5"/>
      <c s="5"/>
      <c s="5"/>
      <c s="5"/>
      <c s="5"/>
      <c s="5"/>
      <c s="5"/>
      <c s="5"/>
      <c s="5"/>
      <c s="5"/>
      <c s="5"/>
      <c s="5"/>
      <c s="5"/>
      <c s="5"/>
      <c s="5"/>
      <c s="5"/>
      <c s="5"/>
      <c s="5"/>
      <c s="5"/>
    </row>
    <row r="657" spans="1:26" ht="15.75">
      <c r="A657" s="5"/>
      <c s="5"/>
      <c s="5"/>
      <c s="5"/>
      <c s="5"/>
      <c s="5"/>
      <c s="5"/>
      <c s="5"/>
      <c s="5"/>
      <c s="5"/>
      <c s="5"/>
      <c s="5"/>
      <c s="5"/>
      <c s="5"/>
      <c s="5"/>
      <c s="5"/>
      <c s="5"/>
      <c s="5"/>
      <c s="5"/>
      <c s="5"/>
      <c s="5"/>
      <c s="5"/>
      <c s="5"/>
      <c s="5"/>
      <c s="5"/>
      <c s="5"/>
    </row>
    <row r="658" spans="1:26" ht="15.75">
      <c r="A658" s="5"/>
      <c s="5"/>
      <c s="5"/>
      <c s="5"/>
      <c s="5"/>
      <c s="5"/>
      <c s="5"/>
      <c s="5"/>
      <c s="5"/>
      <c s="5"/>
      <c s="5"/>
      <c s="5"/>
      <c s="5"/>
      <c s="5"/>
      <c s="5"/>
      <c s="5"/>
      <c s="5"/>
      <c s="5"/>
      <c s="5"/>
      <c s="5"/>
      <c s="5"/>
      <c s="5"/>
      <c s="5"/>
      <c s="5"/>
      <c s="5"/>
      <c s="5"/>
    </row>
    <row r="659" spans="1:26" ht="15.75">
      <c r="A659" s="5"/>
      <c s="5"/>
      <c s="5"/>
      <c s="5"/>
      <c s="5"/>
      <c s="5"/>
      <c s="5"/>
      <c s="5"/>
      <c s="5"/>
      <c s="5"/>
      <c s="5"/>
      <c s="5"/>
      <c s="5"/>
      <c s="5"/>
      <c s="5"/>
      <c s="5"/>
      <c s="5"/>
      <c s="5"/>
      <c s="5"/>
      <c s="5"/>
      <c s="5"/>
      <c s="5"/>
      <c s="5"/>
      <c s="5"/>
      <c s="5"/>
      <c s="5"/>
    </row>
    <row r="660" spans="1:26" ht="15.75">
      <c r="A660" s="5"/>
      <c s="5"/>
      <c s="5"/>
      <c s="5"/>
      <c s="5"/>
      <c s="5"/>
      <c s="5"/>
      <c s="5"/>
      <c s="5"/>
      <c s="5"/>
      <c s="5"/>
      <c s="5"/>
      <c s="5"/>
      <c s="5"/>
      <c s="5"/>
      <c s="5"/>
      <c s="5"/>
      <c s="5"/>
      <c s="5"/>
      <c s="5"/>
      <c s="5"/>
      <c s="5"/>
      <c s="5"/>
      <c s="5"/>
      <c s="5"/>
      <c s="5"/>
    </row>
    <row r="661" spans="1:26" ht="15.75">
      <c r="A661" s="5"/>
      <c s="5"/>
      <c s="5"/>
      <c s="5"/>
      <c s="5"/>
      <c s="5"/>
      <c s="5"/>
      <c s="5"/>
      <c s="5"/>
      <c s="5"/>
      <c s="5"/>
      <c s="5"/>
      <c s="5"/>
      <c s="5"/>
      <c s="5"/>
      <c s="5"/>
      <c s="5"/>
      <c s="5"/>
      <c s="5"/>
      <c s="5"/>
      <c s="5"/>
      <c s="5"/>
      <c s="5"/>
      <c s="5"/>
      <c s="5"/>
      <c s="5"/>
    </row>
    <row r="662" spans="1:26" ht="15.75">
      <c r="A662" s="5"/>
      <c s="5"/>
      <c s="5"/>
      <c s="5"/>
      <c s="5"/>
      <c s="5"/>
      <c s="5"/>
      <c s="5"/>
      <c s="5"/>
      <c s="5"/>
      <c s="5"/>
      <c s="5"/>
      <c s="5"/>
      <c s="5"/>
      <c s="5"/>
      <c s="5"/>
      <c s="5"/>
      <c s="5"/>
      <c s="5"/>
      <c s="5"/>
      <c s="5"/>
      <c s="5"/>
      <c s="5"/>
      <c s="5"/>
      <c s="5"/>
      <c s="5"/>
    </row>
    <row r="663" spans="1:26" ht="15.75">
      <c r="A663" s="5"/>
      <c s="5"/>
      <c s="5"/>
      <c s="5"/>
      <c s="5"/>
      <c s="5"/>
      <c s="5"/>
      <c s="5"/>
      <c s="5"/>
      <c s="5"/>
      <c s="5"/>
      <c s="5"/>
      <c s="5"/>
      <c s="5"/>
      <c s="5"/>
      <c s="5"/>
      <c s="5"/>
      <c s="5"/>
      <c s="5"/>
      <c s="5"/>
      <c s="5"/>
      <c s="5"/>
      <c s="5"/>
      <c s="5"/>
      <c s="5"/>
      <c s="5"/>
    </row>
    <row r="664" spans="1:26" ht="15.75">
      <c r="A664" s="5"/>
      <c s="5"/>
      <c s="5"/>
      <c s="5"/>
      <c s="5"/>
      <c s="5"/>
      <c s="5"/>
      <c s="5"/>
      <c s="5"/>
      <c s="5"/>
      <c s="5"/>
      <c s="5"/>
      <c s="5"/>
      <c s="5"/>
      <c s="5"/>
      <c s="5"/>
      <c s="5"/>
      <c s="5"/>
      <c s="5"/>
      <c s="5"/>
      <c s="5"/>
      <c s="5"/>
      <c s="5"/>
      <c s="5"/>
      <c s="5"/>
      <c s="5"/>
    </row>
    <row r="665" spans="1:26" ht="15.75">
      <c r="A665" s="5"/>
      <c s="5"/>
      <c s="5"/>
      <c s="5"/>
      <c s="5"/>
      <c s="5"/>
      <c s="5"/>
      <c s="5"/>
      <c s="5"/>
      <c s="5"/>
      <c s="5"/>
      <c s="5"/>
      <c s="5"/>
      <c s="5"/>
      <c s="5"/>
      <c s="5"/>
      <c s="5"/>
      <c s="5"/>
      <c s="5"/>
      <c s="5"/>
      <c s="5"/>
      <c s="5"/>
      <c s="5"/>
      <c s="5"/>
      <c s="5"/>
      <c s="5"/>
    </row>
    <row r="666" spans="1:26" ht="15.75">
      <c r="A666" s="5"/>
      <c s="5"/>
      <c s="5"/>
      <c s="5"/>
      <c s="5"/>
      <c s="5"/>
      <c s="5"/>
      <c s="5"/>
      <c s="5"/>
      <c s="5"/>
      <c s="5"/>
      <c s="5"/>
      <c s="5"/>
      <c s="5"/>
      <c s="5"/>
      <c s="5"/>
      <c s="5"/>
      <c s="5"/>
      <c s="5"/>
      <c s="5"/>
      <c s="5"/>
      <c s="5"/>
      <c s="5"/>
      <c s="5"/>
      <c s="5"/>
      <c s="5"/>
    </row>
    <row r="667" spans="1:26" ht="15.75">
      <c r="A667" s="5"/>
      <c s="5"/>
      <c s="5"/>
      <c s="5"/>
      <c s="5"/>
      <c s="5"/>
      <c s="5"/>
      <c s="5"/>
      <c s="5"/>
      <c s="5"/>
      <c s="5"/>
      <c s="5"/>
      <c s="5"/>
      <c s="5"/>
      <c s="5"/>
      <c s="5"/>
      <c s="5"/>
      <c s="5"/>
      <c s="5"/>
      <c s="5"/>
      <c s="5"/>
      <c s="5"/>
      <c s="5"/>
      <c s="5"/>
      <c s="5"/>
      <c s="5"/>
    </row>
    <row r="668" spans="1:26" ht="15.75">
      <c r="A668" s="5"/>
      <c s="5"/>
      <c s="5"/>
      <c s="5"/>
      <c s="5"/>
      <c s="5"/>
      <c s="5"/>
      <c s="5"/>
      <c s="5"/>
      <c s="5"/>
      <c s="5"/>
      <c s="5"/>
      <c s="5"/>
      <c s="5"/>
      <c s="5"/>
      <c s="5"/>
      <c s="5"/>
      <c s="5"/>
      <c s="5"/>
      <c s="5"/>
      <c s="5"/>
      <c s="5"/>
      <c s="5"/>
      <c s="5"/>
      <c s="5"/>
      <c s="5"/>
    </row>
    <row r="669" spans="1:26" ht="15.75">
      <c r="A669" s="5"/>
      <c s="5"/>
      <c s="5"/>
      <c s="5"/>
      <c s="5"/>
      <c s="5"/>
      <c s="5"/>
      <c s="5"/>
      <c s="5"/>
      <c s="5"/>
      <c s="5"/>
      <c s="5"/>
      <c s="5"/>
      <c s="5"/>
      <c s="5"/>
      <c s="5"/>
      <c s="5"/>
      <c s="5"/>
      <c s="5"/>
      <c s="5"/>
      <c s="5"/>
      <c s="5"/>
      <c s="5"/>
      <c s="5"/>
      <c s="5"/>
      <c s="5"/>
    </row>
    <row r="670" spans="1:26" ht="15.75">
      <c r="A670" s="5"/>
      <c s="5"/>
      <c s="5"/>
      <c s="5"/>
      <c s="5"/>
      <c s="5"/>
      <c s="5"/>
      <c s="5"/>
      <c s="5"/>
      <c s="5"/>
      <c s="5"/>
      <c s="5"/>
      <c s="5"/>
      <c s="5"/>
      <c s="5"/>
      <c s="5"/>
      <c s="5"/>
      <c s="5"/>
      <c s="5"/>
      <c s="5"/>
      <c s="5"/>
      <c s="5"/>
      <c s="5"/>
      <c s="5"/>
      <c s="5"/>
      <c s="5"/>
    </row>
    <row r="671" spans="1:26" ht="15.75">
      <c r="A671" s="5"/>
      <c s="5"/>
      <c s="5"/>
      <c s="5"/>
      <c s="5"/>
      <c s="5"/>
      <c s="5"/>
      <c s="5"/>
      <c s="5"/>
      <c s="5"/>
      <c s="5"/>
      <c s="5"/>
      <c s="5"/>
      <c s="5"/>
      <c s="5"/>
      <c s="5"/>
      <c s="5"/>
      <c s="5"/>
      <c s="5"/>
      <c s="5"/>
      <c s="5"/>
      <c s="5"/>
      <c s="5"/>
      <c s="5"/>
      <c s="5"/>
      <c s="5"/>
    </row>
    <row r="672" spans="1:26" ht="15.75">
      <c r="A672" s="5"/>
      <c s="5"/>
      <c s="5"/>
      <c s="5"/>
      <c s="5"/>
      <c s="5"/>
      <c s="5"/>
      <c s="5"/>
      <c s="5"/>
      <c s="5"/>
      <c s="5"/>
      <c s="5"/>
      <c s="5"/>
      <c s="5"/>
      <c s="5"/>
      <c s="5"/>
      <c s="5"/>
      <c s="5"/>
      <c s="5"/>
      <c s="5"/>
      <c s="5"/>
      <c s="5"/>
      <c s="5"/>
      <c s="5"/>
      <c s="5"/>
      <c s="5"/>
    </row>
    <row r="673" spans="1:26" ht="15.75">
      <c r="A673" s="5"/>
      <c s="5"/>
      <c s="5"/>
      <c s="5"/>
      <c s="5"/>
      <c s="5"/>
      <c s="5"/>
      <c s="5"/>
      <c s="5"/>
      <c s="5"/>
      <c s="5"/>
      <c s="5"/>
      <c s="5"/>
      <c s="5"/>
      <c s="5"/>
      <c s="5"/>
      <c s="5"/>
      <c s="5"/>
      <c s="5"/>
      <c s="5"/>
      <c s="5"/>
      <c s="5"/>
      <c s="5"/>
      <c s="5"/>
      <c s="5"/>
      <c s="5"/>
    </row>
    <row r="674" spans="1:26" ht="15.75">
      <c r="A674" s="5"/>
      <c s="5"/>
      <c s="5"/>
      <c s="5"/>
      <c s="5"/>
      <c s="5"/>
      <c s="5"/>
      <c s="5"/>
      <c s="5"/>
      <c s="5"/>
      <c s="5"/>
      <c s="5"/>
      <c s="5"/>
      <c s="5"/>
      <c s="5"/>
      <c s="5"/>
      <c s="5"/>
      <c s="5"/>
      <c s="5"/>
      <c s="5"/>
      <c s="5"/>
      <c s="5"/>
      <c s="5"/>
      <c s="5"/>
      <c s="5"/>
      <c s="5"/>
    </row>
    <row r="675" spans="1:26" ht="15.75">
      <c r="A675" s="5"/>
      <c s="5"/>
      <c s="5"/>
      <c s="5"/>
      <c s="5"/>
      <c s="5"/>
      <c s="5"/>
      <c s="5"/>
      <c s="5"/>
      <c s="5"/>
      <c s="5"/>
      <c s="5"/>
      <c s="5"/>
      <c s="5"/>
      <c s="5"/>
      <c s="5"/>
      <c s="5"/>
      <c s="5"/>
      <c s="5"/>
      <c s="5"/>
      <c s="5"/>
      <c s="5"/>
      <c s="5"/>
      <c s="5"/>
      <c s="5"/>
      <c s="5"/>
    </row>
    <row r="676" spans="1:26" ht="15.75">
      <c r="A676" s="5"/>
      <c s="5"/>
      <c s="5"/>
      <c s="5"/>
      <c s="5"/>
      <c s="5"/>
      <c s="5"/>
      <c s="5"/>
      <c s="5"/>
      <c s="5"/>
      <c s="5"/>
      <c s="5"/>
      <c s="5"/>
      <c s="5"/>
      <c s="5"/>
      <c s="5"/>
      <c s="5"/>
      <c s="5"/>
      <c s="5"/>
      <c s="5"/>
      <c s="5"/>
      <c s="5"/>
      <c s="5"/>
      <c s="5"/>
      <c s="5"/>
      <c s="5"/>
    </row>
    <row r="677" spans="1:26" ht="15.75">
      <c r="A677" s="5"/>
      <c s="5"/>
      <c s="5"/>
      <c s="5"/>
      <c s="5"/>
      <c s="5"/>
      <c s="5"/>
      <c s="5"/>
      <c s="5"/>
      <c s="5"/>
      <c s="5"/>
      <c s="5"/>
      <c s="5"/>
      <c s="5"/>
      <c s="5"/>
      <c s="5"/>
      <c s="5"/>
      <c s="5"/>
      <c s="5"/>
      <c s="5"/>
      <c s="5"/>
      <c s="5"/>
      <c s="5"/>
      <c s="5"/>
      <c s="5"/>
      <c s="5"/>
    </row>
    <row r="678" spans="1:26" ht="15.75">
      <c r="A678" s="5"/>
      <c s="5"/>
      <c s="5"/>
      <c s="5"/>
      <c s="5"/>
      <c s="5"/>
      <c s="5"/>
      <c s="5"/>
      <c s="5"/>
      <c s="5"/>
      <c s="5"/>
      <c s="5"/>
      <c s="5"/>
      <c s="5"/>
      <c s="5"/>
      <c s="5"/>
      <c s="5"/>
      <c s="5"/>
      <c s="5"/>
      <c s="5"/>
      <c s="5"/>
      <c s="5"/>
      <c s="5"/>
      <c s="5"/>
      <c s="5"/>
      <c s="5"/>
    </row>
    <row r="679" spans="1:26" ht="15.75">
      <c r="A679" s="5"/>
      <c s="5"/>
      <c s="5"/>
      <c s="5"/>
      <c s="5"/>
      <c s="5"/>
      <c s="5"/>
      <c s="5"/>
      <c s="5"/>
      <c s="5"/>
      <c s="5"/>
      <c s="5"/>
      <c s="5"/>
      <c s="5"/>
      <c s="5"/>
      <c s="5"/>
      <c s="5"/>
      <c s="5"/>
      <c s="5"/>
      <c s="5"/>
      <c s="5"/>
      <c s="5"/>
      <c s="5"/>
      <c s="5"/>
      <c s="5"/>
      <c s="5"/>
    </row>
    <row r="680" spans="1:26" ht="15.75">
      <c r="A680" s="5"/>
      <c s="5"/>
      <c s="5"/>
      <c s="5"/>
      <c s="5"/>
      <c s="5"/>
      <c s="5"/>
      <c s="5"/>
      <c s="5"/>
      <c s="5"/>
      <c s="5"/>
      <c s="5"/>
      <c s="5"/>
      <c s="5"/>
      <c s="5"/>
      <c s="5"/>
      <c s="5"/>
      <c s="5"/>
      <c s="5"/>
      <c s="5"/>
      <c s="5"/>
      <c s="5"/>
      <c s="5"/>
      <c s="5"/>
      <c s="5"/>
      <c s="5"/>
    </row>
    <row r="681" spans="1:26" ht="15.75">
      <c r="A681" s="5"/>
      <c s="5"/>
      <c s="5"/>
      <c s="5"/>
      <c s="5"/>
      <c s="5"/>
      <c s="5"/>
      <c s="5"/>
      <c s="5"/>
      <c s="5"/>
      <c s="5"/>
      <c s="5"/>
      <c s="5"/>
      <c s="5"/>
      <c s="5"/>
      <c s="5"/>
      <c s="5"/>
      <c s="5"/>
      <c s="5"/>
      <c s="5"/>
      <c s="5"/>
      <c s="5"/>
      <c s="5"/>
      <c s="5"/>
      <c s="5"/>
      <c s="5"/>
    </row>
    <row r="682" spans="1:26" ht="15.75">
      <c r="A682" s="5"/>
      <c s="5"/>
      <c s="5"/>
      <c s="5"/>
      <c s="5"/>
      <c s="5"/>
      <c s="5"/>
      <c s="5"/>
      <c s="5"/>
      <c s="5"/>
      <c s="5"/>
      <c s="5"/>
      <c s="5"/>
      <c s="5"/>
      <c s="5"/>
      <c s="5"/>
      <c s="5"/>
      <c s="5"/>
      <c s="5"/>
      <c s="5"/>
      <c s="5"/>
      <c s="5"/>
      <c s="5"/>
      <c s="5"/>
      <c s="5"/>
      <c s="5"/>
    </row>
    <row r="683" spans="1:26" ht="15.75">
      <c r="A683" s="5"/>
      <c s="5"/>
      <c s="5"/>
      <c s="5"/>
      <c s="5"/>
      <c s="5"/>
      <c s="5"/>
      <c s="5"/>
      <c s="5"/>
      <c s="5"/>
      <c s="5"/>
      <c s="5"/>
      <c s="5"/>
      <c s="5"/>
      <c s="5"/>
      <c s="5"/>
      <c s="5"/>
      <c s="5"/>
      <c s="5"/>
      <c s="5"/>
      <c s="5"/>
      <c s="5"/>
      <c s="5"/>
      <c s="5"/>
      <c s="5"/>
      <c s="5"/>
    </row>
    <row r="684" spans="1:26" ht="15.75">
      <c r="A684" s="5"/>
      <c s="5"/>
      <c s="5"/>
      <c s="5"/>
      <c s="5"/>
      <c s="5"/>
      <c s="5"/>
      <c s="5"/>
      <c s="5"/>
      <c s="5"/>
      <c s="5"/>
      <c s="5"/>
      <c s="5"/>
      <c s="5"/>
      <c s="5"/>
      <c s="5"/>
      <c s="5"/>
      <c s="5"/>
      <c s="5"/>
      <c s="5"/>
      <c s="5"/>
      <c s="5"/>
      <c s="5"/>
      <c s="5"/>
      <c s="5"/>
      <c s="5"/>
    </row>
    <row r="685" spans="1:26" ht="15.75">
      <c r="A685" s="5"/>
      <c s="5"/>
      <c s="5"/>
      <c s="5"/>
      <c s="5"/>
      <c s="5"/>
      <c s="5"/>
      <c s="5"/>
      <c s="5"/>
      <c s="5"/>
      <c s="5"/>
      <c s="5"/>
      <c s="5"/>
      <c s="5"/>
      <c s="5"/>
      <c s="5"/>
      <c s="5"/>
      <c s="5"/>
      <c s="5"/>
      <c s="5"/>
      <c s="5"/>
      <c s="5"/>
      <c s="5"/>
      <c s="5"/>
      <c s="5"/>
      <c s="5"/>
    </row>
    <row r="686" spans="1:26" ht="15.75">
      <c r="A686" s="5"/>
      <c s="5"/>
      <c s="5"/>
      <c s="5"/>
      <c s="5"/>
      <c s="5"/>
      <c s="5"/>
      <c s="5"/>
      <c s="5"/>
      <c s="5"/>
      <c s="5"/>
      <c s="5"/>
      <c s="5"/>
      <c s="5"/>
      <c s="5"/>
      <c s="5"/>
      <c s="5"/>
      <c s="5"/>
      <c s="5"/>
      <c s="5"/>
      <c s="5"/>
      <c s="5"/>
      <c s="5"/>
      <c s="5"/>
      <c s="5"/>
      <c s="5"/>
    </row>
    <row r="687" spans="1:26" ht="15.75">
      <c r="A687" s="5"/>
      <c s="5"/>
      <c s="5"/>
      <c s="5"/>
      <c s="5"/>
      <c s="5"/>
      <c s="5"/>
      <c s="5"/>
      <c s="5"/>
      <c s="5"/>
      <c s="5"/>
      <c s="5"/>
      <c s="5"/>
      <c s="5"/>
      <c s="5"/>
      <c s="5"/>
      <c s="5"/>
      <c s="5"/>
      <c s="5"/>
      <c s="5"/>
      <c s="5"/>
      <c s="5"/>
      <c s="5"/>
      <c s="5"/>
      <c s="5"/>
      <c s="5"/>
    </row>
    <row r="688" spans="1:26" ht="15.75">
      <c r="A688" s="5"/>
      <c s="5"/>
      <c s="5"/>
      <c s="5"/>
      <c s="5"/>
      <c s="5"/>
      <c s="5"/>
      <c s="5"/>
      <c s="5"/>
      <c s="5"/>
      <c s="5"/>
      <c s="5"/>
      <c s="5"/>
      <c s="5"/>
      <c s="5"/>
      <c s="5"/>
      <c s="5"/>
      <c s="5"/>
      <c s="5"/>
      <c s="5"/>
      <c s="5"/>
      <c s="5"/>
      <c s="5"/>
      <c s="5"/>
      <c s="5"/>
      <c s="5"/>
    </row>
    <row r="689" spans="1:26" ht="15.75">
      <c r="A689" s="5"/>
      <c s="5"/>
      <c s="5"/>
      <c s="5"/>
      <c s="5"/>
      <c s="5"/>
      <c s="5"/>
      <c s="5"/>
      <c s="5"/>
      <c s="5"/>
      <c s="5"/>
      <c s="5"/>
      <c s="5"/>
      <c s="5"/>
      <c s="5"/>
      <c s="5"/>
      <c s="5"/>
      <c s="5"/>
      <c s="5"/>
      <c s="5"/>
      <c s="5"/>
      <c s="5"/>
      <c s="5"/>
      <c s="5"/>
      <c s="5"/>
      <c s="5"/>
    </row>
    <row r="690" spans="1:26" ht="15.75">
      <c r="A690" s="5"/>
      <c s="5"/>
      <c s="5"/>
      <c s="5"/>
      <c s="5"/>
      <c s="5"/>
      <c s="5"/>
      <c s="5"/>
      <c s="5"/>
      <c s="5"/>
      <c s="5"/>
      <c s="5"/>
      <c s="5"/>
      <c s="5"/>
      <c s="5"/>
      <c s="5"/>
      <c s="5"/>
      <c s="5"/>
      <c s="5"/>
      <c s="5"/>
      <c s="5"/>
      <c s="5"/>
      <c s="5"/>
      <c s="5"/>
      <c s="5"/>
      <c s="5"/>
    </row>
    <row r="691" spans="1:26" ht="15.75">
      <c r="A691" s="5"/>
      <c s="5"/>
      <c s="5"/>
      <c s="5"/>
      <c s="5"/>
      <c s="5"/>
      <c s="5"/>
      <c s="5"/>
      <c s="5"/>
      <c s="5"/>
      <c s="5"/>
      <c s="5"/>
      <c s="5"/>
      <c s="5"/>
      <c s="5"/>
      <c s="5"/>
      <c s="5"/>
      <c s="5"/>
      <c s="5"/>
      <c s="5"/>
      <c s="5"/>
      <c s="5"/>
      <c s="5"/>
      <c s="5"/>
      <c s="5"/>
      <c s="5"/>
    </row>
    <row r="692" spans="1:26" ht="15.75">
      <c r="A692" s="5"/>
      <c s="5"/>
      <c s="5"/>
      <c s="5"/>
      <c s="5"/>
      <c s="5"/>
      <c s="5"/>
      <c s="5"/>
      <c s="5"/>
      <c s="5"/>
      <c s="5"/>
      <c s="5"/>
      <c s="5"/>
      <c s="5"/>
      <c s="5"/>
      <c s="5"/>
      <c s="5"/>
      <c s="5"/>
      <c s="5"/>
      <c s="5"/>
      <c s="5"/>
      <c s="5"/>
      <c s="5"/>
      <c s="5"/>
      <c s="5"/>
      <c s="5"/>
    </row>
    <row r="693" spans="1:26" ht="15.75">
      <c r="A693" s="5"/>
      <c s="5"/>
      <c s="5"/>
      <c s="5"/>
      <c s="5"/>
      <c s="5"/>
      <c s="5"/>
      <c s="5"/>
      <c s="5"/>
      <c s="5"/>
      <c s="5"/>
      <c s="5"/>
      <c s="5"/>
      <c s="5"/>
      <c s="5"/>
      <c s="5"/>
      <c s="5"/>
      <c s="5"/>
      <c s="5"/>
      <c s="5"/>
      <c s="5"/>
      <c s="5"/>
      <c s="5"/>
      <c s="5"/>
      <c s="5"/>
      <c s="5"/>
    </row>
    <row r="694" spans="1:26" ht="15.75">
      <c r="A694" s="5"/>
      <c s="5"/>
      <c s="5"/>
      <c s="5"/>
      <c s="5"/>
      <c s="5"/>
      <c s="5"/>
      <c s="5"/>
      <c s="5"/>
      <c s="5"/>
      <c s="5"/>
      <c s="5"/>
      <c s="5"/>
      <c s="5"/>
      <c s="5"/>
      <c s="5"/>
      <c s="5"/>
      <c s="5"/>
      <c s="5"/>
      <c s="5"/>
      <c s="5"/>
      <c s="5"/>
      <c s="5"/>
      <c s="5"/>
      <c s="5"/>
      <c s="5"/>
    </row>
    <row r="695" spans="1:26" ht="15.75">
      <c r="A695" s="5"/>
      <c s="5"/>
      <c s="5"/>
      <c s="5"/>
      <c s="5"/>
      <c s="5"/>
      <c s="5"/>
      <c s="5"/>
      <c s="5"/>
      <c s="5"/>
      <c s="5"/>
      <c s="5"/>
      <c s="5"/>
      <c s="5"/>
      <c s="5"/>
      <c s="5"/>
      <c s="5"/>
      <c s="5"/>
      <c s="5"/>
      <c s="5"/>
      <c s="5"/>
      <c s="5"/>
      <c s="5"/>
      <c s="5"/>
      <c s="5"/>
      <c s="5"/>
    </row>
    <row r="696" spans="1:26" ht="15.75">
      <c r="A696" s="5"/>
      <c s="5"/>
      <c s="5"/>
      <c s="5"/>
      <c s="5"/>
      <c s="5"/>
      <c s="5"/>
      <c s="5"/>
      <c s="5"/>
      <c s="5"/>
      <c s="5"/>
      <c s="5"/>
      <c s="5"/>
      <c s="5"/>
      <c s="5"/>
      <c s="5"/>
      <c s="5"/>
      <c s="5"/>
      <c s="5"/>
      <c s="5"/>
      <c s="5"/>
      <c s="5"/>
      <c s="5"/>
      <c s="5"/>
      <c s="5"/>
      <c s="5"/>
    </row>
    <row r="697" spans="1:26" ht="15.75">
      <c r="A697" s="5"/>
      <c s="5"/>
      <c s="5"/>
      <c s="5"/>
      <c s="5"/>
      <c s="5"/>
      <c s="5"/>
      <c s="5"/>
      <c s="5"/>
      <c s="5"/>
      <c s="5"/>
      <c s="5"/>
      <c s="5"/>
      <c s="5"/>
      <c s="5"/>
      <c s="5"/>
      <c s="5"/>
      <c s="5"/>
      <c s="5"/>
      <c s="5"/>
      <c s="5"/>
      <c s="5"/>
      <c s="5"/>
      <c s="5"/>
      <c s="5"/>
      <c s="5"/>
    </row>
    <row r="698" spans="1:26" ht="15.75">
      <c r="A698" s="5"/>
      <c s="5"/>
      <c s="5"/>
      <c s="5"/>
      <c s="5"/>
      <c s="5"/>
      <c s="5"/>
      <c s="5"/>
      <c s="5"/>
      <c s="5"/>
      <c s="5"/>
      <c s="5"/>
      <c s="5"/>
      <c s="5"/>
      <c s="5"/>
      <c s="5"/>
      <c s="5"/>
      <c s="5"/>
      <c s="5"/>
      <c s="5"/>
      <c s="5"/>
      <c s="5"/>
      <c s="5"/>
      <c s="5"/>
      <c s="5"/>
      <c s="5"/>
    </row>
    <row r="699" spans="1:26" ht="15.75">
      <c r="A699" s="5"/>
      <c s="5"/>
      <c s="5"/>
      <c s="5"/>
      <c s="5"/>
      <c s="5"/>
      <c s="5"/>
      <c s="5"/>
      <c s="5"/>
      <c s="5"/>
      <c s="5"/>
      <c s="5"/>
      <c s="5"/>
      <c s="5"/>
      <c s="5"/>
      <c s="5"/>
      <c s="5"/>
      <c s="5"/>
      <c s="5"/>
      <c s="5"/>
      <c s="5"/>
      <c s="5"/>
      <c s="5"/>
      <c s="5"/>
      <c s="5"/>
      <c s="5"/>
    </row>
    <row r="700" spans="1:26" ht="15.75">
      <c r="A700" s="5"/>
      <c s="5"/>
      <c s="5"/>
      <c s="5"/>
      <c s="5"/>
      <c s="5"/>
      <c s="5"/>
      <c s="5"/>
      <c s="5"/>
      <c s="5"/>
      <c s="5"/>
      <c s="5"/>
      <c s="5"/>
      <c s="5"/>
      <c s="5"/>
      <c s="5"/>
      <c s="5"/>
      <c s="5"/>
      <c s="5"/>
      <c s="5"/>
      <c s="5"/>
      <c s="5"/>
      <c s="5"/>
      <c s="5"/>
      <c s="5"/>
      <c s="5"/>
    </row>
    <row r="701" spans="1:26" ht="15.75">
      <c r="A701" s="5"/>
      <c s="5"/>
      <c s="5"/>
      <c s="5"/>
      <c s="5"/>
      <c s="5"/>
      <c s="5"/>
      <c s="5"/>
      <c s="5"/>
      <c s="5"/>
      <c s="5"/>
      <c s="5"/>
      <c s="5"/>
      <c s="5"/>
      <c s="5"/>
      <c s="5"/>
      <c s="5"/>
      <c s="5"/>
      <c s="5"/>
      <c s="5"/>
      <c s="5"/>
      <c s="5"/>
      <c s="5"/>
      <c s="5"/>
      <c s="5"/>
      <c s="5"/>
    </row>
    <row r="702" spans="1:26" ht="15.75">
      <c r="A702" s="5"/>
      <c s="5"/>
      <c s="5"/>
      <c s="5"/>
      <c s="5"/>
      <c s="5"/>
      <c s="5"/>
      <c s="5"/>
      <c s="5"/>
      <c s="5"/>
      <c s="5"/>
      <c s="5"/>
      <c s="5"/>
      <c s="5"/>
      <c s="5"/>
      <c s="5"/>
      <c s="5"/>
      <c s="5"/>
      <c s="5"/>
      <c s="5"/>
      <c s="5"/>
      <c s="5"/>
      <c s="5"/>
      <c s="5"/>
      <c s="5"/>
      <c s="5"/>
    </row>
    <row r="703" spans="1:26" ht="15.75">
      <c r="A703" s="5"/>
      <c s="5"/>
      <c s="5"/>
      <c s="5"/>
      <c s="5"/>
      <c s="5"/>
      <c s="5"/>
      <c s="5"/>
      <c s="5"/>
      <c s="5"/>
      <c s="5"/>
      <c s="5"/>
      <c s="5"/>
      <c s="5"/>
      <c s="5"/>
      <c s="5"/>
      <c s="5"/>
      <c s="5"/>
      <c s="5"/>
      <c s="5"/>
      <c s="5"/>
      <c s="5"/>
      <c s="5"/>
      <c s="5"/>
      <c s="5"/>
      <c s="5"/>
    </row>
    <row r="704" spans="1:26" ht="15.75">
      <c r="A704" s="5"/>
      <c s="5"/>
      <c s="5"/>
      <c s="5"/>
      <c s="5"/>
      <c s="5"/>
      <c s="5"/>
      <c s="5"/>
      <c s="5"/>
      <c s="5"/>
      <c s="5"/>
      <c s="5"/>
      <c s="5"/>
      <c s="5"/>
      <c s="5"/>
      <c s="5"/>
      <c s="5"/>
      <c s="5"/>
      <c s="5"/>
      <c s="5"/>
      <c s="5"/>
      <c s="5"/>
      <c s="5"/>
      <c s="5"/>
      <c s="5"/>
      <c s="5"/>
    </row>
    <row r="705" spans="1:26" ht="15.75">
      <c r="A705" s="5"/>
      <c s="5"/>
      <c s="5"/>
      <c s="5"/>
      <c s="5"/>
      <c s="5"/>
      <c s="5"/>
      <c s="5"/>
      <c s="5"/>
      <c s="5"/>
      <c s="5"/>
      <c s="5"/>
      <c s="5"/>
      <c s="5"/>
      <c s="5"/>
      <c s="5"/>
      <c s="5"/>
      <c s="5"/>
      <c s="5"/>
      <c s="5"/>
      <c s="5"/>
      <c s="5"/>
      <c s="5"/>
      <c s="5"/>
      <c s="5"/>
      <c s="5"/>
    </row>
    <row r="706" spans="1:26" ht="15.75">
      <c r="A706" s="5"/>
      <c s="5"/>
      <c s="5"/>
      <c s="5"/>
      <c s="5"/>
      <c s="5"/>
      <c s="5"/>
      <c s="5"/>
      <c s="5"/>
      <c s="5"/>
      <c s="5"/>
      <c s="5"/>
      <c s="5"/>
      <c s="5"/>
      <c s="5"/>
      <c s="5"/>
      <c s="5"/>
      <c s="5"/>
      <c s="5"/>
      <c s="5"/>
      <c s="5"/>
      <c s="5"/>
      <c s="5"/>
      <c s="5"/>
      <c s="5"/>
      <c s="5"/>
    </row>
    <row r="707" spans="1:26" ht="15.75">
      <c r="A707" s="5"/>
      <c s="5"/>
      <c s="5"/>
      <c s="5"/>
      <c s="5"/>
      <c s="5"/>
      <c s="5"/>
      <c s="5"/>
      <c s="5"/>
      <c s="5"/>
      <c s="5"/>
      <c s="5"/>
      <c s="5"/>
      <c s="5"/>
      <c s="5"/>
      <c s="5"/>
      <c s="5"/>
      <c s="5"/>
      <c s="5"/>
      <c s="5"/>
      <c s="5"/>
      <c s="5"/>
      <c s="5"/>
      <c s="5"/>
      <c s="5"/>
      <c s="5"/>
    </row>
    <row r="708" spans="1:26" ht="15.75">
      <c r="A708" s="5"/>
      <c s="5"/>
      <c s="5"/>
      <c s="5"/>
      <c s="5"/>
      <c s="5"/>
      <c s="5"/>
      <c s="5"/>
      <c s="5"/>
      <c s="5"/>
      <c s="5"/>
      <c s="5"/>
      <c s="5"/>
      <c s="5"/>
      <c s="5"/>
      <c s="5"/>
      <c s="5"/>
      <c s="5"/>
      <c s="5"/>
      <c s="5"/>
      <c s="5"/>
      <c s="5"/>
      <c s="5"/>
      <c s="5"/>
      <c s="5"/>
      <c s="5"/>
    </row>
    <row r="709" spans="1:26" ht="15.75">
      <c r="A709" s="5"/>
      <c s="5"/>
      <c s="5"/>
      <c s="5"/>
      <c s="5"/>
      <c s="5"/>
      <c s="5"/>
      <c s="5"/>
      <c s="5"/>
      <c s="5"/>
      <c s="5"/>
      <c s="5"/>
      <c s="5"/>
      <c s="5"/>
      <c s="5"/>
      <c s="5"/>
      <c s="5"/>
      <c s="5"/>
      <c s="5"/>
      <c s="5"/>
      <c s="5"/>
      <c s="5"/>
      <c s="5"/>
      <c s="5"/>
      <c s="5"/>
      <c s="5"/>
    </row>
    <row r="710" spans="1:26" ht="15.75">
      <c r="A710" s="5"/>
      <c s="5"/>
      <c s="5"/>
      <c s="5"/>
      <c s="5"/>
      <c s="5"/>
      <c s="5"/>
      <c s="5"/>
      <c s="5"/>
      <c s="5"/>
      <c s="5"/>
      <c s="5"/>
      <c s="5"/>
      <c s="5"/>
      <c s="5"/>
      <c s="5"/>
      <c s="5"/>
      <c s="5"/>
      <c s="5"/>
      <c s="5"/>
      <c s="5"/>
      <c s="5"/>
      <c s="5"/>
      <c s="5"/>
      <c s="5"/>
      <c s="5"/>
    </row>
    <row r="711" spans="1:26" ht="15.75">
      <c r="A711" s="5"/>
      <c s="5"/>
      <c s="5"/>
      <c s="5"/>
      <c s="5"/>
      <c s="5"/>
      <c s="5"/>
      <c s="5"/>
      <c s="5"/>
      <c s="5"/>
      <c s="5"/>
      <c s="5"/>
      <c s="5"/>
      <c s="5"/>
      <c s="5"/>
      <c s="5"/>
      <c s="5"/>
      <c s="5"/>
      <c s="5"/>
      <c s="5"/>
      <c s="5"/>
      <c s="5"/>
      <c s="5"/>
      <c s="5"/>
      <c s="5"/>
      <c s="5"/>
    </row>
    <row r="712" spans="1:26" ht="15.75">
      <c r="A712" s="5"/>
      <c s="5"/>
      <c s="5"/>
      <c s="5"/>
      <c s="5"/>
      <c s="5"/>
      <c s="5"/>
      <c s="5"/>
      <c s="5"/>
      <c s="5"/>
      <c s="5"/>
      <c s="5"/>
      <c s="5"/>
      <c s="5"/>
      <c s="5"/>
      <c s="5"/>
      <c s="5"/>
      <c s="5"/>
      <c s="5"/>
      <c s="5"/>
      <c s="5"/>
      <c s="5"/>
      <c s="5"/>
      <c s="5"/>
      <c s="5"/>
      <c s="5"/>
    </row>
    <row r="713" spans="1:26" ht="15.75">
      <c r="A713" s="5"/>
      <c s="5"/>
      <c s="5"/>
      <c s="5"/>
      <c s="5"/>
      <c s="5"/>
      <c s="5"/>
      <c s="5"/>
      <c s="5"/>
      <c s="5"/>
      <c s="5"/>
      <c s="5"/>
      <c s="5"/>
      <c s="5"/>
      <c s="5"/>
      <c s="5"/>
      <c s="5"/>
      <c s="5"/>
      <c s="5"/>
      <c s="5"/>
      <c s="5"/>
      <c s="5"/>
      <c s="5"/>
      <c s="5"/>
      <c s="5"/>
      <c s="5"/>
    </row>
    <row r="714" spans="1:26" ht="15.75">
      <c r="A714" s="5"/>
      <c s="5"/>
      <c s="5"/>
      <c s="5"/>
      <c s="5"/>
      <c s="5"/>
      <c s="5"/>
      <c s="5"/>
      <c s="5"/>
      <c s="5"/>
      <c s="5"/>
      <c s="5"/>
      <c s="5"/>
      <c s="5"/>
      <c s="5"/>
      <c s="5"/>
      <c s="5"/>
      <c s="5"/>
      <c s="5"/>
      <c s="5"/>
      <c s="5"/>
      <c s="5"/>
      <c s="5"/>
      <c s="5"/>
      <c s="5"/>
      <c s="5"/>
    </row>
    <row r="715" spans="1:26" ht="15.75">
      <c r="A715" s="5"/>
      <c s="5"/>
      <c s="5"/>
      <c s="5"/>
      <c s="5"/>
      <c s="5"/>
      <c s="5"/>
      <c s="5"/>
      <c s="5"/>
      <c s="5"/>
      <c s="5"/>
      <c s="5"/>
      <c s="5"/>
      <c s="5"/>
      <c s="5"/>
      <c s="5"/>
      <c s="5"/>
      <c s="5"/>
      <c s="5"/>
      <c s="5"/>
      <c s="5"/>
      <c s="5"/>
      <c s="5"/>
      <c s="5"/>
      <c s="5"/>
      <c s="5"/>
    </row>
    <row r="716" spans="1:26" ht="15.75">
      <c r="A716" s="5"/>
      <c s="5"/>
      <c s="5"/>
      <c s="5"/>
      <c s="5"/>
      <c s="5"/>
      <c s="5"/>
      <c s="5"/>
      <c s="5"/>
      <c s="5"/>
      <c s="5"/>
      <c s="5"/>
      <c s="5"/>
      <c s="5"/>
      <c s="5"/>
      <c s="5"/>
      <c s="5"/>
      <c s="5"/>
      <c s="5"/>
      <c s="5"/>
      <c s="5"/>
      <c s="5"/>
      <c s="5"/>
      <c s="5"/>
      <c s="5"/>
      <c s="5"/>
    </row>
    <row r="717" spans="1:26" ht="15.75">
      <c r="A717" s="5"/>
      <c s="5"/>
      <c s="5"/>
      <c s="5"/>
      <c s="5"/>
      <c s="5"/>
      <c s="5"/>
      <c s="5"/>
      <c s="5"/>
      <c s="5"/>
      <c s="5"/>
      <c s="5"/>
      <c s="5"/>
      <c s="5"/>
      <c s="5"/>
      <c s="5"/>
      <c s="5"/>
      <c s="5"/>
      <c s="5"/>
      <c s="5"/>
      <c s="5"/>
      <c s="5"/>
      <c s="5"/>
      <c s="5"/>
      <c s="5"/>
      <c s="5"/>
    </row>
    <row r="718" spans="1:26" ht="15.75">
      <c r="A718" s="5"/>
      <c s="5"/>
      <c s="5"/>
      <c s="5"/>
      <c s="5"/>
      <c s="5"/>
      <c s="5"/>
      <c s="5"/>
      <c s="5"/>
      <c s="5"/>
      <c s="5"/>
      <c s="5"/>
      <c s="5"/>
      <c s="5"/>
      <c s="5"/>
      <c s="5"/>
      <c s="5"/>
      <c s="5"/>
      <c s="5"/>
      <c s="5"/>
      <c s="5"/>
      <c s="5"/>
      <c s="5"/>
      <c s="5"/>
      <c s="5"/>
      <c s="5"/>
    </row>
    <row r="719" spans="1:26" ht="15.75">
      <c r="A719" s="5"/>
      <c s="5"/>
      <c s="5"/>
      <c s="5"/>
      <c s="5"/>
      <c s="5"/>
      <c s="5"/>
      <c s="5"/>
      <c s="5"/>
      <c s="5"/>
      <c s="5"/>
      <c s="5"/>
      <c s="5"/>
      <c s="5"/>
      <c s="5"/>
      <c s="5"/>
      <c s="5"/>
      <c s="5"/>
      <c s="5"/>
      <c s="5"/>
      <c s="5"/>
      <c s="5"/>
      <c s="5"/>
      <c s="5"/>
      <c s="5"/>
      <c s="5"/>
    </row>
    <row r="720" spans="1:26" ht="15.75">
      <c r="A720" s="5"/>
      <c s="5"/>
      <c s="5"/>
      <c s="5"/>
      <c s="5"/>
      <c s="5"/>
      <c s="5"/>
      <c s="5"/>
      <c s="5"/>
      <c s="5"/>
      <c s="5"/>
      <c s="5"/>
      <c s="5"/>
      <c s="5"/>
      <c s="5"/>
      <c s="5"/>
      <c s="5"/>
      <c s="5"/>
      <c s="5"/>
      <c s="5"/>
      <c s="5"/>
      <c s="5"/>
      <c s="5"/>
      <c s="5"/>
      <c s="5"/>
      <c s="5"/>
    </row>
    <row r="721" spans="1:26" ht="15.75">
      <c r="A721" s="5"/>
      <c s="5"/>
      <c s="5"/>
      <c s="5"/>
      <c s="5"/>
      <c s="5"/>
      <c s="5"/>
      <c s="5"/>
      <c s="5"/>
      <c s="5"/>
      <c s="5"/>
      <c s="5"/>
      <c s="5"/>
      <c s="5"/>
      <c s="5"/>
      <c s="5"/>
      <c s="5"/>
      <c s="5"/>
      <c s="5"/>
      <c s="5"/>
      <c s="5"/>
      <c s="5"/>
      <c s="5"/>
      <c s="5"/>
      <c s="5"/>
      <c s="5"/>
    </row>
    <row r="722" spans="1:26" ht="15.75">
      <c r="A722" s="5"/>
      <c s="5"/>
      <c s="5"/>
      <c s="5"/>
      <c s="5"/>
      <c s="5"/>
      <c s="5"/>
      <c s="5"/>
      <c s="5"/>
      <c s="5"/>
      <c s="5"/>
      <c s="5"/>
      <c s="5"/>
      <c s="5"/>
      <c s="5"/>
      <c s="5"/>
      <c s="5"/>
      <c s="5"/>
      <c s="5"/>
      <c s="5"/>
      <c s="5"/>
      <c s="5"/>
      <c s="5"/>
      <c s="5"/>
      <c s="5"/>
      <c s="5"/>
    </row>
    <row r="723" spans="1:26" ht="15.75">
      <c r="A723" s="5"/>
      <c s="5"/>
      <c s="5"/>
      <c s="5"/>
      <c s="5"/>
      <c s="5"/>
      <c s="5"/>
      <c s="5"/>
      <c s="5"/>
      <c s="5"/>
      <c s="5"/>
      <c s="5"/>
      <c s="5"/>
      <c s="5"/>
      <c s="5"/>
      <c s="5"/>
      <c s="5"/>
      <c s="5"/>
      <c s="5"/>
      <c s="5"/>
      <c s="5"/>
      <c s="5"/>
      <c s="5"/>
      <c s="5"/>
      <c s="5"/>
      <c s="5"/>
    </row>
    <row r="724" spans="1:26" ht="15.75">
      <c r="A724" s="5"/>
      <c s="5"/>
      <c s="5"/>
      <c s="5"/>
      <c s="5"/>
      <c s="5"/>
      <c s="5"/>
      <c s="5"/>
      <c s="5"/>
      <c s="5"/>
      <c s="5"/>
      <c s="5"/>
      <c s="5"/>
      <c s="5"/>
      <c s="5"/>
      <c s="5"/>
      <c s="5"/>
      <c s="5"/>
      <c s="5"/>
      <c s="5"/>
      <c s="5"/>
      <c s="5"/>
      <c s="5"/>
      <c s="5"/>
      <c s="5"/>
      <c s="5"/>
    </row>
    <row r="725" spans="1:26" ht="15.75">
      <c r="A725" s="5"/>
      <c s="5"/>
      <c s="5"/>
      <c s="5"/>
      <c s="5"/>
      <c s="5"/>
      <c s="5"/>
      <c s="5"/>
      <c s="5"/>
      <c s="5"/>
      <c s="5"/>
      <c s="5"/>
      <c s="5"/>
      <c s="5"/>
      <c s="5"/>
      <c s="5"/>
      <c s="5"/>
      <c s="5"/>
      <c s="5"/>
      <c s="5"/>
      <c s="5"/>
      <c s="5"/>
      <c s="5"/>
      <c s="5"/>
      <c s="5"/>
      <c s="5"/>
    </row>
    <row r="726" spans="1:26" ht="15.75">
      <c r="A726" s="5"/>
      <c s="5"/>
      <c s="5"/>
      <c s="5"/>
      <c s="5"/>
      <c s="5"/>
      <c s="5"/>
      <c s="5"/>
      <c s="5"/>
      <c s="5"/>
      <c s="5"/>
      <c s="5"/>
      <c s="5"/>
      <c s="5"/>
      <c s="5"/>
      <c s="5"/>
      <c s="5"/>
      <c s="5"/>
      <c s="5"/>
      <c s="5"/>
      <c s="5"/>
      <c s="5"/>
      <c s="5"/>
      <c s="5"/>
      <c s="5"/>
      <c s="5"/>
    </row>
    <row r="727" spans="1:26" ht="15.75">
      <c r="A727" s="5"/>
      <c s="5"/>
      <c s="5"/>
      <c s="5"/>
      <c s="5"/>
      <c s="5"/>
      <c s="5"/>
      <c s="5"/>
      <c s="5"/>
      <c s="5"/>
      <c s="5"/>
      <c s="5"/>
      <c s="5"/>
      <c s="5"/>
      <c s="5"/>
      <c s="5"/>
      <c s="5"/>
      <c s="5"/>
      <c s="5"/>
      <c s="5"/>
      <c s="5"/>
      <c s="5"/>
      <c s="5"/>
      <c s="5"/>
      <c s="5"/>
      <c s="5"/>
    </row>
    <row r="728" spans="1:26" ht="15.75">
      <c r="A728" s="5"/>
      <c s="5"/>
      <c s="5"/>
      <c s="5"/>
      <c s="5"/>
      <c s="5"/>
      <c s="5"/>
      <c s="5"/>
      <c s="5"/>
      <c s="5"/>
      <c s="5"/>
      <c s="5"/>
      <c s="5"/>
      <c s="5"/>
      <c s="5"/>
      <c s="5"/>
      <c s="5"/>
      <c s="5"/>
      <c s="5"/>
      <c s="5"/>
      <c s="5"/>
      <c s="5"/>
      <c s="5"/>
      <c s="5"/>
      <c s="5"/>
      <c s="5"/>
    </row>
    <row r="729" spans="1:26" ht="15.75">
      <c r="A729" s="5"/>
      <c s="5"/>
      <c s="5"/>
      <c s="5"/>
      <c s="5"/>
      <c s="5"/>
      <c s="5"/>
      <c s="5"/>
      <c s="5"/>
      <c s="5"/>
      <c s="5"/>
      <c s="5"/>
      <c s="5"/>
      <c s="5"/>
      <c s="5"/>
      <c s="5"/>
      <c s="5"/>
      <c s="5"/>
      <c s="5"/>
      <c s="5"/>
      <c s="5"/>
      <c s="5"/>
      <c s="5"/>
      <c s="5"/>
      <c s="5"/>
      <c s="5"/>
    </row>
    <row r="730" spans="1:26" ht="15.75">
      <c r="A730" s="5"/>
      <c s="5"/>
      <c s="5"/>
      <c s="5"/>
      <c s="5"/>
      <c s="5"/>
      <c s="5"/>
      <c s="5"/>
      <c s="5"/>
      <c s="5"/>
      <c s="5"/>
      <c s="5"/>
      <c s="5"/>
      <c s="5"/>
      <c s="5"/>
      <c s="5"/>
      <c s="5"/>
      <c s="5"/>
      <c s="5"/>
      <c s="5"/>
      <c s="5"/>
      <c s="5"/>
      <c s="5"/>
      <c s="5"/>
      <c s="5"/>
      <c s="5"/>
    </row>
    <row r="731" spans="1:26" ht="15.75">
      <c r="A731" s="5"/>
      <c s="5"/>
      <c s="5"/>
      <c s="5"/>
      <c s="5"/>
      <c s="5"/>
      <c s="5"/>
      <c s="5"/>
      <c s="5"/>
      <c s="5"/>
      <c s="5"/>
      <c s="5"/>
      <c s="5"/>
      <c s="5"/>
      <c s="5"/>
      <c s="5"/>
      <c s="5"/>
      <c s="5"/>
      <c s="5"/>
      <c s="5"/>
      <c s="5"/>
      <c s="5"/>
      <c s="5"/>
      <c s="5"/>
      <c s="5"/>
      <c s="5"/>
    </row>
    <row r="732" spans="1:26" ht="15.75">
      <c r="A732" s="5"/>
      <c s="5"/>
      <c s="5"/>
      <c s="5"/>
      <c s="5"/>
      <c s="5"/>
      <c s="5"/>
      <c s="5"/>
      <c s="5"/>
      <c s="5"/>
      <c s="5"/>
      <c s="5"/>
      <c s="5"/>
      <c s="5"/>
      <c s="5"/>
      <c s="5"/>
      <c s="5"/>
      <c s="5"/>
      <c s="5"/>
      <c s="5"/>
      <c s="5"/>
      <c s="5"/>
      <c s="5"/>
      <c s="5"/>
      <c s="5"/>
      <c s="5"/>
    </row>
    <row r="733" spans="1:26" ht="15.75">
      <c r="A733" s="5"/>
      <c s="5"/>
      <c s="5"/>
      <c s="5"/>
      <c s="5"/>
      <c s="5"/>
      <c s="5"/>
      <c s="5"/>
      <c s="5"/>
      <c s="5"/>
      <c s="5"/>
      <c s="5"/>
      <c s="5"/>
      <c s="5"/>
      <c s="5"/>
      <c s="5"/>
      <c s="5"/>
      <c s="5"/>
      <c s="5"/>
      <c s="5"/>
      <c s="5"/>
      <c s="5"/>
      <c s="5"/>
      <c s="5"/>
      <c s="5"/>
      <c s="5"/>
    </row>
    <row r="734" spans="1:26" ht="15.75">
      <c r="A734" s="5"/>
      <c s="5"/>
      <c s="5"/>
      <c s="5"/>
      <c s="5"/>
      <c s="5"/>
      <c s="5"/>
      <c s="5"/>
      <c s="5"/>
      <c s="5"/>
      <c s="5"/>
      <c s="5"/>
      <c s="5"/>
      <c s="5"/>
      <c s="5"/>
      <c s="5"/>
      <c s="5"/>
      <c s="5"/>
      <c s="5"/>
      <c s="5"/>
      <c s="5"/>
      <c s="5"/>
      <c s="5"/>
      <c s="5"/>
      <c s="5"/>
      <c s="5"/>
    </row>
    <row r="735" spans="1:26" ht="15.75">
      <c r="A735" s="5"/>
      <c s="5"/>
      <c s="5"/>
      <c s="5"/>
      <c s="5"/>
      <c s="5"/>
      <c s="5"/>
      <c s="5"/>
      <c s="5"/>
      <c s="5"/>
      <c s="5"/>
      <c s="5"/>
      <c s="5"/>
      <c s="5"/>
      <c s="5"/>
      <c s="5"/>
      <c s="5"/>
      <c s="5"/>
      <c s="5"/>
      <c s="5"/>
      <c s="5"/>
      <c s="5"/>
      <c s="5"/>
      <c s="5"/>
      <c s="5"/>
      <c s="5"/>
    </row>
    <row r="736" spans="1:26" ht="15.75">
      <c r="A736" s="5"/>
      <c s="5"/>
      <c s="5"/>
      <c s="5"/>
      <c s="5"/>
      <c s="5"/>
      <c s="5"/>
      <c s="5"/>
      <c s="5"/>
      <c s="5"/>
      <c s="5"/>
      <c s="5"/>
      <c s="5"/>
      <c s="5"/>
      <c s="5"/>
      <c s="5"/>
      <c s="5"/>
      <c s="5"/>
      <c s="5"/>
      <c s="5"/>
      <c s="5"/>
      <c s="5"/>
      <c s="5"/>
      <c s="5"/>
      <c s="5"/>
      <c s="5"/>
    </row>
    <row r="737" spans="1:26" ht="15.75">
      <c r="A737" s="5"/>
      <c s="5"/>
      <c s="5"/>
      <c s="5"/>
      <c s="5"/>
      <c s="5"/>
      <c s="5"/>
      <c s="5"/>
      <c s="5"/>
      <c s="5"/>
      <c s="5"/>
      <c s="5"/>
      <c s="5"/>
      <c s="5"/>
      <c s="5"/>
      <c s="5"/>
      <c s="5"/>
      <c s="5"/>
      <c s="5"/>
      <c s="5"/>
      <c s="5"/>
      <c s="5"/>
      <c s="5"/>
      <c s="5"/>
      <c s="5"/>
      <c s="5"/>
    </row>
    <row r="738" spans="1:26" ht="15.75">
      <c r="A738" s="5"/>
      <c s="5"/>
      <c s="5"/>
      <c s="5"/>
      <c s="5"/>
      <c s="5"/>
      <c s="5"/>
      <c s="5"/>
      <c s="5"/>
      <c s="5"/>
      <c s="5"/>
      <c s="5"/>
      <c s="5"/>
      <c s="5"/>
      <c s="5"/>
      <c s="5"/>
      <c s="5"/>
      <c s="5"/>
      <c s="5"/>
      <c s="5"/>
      <c s="5"/>
      <c s="5"/>
      <c s="5"/>
      <c s="5"/>
      <c s="5"/>
      <c s="5"/>
    </row>
    <row r="739" spans="1:26" ht="15.75">
      <c r="A739" s="5"/>
      <c s="5"/>
      <c s="5"/>
      <c s="5"/>
      <c s="5"/>
      <c s="5"/>
      <c s="5"/>
      <c s="5"/>
      <c s="5"/>
      <c s="5"/>
      <c s="5"/>
      <c s="5"/>
      <c s="5"/>
      <c s="5"/>
      <c s="5"/>
      <c s="5"/>
      <c s="5"/>
      <c s="5"/>
      <c s="5"/>
      <c s="5"/>
      <c s="5"/>
      <c s="5"/>
      <c s="5"/>
      <c s="5"/>
      <c s="5"/>
      <c s="5"/>
    </row>
    <row r="740" spans="1:26" ht="15.75">
      <c r="A740" s="5"/>
      <c s="5"/>
      <c s="5"/>
      <c s="5"/>
      <c s="5"/>
      <c s="5"/>
      <c s="5"/>
      <c s="5"/>
      <c s="5"/>
      <c s="5"/>
      <c s="5"/>
      <c s="5"/>
      <c s="5"/>
      <c s="5"/>
      <c s="5"/>
      <c s="5"/>
      <c s="5"/>
      <c s="5"/>
      <c s="5"/>
      <c s="5"/>
      <c s="5"/>
      <c s="5"/>
      <c s="5"/>
      <c s="5"/>
      <c s="5"/>
      <c s="5"/>
    </row>
    <row r="741" spans="1:26" ht="15.75">
      <c r="A741" s="5"/>
      <c s="5"/>
      <c s="5"/>
      <c s="5"/>
      <c s="5"/>
      <c s="5"/>
      <c s="5"/>
      <c s="5"/>
      <c s="5"/>
      <c s="5"/>
      <c s="5"/>
      <c s="5"/>
      <c s="5"/>
      <c s="5"/>
      <c s="5"/>
      <c s="5"/>
      <c s="5"/>
      <c s="5"/>
      <c s="5"/>
      <c s="5"/>
      <c s="5"/>
      <c s="5"/>
      <c s="5"/>
      <c s="5"/>
      <c s="5"/>
      <c s="5"/>
    </row>
    <row r="742" spans="1:26" ht="15.75">
      <c r="A742" s="5"/>
      <c s="5"/>
      <c s="5"/>
      <c s="5"/>
      <c s="5"/>
      <c s="5"/>
      <c s="5"/>
      <c s="5"/>
      <c s="5"/>
      <c s="5"/>
      <c s="5"/>
      <c s="5"/>
      <c s="5"/>
      <c s="5"/>
      <c s="5"/>
      <c s="5"/>
      <c s="5"/>
      <c s="5"/>
      <c s="5"/>
      <c s="5"/>
      <c s="5"/>
      <c s="5"/>
      <c s="5"/>
      <c s="5"/>
      <c s="5"/>
      <c s="5"/>
    </row>
    <row r="743" spans="1:26" ht="15.75">
      <c r="A743" s="5"/>
      <c s="5"/>
      <c s="5"/>
      <c s="5"/>
      <c s="5"/>
      <c s="5"/>
      <c s="5"/>
      <c s="5"/>
      <c s="5"/>
      <c s="5"/>
      <c s="5"/>
      <c s="5"/>
      <c s="5"/>
      <c s="5"/>
      <c s="5"/>
      <c s="5"/>
      <c s="5"/>
      <c s="5"/>
      <c s="5"/>
      <c s="5"/>
      <c s="5"/>
      <c s="5"/>
      <c s="5"/>
      <c s="5"/>
      <c s="5"/>
      <c s="5"/>
    </row>
    <row r="744" spans="1:26" ht="15.75">
      <c r="A744" s="5"/>
      <c s="5"/>
      <c s="5"/>
      <c s="5"/>
      <c s="5"/>
      <c s="5"/>
      <c s="5"/>
      <c s="5"/>
      <c s="5"/>
      <c s="5"/>
      <c s="5"/>
      <c s="5"/>
      <c s="5"/>
      <c s="5"/>
      <c s="5"/>
      <c s="5"/>
      <c s="5"/>
      <c s="5"/>
      <c s="5"/>
      <c s="5"/>
      <c s="5"/>
      <c s="5"/>
      <c s="5"/>
      <c s="5"/>
      <c s="5"/>
      <c s="5"/>
    </row>
    <row r="745" spans="1:26" ht="15.75">
      <c r="A745" s="5"/>
      <c s="5"/>
      <c s="5"/>
      <c s="5"/>
      <c s="5"/>
      <c s="5"/>
      <c s="5"/>
      <c s="5"/>
      <c s="5"/>
      <c s="5"/>
      <c s="5"/>
      <c s="5"/>
      <c s="5"/>
      <c s="5"/>
      <c s="5"/>
      <c s="5"/>
      <c s="5"/>
      <c s="5"/>
      <c s="5"/>
      <c s="5"/>
      <c s="5"/>
      <c s="5"/>
      <c s="5"/>
      <c s="5"/>
      <c s="5"/>
      <c s="5"/>
    </row>
    <row r="746" spans="1:26" ht="15.75">
      <c r="A746" s="5"/>
      <c s="5"/>
      <c s="5"/>
      <c s="5"/>
      <c s="5"/>
      <c s="5"/>
      <c s="5"/>
      <c s="5"/>
      <c s="5"/>
      <c s="5"/>
      <c s="5"/>
      <c s="5"/>
      <c s="5"/>
      <c s="5"/>
      <c s="5"/>
      <c s="5"/>
      <c s="5"/>
      <c s="5"/>
      <c s="5"/>
      <c s="5"/>
      <c s="5"/>
      <c s="5"/>
      <c s="5"/>
      <c s="5"/>
      <c s="5"/>
      <c s="5"/>
    </row>
    <row r="747" spans="1:26" ht="15.75">
      <c r="A747" s="5"/>
      <c s="5"/>
      <c s="5"/>
      <c s="5"/>
      <c s="5"/>
      <c s="5"/>
      <c s="5"/>
      <c s="5"/>
      <c s="5"/>
      <c s="5"/>
      <c s="5"/>
      <c s="5"/>
      <c s="5"/>
      <c s="5"/>
      <c s="5"/>
      <c s="5"/>
      <c s="5"/>
      <c s="5"/>
      <c s="5"/>
      <c s="5"/>
      <c s="5"/>
      <c s="5"/>
      <c s="5"/>
      <c s="5"/>
      <c s="5"/>
      <c s="5"/>
    </row>
    <row r="748" spans="1:26" ht="15.75">
      <c r="A748" s="5"/>
      <c s="5"/>
      <c s="5"/>
      <c s="5"/>
      <c s="5"/>
      <c s="5"/>
      <c s="5"/>
      <c s="5"/>
      <c s="5"/>
      <c s="5"/>
      <c s="5"/>
      <c s="5"/>
      <c s="5"/>
      <c s="5"/>
      <c s="5"/>
      <c s="5"/>
      <c s="5"/>
      <c s="5"/>
      <c s="5"/>
      <c s="5"/>
      <c s="5"/>
      <c s="5"/>
      <c s="5"/>
      <c s="5"/>
      <c s="5"/>
      <c s="5"/>
    </row>
    <row r="749" spans="1:26" ht="15.75">
      <c r="A749" s="5"/>
      <c s="5"/>
      <c s="5"/>
      <c s="5"/>
      <c s="5"/>
      <c s="5"/>
      <c s="5"/>
      <c s="5"/>
      <c s="5"/>
      <c s="5"/>
      <c s="5"/>
      <c s="5"/>
      <c s="5"/>
      <c s="5"/>
      <c s="5"/>
      <c s="5"/>
      <c s="5"/>
      <c s="5"/>
      <c s="5"/>
      <c s="5"/>
      <c s="5"/>
      <c s="5"/>
      <c s="5"/>
      <c s="5"/>
      <c s="5"/>
      <c s="5"/>
    </row>
    <row r="750" spans="1:26" ht="15.75">
      <c r="A750" s="5"/>
      <c s="5"/>
      <c s="5"/>
      <c s="5"/>
      <c s="5"/>
      <c s="5"/>
      <c s="5"/>
      <c s="5"/>
      <c s="5"/>
      <c s="5"/>
      <c s="5"/>
      <c s="5"/>
      <c s="5"/>
      <c s="5"/>
      <c s="5"/>
      <c s="5"/>
      <c s="5"/>
      <c s="5"/>
      <c s="5"/>
      <c s="5"/>
      <c s="5"/>
      <c s="5"/>
      <c s="5"/>
      <c s="5"/>
      <c s="5"/>
      <c s="5"/>
    </row>
    <row r="751" spans="1:26" ht="15.75">
      <c r="A751" s="5"/>
      <c s="5"/>
      <c s="5"/>
      <c s="5"/>
      <c s="5"/>
      <c s="5"/>
      <c s="5"/>
      <c s="5"/>
      <c s="5"/>
      <c s="5"/>
      <c s="5"/>
      <c s="5"/>
      <c s="5"/>
      <c s="5"/>
      <c s="5"/>
      <c s="5"/>
      <c s="5"/>
      <c s="5"/>
      <c s="5"/>
      <c s="5"/>
      <c s="5"/>
      <c s="5"/>
      <c s="5"/>
      <c s="5"/>
      <c s="5"/>
      <c s="5"/>
    </row>
    <row r="752" spans="1:26" ht="15.75">
      <c r="A752" s="5"/>
      <c s="5"/>
      <c s="5"/>
      <c s="5"/>
      <c s="5"/>
      <c s="5"/>
      <c s="5"/>
      <c s="5"/>
      <c s="5"/>
      <c s="5"/>
      <c s="5"/>
      <c s="5"/>
      <c s="5"/>
      <c s="5"/>
      <c s="5"/>
      <c s="5"/>
      <c s="5"/>
      <c s="5"/>
      <c s="5"/>
      <c s="5"/>
      <c s="5"/>
      <c s="5"/>
      <c s="5"/>
      <c s="5"/>
      <c s="5"/>
      <c s="5"/>
    </row>
    <row r="753" spans="1:26" ht="15.75">
      <c r="A753" s="5"/>
      <c s="5"/>
      <c s="5"/>
      <c s="5"/>
      <c s="5"/>
      <c s="5"/>
      <c s="5"/>
      <c s="5"/>
      <c s="5"/>
      <c s="5"/>
      <c s="5"/>
      <c s="5"/>
      <c s="5"/>
      <c s="5"/>
      <c s="5"/>
      <c s="5"/>
      <c s="5"/>
      <c s="5"/>
      <c s="5"/>
      <c s="5"/>
      <c s="5"/>
      <c s="5"/>
      <c s="5"/>
      <c s="5"/>
      <c s="5"/>
      <c s="5"/>
    </row>
    <row r="754" spans="1:26" ht="15.75">
      <c r="A754" s="5"/>
      <c s="5"/>
      <c s="5"/>
      <c s="5"/>
      <c s="5"/>
      <c s="5"/>
      <c s="5"/>
      <c s="5"/>
      <c s="5"/>
      <c s="5"/>
      <c s="5"/>
      <c s="5"/>
      <c s="5"/>
      <c s="5"/>
      <c s="5"/>
      <c s="5"/>
      <c s="5"/>
      <c s="5"/>
      <c s="5"/>
      <c s="5"/>
      <c s="5"/>
      <c s="5"/>
      <c s="5"/>
      <c s="5"/>
      <c s="5"/>
      <c s="5"/>
    </row>
    <row r="755" spans="1:26" ht="15.75">
      <c r="A755" s="5"/>
      <c s="5"/>
      <c s="5"/>
      <c s="5"/>
      <c s="5"/>
      <c s="5"/>
      <c s="5"/>
      <c s="5"/>
      <c s="5"/>
      <c s="5"/>
      <c s="5"/>
      <c s="5"/>
      <c s="5"/>
      <c s="5"/>
      <c s="5"/>
      <c s="5"/>
      <c s="5"/>
      <c s="5"/>
      <c s="5"/>
      <c s="5"/>
      <c s="5"/>
      <c s="5"/>
      <c s="5"/>
      <c s="5"/>
      <c s="5"/>
      <c s="5"/>
    </row>
    <row r="756" spans="1:26" ht="15.75">
      <c r="A756" s="5"/>
      <c s="5"/>
      <c s="5"/>
      <c s="5"/>
      <c s="5"/>
      <c s="5"/>
      <c s="5"/>
      <c s="5"/>
      <c s="5"/>
      <c s="5"/>
      <c s="5"/>
      <c s="5"/>
      <c s="5"/>
      <c s="5"/>
      <c s="5"/>
      <c s="5"/>
      <c s="5"/>
      <c s="5"/>
      <c s="5"/>
      <c s="5"/>
      <c s="5"/>
      <c s="5"/>
      <c s="5"/>
      <c s="5"/>
      <c s="5"/>
      <c s="5"/>
    </row>
    <row r="757" spans="1:26" ht="15.75">
      <c r="A757" s="5"/>
      <c s="5"/>
      <c s="5"/>
      <c s="5"/>
      <c s="5"/>
      <c s="5"/>
      <c s="5"/>
      <c s="5"/>
      <c s="5"/>
      <c s="5"/>
      <c s="5"/>
      <c s="5"/>
      <c s="5"/>
      <c s="5"/>
      <c s="5"/>
      <c s="5"/>
      <c s="5"/>
      <c s="5"/>
      <c s="5"/>
      <c s="5"/>
      <c s="5"/>
      <c s="5"/>
      <c s="5"/>
      <c s="5"/>
      <c s="5"/>
      <c s="5"/>
    </row>
    <row r="758" spans="1:26" ht="15.75">
      <c r="A758" s="5"/>
      <c s="5"/>
      <c s="5"/>
      <c s="5"/>
      <c s="5"/>
      <c s="5"/>
      <c s="5"/>
      <c s="5"/>
      <c s="5"/>
      <c s="5"/>
      <c s="5"/>
      <c s="5"/>
      <c s="5"/>
      <c s="5"/>
      <c s="5"/>
      <c s="5"/>
      <c s="5"/>
      <c s="5"/>
      <c s="5"/>
      <c s="5"/>
      <c s="5"/>
      <c s="5"/>
      <c s="5"/>
      <c s="5"/>
      <c s="5"/>
      <c s="5"/>
    </row>
    <row r="759" spans="1:26" ht="15.75">
      <c r="A759" s="5"/>
      <c s="5"/>
      <c s="5"/>
      <c s="5"/>
      <c s="5"/>
      <c s="5"/>
      <c s="5"/>
      <c s="5"/>
      <c s="5"/>
      <c s="5"/>
      <c s="5"/>
      <c s="5"/>
      <c s="5"/>
      <c s="5"/>
      <c s="5"/>
      <c s="5"/>
      <c s="5"/>
      <c s="5"/>
      <c s="5"/>
      <c s="5"/>
      <c s="5"/>
      <c s="5"/>
      <c s="5"/>
      <c s="5"/>
      <c s="5"/>
      <c s="5"/>
    </row>
    <row r="760" spans="1:26" ht="15.75">
      <c r="A760" s="5"/>
      <c s="5"/>
      <c s="5"/>
      <c s="5"/>
      <c s="5"/>
      <c s="5"/>
      <c s="5"/>
      <c s="5"/>
      <c s="5"/>
      <c s="5"/>
      <c s="5"/>
      <c s="5"/>
      <c s="5"/>
      <c s="5"/>
      <c s="5"/>
      <c s="5"/>
      <c s="5"/>
      <c s="5"/>
      <c s="5"/>
      <c s="5"/>
      <c s="5"/>
      <c s="5"/>
      <c s="5"/>
      <c s="5"/>
      <c s="5"/>
      <c s="5"/>
    </row>
    <row r="761" spans="1:26" ht="15.75">
      <c r="A761" s="5"/>
      <c s="5"/>
      <c s="5"/>
      <c s="5"/>
      <c s="5"/>
      <c s="5"/>
      <c s="5"/>
      <c s="5"/>
      <c s="5"/>
      <c s="5"/>
      <c s="5"/>
      <c s="5"/>
      <c s="5"/>
      <c s="5"/>
      <c s="5"/>
      <c s="5"/>
      <c s="5"/>
      <c s="5"/>
      <c s="5"/>
      <c s="5"/>
      <c s="5"/>
      <c s="5"/>
      <c s="5"/>
      <c s="5"/>
      <c s="5"/>
      <c s="5"/>
    </row>
    <row r="762" spans="1:26" ht="15.75">
      <c r="A762" s="5"/>
      <c s="5"/>
      <c s="5"/>
      <c s="5"/>
      <c s="5"/>
      <c s="5"/>
      <c s="5"/>
      <c s="5"/>
      <c s="5"/>
      <c s="5"/>
      <c s="5"/>
      <c s="5"/>
      <c s="5"/>
      <c s="5"/>
      <c s="5"/>
      <c s="5"/>
      <c s="5"/>
      <c s="5"/>
      <c s="5"/>
      <c s="5"/>
      <c s="5"/>
      <c s="5"/>
      <c s="5"/>
      <c s="5"/>
      <c s="5"/>
      <c s="5"/>
    </row>
    <row r="763" spans="1:26" ht="15.75">
      <c r="A763" s="5"/>
      <c s="5"/>
      <c s="5"/>
      <c s="5"/>
      <c s="5"/>
      <c s="5"/>
      <c s="5"/>
      <c s="5"/>
      <c s="5"/>
      <c s="5"/>
      <c s="5"/>
      <c s="5"/>
      <c s="5"/>
      <c s="5"/>
      <c s="5"/>
      <c s="5"/>
      <c s="5"/>
      <c s="5"/>
      <c s="5"/>
      <c s="5"/>
      <c s="5"/>
      <c s="5"/>
      <c s="5"/>
      <c s="5"/>
      <c s="5"/>
      <c s="5"/>
    </row>
    <row r="764" spans="1:26" ht="15.75">
      <c r="A764" s="5"/>
      <c s="5"/>
      <c s="5"/>
      <c s="5"/>
      <c s="5"/>
      <c s="5"/>
      <c s="5"/>
      <c s="5"/>
      <c s="5"/>
      <c s="5"/>
      <c s="5"/>
      <c s="5"/>
      <c s="5"/>
      <c s="5"/>
      <c s="5"/>
      <c s="5"/>
      <c s="5"/>
      <c s="5"/>
      <c s="5"/>
      <c s="5"/>
      <c s="5"/>
      <c s="5"/>
      <c s="5"/>
      <c s="5"/>
      <c s="5"/>
      <c s="5"/>
    </row>
    <row r="765" spans="1:26" ht="15.75">
      <c r="A765" s="5"/>
      <c s="5"/>
      <c s="5"/>
      <c s="5"/>
      <c s="5"/>
      <c s="5"/>
      <c s="5"/>
      <c s="5"/>
      <c s="5"/>
      <c s="5"/>
      <c s="5"/>
      <c s="5"/>
      <c s="5"/>
      <c s="5"/>
      <c s="5"/>
      <c s="5"/>
      <c s="5"/>
      <c s="5"/>
      <c s="5"/>
      <c s="5"/>
      <c s="5"/>
      <c s="5"/>
      <c s="5"/>
      <c s="5"/>
      <c s="5"/>
      <c s="5"/>
    </row>
    <row r="766" spans="1:26" ht="15.75">
      <c r="A766" s="5"/>
      <c s="5"/>
      <c s="5"/>
      <c s="5"/>
      <c s="5"/>
      <c s="5"/>
      <c s="5"/>
      <c s="5"/>
      <c s="5"/>
      <c s="5"/>
      <c s="5"/>
      <c s="5"/>
      <c s="5"/>
      <c s="5"/>
      <c s="5"/>
      <c s="5"/>
      <c s="5"/>
      <c s="5"/>
      <c s="5"/>
      <c s="5"/>
      <c s="5"/>
      <c s="5"/>
      <c s="5"/>
      <c s="5"/>
      <c s="5"/>
      <c s="5"/>
    </row>
    <row r="767" spans="1:26" ht="15.75">
      <c r="A767" s="5"/>
      <c s="5"/>
      <c s="5"/>
      <c s="5"/>
      <c s="5"/>
      <c s="5"/>
      <c s="5"/>
      <c s="5"/>
      <c s="5"/>
      <c s="5"/>
      <c s="5"/>
      <c s="5"/>
      <c s="5"/>
      <c s="5"/>
      <c s="5"/>
      <c s="5"/>
      <c s="5"/>
      <c s="5"/>
      <c s="5"/>
      <c s="5"/>
      <c s="5"/>
      <c s="5"/>
      <c s="5"/>
      <c s="5"/>
      <c s="5"/>
      <c s="5"/>
    </row>
    <row r="768" spans="1:26" ht="15.75">
      <c r="A768" s="5"/>
      <c s="5"/>
      <c s="5"/>
      <c s="5"/>
      <c s="5"/>
      <c s="5"/>
      <c s="5"/>
      <c s="5"/>
      <c s="5"/>
      <c s="5"/>
      <c s="5"/>
      <c s="5"/>
      <c s="5"/>
      <c s="5"/>
      <c s="5"/>
      <c s="5"/>
      <c s="5"/>
      <c s="5"/>
      <c s="5"/>
      <c s="5"/>
      <c s="5"/>
      <c s="5"/>
      <c s="5"/>
      <c s="5"/>
      <c s="5"/>
      <c s="5"/>
    </row>
    <row r="769" spans="1:26" ht="15.75">
      <c r="A769" s="5"/>
      <c s="5"/>
      <c s="5"/>
      <c s="5"/>
      <c s="5"/>
      <c s="5"/>
      <c s="5"/>
      <c s="5"/>
      <c s="5"/>
      <c s="5"/>
      <c s="5"/>
      <c s="5"/>
      <c s="5"/>
      <c s="5"/>
      <c s="5"/>
      <c s="5"/>
      <c s="5"/>
      <c s="5"/>
      <c s="5"/>
      <c s="5"/>
      <c s="5"/>
      <c s="5"/>
      <c s="5"/>
      <c s="5"/>
      <c s="5"/>
      <c s="5"/>
    </row>
    <row r="770" spans="1:26" ht="15.75">
      <c r="A770" s="5"/>
      <c s="5"/>
      <c s="5"/>
      <c s="5"/>
      <c s="5"/>
      <c s="5"/>
      <c s="5"/>
      <c s="5"/>
      <c s="5"/>
      <c s="5"/>
      <c s="5"/>
      <c s="5"/>
      <c s="5"/>
      <c s="5"/>
      <c s="5"/>
      <c s="5"/>
      <c s="5"/>
      <c s="5"/>
      <c s="5"/>
      <c s="5"/>
      <c s="5"/>
      <c s="5"/>
      <c s="5"/>
      <c s="5"/>
      <c s="5"/>
      <c s="5"/>
    </row>
    <row r="771" spans="1:26" ht="15.75">
      <c r="A771" s="5"/>
      <c s="5"/>
      <c s="5"/>
      <c s="5"/>
      <c s="5"/>
      <c s="5"/>
      <c s="5"/>
      <c s="5"/>
      <c s="5"/>
      <c s="5"/>
      <c s="5"/>
      <c s="5"/>
      <c s="5"/>
      <c s="5"/>
      <c s="5"/>
      <c s="5"/>
      <c s="5"/>
      <c s="5"/>
      <c s="5"/>
      <c s="5"/>
      <c s="5"/>
      <c s="5"/>
      <c s="5"/>
      <c s="5"/>
      <c s="5"/>
      <c s="5"/>
    </row>
    <row r="772" spans="1:26" ht="15.75">
      <c r="A772" s="5"/>
      <c s="5"/>
      <c s="5"/>
      <c s="5"/>
      <c s="5"/>
      <c s="5"/>
      <c s="5"/>
      <c s="5"/>
      <c s="5"/>
      <c s="5"/>
      <c s="5"/>
      <c s="5"/>
      <c s="5"/>
      <c s="5"/>
      <c s="5"/>
      <c s="5"/>
      <c s="5"/>
      <c s="5"/>
      <c s="5"/>
      <c s="5"/>
      <c s="5"/>
      <c s="5"/>
      <c s="5"/>
      <c s="5"/>
      <c s="5"/>
      <c s="5"/>
    </row>
    <row r="773" spans="1:26" ht="15.75">
      <c r="A773" s="5"/>
      <c s="5"/>
      <c s="5"/>
      <c s="5"/>
      <c s="5"/>
      <c s="5"/>
      <c s="5"/>
      <c s="5"/>
      <c s="5"/>
      <c s="5"/>
      <c s="5"/>
      <c s="5"/>
      <c s="5"/>
      <c s="5"/>
      <c s="5"/>
      <c s="5"/>
      <c s="5"/>
      <c s="5"/>
      <c s="5"/>
      <c s="5"/>
      <c s="5"/>
      <c s="5"/>
      <c s="5"/>
      <c s="5"/>
      <c s="5"/>
      <c s="5"/>
    </row>
    <row r="774" spans="1:26" ht="15.75">
      <c r="A774" s="5"/>
      <c s="5"/>
      <c s="5"/>
      <c s="5"/>
      <c s="5"/>
      <c s="5"/>
      <c s="5"/>
      <c s="5"/>
      <c s="5"/>
      <c s="5"/>
      <c s="5"/>
      <c s="5"/>
      <c s="5"/>
      <c s="5"/>
      <c s="5"/>
      <c s="5"/>
      <c s="5"/>
      <c s="5"/>
      <c s="5"/>
      <c s="5"/>
      <c s="5"/>
      <c s="5"/>
      <c s="5"/>
      <c s="5"/>
      <c s="5"/>
      <c s="5"/>
    </row>
    <row r="775" spans="1:26" ht="15.75">
      <c r="A775" s="5"/>
      <c s="5"/>
      <c s="5"/>
      <c s="5"/>
      <c s="5"/>
      <c s="5"/>
      <c s="5"/>
      <c s="5"/>
      <c s="5"/>
      <c s="5"/>
      <c s="5"/>
      <c s="5"/>
      <c s="5"/>
      <c s="5"/>
      <c s="5"/>
      <c s="5"/>
      <c s="5"/>
      <c s="5"/>
      <c s="5"/>
      <c s="5"/>
      <c s="5"/>
      <c s="5"/>
      <c s="5"/>
      <c s="5"/>
      <c s="5"/>
      <c s="5"/>
    </row>
    <row r="776" spans="1:26" ht="15.75">
      <c r="A776" s="5"/>
      <c s="5"/>
      <c s="5"/>
      <c s="5"/>
      <c s="5"/>
      <c s="5"/>
      <c s="5"/>
      <c s="5"/>
      <c s="5"/>
      <c s="5"/>
      <c s="5"/>
      <c s="5"/>
      <c s="5"/>
      <c s="5"/>
      <c s="5"/>
      <c s="5"/>
      <c s="5"/>
      <c s="5"/>
      <c s="5"/>
      <c s="5"/>
      <c s="5"/>
      <c s="5"/>
      <c s="5"/>
      <c s="5"/>
      <c s="5"/>
      <c s="5"/>
    </row>
    <row r="777" spans="1:26" ht="15.75">
      <c r="A777" s="5"/>
      <c s="5"/>
      <c s="5"/>
      <c s="5"/>
      <c s="5"/>
      <c s="5"/>
      <c s="5"/>
      <c s="5"/>
      <c s="5"/>
      <c s="5"/>
      <c s="5"/>
      <c s="5"/>
      <c s="5"/>
      <c s="5"/>
      <c s="5"/>
      <c s="5"/>
      <c s="5"/>
      <c s="5"/>
      <c s="5"/>
      <c s="5"/>
      <c s="5"/>
      <c s="5"/>
      <c s="5"/>
      <c s="5"/>
      <c s="5"/>
      <c s="5"/>
    </row>
    <row r="778" spans="1:26" ht="15.75">
      <c r="A778" s="5"/>
      <c s="5"/>
      <c s="5"/>
      <c s="5"/>
      <c s="5"/>
      <c s="5"/>
      <c s="5"/>
      <c s="5"/>
      <c s="5"/>
      <c s="5"/>
      <c s="5"/>
      <c s="5"/>
      <c s="5"/>
      <c s="5"/>
      <c s="5"/>
      <c s="5"/>
      <c s="5"/>
      <c s="5"/>
      <c s="5"/>
      <c s="5"/>
      <c s="5"/>
      <c s="5"/>
      <c s="5"/>
      <c s="5"/>
      <c s="5"/>
      <c s="5"/>
    </row>
    <row r="779" spans="1:26" ht="15.75">
      <c r="A779" s="5"/>
      <c s="5"/>
      <c s="5"/>
      <c s="5"/>
      <c s="5"/>
      <c s="5"/>
      <c s="5"/>
      <c s="5"/>
      <c s="5"/>
      <c s="5"/>
      <c s="5"/>
      <c s="5"/>
      <c s="5"/>
      <c s="5"/>
      <c s="5"/>
      <c s="5"/>
      <c s="5"/>
      <c s="5"/>
      <c s="5"/>
      <c s="5"/>
      <c s="5"/>
      <c s="5"/>
      <c s="5"/>
      <c s="5"/>
      <c s="5"/>
      <c s="5"/>
    </row>
    <row r="780" spans="1:26" ht="15.75">
      <c r="A780" s="5"/>
      <c s="5"/>
      <c s="5"/>
      <c s="5"/>
      <c s="5"/>
      <c s="5"/>
      <c s="5"/>
      <c s="5"/>
      <c s="5"/>
      <c s="5"/>
      <c s="5"/>
      <c s="5"/>
      <c s="5"/>
      <c s="5"/>
      <c s="5"/>
      <c s="5"/>
      <c s="5"/>
      <c s="5"/>
      <c s="5"/>
      <c s="5"/>
      <c s="5"/>
      <c s="5"/>
      <c s="5"/>
      <c s="5"/>
      <c s="5"/>
      <c s="5"/>
    </row>
    <row r="781" spans="1:26" ht="15.75">
      <c r="A781" s="5"/>
      <c s="5"/>
      <c s="5"/>
      <c s="5"/>
      <c s="5"/>
      <c s="5"/>
      <c s="5"/>
      <c s="5"/>
      <c s="5"/>
      <c s="5"/>
      <c s="5"/>
      <c s="5"/>
      <c s="5"/>
      <c s="5"/>
      <c s="5"/>
      <c s="5"/>
      <c s="5"/>
      <c s="5"/>
      <c s="5"/>
      <c s="5"/>
      <c s="5"/>
      <c s="5"/>
      <c s="5"/>
      <c s="5"/>
      <c s="5"/>
      <c s="5"/>
    </row>
    <row r="782" spans="1:26" ht="15.75">
      <c r="A782" s="5"/>
      <c s="5"/>
      <c s="5"/>
      <c s="5"/>
      <c s="5"/>
      <c s="5"/>
      <c s="5"/>
      <c s="5"/>
      <c s="5"/>
      <c s="5"/>
      <c s="5"/>
      <c s="5"/>
      <c s="5"/>
      <c s="5"/>
      <c s="5"/>
      <c s="5"/>
      <c s="5"/>
      <c s="5"/>
      <c s="5"/>
      <c s="5"/>
      <c s="5"/>
      <c s="5"/>
      <c s="5"/>
      <c s="5"/>
      <c s="5"/>
      <c s="5"/>
    </row>
    <row r="783" spans="1:26" ht="15.75">
      <c r="A783" s="5"/>
      <c s="5"/>
      <c s="5"/>
      <c s="5"/>
      <c s="5"/>
      <c s="5"/>
      <c s="5"/>
      <c s="5"/>
      <c s="5"/>
      <c s="5"/>
      <c s="5"/>
      <c s="5"/>
      <c s="5"/>
      <c s="5"/>
      <c s="5"/>
      <c s="5"/>
      <c s="5"/>
      <c s="5"/>
      <c s="5"/>
      <c s="5"/>
      <c s="5"/>
      <c s="5"/>
      <c s="5"/>
      <c s="5"/>
      <c s="5"/>
      <c s="5"/>
    </row>
    <row r="784" spans="1:26" ht="15.75">
      <c r="A784" s="5"/>
      <c s="5"/>
      <c s="5"/>
      <c s="5"/>
      <c s="5"/>
      <c s="5"/>
      <c s="5"/>
      <c s="5"/>
      <c s="5"/>
      <c s="5"/>
      <c s="5"/>
      <c s="5"/>
      <c s="5"/>
      <c s="5"/>
      <c s="5"/>
      <c s="5"/>
      <c s="5"/>
      <c s="5"/>
      <c s="5"/>
      <c s="5"/>
      <c s="5"/>
      <c s="5"/>
      <c s="5"/>
      <c s="5"/>
      <c s="5"/>
      <c s="5"/>
    </row>
    <row r="785" spans="1:26" ht="15.75">
      <c r="A785" s="5"/>
      <c s="5"/>
      <c s="5"/>
      <c s="5"/>
      <c s="5"/>
      <c s="5"/>
      <c s="5"/>
      <c s="5"/>
      <c s="5"/>
      <c s="5"/>
      <c s="5"/>
      <c s="5"/>
      <c s="5"/>
      <c s="5"/>
      <c s="5"/>
      <c s="5"/>
      <c s="5"/>
      <c s="5"/>
      <c s="5"/>
      <c s="5"/>
      <c s="5"/>
      <c s="5"/>
      <c s="5"/>
      <c s="5"/>
      <c s="5"/>
      <c s="5"/>
    </row>
    <row r="786" spans="1:26" ht="15.75">
      <c r="A786" s="5"/>
      <c s="5"/>
      <c s="5"/>
      <c s="5"/>
      <c s="5"/>
      <c s="5"/>
      <c s="5"/>
      <c s="5"/>
      <c s="5"/>
      <c s="5"/>
      <c s="5"/>
      <c s="5"/>
      <c s="5"/>
      <c s="5"/>
      <c s="5"/>
      <c s="5"/>
      <c s="5"/>
      <c s="5"/>
      <c s="5"/>
      <c s="5"/>
      <c s="5"/>
      <c s="5"/>
      <c s="5"/>
      <c s="5"/>
      <c s="5"/>
      <c s="5"/>
    </row>
    <row r="787" spans="1:26" ht="15.75">
      <c r="A787" s="5"/>
      <c s="5"/>
      <c s="5"/>
      <c s="5"/>
      <c s="5"/>
      <c s="5"/>
      <c s="5"/>
      <c s="5"/>
      <c s="5"/>
      <c s="5"/>
      <c s="5"/>
      <c s="5"/>
      <c s="5"/>
      <c s="5"/>
      <c s="5"/>
      <c s="5"/>
      <c s="5"/>
      <c s="5"/>
      <c s="5"/>
      <c s="5"/>
      <c s="5"/>
      <c s="5"/>
      <c s="5"/>
      <c s="5"/>
      <c s="5"/>
      <c s="5"/>
    </row>
    <row r="788" spans="1:26" ht="15.75">
      <c r="A788" s="5"/>
      <c s="5"/>
      <c s="5"/>
      <c s="5"/>
      <c s="5"/>
      <c s="5"/>
      <c s="5"/>
      <c s="5"/>
      <c s="5"/>
      <c s="5"/>
      <c s="5"/>
      <c s="5"/>
      <c s="5"/>
      <c s="5"/>
      <c s="5"/>
      <c s="5"/>
      <c s="5"/>
      <c s="5"/>
      <c s="5"/>
      <c s="5"/>
      <c s="5"/>
      <c s="5"/>
      <c s="5"/>
      <c s="5"/>
      <c s="5"/>
      <c s="5"/>
    </row>
    <row r="789" spans="1:26" ht="15.75">
      <c r="A789" s="5"/>
      <c s="5"/>
      <c s="5"/>
      <c s="5"/>
      <c s="5"/>
      <c s="5"/>
      <c s="5"/>
      <c s="5"/>
      <c s="5"/>
      <c s="5"/>
      <c s="5"/>
      <c s="5"/>
      <c s="5"/>
      <c s="5"/>
      <c s="5"/>
      <c s="5"/>
      <c s="5"/>
      <c s="5"/>
      <c s="5"/>
      <c s="5"/>
      <c s="5"/>
      <c s="5"/>
      <c s="5"/>
      <c s="5"/>
      <c s="5"/>
      <c s="5"/>
    </row>
    <row r="790" spans="1:26" ht="15.75">
      <c r="A790" s="5"/>
      <c s="5"/>
      <c s="5"/>
      <c s="5"/>
      <c s="5"/>
      <c s="5"/>
      <c s="5"/>
      <c s="5"/>
      <c s="5"/>
      <c s="5"/>
      <c s="5"/>
      <c s="5"/>
      <c s="5"/>
      <c s="5"/>
      <c s="5"/>
      <c s="5"/>
      <c s="5"/>
      <c s="5"/>
      <c s="5"/>
      <c s="5"/>
      <c s="5"/>
      <c s="5"/>
      <c s="5"/>
      <c s="5"/>
      <c s="5"/>
      <c s="5"/>
    </row>
    <row r="791" spans="1:26" ht="15.75">
      <c r="A791" s="5"/>
      <c s="5"/>
      <c s="5"/>
      <c s="5"/>
      <c s="5"/>
      <c s="5"/>
      <c s="5"/>
      <c s="5"/>
      <c s="5"/>
      <c s="5"/>
      <c s="5"/>
      <c s="5"/>
      <c s="5"/>
      <c s="5"/>
      <c s="5"/>
      <c s="5"/>
      <c s="5"/>
      <c s="5"/>
      <c s="5"/>
      <c s="5"/>
      <c s="5"/>
      <c s="5"/>
      <c s="5"/>
      <c s="5"/>
      <c s="5"/>
      <c s="5"/>
    </row>
    <row r="792" spans="1:26" ht="15.75">
      <c r="A792" s="5"/>
      <c s="5"/>
      <c s="5"/>
      <c s="5"/>
      <c s="5"/>
      <c s="5"/>
      <c s="5"/>
      <c s="5"/>
      <c s="5"/>
      <c s="5"/>
      <c s="5"/>
      <c s="5"/>
      <c s="5"/>
      <c s="5"/>
      <c s="5"/>
      <c s="5"/>
      <c s="5"/>
      <c s="5"/>
      <c s="5"/>
      <c s="5"/>
      <c s="5"/>
      <c s="5"/>
      <c s="5"/>
      <c s="5"/>
      <c s="5"/>
      <c s="5"/>
    </row>
    <row r="793" spans="1:26" ht="15.75">
      <c r="A793" s="5"/>
      <c s="5"/>
      <c s="5"/>
      <c s="5"/>
      <c s="5"/>
      <c s="5"/>
      <c s="5"/>
      <c s="5"/>
      <c s="5"/>
      <c s="5"/>
      <c s="5"/>
      <c s="5"/>
      <c s="5"/>
      <c s="5"/>
      <c s="5"/>
      <c s="5"/>
      <c s="5"/>
      <c s="5"/>
      <c s="5"/>
      <c s="5"/>
      <c s="5"/>
      <c s="5"/>
      <c s="5"/>
      <c s="5"/>
      <c s="5"/>
      <c s="5"/>
    </row>
    <row r="794" spans="1:26" ht="15.75">
      <c r="A794" s="5"/>
      <c s="5"/>
      <c s="5"/>
      <c s="5"/>
      <c s="5"/>
      <c s="5"/>
      <c s="5"/>
      <c s="5"/>
      <c s="5"/>
      <c s="5"/>
      <c s="5"/>
      <c s="5"/>
      <c s="5"/>
      <c s="5"/>
      <c s="5"/>
      <c s="5"/>
      <c s="5"/>
      <c s="5"/>
      <c s="5"/>
      <c s="5"/>
      <c s="5"/>
      <c s="5"/>
      <c s="5"/>
      <c s="5"/>
      <c s="5"/>
      <c s="5"/>
    </row>
    <row r="795" spans="1:26" ht="15.75">
      <c r="A795" s="5"/>
      <c s="5"/>
      <c s="5"/>
      <c s="5"/>
      <c s="5"/>
      <c s="5"/>
      <c s="5"/>
      <c s="5"/>
      <c s="5"/>
      <c s="5"/>
      <c s="5"/>
      <c s="5"/>
      <c s="5"/>
      <c s="5"/>
      <c s="5"/>
      <c s="5"/>
      <c s="5"/>
      <c s="5"/>
      <c s="5"/>
      <c s="5"/>
      <c s="5"/>
      <c s="5"/>
      <c s="5"/>
      <c s="5"/>
      <c s="5"/>
      <c s="5"/>
    </row>
    <row r="796" spans="1:26" ht="15.75">
      <c r="A796" s="5"/>
      <c s="5"/>
      <c s="5"/>
      <c s="5"/>
      <c s="5"/>
      <c s="5"/>
      <c s="5"/>
      <c s="5"/>
      <c s="5"/>
      <c s="5"/>
      <c s="5"/>
      <c s="5"/>
      <c s="5"/>
      <c s="5"/>
      <c s="5"/>
      <c s="5"/>
      <c s="5"/>
      <c s="5"/>
      <c s="5"/>
      <c s="5"/>
      <c s="5"/>
      <c s="5"/>
      <c s="5"/>
      <c s="5"/>
      <c s="5"/>
      <c s="5"/>
    </row>
    <row r="797" spans="1:26" ht="15.75">
      <c r="A797" s="5"/>
      <c s="5"/>
      <c s="5"/>
      <c s="5"/>
      <c s="5"/>
      <c s="5"/>
      <c s="5"/>
      <c s="5"/>
      <c s="5"/>
      <c s="5"/>
      <c s="5"/>
      <c s="5"/>
      <c s="5"/>
      <c s="5"/>
      <c s="5"/>
      <c s="5"/>
      <c s="5"/>
      <c s="5"/>
      <c s="5"/>
      <c s="5"/>
      <c s="5"/>
      <c s="5"/>
      <c s="5"/>
      <c s="5"/>
      <c s="5"/>
      <c s="5"/>
    </row>
    <row r="798" spans="1:26" ht="15.75">
      <c r="A798" s="5"/>
      <c s="5"/>
      <c s="5"/>
      <c s="5"/>
      <c s="5"/>
      <c s="5"/>
      <c s="5"/>
      <c s="5"/>
      <c s="5"/>
      <c s="5"/>
      <c s="5"/>
      <c s="5"/>
      <c s="5"/>
      <c s="5"/>
      <c s="5"/>
      <c s="5"/>
      <c s="5"/>
      <c s="5"/>
      <c s="5"/>
      <c s="5"/>
      <c s="5"/>
      <c s="5"/>
      <c s="5"/>
      <c s="5"/>
      <c s="5"/>
      <c s="5"/>
    </row>
    <row r="799" spans="1:26" ht="15.75">
      <c r="A799" s="5"/>
      <c s="5"/>
      <c s="5"/>
      <c s="5"/>
      <c s="5"/>
      <c s="5"/>
      <c s="5"/>
      <c s="5"/>
      <c s="5"/>
      <c s="5"/>
      <c s="5"/>
      <c s="5"/>
      <c s="5"/>
      <c s="5"/>
      <c s="5"/>
      <c s="5"/>
      <c s="5"/>
      <c s="5"/>
      <c s="5"/>
      <c s="5"/>
      <c s="5"/>
      <c s="5"/>
      <c s="5"/>
      <c s="5"/>
      <c s="5"/>
      <c s="5"/>
    </row>
    <row r="800" spans="1:26" ht="15.75">
      <c r="A800" s="5"/>
      <c s="5"/>
      <c s="5"/>
      <c s="5"/>
      <c s="5"/>
      <c s="5"/>
      <c s="5"/>
      <c s="5"/>
      <c s="5"/>
      <c s="5"/>
      <c s="5"/>
      <c s="5"/>
      <c s="5"/>
      <c s="5"/>
      <c s="5"/>
      <c s="5"/>
      <c s="5"/>
      <c s="5"/>
      <c s="5"/>
      <c s="5"/>
      <c s="5"/>
      <c s="5"/>
      <c s="5"/>
      <c s="5"/>
      <c s="5"/>
      <c s="5"/>
    </row>
    <row r="801" spans="1:26" ht="15.75">
      <c r="A801" s="5"/>
      <c s="5"/>
      <c s="5"/>
      <c s="5"/>
      <c s="5"/>
      <c s="5"/>
      <c s="5"/>
      <c s="5"/>
      <c s="5"/>
      <c s="5"/>
      <c s="5"/>
      <c s="5"/>
      <c s="5"/>
      <c s="5"/>
      <c s="5"/>
      <c s="5"/>
      <c s="5"/>
      <c s="5"/>
      <c s="5"/>
      <c s="5"/>
      <c s="5"/>
      <c s="5"/>
      <c s="5"/>
      <c s="5"/>
      <c s="5"/>
      <c s="5"/>
    </row>
    <row r="802" spans="1:26" ht="15.75">
      <c r="A802" s="5"/>
      <c s="5"/>
      <c s="5"/>
      <c s="5"/>
      <c s="5"/>
      <c s="5"/>
      <c s="5"/>
      <c s="5"/>
      <c s="5"/>
      <c s="5"/>
      <c s="5"/>
      <c s="5"/>
      <c s="5"/>
      <c s="5"/>
      <c s="5"/>
      <c s="5"/>
      <c s="5"/>
      <c s="5"/>
      <c s="5"/>
      <c s="5"/>
      <c s="5"/>
      <c s="5"/>
      <c s="5"/>
      <c s="5"/>
      <c s="5"/>
      <c s="5"/>
    </row>
    <row r="803" spans="1:26" ht="15.75">
      <c r="A803" s="5"/>
      <c s="5"/>
      <c s="5"/>
      <c s="5"/>
      <c s="5"/>
      <c s="5"/>
      <c s="5"/>
      <c s="5"/>
      <c s="5"/>
      <c s="5"/>
      <c s="5"/>
      <c s="5"/>
      <c s="5"/>
      <c s="5"/>
      <c s="5"/>
      <c s="5"/>
      <c s="5"/>
      <c s="5"/>
      <c s="5"/>
      <c s="5"/>
      <c s="5"/>
      <c s="5"/>
      <c s="5"/>
      <c s="5"/>
      <c s="5"/>
      <c s="5"/>
    </row>
    <row r="804" spans="1:26" ht="15.75">
      <c r="A804" s="5"/>
      <c s="5"/>
      <c s="5"/>
      <c s="5"/>
      <c s="5"/>
      <c s="5"/>
      <c s="5"/>
      <c s="5"/>
      <c s="5"/>
      <c s="5"/>
      <c s="5"/>
      <c s="5"/>
      <c s="5"/>
      <c s="5"/>
      <c s="5"/>
      <c s="5"/>
      <c s="5"/>
      <c s="5"/>
      <c s="5"/>
      <c s="5"/>
      <c s="5"/>
      <c s="5"/>
      <c s="5"/>
      <c s="5"/>
      <c s="5"/>
      <c s="5"/>
    </row>
    <row r="805" spans="1:26" ht="15.75">
      <c r="A805" s="5"/>
      <c s="5"/>
      <c s="5"/>
      <c s="5"/>
      <c s="5"/>
      <c s="5"/>
      <c s="5"/>
      <c s="5"/>
      <c s="5"/>
      <c s="5"/>
      <c s="5"/>
      <c s="5"/>
      <c s="5"/>
      <c s="5"/>
      <c s="5"/>
      <c s="5"/>
      <c s="5"/>
      <c s="5"/>
      <c s="5"/>
      <c s="5"/>
      <c s="5"/>
      <c s="5"/>
      <c s="5"/>
      <c s="5"/>
      <c s="5"/>
      <c s="5"/>
    </row>
    <row r="806" spans="1:26" ht="15.75">
      <c r="A806" s="5"/>
      <c s="5"/>
      <c s="5"/>
      <c s="5"/>
      <c s="5"/>
      <c s="5"/>
      <c s="5"/>
      <c s="5"/>
      <c s="5"/>
      <c s="5"/>
      <c s="5"/>
      <c s="5"/>
      <c s="5"/>
      <c s="5"/>
      <c s="5"/>
      <c s="5"/>
      <c s="5"/>
      <c s="5"/>
      <c s="5"/>
      <c s="5"/>
      <c s="5"/>
      <c s="5"/>
      <c s="5"/>
      <c s="5"/>
      <c s="5"/>
      <c s="5"/>
    </row>
    <row r="807" spans="1:26" ht="15.75">
      <c r="A807" s="5"/>
      <c s="5"/>
      <c s="5"/>
      <c s="5"/>
      <c s="5"/>
      <c s="5"/>
      <c s="5"/>
      <c s="5"/>
      <c s="5"/>
      <c s="5"/>
      <c s="5"/>
      <c s="5"/>
      <c s="5"/>
      <c s="5"/>
      <c s="5"/>
      <c s="5"/>
      <c s="5"/>
      <c s="5"/>
      <c s="5"/>
      <c s="5"/>
      <c s="5"/>
      <c s="5"/>
      <c s="5"/>
      <c s="5"/>
      <c s="5"/>
      <c s="5"/>
    </row>
    <row r="808" spans="1:26" ht="15.75">
      <c r="A808" s="5"/>
      <c s="5"/>
      <c s="5"/>
      <c s="5"/>
      <c s="5"/>
      <c s="5"/>
      <c s="5"/>
      <c s="5"/>
      <c s="5"/>
      <c s="5"/>
      <c s="5"/>
      <c s="5"/>
      <c s="5"/>
      <c s="5"/>
      <c s="5"/>
      <c s="5"/>
      <c s="5"/>
      <c s="5"/>
      <c s="5"/>
      <c s="5"/>
      <c s="5"/>
      <c s="5"/>
      <c s="5"/>
      <c s="5"/>
      <c s="5"/>
      <c s="5"/>
    </row>
    <row r="809" spans="1:26" ht="15.75">
      <c r="A809" s="5"/>
      <c s="5"/>
      <c s="5"/>
      <c s="5"/>
      <c s="5"/>
      <c s="5"/>
      <c s="5"/>
      <c s="5"/>
      <c s="5"/>
      <c s="5"/>
      <c s="5"/>
      <c s="5"/>
      <c s="5"/>
      <c s="5"/>
      <c s="5"/>
      <c s="5"/>
      <c s="5"/>
      <c s="5"/>
      <c s="5"/>
      <c s="5"/>
      <c s="5"/>
      <c s="5"/>
      <c s="5"/>
      <c s="5"/>
      <c s="5"/>
      <c s="5"/>
    </row>
    <row r="810" spans="1:26" ht="15.75">
      <c r="A810" s="5"/>
      <c s="5"/>
      <c s="5"/>
      <c s="5"/>
      <c s="5"/>
      <c s="5"/>
      <c s="5"/>
      <c s="5"/>
      <c s="5"/>
      <c s="5"/>
      <c s="5"/>
      <c s="5"/>
      <c s="5"/>
      <c s="5"/>
      <c s="5"/>
      <c s="5"/>
      <c s="5"/>
      <c s="5"/>
      <c s="5"/>
      <c s="5"/>
      <c s="5"/>
      <c s="5"/>
      <c s="5"/>
      <c s="5"/>
      <c s="5"/>
      <c s="5"/>
    </row>
    <row r="811" spans="1:26" ht="15.75">
      <c r="A811" s="5"/>
      <c s="5"/>
      <c s="5"/>
      <c s="5"/>
      <c s="5"/>
      <c s="5"/>
      <c s="5"/>
      <c s="5"/>
      <c s="5"/>
      <c s="5"/>
      <c s="5"/>
      <c s="5"/>
      <c s="5"/>
      <c s="5"/>
      <c s="5"/>
      <c s="5"/>
      <c s="5"/>
      <c s="5"/>
      <c s="5"/>
      <c s="5"/>
      <c s="5"/>
      <c s="5"/>
      <c s="5"/>
      <c s="5"/>
      <c s="5"/>
      <c s="5"/>
    </row>
    <row r="812" spans="1:26" ht="15.75">
      <c r="A812" s="5"/>
      <c s="5"/>
      <c s="5"/>
      <c s="5"/>
      <c s="5"/>
      <c s="5"/>
      <c s="5"/>
      <c s="5"/>
      <c s="5"/>
      <c s="5"/>
      <c s="5"/>
      <c s="5"/>
      <c s="5"/>
      <c s="5"/>
      <c s="5"/>
      <c s="5"/>
      <c s="5"/>
      <c s="5"/>
      <c s="5"/>
      <c s="5"/>
      <c s="5"/>
      <c s="5"/>
      <c s="5"/>
      <c s="5"/>
      <c s="5"/>
      <c s="5"/>
    </row>
    <row r="813" spans="1:26" ht="15.75">
      <c r="A813" s="5"/>
      <c s="5"/>
      <c s="5"/>
      <c s="5"/>
      <c s="5"/>
      <c s="5"/>
      <c s="5"/>
      <c s="5"/>
      <c s="5"/>
      <c s="5"/>
      <c s="5"/>
      <c s="5"/>
      <c s="5"/>
      <c s="5"/>
      <c s="5"/>
      <c s="5"/>
      <c s="5"/>
      <c s="5"/>
      <c s="5"/>
      <c s="5"/>
      <c s="5"/>
      <c s="5"/>
      <c s="5"/>
      <c s="5"/>
      <c s="5"/>
      <c s="5"/>
    </row>
    <row r="814" spans="1:26" ht="15.75">
      <c r="A814" s="5"/>
      <c s="5"/>
      <c s="5"/>
      <c s="5"/>
      <c s="5"/>
      <c s="5"/>
      <c s="5"/>
      <c s="5"/>
      <c s="5"/>
      <c s="5"/>
      <c s="5"/>
      <c s="5"/>
      <c s="5"/>
      <c s="5"/>
      <c s="5"/>
      <c s="5"/>
      <c s="5"/>
      <c s="5"/>
      <c s="5"/>
      <c s="5"/>
      <c s="5"/>
      <c s="5"/>
      <c s="5"/>
      <c s="5"/>
      <c s="5"/>
      <c s="5"/>
    </row>
    <row r="815" spans="1:26" ht="15.75">
      <c r="A815" s="5"/>
      <c s="5"/>
      <c s="5"/>
      <c s="5"/>
      <c s="5"/>
      <c s="5"/>
      <c s="5"/>
      <c s="5"/>
      <c s="5"/>
      <c s="5"/>
      <c s="5"/>
      <c s="5"/>
      <c s="5"/>
      <c s="5"/>
      <c s="5"/>
      <c s="5"/>
      <c s="5"/>
      <c s="5"/>
      <c s="5"/>
      <c s="5"/>
      <c s="5"/>
      <c s="5"/>
      <c s="5"/>
      <c s="5"/>
      <c s="5"/>
      <c s="5"/>
    </row>
    <row r="816" spans="1:26" ht="15.75">
      <c r="A816" s="5"/>
      <c s="5"/>
      <c s="5"/>
      <c s="5"/>
      <c s="5"/>
      <c s="5"/>
      <c s="5"/>
      <c s="5"/>
      <c s="5"/>
      <c s="5"/>
      <c s="5"/>
      <c s="5"/>
      <c s="5"/>
      <c s="5"/>
      <c s="5"/>
      <c s="5"/>
      <c s="5"/>
      <c s="5"/>
      <c s="5"/>
      <c s="5"/>
      <c s="5"/>
      <c s="5"/>
      <c s="5"/>
      <c s="5"/>
      <c s="5"/>
      <c s="5"/>
    </row>
    <row r="817" spans="1:26" ht="15.75">
      <c r="A817" s="5"/>
      <c s="5"/>
      <c s="5"/>
      <c s="5"/>
      <c s="5"/>
      <c s="5"/>
      <c s="5"/>
      <c s="5"/>
      <c s="5"/>
      <c s="5"/>
      <c s="5"/>
      <c s="5"/>
      <c s="5"/>
      <c s="5"/>
      <c s="5"/>
      <c s="5"/>
      <c s="5"/>
      <c s="5"/>
      <c s="5"/>
      <c s="5"/>
      <c s="5"/>
      <c s="5"/>
      <c s="5"/>
      <c s="5"/>
      <c s="5"/>
      <c s="5"/>
    </row>
    <row r="818" spans="1:26" ht="15.75">
      <c r="A818" s="5"/>
      <c s="5"/>
      <c s="5"/>
      <c s="5"/>
      <c s="5"/>
      <c s="5"/>
      <c s="5"/>
      <c s="5"/>
      <c s="5"/>
      <c s="5"/>
      <c s="5"/>
      <c s="5"/>
      <c s="5"/>
      <c s="5"/>
      <c s="5"/>
      <c s="5"/>
      <c s="5"/>
      <c s="5"/>
      <c s="5"/>
      <c s="5"/>
      <c s="5"/>
      <c s="5"/>
      <c s="5"/>
      <c s="5"/>
      <c s="5"/>
      <c s="5"/>
    </row>
    <row r="819" spans="1:26" ht="15.75">
      <c r="A819" s="5"/>
      <c s="5"/>
      <c s="5"/>
      <c s="5"/>
      <c s="5"/>
      <c s="5"/>
      <c s="5"/>
      <c s="5"/>
      <c s="5"/>
      <c s="5"/>
      <c s="5"/>
      <c s="5"/>
      <c s="5"/>
      <c s="5"/>
      <c s="5"/>
      <c s="5"/>
      <c s="5"/>
      <c s="5"/>
      <c s="5"/>
      <c s="5"/>
      <c s="5"/>
      <c s="5"/>
      <c s="5"/>
      <c s="5"/>
      <c s="5"/>
      <c s="5"/>
    </row>
    <row r="820" spans="1:26" ht="15.75">
      <c r="A820" s="5"/>
      <c s="5"/>
      <c s="5"/>
      <c s="5"/>
      <c s="5"/>
      <c s="5"/>
      <c s="5"/>
      <c s="5"/>
      <c s="5"/>
      <c s="5"/>
      <c s="5"/>
      <c s="5"/>
      <c s="5"/>
      <c s="5"/>
      <c s="5"/>
      <c s="5"/>
      <c s="5"/>
      <c s="5"/>
      <c s="5"/>
      <c s="5"/>
      <c s="5"/>
      <c s="5"/>
      <c s="5"/>
      <c s="5"/>
      <c s="5"/>
      <c s="5"/>
    </row>
    <row r="821" spans="1:26" ht="15.75">
      <c r="A821" s="5"/>
      <c s="5"/>
      <c s="5"/>
      <c s="5"/>
      <c s="5"/>
      <c s="5"/>
      <c s="5"/>
      <c s="5"/>
      <c s="5"/>
      <c s="5"/>
      <c s="5"/>
      <c s="5"/>
      <c s="5"/>
      <c s="5"/>
      <c s="5"/>
      <c s="5"/>
      <c s="5"/>
      <c s="5"/>
      <c s="5"/>
      <c s="5"/>
      <c s="5"/>
      <c s="5"/>
      <c s="5"/>
      <c s="5"/>
      <c s="5"/>
      <c s="5"/>
    </row>
    <row r="822" spans="1:26" ht="15.75">
      <c r="A822" s="5"/>
      <c s="5"/>
      <c s="5"/>
      <c s="5"/>
      <c s="5"/>
      <c s="5"/>
      <c s="5"/>
      <c s="5"/>
      <c s="5"/>
      <c s="5"/>
      <c s="5"/>
      <c s="5"/>
      <c s="5"/>
      <c s="5"/>
      <c s="5"/>
      <c s="5"/>
      <c s="5"/>
      <c s="5"/>
      <c s="5"/>
      <c s="5"/>
      <c s="5"/>
      <c s="5"/>
      <c s="5"/>
      <c s="5"/>
      <c s="5"/>
      <c s="5"/>
    </row>
    <row r="823" spans="1:26" ht="15.75">
      <c r="A823" s="5"/>
      <c s="5"/>
      <c s="5"/>
      <c s="5"/>
      <c s="5"/>
      <c s="5"/>
      <c s="5"/>
      <c s="5"/>
      <c s="5"/>
      <c s="5"/>
      <c s="5"/>
      <c s="5"/>
      <c s="5"/>
      <c s="5"/>
      <c s="5"/>
      <c s="5"/>
      <c s="5"/>
      <c s="5"/>
      <c s="5"/>
      <c s="5"/>
      <c s="5"/>
      <c s="5"/>
      <c s="5"/>
      <c s="5"/>
      <c s="5"/>
      <c s="5"/>
    </row>
    <row r="824" spans="1:26" ht="15.75">
      <c r="A824" s="5"/>
      <c s="5"/>
      <c s="5"/>
      <c s="5"/>
      <c s="5"/>
      <c s="5"/>
      <c s="5"/>
      <c s="5"/>
      <c s="5"/>
      <c s="5"/>
      <c s="5"/>
      <c s="5"/>
      <c s="5"/>
      <c s="5"/>
      <c s="5"/>
      <c s="5"/>
      <c s="5"/>
      <c s="5"/>
      <c s="5"/>
      <c s="5"/>
      <c s="5"/>
      <c s="5"/>
      <c s="5"/>
      <c s="5"/>
      <c s="5"/>
      <c s="5"/>
    </row>
    <row r="825" spans="1:26" ht="15.75">
      <c r="A825" s="5"/>
      <c s="5"/>
      <c s="5"/>
      <c s="5"/>
      <c s="5"/>
      <c s="5"/>
      <c s="5"/>
      <c s="5"/>
      <c s="5"/>
      <c s="5"/>
      <c s="5"/>
      <c s="5"/>
      <c s="5"/>
      <c s="5"/>
      <c s="5"/>
      <c s="5"/>
      <c s="5"/>
      <c s="5"/>
      <c s="5"/>
      <c s="5"/>
      <c s="5"/>
      <c s="5"/>
      <c s="5"/>
      <c s="5"/>
      <c s="5"/>
      <c s="5"/>
    </row>
    <row r="826" spans="1:26" ht="15.75">
      <c r="A826" s="5"/>
      <c s="5"/>
      <c s="5"/>
      <c s="5"/>
      <c s="5"/>
      <c s="5"/>
      <c s="5"/>
      <c s="5"/>
      <c s="5"/>
      <c s="5"/>
      <c s="5"/>
      <c s="5"/>
      <c s="5"/>
      <c s="5"/>
      <c s="5"/>
      <c s="5"/>
      <c s="5"/>
      <c s="5"/>
      <c s="5"/>
      <c s="5"/>
      <c s="5"/>
      <c s="5"/>
      <c s="5"/>
      <c s="5"/>
      <c s="5"/>
      <c s="5"/>
    </row>
    <row r="827" spans="1:26" ht="15.75">
      <c r="A827" s="5"/>
      <c s="5"/>
      <c s="5"/>
      <c s="5"/>
      <c s="5"/>
      <c s="5"/>
      <c s="5"/>
      <c s="5"/>
      <c s="5"/>
      <c s="5"/>
      <c s="5"/>
      <c s="5"/>
      <c s="5"/>
      <c s="5"/>
      <c s="5"/>
      <c s="5"/>
      <c s="5"/>
      <c s="5"/>
      <c s="5"/>
      <c s="5"/>
      <c s="5"/>
      <c s="5"/>
      <c s="5"/>
      <c s="5"/>
      <c s="5"/>
      <c s="5"/>
    </row>
    <row r="828" spans="1:26" ht="15.75">
      <c r="A828" s="5"/>
      <c s="5"/>
      <c s="5"/>
      <c s="5"/>
      <c s="5"/>
      <c s="5"/>
      <c s="5"/>
      <c s="5"/>
      <c s="5"/>
      <c s="5"/>
      <c s="5"/>
      <c s="5"/>
      <c s="5"/>
      <c s="5"/>
      <c s="5"/>
      <c s="5"/>
      <c s="5"/>
      <c s="5"/>
      <c s="5"/>
      <c s="5"/>
      <c s="5"/>
      <c s="5"/>
      <c s="5"/>
      <c s="5"/>
      <c s="5"/>
      <c s="5"/>
    </row>
    <row r="829" spans="1:26" ht="15.75">
      <c r="A829" s="5"/>
      <c s="5"/>
      <c s="5"/>
      <c s="5"/>
      <c s="5"/>
      <c s="5"/>
      <c s="5"/>
      <c s="5"/>
      <c s="5"/>
      <c s="5"/>
      <c s="5"/>
      <c s="5"/>
      <c s="5"/>
      <c s="5"/>
      <c s="5"/>
      <c s="5"/>
      <c s="5"/>
      <c s="5"/>
      <c s="5"/>
      <c s="5"/>
      <c s="5"/>
      <c s="5"/>
      <c s="5"/>
      <c s="5"/>
      <c s="5"/>
      <c s="5"/>
    </row>
    <row r="830" spans="1:26" ht="15.75">
      <c r="A830" s="5"/>
      <c s="5"/>
      <c s="5"/>
      <c s="5"/>
      <c s="5"/>
      <c s="5"/>
      <c s="5"/>
      <c s="5"/>
      <c s="5"/>
      <c s="5"/>
      <c s="5"/>
      <c s="5"/>
      <c s="5"/>
      <c s="5"/>
      <c s="5"/>
      <c s="5"/>
      <c s="5"/>
      <c s="5"/>
      <c s="5"/>
      <c s="5"/>
      <c s="5"/>
      <c s="5"/>
      <c s="5"/>
      <c s="5"/>
      <c s="5"/>
      <c s="5"/>
    </row>
    <row r="831" spans="1:26" ht="15.75">
      <c r="A831" s="5"/>
      <c s="5"/>
      <c s="5"/>
      <c s="5"/>
      <c s="5"/>
      <c s="5"/>
      <c s="5"/>
      <c s="5"/>
      <c s="5"/>
      <c s="5"/>
      <c s="5"/>
      <c s="5"/>
      <c s="5"/>
      <c s="5"/>
      <c s="5"/>
      <c s="5"/>
      <c s="5"/>
      <c s="5"/>
      <c s="5"/>
      <c s="5"/>
      <c s="5"/>
      <c s="5"/>
      <c s="5"/>
      <c s="5"/>
      <c s="5"/>
      <c s="5"/>
    </row>
    <row r="832" spans="1:26" ht="15.75">
      <c r="A832" s="5"/>
      <c s="5"/>
      <c s="5"/>
      <c s="5"/>
      <c s="5"/>
      <c s="5"/>
      <c s="5"/>
      <c s="5"/>
      <c s="5"/>
      <c s="5"/>
      <c s="5"/>
      <c s="5"/>
      <c s="5"/>
      <c s="5"/>
      <c s="5"/>
      <c s="5"/>
      <c s="5"/>
      <c s="5"/>
      <c s="5"/>
      <c s="5"/>
      <c s="5"/>
      <c s="5"/>
      <c s="5"/>
      <c s="5"/>
      <c s="5"/>
      <c s="5"/>
    </row>
    <row r="833" spans="1:26" ht="15.75">
      <c r="A833" s="5"/>
      <c s="5"/>
      <c s="5"/>
      <c s="5"/>
      <c s="5"/>
      <c s="5"/>
      <c s="5"/>
      <c s="5"/>
      <c s="5"/>
      <c s="5"/>
      <c s="5"/>
      <c s="5"/>
      <c s="5"/>
      <c s="5"/>
      <c s="5"/>
      <c s="5"/>
      <c s="5"/>
      <c s="5"/>
      <c s="5"/>
      <c s="5"/>
      <c s="5"/>
      <c s="5"/>
      <c s="5"/>
      <c s="5"/>
      <c s="5"/>
      <c s="5"/>
    </row>
    <row r="834" spans="1:26" ht="15.75">
      <c r="A834" s="5"/>
      <c s="5"/>
      <c s="5"/>
      <c s="5"/>
      <c s="5"/>
      <c s="5"/>
      <c s="5"/>
      <c s="5"/>
      <c s="5"/>
      <c s="5"/>
      <c s="5"/>
      <c s="5"/>
      <c s="5"/>
      <c s="5"/>
      <c s="5"/>
      <c s="5"/>
      <c s="5"/>
      <c s="5"/>
      <c s="5"/>
      <c s="5"/>
      <c s="5"/>
      <c s="5"/>
      <c s="5"/>
      <c s="5"/>
      <c s="5"/>
      <c s="5"/>
    </row>
    <row r="835" spans="1:26" ht="15.75">
      <c r="A835" s="5"/>
      <c s="5"/>
      <c s="5"/>
      <c s="5"/>
      <c s="5"/>
      <c s="5"/>
      <c s="5"/>
      <c s="5"/>
      <c s="5"/>
      <c s="5"/>
      <c s="5"/>
      <c s="5"/>
      <c s="5"/>
      <c s="5"/>
      <c s="5"/>
      <c s="5"/>
      <c s="5"/>
      <c s="5"/>
      <c s="5"/>
      <c s="5"/>
      <c s="5"/>
      <c s="5"/>
      <c s="5"/>
      <c s="5"/>
      <c s="5"/>
      <c s="5"/>
    </row>
    <row r="836" spans="1:26" ht="15.75">
      <c r="A836" s="5"/>
      <c s="5"/>
      <c s="5"/>
      <c s="5"/>
      <c s="5"/>
      <c s="5"/>
      <c s="5"/>
      <c s="5"/>
      <c s="5"/>
      <c s="5"/>
      <c s="5"/>
      <c s="5"/>
      <c s="5"/>
      <c s="5"/>
      <c s="5"/>
      <c s="5"/>
      <c s="5"/>
      <c s="5"/>
      <c s="5"/>
      <c s="5"/>
      <c s="5"/>
      <c s="5"/>
      <c s="5"/>
      <c s="5"/>
      <c s="5"/>
      <c s="5"/>
    </row>
    <row r="837" spans="1:26" ht="15.75">
      <c r="A837" s="5"/>
      <c s="5"/>
      <c s="5"/>
      <c s="5"/>
      <c s="5"/>
      <c s="5"/>
      <c s="5"/>
      <c s="5"/>
      <c s="5"/>
      <c s="5"/>
      <c s="5"/>
      <c s="5"/>
      <c s="5"/>
      <c s="5"/>
      <c s="5"/>
      <c s="5"/>
      <c s="5"/>
      <c s="5"/>
      <c s="5"/>
      <c s="5"/>
      <c s="5"/>
      <c s="5"/>
      <c s="5"/>
      <c s="5"/>
      <c s="5"/>
      <c s="5"/>
    </row>
    <row r="838" spans="1:26" ht="15.75">
      <c r="A838" s="5"/>
      <c s="5"/>
      <c s="5"/>
      <c s="5"/>
      <c s="5"/>
      <c s="5"/>
      <c s="5"/>
      <c s="5"/>
      <c s="5"/>
      <c s="5"/>
      <c s="5"/>
      <c s="5"/>
      <c s="5"/>
      <c s="5"/>
      <c s="5"/>
      <c s="5"/>
      <c s="5"/>
      <c s="5"/>
      <c s="5"/>
      <c s="5"/>
      <c s="5"/>
      <c s="5"/>
      <c s="5"/>
      <c s="5"/>
      <c s="5"/>
      <c s="5"/>
    </row>
    <row r="839" spans="1:26" ht="15.75">
      <c r="A839" s="5"/>
      <c s="5"/>
      <c s="5"/>
      <c s="5"/>
      <c s="5"/>
      <c s="5"/>
      <c s="5"/>
      <c s="5"/>
      <c s="5"/>
      <c s="5"/>
      <c s="5"/>
      <c s="5"/>
      <c s="5"/>
      <c s="5"/>
      <c s="5"/>
      <c s="5"/>
      <c s="5"/>
      <c s="5"/>
      <c s="5"/>
      <c s="5"/>
      <c s="5"/>
      <c s="5"/>
      <c s="5"/>
      <c s="5"/>
      <c s="5"/>
      <c s="5"/>
    </row>
    <row r="840" spans="1:26" ht="15.75">
      <c r="A840" s="5"/>
      <c s="5"/>
      <c s="5"/>
      <c s="5"/>
      <c s="5"/>
      <c s="5"/>
      <c s="5"/>
      <c s="5"/>
      <c s="5"/>
      <c s="5"/>
      <c s="5"/>
      <c s="5"/>
      <c s="5"/>
      <c s="5"/>
      <c s="5"/>
      <c s="5"/>
      <c s="5"/>
      <c s="5"/>
      <c s="5"/>
      <c s="5"/>
      <c s="5"/>
      <c s="5"/>
      <c s="5"/>
      <c s="5"/>
      <c s="5"/>
      <c s="5"/>
    </row>
    <row r="841" spans="1:26" ht="15.75">
      <c r="A841" s="5"/>
      <c s="5"/>
      <c s="5"/>
      <c s="5"/>
      <c s="5"/>
      <c s="5"/>
      <c s="5"/>
      <c s="5"/>
      <c s="5"/>
      <c s="5"/>
      <c s="5"/>
      <c s="5"/>
      <c s="5"/>
      <c s="5"/>
      <c s="5"/>
      <c s="5"/>
      <c s="5"/>
      <c s="5"/>
      <c s="5"/>
      <c s="5"/>
      <c s="5"/>
      <c s="5"/>
      <c s="5"/>
      <c s="5"/>
      <c s="5"/>
      <c s="5"/>
    </row>
    <row r="842" spans="1:26" ht="15.75">
      <c r="A842" s="5"/>
      <c s="5"/>
      <c s="5"/>
      <c s="5"/>
      <c s="5"/>
      <c s="5"/>
      <c s="5"/>
      <c s="5"/>
      <c s="5"/>
      <c s="5"/>
      <c s="5"/>
      <c s="5"/>
      <c s="5"/>
      <c s="5"/>
      <c s="5"/>
      <c s="5"/>
      <c s="5"/>
      <c s="5"/>
      <c s="5"/>
      <c s="5"/>
      <c s="5"/>
      <c s="5"/>
      <c s="5"/>
      <c s="5"/>
      <c s="5"/>
      <c s="5"/>
    </row>
    <row r="843" spans="1:26" ht="15.75">
      <c r="A843" s="5"/>
      <c s="5"/>
      <c s="5"/>
      <c s="5"/>
      <c s="5"/>
      <c s="5"/>
      <c s="5"/>
      <c s="5"/>
      <c s="5"/>
      <c s="5"/>
      <c s="5"/>
      <c s="5"/>
      <c s="5"/>
      <c s="5"/>
      <c s="5"/>
      <c s="5"/>
      <c s="5"/>
      <c s="5"/>
      <c s="5"/>
      <c s="5"/>
      <c s="5"/>
      <c s="5"/>
      <c s="5"/>
      <c s="5"/>
      <c s="5"/>
      <c s="5"/>
    </row>
    <row r="844" spans="1:26" ht="15.75">
      <c r="A844" s="5"/>
      <c s="5"/>
      <c s="5"/>
      <c s="5"/>
      <c s="5"/>
      <c s="5"/>
      <c s="5"/>
      <c s="5"/>
      <c s="5"/>
      <c s="5"/>
      <c s="5"/>
      <c s="5"/>
      <c s="5"/>
      <c s="5"/>
      <c s="5"/>
      <c s="5"/>
      <c s="5"/>
      <c s="5"/>
      <c s="5"/>
      <c s="5"/>
      <c s="5"/>
      <c s="5"/>
      <c s="5"/>
      <c s="5"/>
      <c s="5"/>
      <c s="5"/>
    </row>
    <row r="845" spans="1:26" ht="15.75">
      <c r="A845" s="5"/>
      <c s="5"/>
      <c s="5"/>
      <c s="5"/>
      <c s="5"/>
      <c s="5"/>
      <c s="5"/>
      <c s="5"/>
      <c s="5"/>
      <c s="5"/>
      <c s="5"/>
      <c s="5"/>
      <c s="5"/>
      <c s="5"/>
      <c s="5"/>
      <c s="5"/>
      <c s="5"/>
      <c s="5"/>
      <c s="5"/>
      <c s="5"/>
      <c s="5"/>
      <c s="5"/>
      <c s="5"/>
      <c s="5"/>
      <c s="5"/>
      <c s="5"/>
    </row>
    <row r="846" spans="1:26" ht="15.75">
      <c r="A846" s="5"/>
      <c s="5"/>
      <c s="5"/>
      <c s="5"/>
      <c s="5"/>
      <c s="5"/>
      <c s="5"/>
      <c s="5"/>
      <c s="5"/>
      <c s="5"/>
      <c s="5"/>
      <c s="5"/>
      <c s="5"/>
      <c s="5"/>
      <c s="5"/>
      <c s="5"/>
      <c s="5"/>
      <c s="5"/>
      <c s="5"/>
      <c s="5"/>
      <c s="5"/>
      <c s="5"/>
      <c s="5"/>
      <c s="5"/>
      <c s="5"/>
      <c s="5"/>
    </row>
    <row r="847" spans="1:26" ht="15.75">
      <c r="A847" s="5"/>
      <c s="5"/>
      <c s="5"/>
      <c s="5"/>
      <c s="5"/>
      <c s="5"/>
      <c s="5"/>
      <c s="5"/>
      <c s="5"/>
      <c s="5"/>
      <c s="5"/>
      <c s="5"/>
      <c s="5"/>
      <c s="5"/>
      <c s="5"/>
      <c s="5"/>
      <c s="5"/>
      <c s="5"/>
      <c s="5"/>
      <c s="5"/>
      <c s="5"/>
      <c s="5"/>
      <c s="5"/>
      <c s="5"/>
      <c s="5"/>
      <c s="5"/>
    </row>
    <row r="848" spans="1:26" ht="15.75">
      <c r="A848" s="5"/>
      <c s="5"/>
      <c s="5"/>
      <c s="5"/>
      <c s="5"/>
      <c s="5"/>
      <c s="5"/>
      <c s="5"/>
      <c s="5"/>
      <c s="5"/>
      <c s="5"/>
      <c s="5"/>
      <c s="5"/>
      <c s="5"/>
      <c s="5"/>
      <c s="5"/>
      <c s="5"/>
      <c s="5"/>
      <c s="5"/>
      <c s="5"/>
      <c s="5"/>
      <c s="5"/>
      <c s="5"/>
      <c s="5"/>
      <c s="5"/>
      <c s="5"/>
    </row>
    <row r="849" spans="1:26" ht="15.75">
      <c r="A849" s="5"/>
      <c s="5"/>
      <c s="5"/>
      <c s="5"/>
      <c s="5"/>
      <c s="5"/>
      <c s="5"/>
      <c s="5"/>
      <c s="5"/>
      <c s="5"/>
      <c s="5"/>
      <c s="5"/>
      <c s="5"/>
      <c s="5"/>
      <c s="5"/>
      <c s="5"/>
      <c s="5"/>
      <c s="5"/>
      <c s="5"/>
      <c s="5"/>
      <c s="5"/>
      <c s="5"/>
      <c s="5"/>
      <c s="5"/>
      <c s="5"/>
      <c s="5"/>
    </row>
    <row r="850" spans="1:26" ht="15.75">
      <c r="A850" s="5"/>
      <c s="5"/>
      <c s="5"/>
      <c s="5"/>
      <c s="5"/>
      <c s="5"/>
      <c s="5"/>
      <c s="5"/>
      <c s="5"/>
      <c s="5"/>
      <c s="5"/>
      <c s="5"/>
      <c s="5"/>
      <c s="5"/>
      <c s="5"/>
      <c s="5"/>
      <c s="5"/>
      <c s="5"/>
      <c s="5"/>
      <c s="5"/>
      <c s="5"/>
      <c s="5"/>
      <c s="5"/>
      <c s="5"/>
      <c s="5"/>
      <c s="5"/>
    </row>
    <row r="851" spans="1:26" ht="15.75">
      <c r="A851" s="5"/>
      <c s="5"/>
      <c s="5"/>
      <c s="5"/>
      <c s="5"/>
      <c s="5"/>
      <c s="5"/>
      <c s="5"/>
      <c s="5"/>
      <c s="5"/>
      <c s="5"/>
      <c s="5"/>
      <c s="5"/>
      <c s="5"/>
      <c s="5"/>
      <c s="5"/>
      <c s="5"/>
      <c s="5"/>
      <c s="5"/>
      <c s="5"/>
      <c s="5"/>
      <c s="5"/>
      <c s="5"/>
      <c s="5"/>
      <c s="5"/>
      <c s="5"/>
    </row>
    <row r="852" spans="1:26" ht="15.75">
      <c r="A852" s="5"/>
      <c s="5"/>
      <c s="5"/>
      <c s="5"/>
      <c s="5"/>
      <c s="5"/>
      <c s="5"/>
      <c s="5"/>
      <c s="5"/>
      <c s="5"/>
      <c s="5"/>
      <c s="5"/>
      <c s="5"/>
      <c s="5"/>
      <c s="5"/>
      <c s="5"/>
      <c s="5"/>
      <c s="5"/>
      <c s="5"/>
      <c s="5"/>
      <c s="5"/>
      <c s="5"/>
      <c s="5"/>
      <c s="5"/>
      <c s="5"/>
      <c s="5"/>
    </row>
    <row r="853" spans="1:26" ht="15.75">
      <c r="A853" s="5"/>
      <c s="5"/>
      <c s="5"/>
      <c s="5"/>
      <c s="5"/>
      <c s="5"/>
      <c s="5"/>
      <c s="5"/>
      <c s="5"/>
      <c s="5"/>
      <c s="5"/>
      <c s="5"/>
      <c s="5"/>
      <c s="5"/>
      <c s="5"/>
      <c s="5"/>
      <c s="5"/>
      <c s="5"/>
      <c s="5"/>
      <c s="5"/>
      <c s="5"/>
      <c s="5"/>
      <c s="5"/>
      <c s="5"/>
      <c s="5"/>
      <c s="5"/>
    </row>
    <row r="854" spans="1:26" ht="15.75">
      <c r="A854" s="5"/>
      <c s="5"/>
      <c s="5"/>
      <c s="5"/>
      <c s="5"/>
      <c s="5"/>
      <c s="5"/>
      <c s="5"/>
      <c s="5"/>
      <c s="5"/>
      <c s="5"/>
      <c s="5"/>
      <c s="5"/>
      <c s="5"/>
      <c s="5"/>
      <c s="5"/>
      <c s="5"/>
      <c s="5"/>
      <c s="5"/>
      <c s="5"/>
      <c s="5"/>
      <c s="5"/>
      <c s="5"/>
      <c s="5"/>
      <c s="5"/>
      <c s="5"/>
    </row>
    <row r="855" spans="1:26" ht="15.75">
      <c r="A855" s="5"/>
      <c s="5"/>
      <c s="5"/>
      <c s="5"/>
      <c s="5"/>
      <c s="5"/>
      <c s="5"/>
      <c s="5"/>
      <c s="5"/>
      <c s="5"/>
      <c s="5"/>
      <c s="5"/>
      <c s="5"/>
      <c s="5"/>
      <c s="5"/>
      <c s="5"/>
      <c s="5"/>
      <c s="5"/>
      <c s="5"/>
      <c s="5"/>
      <c s="5"/>
      <c s="5"/>
      <c s="5"/>
      <c s="5"/>
      <c s="5"/>
      <c s="5"/>
    </row>
    <row r="856" spans="1:26" ht="15.75">
      <c r="A856" s="5"/>
      <c s="5"/>
      <c s="5"/>
      <c s="5"/>
      <c s="5"/>
      <c s="5"/>
      <c s="5"/>
      <c s="5"/>
      <c s="5"/>
      <c s="5"/>
      <c s="5"/>
      <c s="5"/>
      <c s="5"/>
      <c s="5"/>
      <c s="5"/>
      <c s="5"/>
      <c s="5"/>
      <c s="5"/>
      <c s="5"/>
      <c s="5"/>
      <c s="5"/>
      <c s="5"/>
      <c s="5"/>
      <c s="5"/>
      <c s="5"/>
      <c s="5"/>
    </row>
    <row r="857" spans="1:26" ht="15.75">
      <c r="A857" s="5"/>
      <c s="5"/>
      <c s="5"/>
      <c s="5"/>
      <c s="5"/>
      <c s="5"/>
      <c s="5"/>
      <c s="5"/>
      <c s="5"/>
      <c s="5"/>
      <c s="5"/>
      <c s="5"/>
      <c s="5"/>
      <c s="5"/>
      <c s="5"/>
      <c s="5"/>
      <c s="5"/>
      <c s="5"/>
      <c s="5"/>
      <c s="5"/>
      <c s="5"/>
      <c s="5"/>
      <c s="5"/>
      <c s="5"/>
      <c s="5"/>
      <c s="5"/>
    </row>
    <row r="858" spans="1:26" ht="15.75">
      <c r="A858" s="5"/>
      <c s="5"/>
      <c s="5"/>
      <c s="5"/>
      <c s="5"/>
      <c s="5"/>
      <c s="5"/>
      <c s="5"/>
      <c s="5"/>
      <c s="5"/>
      <c s="5"/>
      <c s="5"/>
      <c s="5"/>
      <c s="5"/>
      <c s="5"/>
      <c s="5"/>
      <c s="5"/>
      <c s="5"/>
      <c s="5"/>
      <c s="5"/>
      <c s="5"/>
      <c s="5"/>
      <c s="5"/>
      <c s="5"/>
      <c s="5"/>
      <c s="5"/>
    </row>
    <row r="859" spans="1:26" ht="15.75">
      <c r="A859" s="5"/>
      <c s="5"/>
      <c s="5"/>
      <c s="5"/>
      <c s="5"/>
      <c s="5"/>
      <c s="5"/>
      <c s="5"/>
      <c s="5"/>
      <c s="5"/>
      <c s="5"/>
      <c s="5"/>
      <c s="5"/>
      <c s="5"/>
      <c s="5"/>
      <c s="5"/>
      <c s="5"/>
      <c s="5"/>
      <c s="5"/>
      <c s="5"/>
      <c s="5"/>
      <c s="5"/>
      <c s="5"/>
      <c s="5"/>
      <c s="5"/>
      <c s="5"/>
    </row>
    <row r="860" spans="1:26" ht="15.75">
      <c r="A860" s="5"/>
      <c s="5"/>
      <c s="5"/>
      <c s="5"/>
      <c s="5"/>
      <c s="5"/>
      <c s="5"/>
      <c s="5"/>
      <c s="5"/>
      <c s="5"/>
      <c s="5"/>
      <c s="5"/>
      <c s="5"/>
      <c s="5"/>
      <c s="5"/>
      <c s="5"/>
      <c s="5"/>
      <c s="5"/>
      <c s="5"/>
      <c s="5"/>
      <c s="5"/>
      <c s="5"/>
      <c s="5"/>
      <c s="5"/>
      <c s="5"/>
      <c s="5"/>
    </row>
    <row r="861" spans="1:26" ht="15.75">
      <c r="A861" s="5"/>
      <c s="5"/>
      <c s="5"/>
      <c s="5"/>
      <c s="5"/>
      <c s="5"/>
      <c s="5"/>
      <c s="5"/>
      <c s="5"/>
      <c s="5"/>
      <c s="5"/>
      <c s="5"/>
      <c s="5"/>
      <c s="5"/>
      <c s="5"/>
      <c s="5"/>
      <c s="5"/>
      <c s="5"/>
      <c s="5"/>
      <c s="5"/>
      <c s="5"/>
      <c s="5"/>
      <c s="5"/>
      <c s="5"/>
      <c s="5"/>
      <c s="5"/>
    </row>
    <row r="862" spans="1:26" ht="15.75">
      <c r="A862" s="5"/>
      <c s="5"/>
      <c s="5"/>
      <c s="5"/>
      <c s="5"/>
      <c s="5"/>
      <c s="5"/>
      <c s="5"/>
      <c s="5"/>
      <c s="5"/>
      <c s="5"/>
      <c s="5"/>
      <c s="5"/>
      <c s="5"/>
      <c s="5"/>
      <c s="5"/>
      <c s="5"/>
      <c s="5"/>
      <c s="5"/>
      <c s="5"/>
      <c s="5"/>
      <c s="5"/>
      <c s="5"/>
      <c s="5"/>
      <c s="5"/>
      <c s="5"/>
    </row>
    <row r="863" spans="1:26" ht="15.75">
      <c r="A863" s="5"/>
      <c s="5"/>
      <c s="5"/>
      <c s="5"/>
      <c s="5"/>
      <c s="5"/>
      <c s="5"/>
      <c s="5"/>
      <c s="5"/>
      <c s="5"/>
      <c s="5"/>
      <c s="5"/>
      <c s="5"/>
      <c s="5"/>
      <c s="5"/>
      <c s="5"/>
      <c s="5"/>
      <c s="5"/>
      <c s="5"/>
      <c s="5"/>
      <c s="5"/>
      <c s="5"/>
      <c s="5"/>
      <c s="5"/>
      <c s="5"/>
      <c s="5"/>
    </row>
    <row r="864" spans="1:26" ht="15.75">
      <c r="A864" s="5"/>
      <c s="5"/>
      <c s="5"/>
      <c s="5"/>
      <c s="5"/>
      <c s="5"/>
      <c s="5"/>
      <c s="5"/>
      <c s="5"/>
      <c s="5"/>
      <c s="5"/>
      <c s="5"/>
      <c s="5"/>
      <c s="5"/>
      <c s="5"/>
      <c s="5"/>
      <c s="5"/>
      <c s="5"/>
      <c s="5"/>
      <c s="5"/>
      <c s="5"/>
      <c s="5"/>
      <c s="5"/>
      <c s="5"/>
      <c s="5"/>
      <c s="5"/>
    </row>
    <row r="865" spans="1:26" ht="15.75">
      <c r="A865" s="5"/>
      <c s="5"/>
      <c s="5"/>
      <c s="5"/>
      <c s="5"/>
      <c s="5"/>
      <c s="5"/>
      <c s="5"/>
      <c s="5"/>
      <c s="5"/>
      <c s="5"/>
      <c s="5"/>
      <c s="5"/>
      <c s="5"/>
      <c s="5"/>
      <c s="5"/>
      <c s="5"/>
      <c s="5"/>
      <c s="5"/>
      <c s="5"/>
      <c s="5"/>
      <c s="5"/>
      <c s="5"/>
      <c s="5"/>
      <c s="5"/>
      <c s="5"/>
    </row>
    <row r="866" spans="1:26" ht="15.75">
      <c r="A866" s="5"/>
      <c s="5"/>
      <c s="5"/>
      <c s="5"/>
      <c s="5"/>
      <c s="5"/>
      <c s="5"/>
      <c s="5"/>
      <c s="5"/>
      <c s="5"/>
      <c s="5"/>
      <c s="5"/>
      <c s="5"/>
      <c s="5"/>
      <c s="5"/>
      <c s="5"/>
      <c s="5"/>
      <c s="5"/>
      <c s="5"/>
      <c s="5"/>
      <c s="5"/>
      <c s="5"/>
      <c s="5"/>
      <c s="5"/>
      <c s="5"/>
      <c s="5"/>
    </row>
    <row r="867" spans="1:26" ht="15.75">
      <c r="A867" s="5"/>
      <c s="5"/>
      <c s="5"/>
      <c s="5"/>
      <c s="5"/>
      <c s="5"/>
      <c s="5"/>
      <c s="5"/>
      <c s="5"/>
      <c s="5"/>
      <c s="5"/>
      <c s="5"/>
      <c s="5"/>
      <c s="5"/>
      <c s="5"/>
      <c s="5"/>
      <c s="5"/>
      <c s="5"/>
      <c s="5"/>
      <c s="5"/>
      <c s="5"/>
      <c s="5"/>
      <c s="5"/>
      <c s="5"/>
      <c s="5"/>
      <c s="5"/>
    </row>
    <row r="868" spans="1:26" ht="15.75">
      <c r="A868" s="5"/>
      <c s="5"/>
      <c s="5"/>
      <c s="5"/>
      <c s="5"/>
      <c s="5"/>
      <c s="5"/>
      <c s="5"/>
      <c s="5"/>
      <c s="5"/>
      <c s="5"/>
      <c s="5"/>
      <c s="5"/>
      <c s="5"/>
      <c s="5"/>
      <c s="5"/>
      <c s="5"/>
      <c s="5"/>
      <c s="5"/>
      <c s="5"/>
      <c s="5"/>
      <c s="5"/>
      <c s="5"/>
      <c s="5"/>
      <c s="5"/>
      <c s="5"/>
    </row>
    <row r="869" spans="1:26" ht="15.75">
      <c r="A869" s="5"/>
      <c s="5"/>
      <c s="5"/>
      <c s="5"/>
      <c s="5"/>
      <c s="5"/>
      <c s="5"/>
      <c s="5"/>
      <c s="5"/>
      <c s="5"/>
      <c s="5"/>
      <c s="5"/>
      <c s="5"/>
      <c s="5"/>
      <c s="5"/>
      <c s="5"/>
      <c s="5"/>
      <c s="5"/>
      <c s="5"/>
      <c s="5"/>
      <c s="5"/>
      <c s="5"/>
      <c s="5"/>
      <c s="5"/>
      <c s="5"/>
      <c s="5"/>
    </row>
    <row r="870" spans="1:26" ht="15.75">
      <c r="A870" s="5"/>
      <c s="5"/>
      <c s="5"/>
      <c s="5"/>
      <c s="5"/>
      <c s="5"/>
      <c s="5"/>
      <c s="5"/>
      <c s="5"/>
      <c s="5"/>
      <c s="5"/>
      <c s="5"/>
      <c s="5"/>
      <c s="5"/>
      <c s="5"/>
      <c s="5"/>
      <c s="5"/>
      <c s="5"/>
      <c s="5"/>
      <c s="5"/>
      <c s="5"/>
      <c s="5"/>
      <c s="5"/>
      <c s="5"/>
      <c s="5"/>
      <c s="5"/>
    </row>
    <row r="871" spans="1:26" ht="15.75">
      <c r="A871" s="5"/>
      <c s="5"/>
      <c s="5"/>
      <c s="5"/>
      <c s="5"/>
      <c s="5"/>
      <c s="5"/>
      <c s="5"/>
      <c s="5"/>
      <c s="5"/>
      <c s="5"/>
      <c s="5"/>
      <c s="5"/>
      <c s="5"/>
      <c s="5"/>
      <c s="5"/>
      <c s="5"/>
      <c s="5"/>
      <c s="5"/>
      <c s="5"/>
      <c s="5"/>
      <c s="5"/>
      <c s="5"/>
      <c s="5"/>
      <c s="5"/>
      <c s="5"/>
    </row>
    <row r="872" spans="1:26" ht="15.75">
      <c r="A872" s="5"/>
      <c s="5"/>
      <c s="5"/>
      <c s="5"/>
      <c s="5"/>
      <c s="5"/>
      <c s="5"/>
      <c s="5"/>
      <c s="5"/>
      <c s="5"/>
      <c s="5"/>
      <c s="5"/>
      <c s="5"/>
      <c s="5"/>
      <c s="5"/>
      <c s="5"/>
      <c s="5"/>
      <c s="5"/>
      <c s="5"/>
      <c s="5"/>
      <c s="5"/>
      <c s="5"/>
      <c s="5"/>
      <c s="5"/>
      <c s="5"/>
      <c s="5"/>
    </row>
    <row r="873" spans="1:26" ht="15.75">
      <c r="A873" s="5"/>
      <c s="5"/>
      <c s="5"/>
      <c s="5"/>
      <c s="5"/>
      <c s="5"/>
      <c s="5"/>
      <c s="5"/>
      <c s="5"/>
      <c s="5"/>
      <c s="5"/>
      <c s="5"/>
      <c s="5"/>
      <c s="5"/>
      <c s="5"/>
      <c s="5"/>
      <c s="5"/>
      <c s="5"/>
      <c s="5"/>
      <c s="5"/>
      <c s="5"/>
      <c s="5"/>
      <c s="5"/>
      <c s="5"/>
      <c s="5"/>
      <c s="5"/>
    </row>
    <row r="874" spans="1:26" ht="15.75">
      <c r="A874" s="5"/>
      <c s="5"/>
      <c s="5"/>
      <c s="5"/>
      <c s="5"/>
      <c s="5"/>
      <c s="5"/>
      <c s="5"/>
      <c s="5"/>
      <c s="5"/>
      <c s="5"/>
      <c s="5"/>
      <c s="5"/>
      <c s="5"/>
      <c s="5"/>
      <c s="5"/>
      <c s="5"/>
      <c s="5"/>
      <c s="5"/>
      <c s="5"/>
      <c s="5"/>
      <c s="5"/>
      <c s="5"/>
      <c s="5"/>
      <c s="5"/>
      <c s="5"/>
    </row>
    <row r="875" spans="1:26" ht="15.75">
      <c r="A875" s="5"/>
      <c s="5"/>
      <c s="5"/>
      <c s="5"/>
      <c s="5"/>
      <c s="5"/>
      <c s="5"/>
      <c s="5"/>
      <c s="5"/>
      <c s="5"/>
      <c s="5"/>
      <c s="5"/>
      <c s="5"/>
      <c s="5"/>
      <c s="5"/>
      <c s="5"/>
      <c s="5"/>
      <c s="5"/>
      <c s="5"/>
      <c s="5"/>
      <c s="5"/>
      <c s="5"/>
      <c s="5"/>
      <c s="5"/>
      <c s="5"/>
      <c s="5"/>
    </row>
    <row r="876" spans="1:26" ht="15.75">
      <c r="A876" s="5"/>
      <c s="5"/>
      <c s="5"/>
      <c s="5"/>
      <c s="5"/>
      <c s="5"/>
      <c s="5"/>
      <c s="5"/>
      <c s="5"/>
      <c s="5"/>
      <c s="5"/>
      <c s="5"/>
      <c s="5"/>
      <c s="5"/>
      <c s="5"/>
      <c s="5"/>
      <c s="5"/>
      <c s="5"/>
      <c s="5"/>
      <c s="5"/>
      <c s="5"/>
      <c s="5"/>
      <c s="5"/>
      <c s="5"/>
      <c s="5"/>
      <c s="5"/>
    </row>
    <row r="877" spans="1:26" ht="15.75">
      <c r="A877" s="5"/>
      <c s="5"/>
      <c s="5"/>
      <c s="5"/>
      <c s="5"/>
      <c s="5"/>
      <c s="5"/>
      <c s="5"/>
      <c s="5"/>
      <c s="5"/>
      <c s="5"/>
      <c s="5"/>
      <c s="5"/>
      <c s="5"/>
      <c s="5"/>
      <c s="5"/>
      <c s="5"/>
      <c s="5"/>
      <c s="5"/>
      <c s="5"/>
      <c s="5"/>
      <c s="5"/>
      <c s="5"/>
      <c s="5"/>
      <c s="5"/>
      <c s="5"/>
    </row>
    <row r="878" spans="1:26" ht="15.75">
      <c r="A878" s="5"/>
      <c s="5"/>
      <c s="5"/>
      <c s="5"/>
      <c s="5"/>
      <c s="5"/>
      <c s="5"/>
      <c s="5"/>
      <c s="5"/>
      <c s="5"/>
      <c s="5"/>
      <c s="5"/>
      <c s="5"/>
      <c s="5"/>
      <c s="5"/>
      <c s="5"/>
      <c s="5"/>
      <c s="5"/>
      <c s="5"/>
      <c s="5"/>
      <c s="5"/>
      <c s="5"/>
      <c s="5"/>
      <c s="5"/>
      <c s="5"/>
      <c s="5"/>
    </row>
    <row r="879" spans="1:26" ht="15.75">
      <c r="A879" s="5"/>
      <c s="5"/>
      <c s="5"/>
      <c s="5"/>
      <c s="5"/>
      <c s="5"/>
      <c s="5"/>
      <c s="5"/>
      <c s="5"/>
      <c s="5"/>
      <c s="5"/>
      <c s="5"/>
      <c s="5"/>
      <c s="5"/>
      <c s="5"/>
      <c s="5"/>
      <c s="5"/>
      <c s="5"/>
      <c s="5"/>
      <c s="5"/>
      <c s="5"/>
      <c s="5"/>
      <c s="5"/>
      <c s="5"/>
      <c s="5"/>
      <c s="5"/>
    </row>
    <row r="880" spans="1:26" ht="15.75">
      <c r="A880" s="5"/>
      <c s="5"/>
      <c s="5"/>
      <c s="5"/>
      <c s="5"/>
      <c s="5"/>
      <c s="5"/>
      <c s="5"/>
      <c s="5"/>
      <c s="5"/>
      <c s="5"/>
      <c s="5"/>
      <c s="5"/>
      <c s="5"/>
      <c s="5"/>
      <c s="5"/>
      <c s="5"/>
      <c s="5"/>
      <c s="5"/>
      <c s="5"/>
      <c s="5"/>
      <c s="5"/>
      <c s="5"/>
      <c s="5"/>
      <c s="5"/>
      <c s="5"/>
    </row>
    <row r="881" spans="1:26" ht="15.75">
      <c r="A881" s="5"/>
      <c s="5"/>
      <c s="5"/>
      <c s="5"/>
      <c s="5"/>
      <c s="5"/>
      <c s="5"/>
      <c s="5"/>
      <c s="5"/>
      <c s="5"/>
      <c s="5"/>
      <c s="5"/>
      <c s="5"/>
      <c s="5"/>
      <c s="5"/>
      <c s="5"/>
      <c s="5"/>
      <c s="5"/>
      <c s="5"/>
      <c s="5"/>
      <c s="5"/>
      <c s="5"/>
      <c s="5"/>
      <c s="5"/>
      <c s="5"/>
      <c s="5"/>
    </row>
    <row r="882" spans="1:26" ht="15.75">
      <c r="A882" s="5"/>
      <c s="5"/>
      <c s="5"/>
      <c s="5"/>
      <c s="5"/>
      <c s="5"/>
      <c s="5"/>
      <c s="5"/>
      <c s="5"/>
      <c s="5"/>
      <c s="5"/>
      <c s="5"/>
      <c s="5"/>
      <c s="5"/>
      <c s="5"/>
      <c s="5"/>
      <c s="5"/>
      <c s="5"/>
      <c s="5"/>
      <c s="5"/>
      <c s="5"/>
      <c s="5"/>
      <c s="5"/>
      <c s="5"/>
      <c s="5"/>
      <c s="5"/>
    </row>
    <row r="883" spans="1:26" ht="15.75">
      <c r="A883" s="5"/>
      <c s="5"/>
      <c s="5"/>
      <c s="5"/>
      <c s="5"/>
      <c s="5"/>
      <c s="5"/>
      <c s="5"/>
      <c s="5"/>
      <c s="5"/>
      <c s="5"/>
      <c s="5"/>
      <c s="5"/>
      <c s="5"/>
      <c s="5"/>
      <c s="5"/>
      <c s="5"/>
      <c s="5"/>
      <c s="5"/>
      <c s="5"/>
      <c s="5"/>
      <c s="5"/>
      <c s="5"/>
      <c s="5"/>
      <c s="5"/>
      <c s="5"/>
    </row>
    <row r="884" spans="1:26" ht="15.75">
      <c r="A884" s="5"/>
      <c s="5"/>
      <c s="5"/>
      <c s="5"/>
      <c s="5"/>
      <c s="5"/>
      <c s="5"/>
      <c s="5"/>
      <c s="5"/>
      <c s="5"/>
      <c s="5"/>
      <c s="5"/>
      <c s="5"/>
      <c s="5"/>
      <c s="5"/>
      <c s="5"/>
      <c s="5"/>
      <c s="5"/>
      <c s="5"/>
      <c s="5"/>
      <c s="5"/>
      <c s="5"/>
      <c s="5"/>
      <c s="5"/>
      <c s="5"/>
      <c s="5"/>
    </row>
    <row r="885" spans="1:26" ht="15.75">
      <c r="A885" s="5"/>
      <c s="5"/>
      <c s="5"/>
      <c s="5"/>
      <c s="5"/>
      <c s="5"/>
      <c s="5"/>
      <c s="5"/>
      <c s="5"/>
      <c s="5"/>
      <c s="5"/>
      <c s="5"/>
      <c s="5"/>
      <c s="5"/>
      <c s="5"/>
      <c s="5"/>
      <c s="5"/>
      <c s="5"/>
      <c s="5"/>
      <c s="5"/>
      <c s="5"/>
      <c s="5"/>
      <c s="5"/>
      <c s="5"/>
      <c s="5"/>
      <c s="5"/>
    </row>
    <row r="886" spans="1:26" ht="15.75">
      <c r="A886" s="5"/>
      <c s="5"/>
      <c s="5"/>
      <c s="5"/>
      <c s="5"/>
      <c s="5"/>
      <c s="5"/>
      <c s="5"/>
      <c s="5"/>
      <c s="5"/>
      <c s="5"/>
      <c s="5"/>
      <c s="5"/>
      <c s="5"/>
      <c s="5"/>
      <c s="5"/>
      <c s="5"/>
      <c s="5"/>
      <c s="5"/>
      <c s="5"/>
      <c s="5"/>
      <c s="5"/>
      <c s="5"/>
      <c s="5"/>
      <c s="5"/>
      <c s="5"/>
    </row>
    <row r="887" spans="1:26" ht="15.75">
      <c r="A887" s="5"/>
      <c s="5"/>
      <c s="5"/>
      <c s="5"/>
      <c s="5"/>
      <c s="5"/>
      <c s="5"/>
      <c s="5"/>
      <c s="5"/>
      <c s="5"/>
      <c s="5"/>
      <c s="5"/>
      <c s="5"/>
      <c s="5"/>
      <c s="5"/>
      <c s="5"/>
      <c s="5"/>
      <c s="5"/>
      <c s="5"/>
      <c s="5"/>
      <c s="5"/>
      <c s="5"/>
      <c s="5"/>
      <c s="5"/>
      <c s="5"/>
      <c s="5"/>
    </row>
    <row r="888" spans="1:26" ht="15.75">
      <c r="A888" s="5"/>
      <c s="5"/>
      <c s="5"/>
      <c s="5"/>
      <c s="5"/>
      <c s="5"/>
      <c s="5"/>
      <c s="5"/>
      <c s="5"/>
      <c s="5"/>
      <c s="5"/>
      <c s="5"/>
      <c s="5"/>
      <c s="5"/>
      <c s="5"/>
      <c s="5"/>
      <c s="5"/>
      <c s="5"/>
      <c s="5"/>
      <c s="5"/>
      <c s="5"/>
      <c s="5"/>
      <c s="5"/>
      <c s="5"/>
      <c s="5"/>
      <c s="5"/>
    </row>
    <row r="889" spans="1:26" ht="15.75">
      <c r="A889" s="5"/>
      <c s="5"/>
      <c s="5"/>
      <c s="5"/>
      <c s="5"/>
      <c s="5"/>
      <c s="5"/>
      <c s="5"/>
      <c s="5"/>
      <c s="5"/>
      <c s="5"/>
      <c s="5"/>
      <c s="5"/>
      <c s="5"/>
      <c s="5"/>
      <c s="5"/>
      <c s="5"/>
      <c s="5"/>
      <c s="5"/>
      <c s="5"/>
      <c s="5"/>
      <c s="5"/>
      <c s="5"/>
      <c s="5"/>
      <c s="5"/>
      <c s="5"/>
    </row>
    <row r="890" spans="1:26" ht="15.75">
      <c r="A890" s="5"/>
      <c s="5"/>
      <c s="5"/>
      <c s="5"/>
      <c s="5"/>
      <c s="5"/>
      <c s="5"/>
      <c s="5"/>
      <c s="5"/>
      <c s="5"/>
      <c s="5"/>
      <c s="5"/>
      <c s="5"/>
      <c s="5"/>
      <c s="5"/>
      <c s="5"/>
      <c s="5"/>
      <c s="5"/>
      <c s="5"/>
      <c s="5"/>
      <c s="5"/>
      <c s="5"/>
      <c s="5"/>
      <c s="5"/>
      <c s="5"/>
      <c s="5"/>
    </row>
    <row r="891" spans="1:26" ht="15.75">
      <c r="A891" s="5"/>
      <c s="5"/>
      <c s="5"/>
      <c s="5"/>
      <c s="5"/>
      <c s="5"/>
      <c s="5"/>
      <c s="5"/>
      <c s="5"/>
      <c s="5"/>
      <c s="5"/>
      <c s="5"/>
      <c s="5"/>
      <c s="5"/>
      <c s="5"/>
      <c s="5"/>
      <c s="5"/>
      <c s="5"/>
      <c s="5"/>
      <c s="5"/>
      <c s="5"/>
      <c s="5"/>
      <c s="5"/>
      <c s="5"/>
      <c s="5"/>
      <c s="5"/>
    </row>
    <row r="892" spans="1:26" ht="15.75">
      <c r="A892" s="5"/>
      <c s="5"/>
      <c s="5"/>
      <c s="5"/>
      <c s="5"/>
      <c s="5"/>
      <c s="5"/>
      <c s="5"/>
      <c s="5"/>
      <c s="5"/>
      <c s="5"/>
      <c s="5"/>
      <c s="5"/>
      <c s="5"/>
      <c s="5"/>
      <c s="5"/>
      <c s="5"/>
      <c s="5"/>
      <c s="5"/>
      <c s="5"/>
      <c s="5"/>
      <c s="5"/>
      <c s="5"/>
      <c s="5"/>
      <c s="5"/>
      <c s="5"/>
    </row>
    <row r="893" spans="1:26" ht="15.75">
      <c r="A893" s="5"/>
      <c s="5"/>
      <c s="5"/>
      <c s="5"/>
      <c s="5"/>
      <c s="5"/>
      <c s="5"/>
      <c s="5"/>
      <c s="5"/>
      <c s="5"/>
      <c s="5"/>
      <c s="5"/>
      <c s="5"/>
      <c s="5"/>
      <c s="5"/>
      <c s="5"/>
      <c s="5"/>
      <c s="5"/>
      <c s="5"/>
      <c s="5"/>
      <c s="5"/>
      <c s="5"/>
      <c s="5"/>
      <c s="5"/>
      <c s="5"/>
      <c s="5"/>
    </row>
    <row r="894" spans="1:26" ht="15.75">
      <c r="A894" s="5"/>
      <c s="5"/>
      <c s="5"/>
      <c s="5"/>
      <c s="5"/>
      <c s="5"/>
      <c s="5"/>
      <c s="5"/>
      <c s="5"/>
      <c s="5"/>
      <c s="5"/>
      <c s="5"/>
      <c s="5"/>
      <c s="5"/>
      <c s="5"/>
      <c s="5"/>
      <c s="5"/>
      <c s="5"/>
      <c s="5"/>
      <c s="5"/>
      <c s="5"/>
      <c s="5"/>
      <c s="5"/>
      <c s="5"/>
      <c s="5"/>
      <c s="5"/>
    </row>
    <row r="895" spans="1:26" ht="15.75">
      <c r="A895" s="5"/>
      <c s="5"/>
      <c s="5"/>
      <c s="5"/>
      <c s="5"/>
      <c s="5"/>
      <c s="5"/>
      <c s="5"/>
      <c s="5"/>
      <c s="5"/>
      <c s="5"/>
      <c s="5"/>
      <c s="5"/>
      <c s="5"/>
      <c s="5"/>
      <c s="5"/>
      <c s="5"/>
      <c s="5"/>
      <c s="5"/>
      <c s="5"/>
      <c s="5"/>
      <c s="5"/>
      <c s="5"/>
      <c s="5"/>
      <c s="5"/>
      <c s="5"/>
    </row>
    <row r="896" spans="1:26" ht="15.75">
      <c r="A896" s="5"/>
      <c s="5"/>
      <c s="5"/>
      <c s="5"/>
      <c s="5"/>
      <c s="5"/>
      <c s="5"/>
      <c s="5"/>
      <c s="5"/>
      <c s="5"/>
      <c s="5"/>
      <c s="5"/>
      <c s="5"/>
      <c s="5"/>
      <c s="5"/>
      <c s="5"/>
      <c s="5"/>
      <c s="5"/>
      <c s="5"/>
      <c s="5"/>
      <c s="5"/>
      <c s="5"/>
      <c s="5"/>
      <c s="5"/>
      <c s="5"/>
      <c s="5"/>
    </row>
    <row r="897" spans="1:26" ht="15.75">
      <c r="A897" s="5"/>
      <c s="5"/>
      <c s="5"/>
      <c s="5"/>
      <c s="5"/>
      <c s="5"/>
      <c s="5"/>
      <c s="5"/>
      <c s="5"/>
      <c s="5"/>
      <c s="5"/>
      <c s="5"/>
      <c s="5"/>
      <c s="5"/>
      <c s="5"/>
      <c s="5"/>
      <c s="5"/>
      <c s="5"/>
      <c s="5"/>
      <c s="5"/>
      <c s="5"/>
      <c s="5"/>
      <c s="5"/>
      <c s="5"/>
      <c s="5"/>
      <c s="5"/>
    </row>
    <row r="898" spans="1:26" ht="15.75">
      <c r="A898" s="5"/>
      <c s="5"/>
      <c s="5"/>
      <c s="5"/>
      <c s="5"/>
      <c s="5"/>
      <c s="5"/>
      <c s="5"/>
      <c s="5"/>
      <c s="5"/>
      <c s="5"/>
      <c s="5"/>
      <c s="5"/>
      <c s="5"/>
      <c s="5"/>
      <c s="5"/>
      <c s="5"/>
      <c s="5"/>
      <c s="5"/>
      <c s="5"/>
      <c s="5"/>
      <c s="5"/>
      <c s="5"/>
      <c s="5"/>
      <c s="5"/>
      <c s="5"/>
    </row>
    <row r="899" spans="1:26" ht="15.75">
      <c r="A899" s="5"/>
      <c s="5"/>
      <c s="5"/>
      <c s="5"/>
      <c s="5"/>
      <c s="5"/>
      <c s="5"/>
      <c s="5"/>
      <c s="5"/>
      <c s="5"/>
      <c s="5"/>
      <c s="5"/>
      <c s="5"/>
      <c s="5"/>
      <c s="5"/>
      <c s="5"/>
      <c s="5"/>
      <c s="5"/>
      <c s="5"/>
      <c s="5"/>
      <c s="5"/>
      <c s="5"/>
      <c s="5"/>
      <c s="5"/>
      <c s="5"/>
      <c s="5"/>
    </row>
    <row r="900" spans="1:26" ht="15.75">
      <c r="A900" s="5"/>
      <c s="5"/>
      <c s="5"/>
      <c s="5"/>
      <c s="5"/>
      <c s="5"/>
      <c s="5"/>
      <c s="5"/>
      <c s="5"/>
      <c s="5"/>
      <c s="5"/>
      <c s="5"/>
      <c s="5"/>
      <c s="5"/>
      <c s="5"/>
      <c s="5"/>
      <c s="5"/>
      <c s="5"/>
      <c s="5"/>
      <c s="5"/>
      <c s="5"/>
      <c s="5"/>
      <c s="5"/>
      <c s="5"/>
      <c s="5"/>
      <c s="5"/>
    </row>
    <row r="901" spans="1:26" ht="15.75">
      <c r="A901" s="5"/>
      <c s="5"/>
      <c s="5"/>
      <c s="5"/>
      <c s="5"/>
      <c s="5"/>
      <c s="5"/>
      <c s="5"/>
      <c s="5"/>
      <c s="5"/>
      <c s="5"/>
      <c s="5"/>
      <c s="5"/>
      <c s="5"/>
      <c s="5"/>
      <c s="5"/>
      <c s="5"/>
      <c s="5"/>
      <c s="5"/>
      <c s="5"/>
      <c s="5"/>
      <c s="5"/>
      <c s="5"/>
      <c s="5"/>
      <c s="5"/>
      <c s="5"/>
    </row>
    <row r="902" spans="1:26" ht="15.75">
      <c r="A902" s="5"/>
      <c s="5"/>
      <c s="5"/>
      <c s="5"/>
      <c s="5"/>
      <c s="5"/>
      <c s="5"/>
      <c s="5"/>
      <c s="5"/>
      <c s="5"/>
      <c s="5"/>
      <c s="5"/>
      <c s="5"/>
      <c s="5"/>
      <c s="5"/>
      <c s="5"/>
      <c s="5"/>
      <c s="5"/>
      <c s="5"/>
      <c s="5"/>
      <c s="5"/>
      <c s="5"/>
      <c s="5"/>
      <c s="5"/>
      <c s="5"/>
      <c s="5"/>
    </row>
    <row r="903" spans="1:26" ht="15.75">
      <c r="A903" s="5"/>
      <c s="5"/>
      <c s="5"/>
      <c s="5"/>
      <c s="5"/>
      <c s="5"/>
      <c s="5"/>
      <c s="5"/>
      <c s="5"/>
      <c s="5"/>
      <c s="5"/>
      <c s="5"/>
      <c s="5"/>
      <c s="5"/>
      <c s="5"/>
      <c s="5"/>
      <c s="5"/>
      <c s="5"/>
      <c s="5"/>
      <c s="5"/>
      <c s="5"/>
      <c s="5"/>
      <c s="5"/>
      <c s="5"/>
      <c s="5"/>
      <c s="5"/>
    </row>
    <row r="904" spans="1:26" ht="15.75">
      <c r="A904" s="5"/>
      <c s="5"/>
      <c s="5"/>
      <c s="5"/>
      <c s="5"/>
      <c s="5"/>
      <c s="5"/>
      <c s="5"/>
      <c s="5"/>
      <c s="5"/>
      <c s="5"/>
      <c s="5"/>
      <c s="5"/>
      <c s="5"/>
      <c s="5"/>
      <c s="5"/>
      <c s="5"/>
      <c s="5"/>
      <c s="5"/>
      <c s="5"/>
      <c s="5"/>
      <c s="5"/>
      <c s="5"/>
      <c s="5"/>
      <c s="5"/>
      <c s="5"/>
    </row>
    <row r="905" spans="1:26" ht="15.75">
      <c r="A905" s="5"/>
      <c s="5"/>
      <c s="5"/>
      <c s="5"/>
      <c s="5"/>
      <c s="5"/>
      <c s="5"/>
      <c s="5"/>
      <c s="5"/>
      <c s="5"/>
      <c s="5"/>
      <c s="5"/>
      <c s="5"/>
      <c s="5"/>
      <c s="5"/>
      <c s="5"/>
      <c s="5"/>
      <c s="5"/>
      <c s="5"/>
      <c s="5"/>
      <c s="5"/>
      <c s="5"/>
      <c s="5"/>
      <c s="5"/>
      <c s="5"/>
      <c s="5"/>
    </row>
    <row r="906" spans="1:26" ht="15.75">
      <c r="A906" s="5"/>
      <c s="5"/>
      <c s="5"/>
      <c s="5"/>
      <c s="5"/>
      <c s="5"/>
      <c s="5"/>
      <c s="5"/>
      <c s="5"/>
      <c s="5"/>
      <c s="5"/>
      <c s="5"/>
      <c s="5"/>
      <c s="5"/>
      <c s="5"/>
      <c s="5"/>
      <c s="5"/>
      <c s="5"/>
      <c s="5"/>
      <c s="5"/>
      <c s="5"/>
      <c s="5"/>
      <c s="5"/>
      <c s="5"/>
      <c s="5"/>
      <c s="5"/>
    </row>
    <row r="907" spans="1:26" ht="15.75">
      <c r="A907" s="5"/>
      <c s="5"/>
      <c s="5"/>
      <c s="5"/>
      <c s="5"/>
      <c s="5"/>
      <c s="5"/>
      <c s="5"/>
      <c s="5"/>
      <c s="5"/>
      <c s="5"/>
      <c s="5"/>
      <c s="5"/>
      <c s="5"/>
      <c s="5"/>
      <c s="5"/>
      <c s="5"/>
      <c s="5"/>
      <c s="5"/>
      <c s="5"/>
      <c s="5"/>
      <c s="5"/>
      <c s="5"/>
      <c s="5"/>
      <c s="5"/>
      <c s="5"/>
    </row>
    <row r="908" spans="1:26" ht="15.75">
      <c r="A908" s="5"/>
      <c s="5"/>
      <c s="5"/>
      <c s="5"/>
      <c s="5"/>
      <c s="5"/>
      <c s="5"/>
      <c s="5"/>
      <c s="5"/>
      <c s="5"/>
      <c s="5"/>
      <c s="5"/>
      <c s="5"/>
      <c s="5"/>
      <c s="5"/>
      <c s="5"/>
      <c s="5"/>
      <c s="5"/>
      <c s="5"/>
      <c s="5"/>
      <c s="5"/>
      <c s="5"/>
      <c s="5"/>
      <c s="5"/>
      <c s="5"/>
      <c s="5"/>
    </row>
    <row r="909" spans="1:26" ht="15.75">
      <c r="A909" s="5"/>
      <c s="5"/>
      <c s="5"/>
      <c s="5"/>
      <c s="5"/>
      <c s="5"/>
      <c s="5"/>
      <c s="5"/>
      <c s="5"/>
      <c s="5"/>
      <c s="5"/>
      <c s="5"/>
      <c s="5"/>
      <c s="5"/>
      <c s="5"/>
      <c s="5"/>
      <c s="5"/>
      <c s="5"/>
      <c s="5"/>
      <c s="5"/>
      <c s="5"/>
      <c s="5"/>
      <c s="5"/>
      <c s="5"/>
      <c s="5"/>
      <c s="5"/>
    </row>
    <row r="910" spans="1:26" ht="15.75">
      <c r="A910" s="5"/>
      <c s="5"/>
      <c s="5"/>
      <c s="5"/>
      <c s="5"/>
      <c s="5"/>
      <c s="5"/>
      <c s="5"/>
      <c s="5"/>
      <c s="5"/>
      <c s="5"/>
      <c s="5"/>
      <c s="5"/>
      <c s="5"/>
      <c s="5"/>
      <c s="5"/>
      <c s="5"/>
      <c s="5"/>
      <c s="5"/>
      <c s="5"/>
      <c s="5"/>
      <c s="5"/>
      <c s="5"/>
      <c s="5"/>
      <c s="5"/>
      <c s="5"/>
    </row>
    <row r="911" spans="1:26" ht="15.75">
      <c r="A911" s="5"/>
      <c s="5"/>
      <c s="5"/>
      <c s="5"/>
      <c s="5"/>
      <c s="5"/>
      <c s="5"/>
      <c s="5"/>
      <c s="5"/>
      <c s="5"/>
      <c s="5"/>
      <c s="5"/>
      <c s="5"/>
      <c s="5"/>
      <c s="5"/>
      <c s="5"/>
      <c s="5"/>
      <c s="5"/>
      <c s="5"/>
      <c s="5"/>
      <c s="5"/>
      <c s="5"/>
      <c s="5"/>
      <c s="5"/>
      <c s="5"/>
      <c s="5"/>
    </row>
    <row r="912" spans="1:26" ht="15.75">
      <c r="A912" s="5"/>
      <c s="5"/>
      <c s="5"/>
      <c s="5"/>
      <c s="5"/>
      <c s="5"/>
      <c s="5"/>
      <c s="5"/>
      <c s="5"/>
      <c s="5"/>
      <c s="5"/>
      <c s="5"/>
      <c s="5"/>
      <c s="5"/>
      <c s="5"/>
      <c s="5"/>
      <c s="5"/>
      <c s="5"/>
      <c s="5"/>
      <c s="5"/>
      <c s="5"/>
      <c s="5"/>
      <c s="5"/>
      <c s="5"/>
      <c s="5"/>
      <c s="5"/>
    </row>
    <row r="913" spans="1:26" ht="15.75">
      <c r="A913" s="5"/>
      <c s="5"/>
      <c s="5"/>
      <c s="5"/>
      <c s="5"/>
      <c s="5"/>
      <c s="5"/>
      <c s="5"/>
      <c s="5"/>
      <c s="5"/>
      <c s="5"/>
      <c s="5"/>
      <c s="5"/>
      <c s="5"/>
      <c s="5"/>
      <c s="5"/>
      <c s="5"/>
      <c s="5"/>
      <c s="5"/>
      <c s="5"/>
      <c s="5"/>
      <c s="5"/>
      <c s="5"/>
      <c s="5"/>
      <c s="5"/>
      <c s="5"/>
    </row>
    <row r="914" spans="1:26" ht="15.75">
      <c r="A914" s="5"/>
      <c s="5"/>
      <c s="5"/>
      <c s="5"/>
      <c s="5"/>
      <c s="5"/>
      <c s="5"/>
      <c s="5"/>
      <c s="5"/>
      <c s="5"/>
      <c s="5"/>
      <c s="5"/>
      <c s="5"/>
      <c s="5"/>
      <c s="5"/>
      <c s="5"/>
      <c s="5"/>
      <c s="5"/>
      <c s="5"/>
      <c s="5"/>
      <c s="5"/>
      <c s="5"/>
      <c s="5"/>
      <c s="5"/>
      <c s="5"/>
      <c s="5"/>
    </row>
    <row r="915" spans="1:26" ht="15.75">
      <c r="A915" s="5"/>
      <c s="5"/>
      <c s="5"/>
      <c s="5"/>
      <c s="5"/>
      <c s="5"/>
      <c s="5"/>
      <c s="5"/>
      <c s="5"/>
      <c s="5"/>
      <c s="5"/>
      <c s="5"/>
      <c s="5"/>
      <c s="5"/>
      <c s="5"/>
      <c s="5"/>
      <c s="5"/>
      <c s="5"/>
      <c s="5"/>
      <c s="5"/>
      <c s="5"/>
      <c s="5"/>
      <c s="5"/>
      <c s="5"/>
      <c s="5"/>
      <c s="5"/>
    </row>
    <row r="916" spans="1:26" ht="15.75">
      <c r="A916" s="5"/>
      <c s="5"/>
      <c s="5"/>
      <c s="5"/>
      <c s="5"/>
      <c s="5"/>
      <c s="5"/>
      <c s="5"/>
      <c s="5"/>
      <c s="5"/>
      <c s="5"/>
      <c s="5"/>
      <c s="5"/>
      <c s="5"/>
      <c s="5"/>
      <c s="5"/>
      <c s="5"/>
      <c s="5"/>
      <c s="5"/>
      <c s="5"/>
      <c s="5"/>
      <c s="5"/>
      <c s="5"/>
      <c s="5"/>
      <c s="5"/>
      <c s="5"/>
    </row>
    <row r="917" spans="1:26" ht="15.75">
      <c r="A917" s="5"/>
      <c s="5"/>
      <c s="5"/>
      <c s="5"/>
      <c s="5"/>
      <c s="5"/>
      <c s="5"/>
      <c s="5"/>
      <c s="5"/>
      <c s="5"/>
      <c s="5"/>
      <c s="5"/>
      <c s="5"/>
      <c s="5"/>
      <c s="5"/>
      <c s="5"/>
      <c s="5"/>
      <c s="5"/>
      <c s="5"/>
      <c s="5"/>
      <c s="5"/>
      <c s="5"/>
      <c s="5"/>
      <c s="5"/>
      <c s="5"/>
      <c s="5"/>
    </row>
    <row r="918" spans="1:26" ht="15.75">
      <c r="A918" s="5"/>
      <c s="5"/>
      <c s="5"/>
      <c s="5"/>
      <c s="5"/>
      <c s="5"/>
      <c s="5"/>
      <c s="5"/>
      <c s="5"/>
      <c s="5"/>
      <c s="5"/>
      <c s="5"/>
      <c s="5"/>
      <c s="5"/>
      <c s="5"/>
      <c s="5"/>
      <c s="5"/>
      <c s="5"/>
      <c s="5"/>
      <c s="5"/>
      <c s="5"/>
      <c s="5"/>
      <c s="5"/>
      <c s="5"/>
      <c s="5"/>
      <c s="5"/>
    </row>
    <row r="919" spans="1:26" ht="15.75">
      <c r="A919" s="5"/>
      <c s="5"/>
      <c s="5"/>
      <c s="5"/>
      <c s="5"/>
      <c s="5"/>
      <c s="5"/>
      <c s="5"/>
      <c s="5"/>
      <c s="5"/>
      <c s="5"/>
      <c s="5"/>
      <c s="5"/>
      <c s="5"/>
      <c s="5"/>
      <c s="5"/>
      <c s="5"/>
      <c s="5"/>
      <c s="5"/>
      <c s="5"/>
      <c s="5"/>
      <c s="5"/>
      <c s="5"/>
      <c s="5"/>
      <c s="5"/>
      <c s="5"/>
    </row>
    <row r="920" spans="1:26" ht="15.75">
      <c r="A920" s="5"/>
      <c s="5"/>
      <c s="5"/>
      <c s="5"/>
      <c s="5"/>
      <c s="5"/>
      <c s="5"/>
      <c s="5"/>
      <c s="5"/>
      <c s="5"/>
      <c s="5"/>
      <c s="5"/>
      <c s="5"/>
      <c s="5"/>
      <c s="5"/>
      <c s="5"/>
      <c s="5"/>
      <c s="5"/>
      <c s="5"/>
      <c s="5"/>
      <c s="5"/>
      <c s="5"/>
      <c s="5"/>
      <c s="5"/>
      <c s="5"/>
      <c s="5"/>
    </row>
    <row r="921" spans="1:26" ht="15.75">
      <c r="A921" s="5"/>
      <c s="5"/>
      <c s="5"/>
      <c s="5"/>
      <c s="5"/>
      <c s="5"/>
      <c s="5"/>
      <c s="5"/>
      <c s="5"/>
      <c s="5"/>
      <c s="5"/>
      <c s="5"/>
      <c s="5"/>
      <c s="5"/>
      <c s="5"/>
      <c s="5"/>
      <c s="5"/>
      <c s="5"/>
      <c s="5"/>
      <c s="5"/>
      <c s="5"/>
      <c s="5"/>
      <c s="5"/>
      <c s="5"/>
      <c s="5"/>
      <c s="5"/>
    </row>
    <row r="922" spans="1:26" ht="15.75">
      <c r="A922" s="5"/>
      <c s="5"/>
      <c s="5"/>
      <c s="5"/>
      <c s="5"/>
      <c s="5"/>
      <c s="5"/>
      <c s="5"/>
      <c s="5"/>
      <c s="5"/>
      <c s="5"/>
      <c s="5"/>
      <c s="5"/>
      <c s="5"/>
      <c s="5"/>
      <c s="5"/>
      <c s="5"/>
      <c s="5"/>
      <c s="5"/>
      <c s="5"/>
      <c s="5"/>
      <c s="5"/>
      <c s="5"/>
      <c s="5"/>
      <c s="5"/>
      <c s="5"/>
    </row>
    <row r="923" spans="1:26" ht="15.75">
      <c r="A923" s="5"/>
      <c s="5"/>
      <c s="5"/>
      <c s="5"/>
      <c s="5"/>
      <c s="5"/>
      <c s="5"/>
      <c s="5"/>
      <c s="5"/>
      <c s="5"/>
      <c s="5"/>
      <c s="5"/>
      <c s="5"/>
      <c s="5"/>
      <c s="5"/>
      <c s="5"/>
      <c s="5"/>
      <c s="5"/>
      <c s="5"/>
      <c s="5"/>
      <c s="5"/>
      <c s="5"/>
      <c s="5"/>
      <c s="5"/>
      <c s="5"/>
      <c s="5"/>
    </row>
    <row r="924" spans="1:26" ht="15.75">
      <c r="A924" s="5"/>
      <c s="5"/>
      <c s="5"/>
      <c s="5"/>
      <c s="5"/>
      <c s="5"/>
      <c s="5"/>
      <c s="5"/>
      <c s="5"/>
      <c s="5"/>
      <c s="5"/>
      <c s="5"/>
      <c s="5"/>
      <c s="5"/>
      <c s="5"/>
      <c s="5"/>
      <c s="5"/>
      <c s="5"/>
      <c s="5"/>
      <c s="5"/>
      <c s="5"/>
      <c s="5"/>
      <c s="5"/>
      <c s="5"/>
      <c s="5"/>
      <c s="5"/>
    </row>
    <row r="925" spans="1:26" ht="15.75">
      <c r="A925" s="5"/>
      <c s="5"/>
      <c s="5"/>
      <c s="5"/>
      <c s="5"/>
      <c s="5"/>
      <c s="5"/>
      <c s="5"/>
      <c s="5"/>
      <c s="5"/>
      <c s="5"/>
      <c s="5"/>
      <c s="5"/>
      <c s="5"/>
      <c s="5"/>
      <c s="5"/>
      <c s="5"/>
      <c s="5"/>
      <c s="5"/>
      <c s="5"/>
      <c s="5"/>
      <c s="5"/>
      <c s="5"/>
      <c s="5"/>
      <c s="5"/>
      <c s="5"/>
    </row>
    <row r="926" spans="1:26" ht="15.75">
      <c r="A926" s="5"/>
      <c s="5"/>
      <c s="5"/>
      <c s="5"/>
      <c s="5"/>
      <c s="5"/>
      <c s="5"/>
      <c s="5"/>
      <c s="5"/>
      <c s="5"/>
      <c s="5"/>
      <c s="5"/>
      <c s="5"/>
      <c s="5"/>
      <c s="5"/>
      <c s="5"/>
      <c s="5"/>
      <c s="5"/>
      <c s="5"/>
      <c s="5"/>
      <c s="5"/>
      <c s="5"/>
      <c s="5"/>
      <c s="5"/>
      <c s="5"/>
      <c s="5"/>
    </row>
    <row r="927" spans="1:26" ht="15.75">
      <c r="A927" s="5"/>
      <c s="5"/>
      <c s="5"/>
      <c s="5"/>
      <c s="5"/>
      <c s="5"/>
      <c s="5"/>
      <c s="5"/>
      <c s="5"/>
      <c s="5"/>
      <c s="5"/>
      <c s="5"/>
      <c s="5"/>
      <c s="5"/>
      <c s="5"/>
      <c s="5"/>
      <c s="5"/>
      <c s="5"/>
      <c s="5"/>
      <c s="5"/>
      <c s="5"/>
      <c s="5"/>
      <c s="5"/>
      <c s="5"/>
      <c s="5"/>
      <c s="5"/>
    </row>
    <row r="928" spans="1:26" ht="15.75">
      <c r="A928" s="5"/>
      <c s="5"/>
      <c s="5"/>
      <c s="5"/>
      <c s="5"/>
      <c s="5"/>
      <c s="5"/>
      <c s="5"/>
      <c s="5"/>
      <c s="5"/>
      <c s="5"/>
      <c s="5"/>
      <c s="5"/>
      <c s="5"/>
      <c s="5"/>
      <c s="5"/>
      <c s="5"/>
      <c s="5"/>
      <c s="5"/>
      <c s="5"/>
      <c s="5"/>
      <c s="5"/>
      <c s="5"/>
      <c s="5"/>
      <c s="5"/>
      <c s="5"/>
    </row>
    <row r="929" spans="1:26" ht="15.75">
      <c r="A929" s="5"/>
      <c s="5"/>
      <c s="5"/>
      <c s="5"/>
      <c s="5"/>
      <c s="5"/>
      <c s="5"/>
      <c s="5"/>
      <c s="5"/>
      <c s="5"/>
      <c s="5"/>
      <c s="5"/>
      <c s="5"/>
      <c s="5"/>
      <c s="5"/>
      <c s="5"/>
      <c s="5"/>
      <c s="5"/>
      <c s="5"/>
      <c s="5"/>
      <c s="5"/>
      <c s="5"/>
      <c s="5"/>
      <c s="5"/>
      <c s="5"/>
      <c s="5"/>
    </row>
    <row r="930" spans="1:26" ht="15.75">
      <c r="A930" s="5"/>
      <c s="5"/>
      <c s="5"/>
      <c s="5"/>
      <c s="5"/>
      <c s="5"/>
      <c s="5"/>
      <c s="5"/>
      <c s="5"/>
      <c s="5"/>
      <c s="5"/>
      <c s="5"/>
      <c s="5"/>
      <c s="5"/>
      <c s="5"/>
      <c s="5"/>
      <c s="5"/>
      <c s="5"/>
      <c s="5"/>
      <c s="5"/>
      <c s="5"/>
      <c s="5"/>
      <c s="5"/>
      <c s="5"/>
      <c s="5"/>
      <c s="5"/>
    </row>
    <row r="931" spans="1:26" ht="15.75">
      <c r="A931" s="5"/>
      <c s="5"/>
      <c s="5"/>
      <c s="5"/>
      <c s="5"/>
      <c s="5"/>
      <c s="5"/>
      <c s="5"/>
      <c s="5"/>
      <c s="5"/>
      <c s="5"/>
      <c s="5"/>
      <c s="5"/>
      <c s="5"/>
      <c s="5"/>
      <c s="5"/>
      <c s="5"/>
      <c s="5"/>
      <c s="5"/>
      <c s="5"/>
      <c s="5"/>
      <c s="5"/>
      <c s="5"/>
      <c s="5"/>
      <c s="5"/>
      <c s="5"/>
    </row>
    <row r="932" spans="1:26" ht="15.75">
      <c r="A932" s="5"/>
      <c s="5"/>
      <c s="5"/>
      <c s="5"/>
      <c s="5"/>
      <c s="5"/>
      <c s="5"/>
      <c s="5"/>
      <c s="5"/>
      <c s="5"/>
      <c s="5"/>
      <c s="5"/>
      <c s="5"/>
      <c s="5"/>
      <c s="5"/>
      <c s="5"/>
      <c s="5"/>
      <c s="5"/>
      <c s="5"/>
      <c s="5"/>
      <c s="5"/>
      <c s="5"/>
      <c s="5"/>
      <c s="5"/>
      <c s="5"/>
      <c s="5"/>
    </row>
    <row r="933" spans="1:26" ht="15.75">
      <c r="A933" s="5"/>
      <c s="5"/>
      <c s="5"/>
      <c s="5"/>
      <c s="5"/>
      <c s="5"/>
      <c s="5"/>
      <c s="5"/>
      <c s="5"/>
      <c s="5"/>
      <c s="5"/>
      <c s="5"/>
      <c s="5"/>
      <c s="5"/>
      <c s="5"/>
      <c s="5"/>
      <c s="5"/>
      <c s="5"/>
      <c s="5"/>
      <c s="5"/>
      <c s="5"/>
      <c s="5"/>
      <c s="5"/>
      <c s="5"/>
      <c s="5"/>
      <c s="5"/>
    </row>
    <row r="934" spans="1:26" ht="15.75">
      <c r="A934" s="5"/>
      <c s="5"/>
      <c s="5"/>
      <c s="5"/>
      <c s="5"/>
      <c s="5"/>
      <c s="5"/>
      <c s="5"/>
      <c s="5"/>
      <c s="5"/>
      <c s="5"/>
      <c s="5"/>
      <c s="5"/>
      <c s="5"/>
      <c s="5"/>
      <c s="5"/>
      <c s="5"/>
      <c s="5"/>
      <c s="5"/>
      <c s="5"/>
      <c s="5"/>
      <c s="5"/>
      <c s="5"/>
      <c s="5"/>
      <c s="5"/>
      <c s="5"/>
    </row>
    <row r="935" spans="1:26" ht="15.75">
      <c r="A935" s="5"/>
      <c s="5"/>
      <c s="5"/>
      <c s="5"/>
      <c s="5"/>
      <c s="5"/>
      <c s="5"/>
      <c s="5"/>
      <c s="5"/>
      <c s="5"/>
      <c s="5"/>
      <c s="5"/>
      <c s="5"/>
      <c s="5"/>
      <c s="5"/>
      <c s="5"/>
      <c s="5"/>
      <c s="5"/>
      <c s="5"/>
      <c s="5"/>
      <c s="5"/>
      <c s="5"/>
      <c s="5"/>
      <c s="5"/>
      <c s="5"/>
      <c s="5"/>
    </row>
    <row r="936" spans="1:26" ht="15.75">
      <c r="A936" s="5"/>
      <c s="5"/>
      <c s="5"/>
      <c s="5"/>
      <c s="5"/>
      <c s="5"/>
      <c s="5"/>
      <c s="5"/>
      <c s="5"/>
      <c s="5"/>
      <c s="5"/>
      <c s="5"/>
      <c s="5"/>
      <c s="5"/>
      <c s="5"/>
      <c s="5"/>
      <c s="5"/>
      <c s="5"/>
      <c s="5"/>
      <c s="5"/>
      <c s="5"/>
      <c s="5"/>
      <c s="5"/>
      <c s="5"/>
      <c s="5"/>
      <c s="5"/>
    </row>
    <row r="937" spans="1:26" ht="15.75">
      <c r="A937" s="5"/>
      <c s="5"/>
      <c s="5"/>
      <c s="5"/>
      <c s="5"/>
      <c s="5"/>
      <c s="5"/>
      <c s="5"/>
      <c s="5"/>
      <c s="5"/>
      <c s="5"/>
      <c s="5"/>
      <c s="5"/>
      <c s="5"/>
      <c s="5"/>
      <c s="5"/>
      <c s="5"/>
      <c s="5"/>
      <c s="5"/>
      <c s="5"/>
      <c s="5"/>
      <c s="5"/>
      <c s="5"/>
      <c s="5"/>
      <c s="5"/>
      <c s="5"/>
    </row>
    <row r="938" spans="1:26" ht="15.75">
      <c r="A938" s="5"/>
      <c s="5"/>
      <c s="5"/>
      <c s="5"/>
      <c s="5"/>
      <c s="5"/>
      <c s="5"/>
      <c s="5"/>
      <c s="5"/>
      <c s="5"/>
      <c s="5"/>
      <c s="5"/>
      <c s="5"/>
      <c s="5"/>
      <c s="5"/>
      <c s="5"/>
      <c s="5"/>
      <c s="5"/>
      <c s="5"/>
      <c s="5"/>
      <c s="5"/>
      <c s="5"/>
      <c s="5"/>
      <c s="5"/>
      <c s="5"/>
      <c s="5"/>
    </row>
    <row r="939" spans="1:26" ht="15.75">
      <c r="A939" s="5"/>
      <c s="5"/>
      <c s="5"/>
      <c s="5"/>
      <c s="5"/>
      <c s="5"/>
      <c s="5"/>
      <c s="5"/>
      <c s="5"/>
      <c s="5"/>
      <c s="5"/>
      <c s="5"/>
      <c s="5"/>
      <c s="5"/>
      <c s="5"/>
      <c s="5"/>
      <c s="5"/>
      <c s="5"/>
      <c s="5"/>
      <c s="5"/>
      <c s="5"/>
      <c s="5"/>
      <c s="5"/>
      <c s="5"/>
      <c s="5"/>
      <c s="5"/>
    </row>
    <row r="940" spans="1:26" ht="15.75">
      <c r="A940" s="5"/>
      <c s="5"/>
      <c s="5"/>
      <c s="5"/>
      <c s="5"/>
      <c s="5"/>
      <c s="5"/>
      <c s="5"/>
      <c s="5"/>
      <c s="5"/>
      <c s="5"/>
      <c s="5"/>
      <c s="5"/>
      <c s="5"/>
      <c s="5"/>
      <c s="5"/>
      <c s="5"/>
      <c s="5"/>
      <c s="5"/>
      <c s="5"/>
      <c s="5"/>
      <c s="5"/>
      <c s="5"/>
      <c s="5"/>
      <c s="5"/>
      <c s="5"/>
    </row>
    <row r="941" spans="1:26" ht="15.75">
      <c r="A941" s="5"/>
      <c s="5"/>
      <c s="5"/>
      <c s="5"/>
      <c s="5"/>
      <c s="5"/>
      <c s="5"/>
      <c s="5"/>
      <c s="5"/>
      <c s="5"/>
      <c s="5"/>
      <c s="5"/>
      <c s="5"/>
      <c s="5"/>
      <c s="5"/>
      <c s="5"/>
      <c s="5"/>
      <c s="5"/>
      <c s="5"/>
      <c s="5"/>
      <c s="5"/>
      <c s="5"/>
      <c s="5"/>
      <c s="5"/>
      <c s="5"/>
      <c s="5"/>
    </row>
    <row r="942" spans="1:26" ht="15.75">
      <c r="A942" s="5"/>
      <c s="5"/>
      <c s="5"/>
      <c s="5"/>
      <c s="5"/>
      <c s="5"/>
      <c s="5"/>
      <c s="5"/>
      <c s="5"/>
      <c s="5"/>
      <c s="5"/>
      <c s="5"/>
      <c s="5"/>
      <c s="5"/>
      <c s="5"/>
      <c s="5"/>
      <c s="5"/>
      <c s="5"/>
      <c s="5"/>
      <c s="5"/>
      <c s="5"/>
      <c s="5"/>
      <c s="5"/>
      <c s="5"/>
      <c s="5"/>
      <c s="5"/>
    </row>
    <row r="943" spans="1:26" ht="15.75">
      <c r="A943" s="5"/>
      <c s="5"/>
      <c s="5"/>
      <c s="5"/>
      <c s="5"/>
      <c s="5"/>
      <c s="5"/>
      <c s="5"/>
      <c s="5"/>
      <c s="5"/>
      <c s="5"/>
      <c s="5"/>
      <c s="5"/>
      <c s="5"/>
      <c s="5"/>
      <c s="5"/>
      <c s="5"/>
      <c s="5"/>
      <c s="5"/>
      <c s="5"/>
      <c s="5"/>
      <c s="5"/>
      <c s="5"/>
      <c s="5"/>
      <c s="5"/>
      <c s="5"/>
    </row>
    <row r="944" spans="1:26" ht="15.75">
      <c r="A944" s="5"/>
      <c s="5"/>
      <c s="5"/>
      <c s="5"/>
      <c s="5"/>
      <c s="5"/>
      <c s="5"/>
      <c s="5"/>
      <c s="5"/>
      <c s="5"/>
      <c s="5"/>
      <c s="5"/>
      <c s="5"/>
      <c s="5"/>
      <c s="5"/>
      <c s="5"/>
      <c s="5"/>
      <c s="5"/>
      <c s="5"/>
      <c s="5"/>
      <c s="5"/>
      <c s="5"/>
      <c s="5"/>
      <c s="5"/>
      <c s="5"/>
      <c s="5"/>
    </row>
    <row r="945" spans="1:26" ht="15.75">
      <c r="A945" s="5"/>
      <c s="5"/>
      <c s="5"/>
      <c s="5"/>
      <c s="5"/>
      <c s="5"/>
      <c s="5"/>
      <c s="5"/>
      <c s="5"/>
      <c s="5"/>
      <c s="5"/>
      <c s="5"/>
      <c s="5"/>
      <c s="5"/>
      <c s="5"/>
      <c s="5"/>
      <c s="5"/>
      <c s="5"/>
      <c s="5"/>
      <c s="5"/>
      <c s="5"/>
      <c s="5"/>
      <c s="5"/>
      <c s="5"/>
      <c s="5"/>
      <c s="5"/>
    </row>
    <row r="946" spans="1:26" ht="15.75">
      <c r="A946" s="5"/>
      <c s="5"/>
      <c s="5"/>
      <c s="5"/>
      <c s="5"/>
      <c s="5"/>
      <c s="5"/>
      <c s="5"/>
      <c s="5"/>
      <c s="5"/>
      <c s="5"/>
      <c s="5"/>
      <c s="5"/>
      <c s="5"/>
      <c s="5"/>
      <c s="5"/>
      <c s="5"/>
      <c s="5"/>
      <c s="5"/>
      <c s="5"/>
      <c s="5"/>
      <c s="5"/>
      <c s="5"/>
      <c s="5"/>
      <c s="5"/>
      <c s="5"/>
    </row>
    <row r="947" spans="1:26" ht="15.75">
      <c r="A947" s="5"/>
      <c s="5"/>
      <c s="5"/>
      <c s="5"/>
      <c s="5"/>
      <c s="5"/>
      <c s="5"/>
      <c s="5"/>
      <c s="5"/>
      <c s="5"/>
      <c s="5"/>
      <c s="5"/>
      <c s="5"/>
      <c s="5"/>
      <c s="5"/>
      <c s="5"/>
      <c s="5"/>
      <c s="5"/>
      <c s="5"/>
      <c s="5"/>
      <c s="5"/>
      <c s="5"/>
      <c s="5"/>
      <c s="5"/>
      <c s="5"/>
      <c s="5"/>
    </row>
    <row r="948" spans="1:26" ht="15.75">
      <c r="A948" s="5"/>
      <c s="5"/>
      <c s="5"/>
      <c s="5"/>
      <c s="5"/>
      <c s="5"/>
      <c s="5"/>
      <c s="5"/>
      <c s="5"/>
      <c s="5"/>
      <c s="5"/>
      <c s="5"/>
      <c s="5"/>
      <c s="5"/>
      <c s="5"/>
      <c s="5"/>
      <c s="5"/>
      <c s="5"/>
      <c s="5"/>
      <c s="5"/>
      <c s="5"/>
      <c s="5"/>
      <c s="5"/>
      <c s="5"/>
      <c s="5"/>
      <c s="5"/>
    </row>
    <row r="949" spans="1:26" ht="15.75">
      <c r="A949" s="5"/>
      <c s="5"/>
      <c s="5"/>
      <c s="5"/>
      <c s="5"/>
      <c s="5"/>
      <c s="5"/>
      <c s="5"/>
      <c s="5"/>
      <c s="5"/>
      <c s="5"/>
      <c s="5"/>
      <c s="5"/>
      <c s="5"/>
      <c s="5"/>
      <c s="5"/>
      <c s="5"/>
      <c s="5"/>
      <c s="5"/>
      <c s="5"/>
      <c s="5"/>
      <c s="5"/>
      <c s="5"/>
      <c s="5"/>
      <c s="5"/>
      <c s="5"/>
    </row>
    <row r="950" spans="1:26" ht="15.75">
      <c r="A950" s="5"/>
      <c s="5"/>
      <c s="5"/>
      <c s="5"/>
      <c s="5"/>
      <c s="5"/>
      <c s="5"/>
      <c s="5"/>
      <c s="5"/>
      <c s="5"/>
      <c s="5"/>
      <c s="5"/>
      <c s="5"/>
      <c s="5"/>
      <c s="5"/>
      <c s="5"/>
      <c s="5"/>
      <c s="5"/>
      <c s="5"/>
      <c s="5"/>
      <c s="5"/>
      <c s="5"/>
      <c s="5"/>
      <c s="5"/>
      <c s="5"/>
      <c s="5"/>
    </row>
    <row r="951" spans="1:26" ht="15.75">
      <c r="A951" s="5"/>
      <c s="5"/>
      <c s="5"/>
      <c s="5"/>
      <c s="5"/>
      <c s="5"/>
      <c s="5"/>
      <c s="5"/>
      <c s="5"/>
      <c s="5"/>
      <c s="5"/>
      <c s="5"/>
      <c s="5"/>
      <c s="5"/>
      <c s="5"/>
      <c s="5"/>
      <c s="5"/>
      <c s="5"/>
      <c s="5"/>
      <c s="5"/>
      <c s="5"/>
      <c s="5"/>
      <c s="5"/>
      <c s="5"/>
      <c s="5"/>
      <c s="5"/>
    </row>
    <row r="952" spans="1:26" ht="15.75">
      <c r="A952" s="5"/>
      <c s="5"/>
      <c s="5"/>
      <c s="5"/>
      <c s="5"/>
      <c s="5"/>
      <c s="5"/>
      <c s="5"/>
      <c s="5"/>
      <c s="5"/>
      <c s="5"/>
      <c s="5"/>
      <c s="5"/>
      <c s="5"/>
      <c s="5"/>
      <c s="5"/>
      <c s="5"/>
      <c s="5"/>
      <c s="5"/>
      <c s="5"/>
      <c s="5"/>
      <c s="5"/>
      <c s="5"/>
      <c s="5"/>
      <c s="5"/>
      <c s="5"/>
    </row>
    <row r="953" spans="1:26" ht="15.75">
      <c r="A953" s="5"/>
      <c s="5"/>
      <c s="5"/>
      <c s="5"/>
      <c s="5"/>
      <c s="5"/>
      <c s="5"/>
      <c s="5"/>
      <c s="5"/>
      <c s="5"/>
      <c s="5"/>
      <c s="5"/>
      <c s="5"/>
      <c s="5"/>
      <c s="5"/>
      <c s="5"/>
      <c s="5"/>
      <c s="5"/>
      <c s="5"/>
      <c s="5"/>
      <c s="5"/>
      <c s="5"/>
      <c s="5"/>
      <c s="5"/>
      <c s="5"/>
      <c s="5"/>
    </row>
    <row r="954" spans="1:26" ht="15.75">
      <c r="A954" s="5"/>
      <c s="5"/>
      <c s="5"/>
      <c s="5"/>
      <c s="5"/>
      <c s="5"/>
      <c s="5"/>
      <c s="5"/>
      <c s="5"/>
      <c s="5"/>
      <c s="5"/>
      <c s="5"/>
      <c s="5"/>
      <c s="5"/>
      <c s="5"/>
      <c s="5"/>
      <c s="5"/>
      <c s="5"/>
      <c s="5"/>
      <c s="5"/>
      <c s="5"/>
      <c s="5"/>
      <c s="5"/>
      <c s="5"/>
      <c s="5"/>
      <c s="5"/>
    </row>
    <row r="955" spans="1:26" ht="15.75">
      <c r="A955" s="5"/>
      <c s="5"/>
      <c s="5"/>
      <c s="5"/>
      <c s="5"/>
      <c s="5"/>
      <c s="5"/>
      <c s="5"/>
      <c s="5"/>
      <c s="5"/>
      <c s="5"/>
      <c s="5"/>
      <c s="5"/>
      <c s="5"/>
      <c s="5"/>
      <c s="5"/>
      <c s="5"/>
      <c s="5"/>
      <c s="5"/>
      <c s="5"/>
      <c s="5"/>
      <c s="5"/>
      <c s="5"/>
      <c s="5"/>
      <c s="5"/>
      <c s="5"/>
    </row>
    <row r="956" spans="1:26" ht="15.75">
      <c r="A956" s="5"/>
      <c s="5"/>
      <c s="5"/>
      <c s="5"/>
      <c s="5"/>
      <c s="5"/>
      <c s="5"/>
      <c s="5"/>
      <c s="5"/>
      <c s="5"/>
      <c s="5"/>
      <c s="5"/>
      <c s="5"/>
      <c s="5"/>
      <c s="5"/>
      <c s="5"/>
      <c s="5"/>
      <c s="5"/>
      <c s="5"/>
      <c s="5"/>
      <c s="5"/>
      <c s="5"/>
      <c s="5"/>
      <c s="5"/>
      <c s="5"/>
      <c s="5"/>
    </row>
    <row r="957" spans="1:26" ht="15.75">
      <c r="A957" s="5"/>
      <c s="5"/>
      <c s="5"/>
      <c s="5"/>
      <c s="5"/>
      <c s="5"/>
      <c s="5"/>
      <c s="5"/>
      <c s="5"/>
      <c s="5"/>
      <c s="5"/>
      <c s="5"/>
      <c s="5"/>
      <c s="5"/>
      <c s="5"/>
      <c s="5"/>
      <c s="5"/>
      <c s="5"/>
      <c s="5"/>
      <c s="5"/>
      <c s="5"/>
      <c s="5"/>
      <c s="5"/>
      <c s="5"/>
      <c s="5"/>
      <c s="5"/>
    </row>
    <row r="958" spans="1:26" ht="15.75">
      <c r="A958" s="5"/>
      <c s="5"/>
      <c s="5"/>
      <c s="5"/>
      <c s="5"/>
      <c s="5"/>
      <c s="5"/>
      <c s="5"/>
      <c s="5"/>
      <c s="5"/>
      <c s="5"/>
      <c s="5"/>
      <c s="5"/>
      <c s="5"/>
      <c s="5"/>
      <c s="5"/>
      <c s="5"/>
      <c s="5"/>
      <c s="5"/>
      <c s="5"/>
      <c s="5"/>
      <c s="5"/>
      <c s="5"/>
      <c s="5"/>
      <c s="5"/>
      <c s="5"/>
    </row>
    <row r="959" spans="1:26" ht="15.75">
      <c r="A959" s="5"/>
      <c s="5"/>
      <c s="5"/>
      <c s="5"/>
      <c s="5"/>
      <c s="5"/>
      <c s="5"/>
      <c s="5"/>
      <c s="5"/>
      <c s="5"/>
      <c s="5"/>
      <c s="5"/>
      <c s="5"/>
      <c s="5"/>
      <c s="5"/>
      <c s="5"/>
      <c s="5"/>
      <c s="5"/>
      <c s="5"/>
      <c s="5"/>
      <c s="5"/>
      <c s="5"/>
      <c s="5"/>
      <c s="5"/>
      <c s="5"/>
      <c s="5"/>
    </row>
    <row r="960" spans="1:26" ht="15.75">
      <c r="A960" s="5"/>
      <c s="5"/>
      <c s="5"/>
      <c s="5"/>
      <c s="5"/>
      <c s="5"/>
      <c s="5"/>
      <c s="5"/>
      <c s="5"/>
      <c s="5"/>
      <c s="5"/>
      <c s="5"/>
      <c s="5"/>
      <c s="5"/>
      <c s="5"/>
      <c s="5"/>
      <c s="5"/>
      <c s="5"/>
      <c s="5"/>
      <c s="5"/>
      <c s="5"/>
      <c s="5"/>
      <c s="5"/>
      <c s="5"/>
      <c s="5"/>
      <c s="5"/>
    </row>
    <row r="961" spans="1:26" ht="15.75">
      <c r="A961" s="5"/>
      <c s="5"/>
      <c s="5"/>
      <c s="5"/>
      <c s="5"/>
      <c s="5"/>
      <c s="5"/>
      <c s="5"/>
      <c s="5"/>
      <c s="5"/>
      <c s="5"/>
      <c s="5"/>
      <c s="5"/>
      <c s="5"/>
      <c s="5"/>
      <c s="5"/>
      <c s="5"/>
      <c s="5"/>
      <c s="5"/>
      <c s="5"/>
      <c s="5"/>
      <c s="5"/>
      <c s="5"/>
      <c s="5"/>
      <c s="5"/>
      <c s="5"/>
    </row>
    <row r="962" spans="1:26" ht="15.75">
      <c r="A962" s="5"/>
      <c s="5"/>
      <c s="5"/>
      <c s="5"/>
      <c s="5"/>
      <c s="5"/>
      <c s="5"/>
      <c s="5"/>
      <c s="5"/>
      <c s="5"/>
      <c s="5"/>
      <c s="5"/>
      <c s="5"/>
      <c s="5"/>
      <c s="5"/>
      <c s="5"/>
      <c s="5"/>
      <c s="5"/>
      <c s="5"/>
      <c s="5"/>
      <c s="5"/>
      <c s="5"/>
      <c s="5"/>
      <c s="5"/>
      <c s="5"/>
      <c s="5"/>
    </row>
    <row r="963" spans="1:26" ht="15.75">
      <c r="A963" s="5"/>
      <c s="5"/>
      <c s="5"/>
      <c s="5"/>
      <c s="5"/>
      <c s="5"/>
      <c s="5"/>
      <c s="5"/>
      <c s="5"/>
      <c s="5"/>
      <c s="5"/>
      <c s="5"/>
      <c s="5"/>
      <c s="5"/>
      <c s="5"/>
      <c s="5"/>
      <c s="5"/>
      <c s="5"/>
      <c s="5"/>
      <c s="5"/>
      <c s="5"/>
      <c s="5"/>
      <c s="5"/>
      <c s="5"/>
      <c s="5"/>
      <c s="5"/>
    </row>
    <row r="964" spans="1:26" ht="15.75">
      <c r="A964" s="5"/>
      <c s="5"/>
      <c s="5"/>
      <c s="5"/>
      <c s="5"/>
      <c s="5"/>
      <c s="5"/>
      <c s="5"/>
      <c s="5"/>
      <c s="5"/>
      <c s="5"/>
      <c s="5"/>
      <c s="5"/>
      <c s="5"/>
      <c s="5"/>
      <c s="5"/>
      <c s="5"/>
      <c s="5"/>
      <c s="5"/>
      <c s="5"/>
      <c s="5"/>
      <c s="5"/>
      <c s="5"/>
      <c s="5"/>
      <c s="5"/>
      <c s="5"/>
    </row>
    <row r="965" spans="1:26" ht="15.75">
      <c r="A965" s="5"/>
      <c s="5"/>
      <c s="5"/>
      <c s="5"/>
      <c s="5"/>
      <c s="5"/>
      <c s="5"/>
      <c s="5"/>
      <c s="5"/>
      <c s="5"/>
      <c s="5"/>
      <c s="5"/>
      <c s="5"/>
      <c s="5"/>
      <c s="5"/>
      <c s="5"/>
      <c s="5"/>
      <c s="5"/>
      <c s="5"/>
      <c s="5"/>
      <c s="5"/>
      <c s="5"/>
      <c s="5"/>
      <c s="5"/>
      <c s="5"/>
      <c s="5"/>
    </row>
    <row r="966" spans="1:26" ht="15.75">
      <c r="A966" s="5"/>
      <c s="5"/>
      <c s="5"/>
      <c s="5"/>
      <c s="5"/>
      <c s="5"/>
      <c s="5"/>
      <c s="5"/>
      <c s="5"/>
      <c s="5"/>
      <c s="5"/>
      <c s="5"/>
      <c s="5"/>
      <c s="5"/>
      <c s="5"/>
      <c s="5"/>
      <c s="5"/>
      <c s="5"/>
      <c s="5"/>
      <c s="5"/>
      <c s="5"/>
      <c s="5"/>
      <c s="5"/>
      <c s="5"/>
      <c s="5"/>
      <c s="5"/>
    </row>
    <row r="967" spans="1:26" ht="15.75">
      <c r="A967" s="5"/>
      <c s="5"/>
      <c s="5"/>
      <c s="5"/>
      <c s="5"/>
      <c s="5"/>
      <c s="5"/>
      <c s="5"/>
      <c s="5"/>
      <c s="5"/>
      <c s="5"/>
      <c s="5"/>
      <c s="5"/>
      <c s="5"/>
      <c s="5"/>
      <c s="5"/>
      <c s="5"/>
      <c s="5"/>
      <c s="5"/>
      <c s="5"/>
      <c s="5"/>
      <c s="5"/>
      <c s="5"/>
      <c s="5"/>
      <c s="5"/>
      <c s="5"/>
    </row>
    <row r="968" spans="1:26" ht="15.75">
      <c r="A968" s="5"/>
      <c s="5"/>
      <c s="5"/>
      <c s="5"/>
      <c s="5"/>
      <c s="5"/>
      <c s="5"/>
      <c s="5"/>
      <c s="5"/>
      <c s="5"/>
      <c s="5"/>
      <c s="5"/>
      <c s="5"/>
      <c s="5"/>
      <c s="5"/>
      <c s="5"/>
      <c s="5"/>
      <c s="5"/>
      <c s="5"/>
      <c s="5"/>
      <c s="5"/>
      <c s="5"/>
      <c s="5"/>
      <c s="5"/>
      <c s="5"/>
      <c s="5"/>
    </row>
    <row r="969" spans="1:26" ht="15.75">
      <c r="A969" s="5"/>
      <c s="5"/>
      <c s="5"/>
      <c s="5"/>
      <c s="5"/>
      <c s="5"/>
      <c s="5"/>
      <c s="5"/>
      <c s="5"/>
      <c s="5"/>
      <c s="5"/>
      <c s="5"/>
      <c s="5"/>
      <c s="5"/>
      <c s="5"/>
      <c s="5"/>
      <c s="5"/>
      <c s="5"/>
      <c s="5"/>
      <c s="5"/>
      <c s="5"/>
      <c s="5"/>
      <c s="5"/>
      <c s="5"/>
      <c s="5"/>
      <c s="5"/>
    </row>
    <row r="970" spans="1:26" ht="15.75">
      <c r="A970" s="5"/>
      <c s="5"/>
      <c s="5"/>
      <c s="5"/>
      <c s="5"/>
      <c s="5"/>
      <c s="5"/>
      <c s="5"/>
      <c s="5"/>
      <c s="5"/>
      <c s="5"/>
      <c s="5"/>
      <c s="5"/>
      <c s="5"/>
      <c s="5"/>
      <c s="5"/>
      <c s="5"/>
      <c s="5"/>
      <c s="5"/>
      <c s="5"/>
      <c s="5"/>
      <c s="5"/>
      <c s="5"/>
      <c s="5"/>
      <c s="5"/>
      <c s="5"/>
    </row>
    <row r="971" spans="1:26" ht="15.75">
      <c r="A971" s="5"/>
      <c s="5"/>
      <c s="5"/>
      <c s="5"/>
      <c s="5"/>
      <c s="5"/>
      <c s="5"/>
      <c s="5"/>
      <c s="5"/>
      <c s="5"/>
      <c s="5"/>
      <c s="5"/>
      <c s="5"/>
      <c s="5"/>
      <c s="5"/>
      <c s="5"/>
      <c s="5"/>
      <c s="5"/>
      <c s="5"/>
      <c s="5"/>
      <c s="5"/>
      <c s="5"/>
      <c s="5"/>
      <c s="5"/>
      <c s="5"/>
      <c s="5"/>
    </row>
    <row r="972" spans="1:26" ht="15.75">
      <c r="A972" s="5"/>
      <c s="5"/>
      <c s="5"/>
      <c s="5"/>
      <c s="5"/>
      <c s="5"/>
      <c s="5"/>
      <c s="5"/>
      <c s="5"/>
      <c s="5"/>
      <c s="5"/>
      <c s="5"/>
      <c s="5"/>
      <c s="5"/>
      <c s="5"/>
      <c s="5"/>
      <c s="5"/>
      <c s="5"/>
      <c s="5"/>
      <c s="5"/>
      <c s="5"/>
      <c s="5"/>
      <c s="5"/>
      <c s="5"/>
      <c s="5"/>
      <c s="5"/>
    </row>
    <row r="973" spans="1:26" ht="15.75">
      <c r="A973" s="5"/>
      <c s="5"/>
      <c s="5"/>
      <c s="5"/>
      <c s="5"/>
      <c s="5"/>
      <c s="5"/>
      <c s="5"/>
      <c s="5"/>
      <c s="5"/>
      <c s="5"/>
      <c s="5"/>
      <c s="5"/>
      <c s="5"/>
      <c s="5"/>
      <c s="5"/>
      <c s="5"/>
      <c s="5"/>
      <c s="5"/>
      <c s="5"/>
      <c s="5"/>
      <c s="5"/>
      <c s="5"/>
      <c s="5"/>
      <c s="5"/>
      <c s="5"/>
    </row>
    <row r="974" spans="1:26" ht="15.75">
      <c r="A974" s="5"/>
      <c s="5"/>
      <c s="5"/>
      <c s="5"/>
      <c s="5"/>
      <c s="5"/>
      <c s="5"/>
      <c s="5"/>
      <c s="5"/>
      <c s="5"/>
      <c s="5"/>
      <c s="5"/>
      <c s="5"/>
      <c s="5"/>
      <c s="5"/>
      <c s="5"/>
      <c s="5"/>
      <c s="5"/>
      <c s="5"/>
      <c s="5"/>
      <c s="5"/>
      <c s="5"/>
      <c s="5"/>
      <c s="5"/>
      <c s="5"/>
      <c s="5"/>
    </row>
    <row r="975" spans="1:26" ht="15.75">
      <c r="A975" s="5"/>
      <c s="5"/>
      <c s="5"/>
      <c s="5"/>
      <c s="5"/>
      <c s="5"/>
      <c s="5"/>
      <c s="5"/>
      <c s="5"/>
      <c s="5"/>
      <c s="5"/>
      <c s="5"/>
      <c s="5"/>
      <c s="5"/>
      <c s="5"/>
      <c s="5"/>
      <c s="5"/>
      <c s="5"/>
      <c s="5"/>
      <c s="5"/>
      <c s="5"/>
      <c s="5"/>
      <c s="5"/>
      <c s="5"/>
      <c s="5"/>
      <c s="5"/>
    </row>
    <row r="976" spans="1:26" ht="15.75">
      <c r="A976" s="5"/>
      <c s="5"/>
      <c s="5"/>
      <c s="5"/>
      <c s="5"/>
      <c s="5"/>
      <c s="5"/>
      <c s="5"/>
      <c s="5"/>
      <c s="5"/>
      <c s="5"/>
      <c s="5"/>
      <c s="5"/>
      <c s="5"/>
      <c s="5"/>
      <c s="5"/>
      <c s="5"/>
      <c s="5"/>
      <c s="5"/>
      <c s="5"/>
      <c s="5"/>
      <c s="5"/>
      <c s="5"/>
      <c s="5"/>
      <c s="5"/>
      <c s="5"/>
    </row>
    <row r="977" spans="1:26" ht="15.75">
      <c r="A977" s="5"/>
      <c s="5"/>
      <c s="5"/>
      <c s="5"/>
      <c s="5"/>
      <c s="5"/>
      <c s="5"/>
      <c s="5"/>
      <c s="5"/>
      <c s="5"/>
      <c s="5"/>
      <c s="5"/>
      <c s="5"/>
      <c s="5"/>
      <c s="5"/>
      <c s="5"/>
      <c s="5"/>
      <c s="5"/>
      <c s="5"/>
      <c s="5"/>
      <c s="5"/>
      <c s="5"/>
      <c s="5"/>
      <c s="5"/>
      <c s="5"/>
      <c s="5"/>
    </row>
    <row r="978" spans="1:26" ht="15.75">
      <c r="A978" s="5"/>
      <c s="5"/>
      <c s="5"/>
      <c s="5"/>
      <c s="5"/>
      <c s="5"/>
      <c s="5"/>
      <c s="5"/>
      <c s="5"/>
      <c s="5"/>
      <c s="5"/>
      <c s="5"/>
      <c s="5"/>
      <c s="5"/>
      <c s="5"/>
      <c s="5"/>
      <c s="5"/>
      <c s="5"/>
      <c s="5"/>
      <c s="5"/>
      <c s="5"/>
      <c s="5"/>
      <c s="5"/>
      <c s="5"/>
      <c s="5"/>
      <c s="5"/>
    </row>
    <row r="979" spans="1:26" ht="15.75">
      <c r="A979" s="5"/>
      <c s="5"/>
      <c s="5"/>
      <c s="5"/>
      <c s="5"/>
      <c s="5"/>
      <c s="5"/>
      <c s="5"/>
      <c s="5"/>
      <c s="5"/>
      <c s="5"/>
      <c s="5"/>
      <c s="5"/>
      <c s="5"/>
      <c s="5"/>
      <c s="5"/>
      <c s="5"/>
      <c s="5"/>
      <c s="5"/>
      <c s="5"/>
      <c s="5"/>
      <c s="5"/>
      <c s="5"/>
      <c s="5"/>
      <c s="5"/>
      <c s="5"/>
    </row>
    <row r="980" spans="1:26" ht="15.75">
      <c r="A980" s="5"/>
      <c s="5"/>
      <c s="5"/>
      <c s="5"/>
      <c s="5"/>
      <c s="5"/>
      <c s="5"/>
      <c s="5"/>
      <c s="5"/>
      <c s="5"/>
      <c s="5"/>
      <c s="5"/>
      <c s="5"/>
      <c s="5"/>
      <c s="5"/>
      <c s="5"/>
      <c s="5"/>
      <c s="5"/>
      <c s="5"/>
      <c s="5"/>
      <c s="5"/>
      <c s="5"/>
      <c s="5"/>
      <c s="5"/>
      <c s="5"/>
      <c s="5"/>
    </row>
    <row r="981" spans="1:26" ht="15.75">
      <c r="A981" s="5"/>
      <c s="5"/>
      <c s="5"/>
      <c s="5"/>
      <c s="5"/>
      <c s="5"/>
      <c s="5"/>
      <c s="5"/>
      <c s="5"/>
      <c s="5"/>
      <c s="5"/>
      <c s="5"/>
      <c s="5"/>
      <c s="5"/>
      <c s="5"/>
      <c s="5"/>
      <c s="5"/>
      <c s="5"/>
      <c s="5"/>
      <c s="5"/>
      <c s="5"/>
      <c s="5"/>
      <c s="5"/>
      <c s="5"/>
      <c s="5"/>
      <c s="5"/>
    </row>
    <row r="982" spans="1:26" ht="15.75">
      <c r="A982" s="5"/>
      <c s="5"/>
      <c s="5"/>
      <c s="5"/>
      <c s="5"/>
      <c s="5"/>
      <c s="5"/>
      <c s="5"/>
      <c s="5"/>
      <c s="5"/>
      <c s="5"/>
      <c s="5"/>
      <c s="5"/>
      <c s="5"/>
      <c s="5"/>
      <c s="5"/>
      <c s="5"/>
      <c s="5"/>
      <c s="5"/>
      <c s="5"/>
      <c s="5"/>
      <c s="5"/>
      <c s="5"/>
      <c s="5"/>
      <c s="5"/>
      <c s="5"/>
    </row>
    <row r="983" spans="1:26" ht="15.75">
      <c r="A983" s="5"/>
      <c s="5"/>
      <c s="5"/>
      <c s="5"/>
      <c s="5"/>
      <c s="5"/>
      <c s="5"/>
      <c s="5"/>
      <c s="5"/>
      <c s="5"/>
      <c s="5"/>
      <c s="5"/>
      <c s="5"/>
      <c s="5"/>
      <c s="5"/>
      <c s="5"/>
      <c s="5"/>
      <c s="5"/>
      <c s="5"/>
      <c s="5"/>
      <c s="5"/>
      <c s="5"/>
      <c s="5"/>
      <c s="5"/>
      <c s="5"/>
      <c s="5"/>
    </row>
    <row r="984" spans="1:26" ht="15.75">
      <c r="A984" s="5"/>
      <c s="5"/>
      <c s="5"/>
      <c s="5"/>
      <c s="5"/>
      <c s="5"/>
      <c s="5"/>
      <c s="5"/>
      <c s="5"/>
      <c s="5"/>
      <c s="5"/>
      <c s="5"/>
      <c s="5"/>
      <c s="5"/>
      <c s="5"/>
      <c s="5"/>
      <c s="5"/>
      <c s="5"/>
      <c s="5"/>
      <c s="5"/>
      <c s="5"/>
      <c s="5"/>
      <c s="5"/>
      <c s="5"/>
      <c s="5"/>
      <c s="5"/>
    </row>
    <row r="985" spans="1:26" ht="15.75">
      <c r="A985" s="5"/>
      <c s="5"/>
      <c s="5"/>
      <c s="5"/>
      <c s="5"/>
      <c s="5"/>
      <c s="5"/>
      <c s="5"/>
      <c s="5"/>
      <c s="5"/>
      <c s="5"/>
      <c s="5"/>
      <c s="5"/>
      <c s="5"/>
      <c s="5"/>
      <c s="5"/>
      <c s="5"/>
      <c s="5"/>
      <c s="5"/>
      <c s="5"/>
      <c s="5"/>
      <c s="5"/>
      <c s="5"/>
      <c s="5"/>
      <c s="5"/>
      <c s="5"/>
    </row>
    <row r="986" spans="1:26" ht="15.75">
      <c r="A986" s="5"/>
      <c s="5"/>
      <c s="5"/>
      <c s="5"/>
      <c s="5"/>
      <c s="5"/>
      <c s="5"/>
      <c s="5"/>
      <c s="5"/>
      <c s="5"/>
      <c s="5"/>
      <c s="5"/>
      <c s="5"/>
      <c s="5"/>
      <c s="5"/>
      <c s="5"/>
      <c s="5"/>
      <c s="5"/>
      <c s="5"/>
      <c s="5"/>
      <c s="5"/>
      <c s="5"/>
      <c s="5"/>
      <c s="5"/>
      <c s="5"/>
      <c s="5"/>
    </row>
    <row r="987" spans="1:26" ht="15.75">
      <c r="A987" s="5"/>
      <c s="5"/>
      <c s="5"/>
      <c s="5"/>
      <c s="5"/>
      <c s="5"/>
      <c s="5"/>
      <c s="5"/>
      <c s="5"/>
      <c s="5"/>
      <c s="5"/>
      <c s="5"/>
      <c s="5"/>
      <c s="5"/>
      <c s="5"/>
      <c s="5"/>
      <c s="5"/>
      <c s="5"/>
      <c s="5"/>
      <c s="5"/>
      <c s="5"/>
      <c s="5"/>
      <c s="5"/>
      <c s="5"/>
      <c s="5"/>
      <c s="5"/>
    </row>
    <row r="988" spans="1:26" ht="15.75">
      <c r="A988" s="5"/>
      <c s="5"/>
      <c s="5"/>
      <c s="5"/>
      <c s="5"/>
      <c s="5"/>
      <c s="5"/>
      <c s="5"/>
      <c s="5"/>
      <c s="5"/>
      <c s="5"/>
      <c s="5"/>
      <c s="5"/>
      <c s="5"/>
      <c s="5"/>
      <c s="5"/>
      <c s="5"/>
      <c s="5"/>
      <c s="5"/>
      <c s="5"/>
      <c s="5"/>
      <c s="5"/>
      <c s="5"/>
      <c s="5"/>
      <c s="5"/>
      <c s="5"/>
    </row>
    <row r="989" spans="1:26" ht="15.75">
      <c r="A989" s="5"/>
      <c s="5"/>
      <c s="5"/>
      <c s="5"/>
      <c s="5"/>
      <c s="5"/>
      <c s="5"/>
      <c s="5"/>
      <c s="5"/>
      <c s="5"/>
      <c s="5"/>
      <c s="5"/>
      <c s="5"/>
      <c s="5"/>
      <c s="5"/>
      <c s="5"/>
      <c s="5"/>
      <c s="5"/>
      <c s="5"/>
      <c s="5"/>
      <c s="5"/>
      <c s="5"/>
      <c s="5"/>
      <c s="5"/>
      <c s="5"/>
      <c s="5"/>
    </row>
    <row r="990" spans="1:26" ht="15.75">
      <c r="A990" s="5"/>
      <c s="5"/>
      <c s="5"/>
      <c s="5"/>
      <c s="5"/>
      <c s="5"/>
      <c s="5"/>
      <c s="5"/>
      <c s="5"/>
      <c s="5"/>
      <c s="5"/>
      <c s="5"/>
      <c s="5"/>
      <c s="5"/>
      <c s="5"/>
      <c s="5"/>
      <c s="5"/>
      <c s="5"/>
      <c s="5"/>
      <c s="5"/>
      <c s="5"/>
      <c s="5"/>
      <c s="5"/>
      <c s="5"/>
      <c s="5"/>
      <c s="5"/>
    </row>
    <row r="991" spans="1:26" ht="15.75">
      <c r="A991" s="5"/>
      <c s="5"/>
      <c s="5"/>
      <c s="5"/>
      <c s="5"/>
      <c s="5"/>
      <c s="5"/>
      <c s="5"/>
      <c s="5"/>
      <c s="5"/>
      <c s="5"/>
      <c s="5"/>
      <c s="5"/>
      <c s="5"/>
      <c s="5"/>
      <c s="5"/>
      <c s="5"/>
      <c s="5"/>
      <c s="5"/>
      <c s="5"/>
      <c s="5"/>
      <c s="5"/>
      <c s="5"/>
      <c s="5"/>
      <c s="5"/>
      <c s="5"/>
    </row>
    <row r="992" spans="1:26" ht="15.75">
      <c r="A992" s="5"/>
      <c s="5"/>
      <c s="5"/>
      <c s="5"/>
      <c s="5"/>
      <c s="5"/>
      <c s="5"/>
      <c s="5"/>
      <c s="5"/>
      <c s="5"/>
      <c s="5"/>
      <c s="5"/>
      <c s="5"/>
      <c s="5"/>
      <c s="5"/>
      <c s="5"/>
      <c s="5"/>
      <c s="5"/>
      <c s="5"/>
      <c s="5"/>
      <c s="5"/>
      <c s="5"/>
      <c s="5"/>
      <c s="5"/>
      <c s="5"/>
      <c s="5"/>
    </row>
    <row r="993" spans="1:26" ht="15.75">
      <c r="A993" s="5"/>
      <c s="5"/>
      <c s="5"/>
      <c s="5"/>
      <c s="5"/>
      <c s="5"/>
      <c s="5"/>
      <c s="5"/>
      <c s="5"/>
      <c s="5"/>
      <c s="5"/>
      <c s="5"/>
      <c s="5"/>
      <c s="5"/>
      <c s="5"/>
      <c s="5"/>
      <c s="5"/>
      <c s="5"/>
      <c s="5"/>
      <c s="5"/>
      <c s="5"/>
      <c s="5"/>
      <c s="5"/>
      <c s="5"/>
      <c s="5"/>
      <c s="5"/>
    </row>
    <row r="994" spans="1:26" ht="15.75">
      <c r="A994" s="5"/>
      <c s="5"/>
      <c s="5"/>
      <c s="5"/>
      <c s="5"/>
      <c s="5"/>
      <c s="5"/>
      <c s="5"/>
      <c s="5"/>
      <c s="5"/>
      <c s="5"/>
      <c s="5"/>
      <c s="5"/>
      <c s="5"/>
      <c s="5"/>
      <c s="5"/>
      <c s="5"/>
      <c s="5"/>
      <c s="5"/>
      <c s="5"/>
      <c s="5"/>
      <c s="5"/>
      <c s="5"/>
      <c s="5"/>
      <c s="5"/>
      <c s="5"/>
    </row>
    <row r="995" spans="1:26" ht="15.75">
      <c r="A995" s="5"/>
      <c s="5"/>
      <c s="5"/>
      <c s="5"/>
      <c s="5"/>
      <c s="5"/>
      <c s="5"/>
      <c s="5"/>
      <c s="5"/>
      <c s="5"/>
      <c s="5"/>
      <c s="5"/>
      <c s="5"/>
      <c s="5"/>
      <c s="5"/>
      <c s="5"/>
      <c s="5"/>
      <c s="5"/>
      <c s="5"/>
      <c s="5"/>
      <c s="5"/>
      <c s="5"/>
      <c s="5"/>
      <c s="5"/>
      <c s="5"/>
      <c s="5"/>
    </row>
    <row r="996" spans="1:26" ht="15.75">
      <c r="A996" s="5"/>
      <c s="5"/>
      <c s="5"/>
      <c s="5"/>
      <c s="5"/>
      <c s="5"/>
      <c s="5"/>
      <c s="5"/>
      <c s="5"/>
      <c s="5"/>
      <c s="5"/>
      <c s="5"/>
      <c s="5"/>
      <c s="5"/>
      <c s="5"/>
      <c s="5"/>
      <c s="5"/>
      <c s="5"/>
      <c s="5"/>
      <c s="5"/>
      <c s="5"/>
      <c s="5"/>
      <c s="5"/>
      <c s="5"/>
      <c s="5"/>
      <c s="5"/>
    </row>
    <row r="997" spans="1:26" ht="15.75">
      <c r="A997" s="5"/>
      <c s="5"/>
      <c s="5"/>
      <c s="5"/>
      <c s="5"/>
      <c s="5"/>
      <c s="5"/>
      <c s="5"/>
      <c s="5"/>
      <c s="5"/>
      <c s="5"/>
      <c s="5"/>
      <c s="5"/>
      <c s="5"/>
      <c s="5"/>
      <c s="5"/>
      <c s="5"/>
      <c s="5"/>
      <c s="5"/>
      <c s="5"/>
      <c s="5"/>
      <c s="5"/>
      <c s="5"/>
      <c s="5"/>
      <c s="5"/>
      <c s="5"/>
    </row>
    <row r="998" spans="1:26" ht="15.75">
      <c r="A998" s="5"/>
      <c s="5"/>
      <c s="5"/>
      <c s="5"/>
      <c s="5"/>
      <c s="5"/>
      <c s="5"/>
      <c s="5"/>
      <c s="5"/>
      <c s="5"/>
      <c s="5"/>
      <c s="5"/>
      <c s="5"/>
      <c s="5"/>
      <c s="5"/>
      <c s="5"/>
      <c s="5"/>
      <c s="5"/>
      <c s="5"/>
      <c s="5"/>
      <c s="5"/>
      <c s="5"/>
      <c s="5"/>
      <c s="5"/>
      <c s="5"/>
      <c s="5"/>
    </row>
    <row r="999" spans="1:26" ht="15.75">
      <c r="A999" s="5"/>
      <c s="5"/>
      <c s="5"/>
      <c s="5"/>
      <c s="5"/>
      <c s="5"/>
      <c s="5"/>
      <c s="5"/>
      <c s="5"/>
      <c s="5"/>
      <c s="5"/>
      <c s="5"/>
      <c s="5"/>
      <c s="5"/>
      <c s="5"/>
      <c s="5"/>
      <c s="5"/>
      <c s="5"/>
      <c s="5"/>
      <c s="5"/>
      <c s="5"/>
      <c s="5"/>
      <c s="5"/>
      <c s="5"/>
      <c s="5"/>
      <c s="5"/>
    </row>
    <row r="1000" spans="1:26" ht="15.75">
      <c r="A1000" s="5"/>
      <c s="5"/>
      <c s="5"/>
      <c s="5"/>
      <c s="5"/>
      <c s="5"/>
      <c s="5"/>
      <c s="5"/>
      <c s="5"/>
      <c s="5"/>
      <c s="5"/>
      <c s="5"/>
      <c s="5"/>
      <c s="5"/>
      <c s="5"/>
      <c s="5"/>
      <c s="5"/>
      <c s="5"/>
      <c s="5"/>
      <c s="5"/>
      <c s="5"/>
      <c s="5"/>
      <c s="5"/>
      <c s="5"/>
      <c s="5"/>
      <c s="5"/>
    </row>
    <row r="1001" spans="1:26" ht="15.75">
      <c r="A1001" s="5"/>
      <c s="5"/>
      <c s="5"/>
      <c s="5"/>
      <c s="5"/>
      <c s="5"/>
      <c s="5"/>
      <c s="5"/>
      <c s="5"/>
      <c s="5"/>
      <c s="5"/>
      <c s="5"/>
      <c s="5"/>
      <c s="5"/>
      <c s="5"/>
      <c s="5"/>
      <c s="5"/>
      <c s="5"/>
      <c s="5"/>
      <c s="5"/>
      <c s="5"/>
      <c s="5"/>
      <c s="5"/>
      <c s="5"/>
      <c s="5"/>
      <c s="5"/>
    </row>
    <row r="1002" spans="1:26" ht="15.75">
      <c r="A1002" s="5"/>
      <c s="5"/>
      <c s="5"/>
      <c s="5"/>
      <c s="5"/>
      <c s="5"/>
      <c s="5"/>
      <c s="5"/>
      <c s="5"/>
      <c s="5"/>
      <c s="5"/>
      <c s="5"/>
      <c s="5"/>
      <c s="5"/>
      <c s="5"/>
      <c s="5"/>
      <c s="5"/>
      <c s="5"/>
      <c s="5"/>
      <c s="5"/>
      <c s="5"/>
      <c s="5"/>
      <c s="5"/>
      <c s="5"/>
      <c s="5"/>
      <c s="5"/>
    </row>
    <row r="1003" spans="1:26" ht="15.75">
      <c r="A1003" s="5"/>
      <c s="5"/>
      <c s="5"/>
      <c s="5"/>
      <c s="5"/>
      <c s="5"/>
      <c s="5"/>
      <c s="5"/>
      <c s="5"/>
      <c s="5"/>
      <c s="5"/>
      <c s="5"/>
      <c s="5"/>
      <c s="5"/>
      <c s="5"/>
      <c s="5"/>
      <c s="5"/>
      <c s="5"/>
      <c s="5"/>
      <c s="5"/>
      <c s="5"/>
      <c s="5"/>
      <c s="5"/>
      <c s="5"/>
      <c s="5"/>
      <c s="5"/>
    </row>
    <row r="1004" spans="1:26" ht="15.75">
      <c r="A1004" s="5"/>
      <c s="5"/>
      <c s="5"/>
      <c s="5"/>
      <c s="5"/>
      <c s="5"/>
      <c s="5"/>
      <c s="5"/>
      <c s="5"/>
      <c s="5"/>
      <c s="5"/>
      <c s="5"/>
      <c s="5"/>
      <c s="5"/>
      <c s="5"/>
      <c s="5"/>
      <c s="5"/>
      <c s="5"/>
      <c s="5"/>
      <c s="5"/>
      <c s="5"/>
      <c s="5"/>
      <c s="5"/>
      <c s="5"/>
      <c s="5"/>
      <c s="5"/>
    </row>
    <row r="1005" spans="1:26" ht="15.75">
      <c r="A1005" s="5"/>
      <c s="5"/>
      <c s="5"/>
      <c s="5"/>
      <c s="5"/>
      <c s="5"/>
      <c s="5"/>
      <c s="5"/>
      <c s="5"/>
      <c s="5"/>
      <c s="5"/>
      <c s="5"/>
      <c s="5"/>
      <c s="5"/>
      <c s="5"/>
      <c s="5"/>
      <c s="5"/>
      <c s="5"/>
      <c s="5"/>
      <c s="5"/>
      <c s="5"/>
      <c s="5"/>
      <c s="5"/>
      <c s="5"/>
      <c s="5"/>
      <c s="5"/>
    </row>
    <row r="1006" spans="1:26" ht="15.75">
      <c r="A1006" s="5"/>
      <c s="5"/>
      <c s="5"/>
      <c s="5"/>
      <c s="5"/>
      <c s="5"/>
      <c s="5"/>
      <c s="5"/>
      <c s="5"/>
      <c s="5"/>
      <c s="5"/>
      <c s="5"/>
      <c s="5"/>
      <c s="5"/>
      <c s="5"/>
      <c s="5"/>
      <c s="5"/>
      <c s="5"/>
      <c s="5"/>
      <c s="5"/>
      <c s="5"/>
      <c s="5"/>
      <c s="5"/>
      <c s="5"/>
      <c s="5"/>
      <c s="5"/>
    </row>
    <row r="1007" spans="1:26" ht="15.75">
      <c r="A1007" s="5"/>
      <c s="5"/>
      <c s="5"/>
      <c s="5"/>
      <c s="5"/>
      <c s="5"/>
      <c s="5"/>
      <c s="5"/>
      <c s="5"/>
      <c s="5"/>
      <c s="5"/>
      <c s="5"/>
      <c s="5"/>
      <c s="5"/>
      <c s="5"/>
      <c s="5"/>
      <c s="5"/>
      <c s="5"/>
      <c s="5"/>
      <c s="5"/>
      <c s="5"/>
      <c s="5"/>
      <c s="5"/>
      <c s="5"/>
      <c s="5"/>
      <c s="5"/>
    </row>
    <row r="1008" spans="1:26" ht="15.75">
      <c r="A1008" s="5"/>
      <c s="5"/>
      <c s="5"/>
      <c s="5"/>
      <c s="5"/>
      <c s="5"/>
      <c s="5"/>
      <c s="5"/>
      <c s="5"/>
      <c s="5"/>
      <c s="5"/>
      <c s="5"/>
      <c s="5"/>
      <c s="5"/>
      <c s="5"/>
      <c s="5"/>
      <c s="5"/>
      <c s="5"/>
      <c s="5"/>
      <c s="5"/>
      <c s="5"/>
      <c s="5"/>
      <c s="5"/>
      <c s="5"/>
      <c s="5"/>
      <c s="5"/>
    </row>
    <row r="1009" spans="1:26" ht="15.75">
      <c r="A1009" s="5"/>
      <c s="5"/>
      <c s="5"/>
      <c s="5"/>
      <c s="5"/>
      <c s="5"/>
      <c s="5"/>
      <c s="5"/>
      <c s="5"/>
      <c s="5"/>
      <c s="5"/>
      <c s="5"/>
      <c s="5"/>
      <c s="5"/>
      <c s="5"/>
      <c s="5"/>
      <c s="5"/>
      <c s="5"/>
      <c s="5"/>
      <c s="5"/>
      <c s="5"/>
      <c s="5"/>
      <c s="5"/>
      <c s="5"/>
      <c s="5"/>
      <c s="5"/>
    </row>
    <row r="1010" spans="1:26" ht="15.75">
      <c r="A1010" s="5"/>
      <c s="5"/>
      <c s="5"/>
      <c s="5"/>
      <c s="5"/>
      <c s="5"/>
      <c s="5"/>
      <c s="5"/>
      <c s="5"/>
      <c s="5"/>
      <c s="5"/>
      <c s="5"/>
      <c s="5"/>
      <c s="5"/>
      <c s="5"/>
      <c s="5"/>
      <c s="5"/>
      <c s="5"/>
      <c s="5"/>
      <c s="5"/>
      <c s="5"/>
      <c s="5"/>
      <c s="5"/>
      <c s="5"/>
      <c s="5"/>
      <c s="5"/>
    </row>
    <row r="1011" spans="1:26" ht="15.75">
      <c r="A1011" s="5"/>
      <c s="5"/>
      <c s="5"/>
      <c s="5"/>
      <c s="5"/>
      <c s="5"/>
      <c s="5"/>
      <c s="5"/>
      <c s="5"/>
      <c s="5"/>
      <c s="5"/>
      <c s="5"/>
      <c s="5"/>
      <c s="5"/>
      <c s="5"/>
      <c s="5"/>
      <c s="5"/>
      <c s="5"/>
      <c s="5"/>
      <c s="5"/>
      <c s="5"/>
      <c s="5"/>
      <c s="5"/>
      <c s="5"/>
      <c s="5"/>
      <c s="5"/>
    </row>
    <row r="1012" spans="1:26" ht="15.75">
      <c r="A1012" s="5"/>
      <c s="5"/>
      <c s="5"/>
      <c s="5"/>
      <c s="5"/>
      <c s="5"/>
      <c s="5"/>
      <c s="5"/>
      <c s="5"/>
      <c s="5"/>
      <c s="5"/>
      <c s="5"/>
      <c s="5"/>
      <c s="5"/>
      <c s="5"/>
      <c s="5"/>
      <c s="5"/>
      <c s="5"/>
      <c s="5"/>
      <c s="5"/>
      <c s="5"/>
      <c s="5"/>
      <c s="5"/>
      <c s="5"/>
      <c s="5"/>
      <c s="5"/>
    </row>
    <row r="1013" spans="1:26" ht="15.75">
      <c r="A1013" s="5"/>
      <c s="5"/>
      <c s="5"/>
      <c s="5"/>
      <c s="5"/>
      <c s="5"/>
      <c s="5"/>
      <c s="5"/>
      <c s="5"/>
      <c s="5"/>
      <c s="5"/>
      <c s="5"/>
      <c s="5"/>
      <c s="5"/>
      <c s="5"/>
      <c s="5"/>
      <c s="5"/>
      <c s="5"/>
      <c s="5"/>
      <c s="5"/>
      <c s="5"/>
      <c s="5"/>
      <c s="5"/>
      <c s="5"/>
      <c s="5"/>
      <c s="5"/>
    </row>
    <row r="1014" spans="1:26" ht="15.75">
      <c r="A1014" s="5"/>
      <c s="5"/>
      <c s="5"/>
      <c s="5"/>
      <c s="5"/>
      <c s="5"/>
      <c s="5"/>
      <c s="5"/>
      <c s="5"/>
      <c s="5"/>
      <c s="5"/>
      <c s="5"/>
      <c s="5"/>
      <c s="5"/>
      <c s="5"/>
      <c s="5"/>
      <c s="5"/>
      <c s="5"/>
      <c s="5"/>
      <c s="5"/>
      <c s="5"/>
      <c s="5"/>
      <c s="5"/>
      <c s="5"/>
      <c s="5"/>
      <c s="5"/>
    </row>
    <row r="1015" spans="1:26" ht="15.75">
      <c r="A1015" s="5"/>
      <c s="5"/>
      <c s="5"/>
      <c s="5"/>
      <c s="5"/>
      <c s="5"/>
      <c s="5"/>
      <c s="5"/>
      <c s="5"/>
      <c s="5"/>
      <c s="5"/>
      <c s="5"/>
      <c s="5"/>
      <c s="5"/>
      <c s="5"/>
      <c s="5"/>
      <c s="5"/>
      <c s="5"/>
      <c s="5"/>
      <c s="5"/>
      <c s="5"/>
      <c s="5"/>
      <c s="5"/>
      <c s="5"/>
      <c s="5"/>
      <c s="5"/>
    </row>
    <row r="1016" spans="1:26" ht="15.75">
      <c r="A1016" s="5"/>
      <c s="5"/>
      <c s="5"/>
      <c s="5"/>
      <c s="5"/>
      <c s="5"/>
      <c s="5"/>
      <c s="5"/>
      <c s="5"/>
      <c s="5"/>
      <c s="5"/>
      <c s="5"/>
      <c s="5"/>
      <c s="5"/>
      <c s="5"/>
      <c s="5"/>
      <c s="5"/>
      <c s="5"/>
      <c s="5"/>
      <c s="5"/>
      <c s="5"/>
      <c s="5"/>
      <c s="5"/>
      <c s="5"/>
      <c s="5"/>
      <c s="5"/>
    </row>
    <row r="1017" spans="1:26" ht="15.75">
      <c r="A1017" s="5"/>
      <c s="5"/>
      <c s="5"/>
      <c s="5"/>
      <c s="5"/>
      <c s="5"/>
      <c s="5"/>
      <c s="5"/>
      <c s="5"/>
      <c s="5"/>
      <c s="5"/>
      <c s="5"/>
      <c s="5"/>
      <c s="5"/>
      <c s="5"/>
      <c s="5"/>
      <c s="5"/>
      <c s="5"/>
      <c s="5"/>
      <c s="5"/>
      <c s="5"/>
      <c s="5"/>
      <c s="5"/>
      <c s="5"/>
      <c s="5"/>
      <c s="5"/>
    </row>
    <row r="1018" spans="1:26" ht="15.75">
      <c r="A1018" s="5"/>
      <c s="5"/>
      <c s="5"/>
      <c s="5"/>
      <c s="5"/>
      <c s="5"/>
      <c s="5"/>
      <c s="5"/>
      <c s="5"/>
      <c s="5"/>
      <c s="5"/>
      <c s="5"/>
      <c s="5"/>
      <c s="5"/>
      <c s="5"/>
      <c s="5"/>
      <c s="5"/>
      <c s="5"/>
      <c s="5"/>
      <c s="5"/>
      <c s="5"/>
      <c s="5"/>
      <c s="5"/>
      <c s="5"/>
      <c s="5"/>
      <c s="5"/>
    </row>
    <row r="1019" spans="1:26" ht="15.75">
      <c r="A1019" s="5"/>
      <c s="5"/>
      <c s="5"/>
      <c s="5"/>
      <c s="5"/>
      <c s="5"/>
      <c s="5"/>
      <c s="5"/>
      <c s="5"/>
      <c s="5"/>
      <c s="5"/>
      <c s="5"/>
      <c s="5"/>
      <c s="5"/>
      <c s="5"/>
      <c s="5"/>
      <c s="5"/>
      <c s="5"/>
      <c s="5"/>
      <c s="5"/>
      <c s="5"/>
      <c s="5"/>
      <c s="5"/>
      <c s="5"/>
      <c s="5"/>
      <c s="5"/>
    </row>
    <row r="1020" spans="1:26" ht="15.75">
      <c r="A1020" s="5"/>
      <c s="5"/>
      <c s="5"/>
      <c s="5"/>
      <c s="5"/>
      <c s="5"/>
      <c s="5"/>
      <c s="5"/>
      <c s="5"/>
      <c s="5"/>
      <c s="5"/>
      <c s="5"/>
      <c s="5"/>
      <c s="5"/>
      <c s="5"/>
      <c s="5"/>
      <c s="5"/>
      <c s="5"/>
      <c s="5"/>
      <c s="5"/>
      <c s="5"/>
      <c s="5"/>
      <c s="5"/>
      <c s="5"/>
      <c s="5"/>
      <c s="5"/>
    </row>
    <row r="1021" spans="1:26" ht="15.75">
      <c r="A1021" s="5"/>
      <c s="5"/>
      <c s="5"/>
      <c s="5"/>
      <c s="5"/>
      <c s="5"/>
      <c s="5"/>
      <c s="5"/>
      <c s="5"/>
      <c s="5"/>
      <c s="5"/>
      <c s="5"/>
      <c s="5"/>
      <c s="5"/>
      <c s="5"/>
      <c s="5"/>
      <c s="5"/>
      <c s="5"/>
      <c s="5"/>
      <c s="5"/>
      <c s="5"/>
      <c s="5"/>
      <c s="5"/>
      <c s="5"/>
      <c s="5"/>
      <c s="5"/>
    </row>
  </sheetData>
  <mergeCells count="42">
    <mergeCell ref="C8:I8"/>
    <mergeCell ref="C9:I9"/>
    <mergeCell ref="C10:I10"/>
    <mergeCell ref="C11:I11"/>
    <mergeCell ref="C12:I12"/>
    <mergeCell ref="C14:E15"/>
    <mergeCell ref="G14:I15"/>
    <mergeCell ref="B22:I22"/>
    <mergeCell ref="B24:I24"/>
    <mergeCell ref="B26:I26"/>
    <mergeCell ref="B28:I28"/>
    <mergeCell ref="B30:I30"/>
    <mergeCell ref="C35:I35"/>
    <mergeCell ref="C37:I37"/>
    <mergeCell ref="C38:I38"/>
    <mergeCell ref="C41:I41"/>
    <mergeCell ref="C43:I43"/>
    <mergeCell ref="C44:I44"/>
    <mergeCell ref="C48:I48"/>
    <mergeCell ref="C49:I49"/>
    <mergeCell ref="C51:I51"/>
    <mergeCell ref="C52:I52"/>
    <mergeCell ref="C54:I54"/>
    <mergeCell ref="C55:I55"/>
    <mergeCell ref="C57:I57"/>
    <mergeCell ref="C58:I58"/>
    <mergeCell ref="C60:I60"/>
    <mergeCell ref="C61:I61"/>
    <mergeCell ref="C89:I89"/>
    <mergeCell ref="C92:I92"/>
    <mergeCell ref="C95:I95"/>
    <mergeCell ref="C98:I98"/>
    <mergeCell ref="C103:I103"/>
    <mergeCell ref="C104:I104"/>
    <mergeCell ref="E106:G107"/>
    <mergeCell ref="C66:I66"/>
    <mergeCell ref="C69:I69"/>
    <mergeCell ref="C72:I72"/>
    <mergeCell ref="C75:I75"/>
    <mergeCell ref="C78:I78"/>
    <mergeCell ref="C81:I81"/>
    <mergeCell ref="C86:I86"/>
  </mergeCells>
  <pageMargins left="0.75" right="0.75" top="1" bottom="1" header="0.5" footer="0.5"/>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mx="http://schemas.microsoft.com/office/mac/excel/2008/main" xmlns:mv="urn:schemas-microsoft-com:mac:vml" xmlns:x15="http://schemas.microsoft.com/office/spreadsheetml/2010/11/main" xmlns:x14ac="http://schemas.microsoft.com/office/spreadsheetml/2009/9/ac">
  <sheetPr>
    <outlinePr summaryBelow="0" summaryRight="0"/>
  </sheetPr>
  <dimension ref="A1:Z942"/>
  <sheetViews>
    <sheetView showGridLines="0" workbookViewId="0" topLeftCell="A1"/>
  </sheetViews>
  <sheetFormatPr defaultColWidth="12.6342857142857" defaultRowHeight="15.75" customHeight="1"/>
  <cols>
    <col min="1" max="1" width="16.4285714285714" customWidth="1"/>
    <col min="2" max="2" width="5.57142857142857" customWidth="1"/>
  </cols>
  <sheetData>
    <row r="1" spans="1:26" ht="15.75">
      <c r="A1" s="1"/>
      <c s="1"/>
      <c s="1"/>
      <c s="1"/>
      <c s="1"/>
      <c s="1"/>
      <c s="1"/>
      <c s="1"/>
      <c s="1"/>
      <c s="1"/>
      <c s="1"/>
      <c s="1"/>
      <c s="1"/>
      <c s="1"/>
      <c s="1"/>
      <c s="1"/>
      <c s="1"/>
      <c s="1"/>
      <c s="1"/>
      <c s="1"/>
      <c s="1"/>
      <c s="1"/>
      <c s="1"/>
      <c s="1"/>
      <c s="1"/>
      <c s="1"/>
    </row>
    <row r="2" spans="1:26" ht="15.75">
      <c r="A2" s="1"/>
      <c s="2" t="s">
        <v>63</v>
      </c>
      <c s="1"/>
      <c s="1"/>
      <c s="1"/>
      <c s="1"/>
      <c s="1"/>
      <c s="1"/>
      <c s="1"/>
      <c s="1"/>
      <c s="1"/>
      <c s="1"/>
      <c s="1"/>
      <c s="1"/>
      <c s="1"/>
      <c s="1"/>
      <c s="1"/>
      <c s="1"/>
      <c s="1"/>
      <c s="1"/>
      <c s="1"/>
      <c s="1"/>
      <c s="1"/>
      <c s="1"/>
      <c s="1"/>
      <c s="1"/>
    </row>
    <row r="3" spans="1:26" ht="15.75">
      <c r="A3" s="1"/>
      <c s="3" t="s">
        <v>64</v>
      </c>
      <c s="1"/>
      <c s="1"/>
      <c s="1"/>
      <c s="1"/>
      <c s="1"/>
      <c s="1"/>
      <c s="1"/>
      <c s="1"/>
      <c s="1"/>
      <c s="1"/>
      <c s="1"/>
      <c s="1"/>
      <c s="1"/>
      <c s="1"/>
      <c s="1"/>
      <c s="1"/>
      <c s="1"/>
      <c s="1"/>
      <c s="1"/>
      <c s="1"/>
      <c s="1"/>
      <c s="1"/>
      <c s="1"/>
      <c s="1"/>
    </row>
    <row r="4" spans="1:26" ht="15.75">
      <c r="A4" s="4"/>
      <c s="4"/>
      <c s="4"/>
      <c s="4"/>
      <c s="4"/>
      <c s="4"/>
      <c s="4"/>
      <c s="4"/>
      <c s="4"/>
      <c s="4"/>
      <c s="4"/>
      <c s="4"/>
      <c s="4"/>
      <c s="4"/>
      <c s="4"/>
      <c s="4"/>
      <c s="4"/>
      <c s="4"/>
      <c s="4"/>
      <c s="4"/>
      <c s="4"/>
      <c s="4"/>
      <c s="4"/>
      <c s="4"/>
      <c s="4"/>
      <c s="4"/>
    </row>
    <row r="5" spans="1:26" ht="15.75">
      <c r="A5" s="5"/>
      <c s="5"/>
      <c s="5"/>
      <c s="5"/>
      <c s="5"/>
      <c s="5"/>
      <c s="5"/>
      <c s="5"/>
      <c s="5"/>
      <c s="5"/>
      <c s="5"/>
      <c s="5"/>
      <c s="5"/>
      <c s="5"/>
      <c s="5"/>
      <c s="5"/>
      <c s="5"/>
      <c s="5"/>
      <c s="5"/>
      <c s="5"/>
      <c s="5"/>
      <c s="5"/>
      <c s="5"/>
      <c s="5"/>
      <c s="5"/>
      <c s="5"/>
    </row>
    <row r="6" spans="1:26" ht="25.5" customHeight="1">
      <c r="A6" s="5"/>
      <c s="5"/>
      <c s="5"/>
      <c s="5"/>
      <c s="32" t="str">
        <f>HYPERLINK("https://www.youtube.com/watch?v=H6Lq7pkPb-8&amp;feature=youtu.be","WATCH A VIDEO")</f>
        <v>WATCH A VIDEO</v>
      </c>
      <c s="15"/>
      <c s="16"/>
      <c s="5"/>
      <c s="5"/>
      <c s="5"/>
      <c s="5"/>
      <c s="5"/>
      <c s="5"/>
      <c s="5"/>
      <c s="5"/>
      <c s="5"/>
      <c s="5"/>
      <c s="5"/>
      <c s="5"/>
      <c s="5"/>
      <c s="5"/>
      <c s="5"/>
      <c s="5"/>
      <c s="5"/>
      <c s="5"/>
      <c s="5"/>
    </row>
    <row r="7" spans="1:26" ht="15.75">
      <c r="A7" s="5"/>
      <c s="5"/>
      <c s="5"/>
      <c s="5"/>
      <c s="5"/>
      <c s="5"/>
      <c s="5"/>
      <c s="5"/>
      <c s="5"/>
      <c s="5"/>
      <c s="5"/>
      <c s="5"/>
      <c s="5"/>
      <c s="5"/>
      <c s="5"/>
      <c s="5"/>
      <c s="5"/>
      <c s="5"/>
      <c s="5"/>
      <c s="5"/>
      <c s="5"/>
      <c s="5"/>
      <c s="5"/>
      <c s="5"/>
      <c s="5"/>
      <c s="5"/>
    </row>
    <row r="8" spans="1:26" ht="15.75">
      <c r="A8" s="9"/>
      <c s="10" t="s">
        <v>14</v>
      </c>
      <c s="22" t="s">
        <v>65</v>
      </c>
      <c s="23"/>
      <c s="23"/>
      <c s="23"/>
      <c s="23"/>
      <c s="23"/>
      <c s="23"/>
      <c s="9"/>
      <c s="9"/>
      <c s="9"/>
      <c s="9"/>
      <c s="9"/>
      <c s="9"/>
      <c s="9"/>
      <c s="9"/>
      <c s="9"/>
      <c s="9"/>
      <c s="9"/>
      <c s="9"/>
      <c s="9"/>
      <c s="9"/>
      <c s="9"/>
      <c s="9"/>
      <c s="9"/>
    </row>
    <row r="9" spans="1:26" ht="15.75">
      <c r="A9" s="9"/>
      <c s="10" t="s">
        <v>16</v>
      </c>
      <c s="24" t="s">
        <v>66</v>
      </c>
      <c r="J9" s="9"/>
      <c s="9"/>
      <c s="9"/>
      <c s="9"/>
      <c s="9"/>
      <c s="9"/>
      <c s="9"/>
      <c s="9"/>
      <c s="9"/>
      <c s="9"/>
      <c s="9"/>
      <c s="9"/>
      <c s="9"/>
      <c s="9"/>
      <c s="9"/>
      <c s="9"/>
      <c s="9"/>
    </row>
    <row r="10" spans="1:26" ht="15.75">
      <c r="A10" s="9"/>
      <c s="25"/>
      <c s="23"/>
      <c s="23"/>
      <c s="23"/>
      <c s="23"/>
      <c s="23"/>
      <c s="23"/>
      <c s="23"/>
      <c s="9"/>
      <c s="9"/>
      <c s="9"/>
      <c s="9"/>
      <c s="9"/>
      <c s="9"/>
      <c s="9"/>
      <c s="9"/>
      <c s="9"/>
      <c s="9"/>
      <c s="9"/>
      <c s="9"/>
      <c s="9"/>
      <c s="9"/>
      <c s="9"/>
      <c s="9"/>
      <c s="9"/>
    </row>
    <row r="11" spans="1:26" ht="15.75">
      <c r="A11" s="9"/>
      <c s="10" t="s">
        <v>14</v>
      </c>
      <c s="22" t="s">
        <v>67</v>
      </c>
      <c r="J11" s="9"/>
      <c s="9"/>
      <c s="9"/>
      <c s="9"/>
      <c s="9"/>
      <c s="9"/>
      <c s="9"/>
      <c s="9"/>
      <c s="9"/>
      <c s="9"/>
      <c s="9"/>
      <c s="9"/>
      <c s="9"/>
      <c s="9"/>
      <c s="9"/>
      <c s="9"/>
      <c s="9"/>
    </row>
    <row r="12" spans="1:26" ht="15.75">
      <c r="A12" s="9"/>
      <c s="10" t="s">
        <v>16</v>
      </c>
      <c s="24" t="s">
        <v>68</v>
      </c>
      <c r="J12" s="9"/>
      <c s="9"/>
      <c s="9"/>
      <c s="9"/>
      <c s="9"/>
      <c s="9"/>
      <c s="9"/>
      <c s="9"/>
      <c s="9"/>
      <c s="9"/>
      <c s="9"/>
      <c s="9"/>
      <c s="9"/>
      <c s="9"/>
      <c s="9"/>
      <c s="9"/>
      <c s="9"/>
    </row>
    <row r="13" spans="1:26" ht="15.75">
      <c r="A13" s="9"/>
      <c s="25"/>
      <c s="33"/>
      <c s="33"/>
      <c s="33"/>
      <c s="33"/>
      <c s="33"/>
      <c s="33"/>
      <c s="33"/>
      <c s="9"/>
      <c s="9"/>
      <c s="9"/>
      <c s="9"/>
      <c s="9"/>
      <c s="9"/>
      <c s="9"/>
      <c s="9"/>
      <c s="9"/>
      <c s="9"/>
      <c s="9"/>
      <c s="9"/>
      <c s="9"/>
      <c s="9"/>
      <c s="9"/>
      <c s="9"/>
      <c s="9"/>
    </row>
    <row r="14" spans="1:26" ht="15.75">
      <c r="A14" s="9"/>
      <c s="10"/>
      <c s="34" t="s">
        <v>69</v>
      </c>
      <c s="35"/>
      <c s="35"/>
      <c s="35"/>
      <c s="35"/>
      <c s="35"/>
      <c s="35"/>
      <c s="9"/>
      <c s="9"/>
      <c s="9"/>
      <c s="9"/>
      <c s="9"/>
      <c s="9"/>
      <c s="9"/>
      <c s="9"/>
      <c s="9"/>
      <c s="9"/>
      <c s="9"/>
      <c s="9"/>
      <c s="9"/>
      <c s="9"/>
      <c s="9"/>
      <c s="9"/>
      <c s="9"/>
    </row>
    <row r="15" spans="1:26" ht="15.75">
      <c r="A15" s="9"/>
      <c s="10"/>
      <c s="35"/>
      <c s="36"/>
      <c s="35"/>
      <c s="35"/>
      <c s="35"/>
      <c s="35"/>
      <c s="35"/>
      <c s="9"/>
      <c s="9"/>
      <c s="9"/>
      <c s="9"/>
      <c s="9"/>
      <c s="9"/>
      <c s="9"/>
      <c s="9"/>
      <c s="9"/>
      <c s="9"/>
      <c s="9"/>
      <c s="9"/>
      <c s="9"/>
      <c s="9"/>
      <c s="9"/>
      <c s="9"/>
      <c s="9"/>
    </row>
    <row r="16" spans="1:26" ht="15.75">
      <c r="A16" s="9"/>
      <c s="10"/>
      <c s="35" t="s">
        <v>70</v>
      </c>
      <c s="36" t="s">
        <v>71</v>
      </c>
      <c s="35"/>
      <c s="35"/>
      <c s="35"/>
      <c s="35"/>
      <c s="35"/>
      <c s="9"/>
      <c s="9"/>
      <c s="9"/>
      <c s="9"/>
      <c s="9"/>
      <c s="9"/>
      <c s="9"/>
      <c s="9"/>
      <c s="9"/>
      <c s="9"/>
      <c s="9"/>
      <c s="9"/>
      <c s="9"/>
      <c s="9"/>
      <c s="9"/>
      <c s="9"/>
      <c s="9"/>
    </row>
    <row r="17" spans="1:26" ht="15.75">
      <c r="A17" s="9"/>
      <c s="26"/>
      <c s="27" t="s">
        <v>72</v>
      </c>
      <c s="26" t="s">
        <v>71</v>
      </c>
      <c s="23"/>
      <c s="23"/>
      <c s="23"/>
      <c s="23"/>
      <c s="23"/>
      <c s="9"/>
      <c s="9"/>
      <c s="9"/>
      <c s="9"/>
      <c s="9"/>
      <c s="9"/>
      <c s="9"/>
      <c s="9"/>
      <c s="9"/>
      <c s="9"/>
      <c s="9"/>
      <c s="9"/>
      <c s="9"/>
      <c s="9"/>
      <c s="9"/>
      <c s="9"/>
      <c s="9"/>
    </row>
    <row r="18" spans="1:26" ht="15.75">
      <c r="A18" s="9"/>
      <c s="26"/>
      <c s="27" t="s">
        <v>73</v>
      </c>
      <c s="26" t="s">
        <v>71</v>
      </c>
      <c s="23"/>
      <c s="23"/>
      <c s="23"/>
      <c s="23"/>
      <c s="23"/>
      <c s="9"/>
      <c s="9"/>
      <c s="9"/>
      <c s="9"/>
      <c s="9"/>
      <c s="9"/>
      <c s="9"/>
      <c s="9"/>
      <c s="9"/>
      <c s="9"/>
      <c s="9"/>
      <c s="9"/>
      <c s="9"/>
      <c s="9"/>
      <c s="9"/>
      <c s="9"/>
      <c s="9"/>
    </row>
    <row r="19" spans="1:26" ht="15.75">
      <c r="A19" s="9"/>
      <c s="26"/>
      <c s="27" t="s">
        <v>74</v>
      </c>
      <c s="30" t="s">
        <v>75</v>
      </c>
      <c s="27" t="s">
        <v>76</v>
      </c>
      <c s="23"/>
      <c s="23"/>
      <c s="23"/>
      <c s="23"/>
      <c s="9"/>
      <c s="9"/>
      <c s="9"/>
      <c s="9"/>
      <c s="9"/>
      <c s="9"/>
      <c s="9"/>
      <c s="9"/>
      <c s="9"/>
      <c s="9"/>
      <c s="9"/>
      <c s="9"/>
      <c s="9"/>
      <c s="9"/>
      <c s="9"/>
      <c s="9"/>
      <c s="9"/>
    </row>
    <row r="20" spans="1:26" ht="15.75">
      <c r="A20" s="9"/>
      <c s="26"/>
      <c s="27" t="s">
        <v>77</v>
      </c>
      <c s="30" t="s">
        <v>78</v>
      </c>
      <c s="27" t="s">
        <v>79</v>
      </c>
      <c s="23"/>
      <c s="23"/>
      <c s="23"/>
      <c s="23"/>
      <c s="9"/>
      <c s="9"/>
      <c s="9"/>
      <c s="9"/>
      <c s="9"/>
      <c s="9"/>
      <c s="9"/>
      <c s="9"/>
      <c s="9"/>
      <c s="9"/>
      <c s="9"/>
      <c s="9"/>
      <c s="9"/>
      <c s="9"/>
      <c s="9"/>
      <c s="9"/>
      <c s="9"/>
    </row>
    <row r="21" spans="1:26" ht="15.75">
      <c r="A21" s="9"/>
      <c s="26"/>
      <c s="27" t="s">
        <v>77</v>
      </c>
      <c s="30" t="s">
        <v>78</v>
      </c>
      <c s="27" t="s">
        <v>80</v>
      </c>
      <c s="23"/>
      <c s="23"/>
      <c s="23"/>
      <c s="23"/>
      <c s="9"/>
      <c s="9"/>
      <c s="9"/>
      <c s="9"/>
      <c s="9"/>
      <c s="9"/>
      <c s="9"/>
      <c s="9"/>
      <c s="9"/>
      <c s="9"/>
      <c s="9"/>
      <c s="9"/>
      <c s="9"/>
      <c s="9"/>
      <c s="9"/>
      <c s="9"/>
      <c s="9"/>
    </row>
    <row r="22" spans="1:26" ht="15.75">
      <c r="A22" s="9"/>
      <c s="26"/>
      <c s="27" t="s">
        <v>77</v>
      </c>
      <c s="30" t="s">
        <v>81</v>
      </c>
      <c s="27" t="s">
        <v>80</v>
      </c>
      <c s="23"/>
      <c s="23"/>
      <c s="23"/>
      <c s="23"/>
      <c s="9"/>
      <c s="9"/>
      <c s="9"/>
      <c s="9"/>
      <c s="9"/>
      <c s="9"/>
      <c s="9"/>
      <c s="9"/>
      <c s="9"/>
      <c s="9"/>
      <c s="9"/>
      <c s="9"/>
      <c s="9"/>
      <c s="9"/>
      <c s="9"/>
      <c s="9"/>
      <c s="9"/>
    </row>
    <row r="23" spans="1:26" ht="15.75">
      <c r="A23" s="9"/>
      <c s="26"/>
      <c s="27"/>
      <c s="23"/>
      <c s="23"/>
      <c s="23"/>
      <c s="23"/>
      <c s="23"/>
      <c s="23"/>
      <c s="9"/>
      <c s="9"/>
      <c s="9"/>
      <c s="9"/>
      <c s="9"/>
      <c s="9"/>
      <c s="9"/>
      <c s="9"/>
      <c s="9"/>
      <c s="9"/>
      <c s="9"/>
      <c s="9"/>
      <c s="9"/>
      <c s="9"/>
      <c s="9"/>
      <c s="9"/>
      <c s="9"/>
    </row>
    <row r="24" spans="1:26" ht="15.75">
      <c r="A24" s="9"/>
      <c s="10"/>
      <c s="28"/>
      <c r="J24" s="9"/>
      <c s="9"/>
      <c s="9"/>
      <c s="9"/>
      <c s="9"/>
      <c s="9"/>
      <c s="9"/>
      <c s="9"/>
      <c s="9"/>
      <c s="9"/>
      <c s="9"/>
      <c s="9"/>
      <c s="9"/>
      <c s="9"/>
      <c s="9"/>
      <c s="9"/>
      <c s="9"/>
    </row>
    <row r="25" spans="1:26" ht="15.75">
      <c r="A25" s="9"/>
      <c s="10"/>
      <c s="24"/>
      <c r="J25" s="9"/>
      <c s="9"/>
      <c s="9"/>
      <c s="9"/>
      <c s="9"/>
      <c s="9"/>
      <c s="9"/>
      <c s="9"/>
      <c s="9"/>
      <c s="9"/>
      <c s="9"/>
      <c s="9"/>
      <c s="9"/>
      <c s="9"/>
      <c s="9"/>
      <c s="9"/>
      <c s="9"/>
    </row>
    <row r="26" spans="1:26" ht="15.75">
      <c r="A26" s="9"/>
      <c s="23"/>
      <c s="23"/>
      <c s="23"/>
      <c s="23"/>
      <c s="23"/>
      <c s="23"/>
      <c s="23"/>
      <c s="23"/>
      <c s="9"/>
      <c s="9"/>
      <c s="9"/>
      <c s="9"/>
      <c s="9"/>
      <c s="9"/>
      <c s="9"/>
      <c s="9"/>
      <c s="9"/>
      <c s="9"/>
      <c s="9"/>
      <c s="9"/>
      <c s="9"/>
      <c s="9"/>
      <c s="9"/>
      <c s="9"/>
      <c s="9"/>
    </row>
    <row r="27" spans="1:26" ht="15.75">
      <c r="A27" s="5"/>
      <c s="8"/>
      <c s="5"/>
      <c s="5"/>
      <c s="5"/>
      <c s="5"/>
      <c s="5"/>
      <c s="5"/>
      <c s="5"/>
      <c s="5"/>
      <c s="5"/>
      <c s="5"/>
      <c s="5"/>
      <c s="5"/>
      <c s="5"/>
      <c s="5"/>
      <c s="5"/>
      <c s="5"/>
      <c s="5"/>
      <c s="5"/>
      <c s="5"/>
      <c s="5"/>
      <c s="5"/>
      <c s="5"/>
      <c s="5"/>
      <c s="5"/>
    </row>
    <row r="28" spans="1:26" ht="56.25" customHeight="1">
      <c r="A28" s="5"/>
      <c s="10"/>
      <c s="29"/>
      <c s="29"/>
      <c s="29"/>
      <c s="29"/>
      <c s="29"/>
      <c s="29"/>
      <c s="29"/>
      <c s="5"/>
      <c s="5"/>
      <c s="5"/>
      <c s="5"/>
      <c s="5"/>
      <c s="5"/>
      <c s="5"/>
      <c s="5"/>
      <c s="5"/>
      <c s="5"/>
      <c s="5"/>
      <c s="5"/>
      <c s="5"/>
      <c s="5"/>
      <c s="5"/>
      <c s="5"/>
      <c s="5"/>
    </row>
    <row r="29" spans="1:26" ht="15.75">
      <c r="A29" s="9"/>
      <c s="10" t="s">
        <v>14</v>
      </c>
      <c s="22" t="s">
        <v>82</v>
      </c>
      <c r="J29" s="9"/>
      <c s="9"/>
      <c s="9"/>
      <c s="9"/>
      <c s="9"/>
      <c s="9"/>
      <c s="9"/>
      <c s="9"/>
      <c s="9"/>
      <c s="9"/>
      <c s="9"/>
      <c s="9"/>
      <c s="9"/>
      <c s="9"/>
      <c s="9"/>
      <c s="9"/>
      <c s="9"/>
    </row>
    <row r="30" spans="1:26" ht="15.75">
      <c r="A30" s="9"/>
      <c s="37" t="s">
        <v>16</v>
      </c>
      <c s="24" t="s">
        <v>83</v>
      </c>
      <c r="J30" s="9"/>
      <c s="9"/>
      <c s="9"/>
      <c s="9"/>
      <c s="9"/>
      <c s="9"/>
      <c s="9"/>
      <c s="9"/>
      <c s="9"/>
      <c s="9"/>
      <c s="9"/>
      <c s="9"/>
      <c s="9"/>
      <c s="9"/>
      <c s="9"/>
      <c s="9"/>
      <c s="9"/>
    </row>
    <row r="31" spans="1:26" ht="15.75">
      <c r="A31" s="9"/>
      <c s="9"/>
      <c s="23"/>
      <c s="9"/>
      <c s="9"/>
      <c s="9"/>
      <c s="9"/>
      <c s="9"/>
      <c s="9"/>
      <c s="9"/>
      <c s="9"/>
      <c s="9"/>
      <c s="9"/>
      <c s="9"/>
      <c s="9"/>
      <c s="9"/>
      <c s="9"/>
      <c s="9"/>
      <c s="9"/>
      <c s="9"/>
      <c s="9"/>
      <c s="9"/>
      <c s="9"/>
      <c s="9"/>
      <c s="9"/>
      <c s="9"/>
    </row>
    <row r="32" spans="1:26" ht="15.75">
      <c r="A32" s="5"/>
      <c s="5"/>
      <c s="5"/>
      <c s="5"/>
      <c s="5"/>
      <c s="5"/>
      <c s="5"/>
      <c s="5"/>
      <c s="5"/>
      <c s="5"/>
      <c s="5"/>
      <c s="5"/>
      <c s="5"/>
      <c s="5"/>
      <c s="5"/>
      <c s="5"/>
      <c s="5"/>
      <c s="5"/>
      <c s="5"/>
      <c s="5"/>
      <c s="5"/>
      <c s="5"/>
      <c s="5"/>
      <c s="5"/>
      <c s="5"/>
      <c s="5"/>
    </row>
    <row r="33" spans="1:26" ht="15.75">
      <c r="A33" s="5"/>
      <c s="5"/>
      <c s="5"/>
      <c s="5"/>
      <c s="5"/>
      <c s="5"/>
      <c s="5"/>
      <c s="5"/>
      <c s="5"/>
      <c s="5"/>
      <c s="5"/>
      <c s="5"/>
      <c s="5"/>
      <c s="5"/>
      <c s="5"/>
      <c s="5"/>
      <c s="5"/>
      <c s="5"/>
      <c s="5"/>
      <c s="5"/>
      <c s="5"/>
      <c s="5"/>
      <c s="5"/>
      <c s="5"/>
      <c s="5"/>
      <c s="5"/>
    </row>
    <row r="34" spans="1:26" ht="15.75">
      <c r="A34" s="5"/>
      <c s="5"/>
      <c s="5"/>
      <c s="5"/>
      <c s="5"/>
      <c s="5"/>
      <c s="5"/>
      <c s="5"/>
      <c s="5"/>
      <c s="5"/>
      <c s="5"/>
      <c s="5"/>
      <c s="5"/>
      <c s="5"/>
      <c s="5"/>
      <c s="5"/>
      <c s="5"/>
      <c s="5"/>
      <c s="5"/>
      <c s="5"/>
      <c s="5"/>
      <c s="5"/>
      <c s="5"/>
      <c s="5"/>
      <c s="5"/>
      <c s="5"/>
    </row>
    <row r="35" spans="1:26" ht="15.75">
      <c r="A35" s="5"/>
      <c s="5"/>
      <c s="5"/>
      <c s="5"/>
      <c s="5"/>
      <c s="5"/>
      <c s="5"/>
      <c s="5"/>
      <c s="5"/>
      <c s="5"/>
      <c s="5"/>
      <c s="5"/>
      <c s="5"/>
      <c s="5"/>
      <c s="5"/>
      <c s="5"/>
      <c s="5"/>
      <c s="5"/>
      <c s="5"/>
      <c s="5"/>
      <c s="5"/>
      <c s="5"/>
      <c s="5"/>
      <c s="5"/>
      <c s="5"/>
      <c s="5"/>
    </row>
    <row r="36" spans="1:26" ht="15.75">
      <c r="A36" s="5"/>
      <c s="5"/>
      <c s="5"/>
      <c s="5"/>
      <c s="5"/>
      <c s="5"/>
      <c s="5"/>
      <c s="5"/>
      <c s="5"/>
      <c s="5"/>
      <c s="5"/>
      <c s="5"/>
      <c s="5"/>
      <c s="5"/>
      <c s="5"/>
      <c s="5"/>
      <c s="5"/>
      <c s="5"/>
      <c s="5"/>
      <c s="5"/>
      <c s="5"/>
      <c s="5"/>
      <c s="5"/>
      <c s="5"/>
      <c s="5"/>
      <c s="5"/>
    </row>
    <row r="37" spans="1:26" ht="15.75">
      <c r="A37" s="5"/>
      <c s="5"/>
      <c s="5"/>
      <c s="5"/>
      <c s="5"/>
      <c s="5"/>
      <c s="5"/>
      <c s="5"/>
      <c s="5"/>
      <c s="5"/>
      <c s="5"/>
      <c s="5"/>
      <c s="5"/>
      <c s="5"/>
      <c s="5"/>
      <c s="5"/>
      <c s="5"/>
      <c s="5"/>
      <c s="5"/>
      <c s="5"/>
      <c s="5"/>
      <c s="5"/>
      <c s="5"/>
      <c s="5"/>
      <c s="5"/>
      <c s="5"/>
    </row>
    <row r="38" spans="1:26" ht="15.75">
      <c r="A38" s="5"/>
      <c s="5"/>
      <c s="5"/>
      <c s="5"/>
      <c s="5"/>
      <c s="5"/>
      <c s="5"/>
      <c s="5"/>
      <c s="5"/>
      <c s="5"/>
      <c s="5"/>
      <c s="5"/>
      <c s="5"/>
      <c s="5"/>
      <c s="5"/>
      <c s="5"/>
      <c s="5"/>
      <c s="5"/>
      <c s="5"/>
      <c s="5"/>
      <c s="5"/>
      <c s="5"/>
      <c s="5"/>
      <c s="5"/>
      <c s="5"/>
      <c s="5"/>
    </row>
    <row r="39" spans="1:26" ht="15.75">
      <c r="A39" s="5"/>
      <c s="5"/>
      <c s="5"/>
      <c s="5"/>
      <c s="5"/>
      <c s="5"/>
      <c s="5"/>
      <c s="5"/>
      <c s="5"/>
      <c s="5"/>
      <c s="5"/>
      <c s="5"/>
      <c s="5"/>
      <c s="5"/>
      <c s="5"/>
      <c s="5"/>
      <c s="5"/>
      <c s="5"/>
      <c s="5"/>
      <c s="5"/>
      <c s="5"/>
      <c s="5"/>
      <c s="5"/>
      <c s="5"/>
      <c s="5"/>
      <c s="5"/>
    </row>
    <row r="40" spans="1:26" ht="15.75">
      <c r="A40" s="5"/>
      <c s="5"/>
      <c s="5"/>
      <c s="5"/>
      <c s="5"/>
      <c s="5"/>
      <c s="5"/>
      <c s="5"/>
      <c s="5"/>
      <c s="5"/>
      <c s="5"/>
      <c s="5"/>
      <c s="5"/>
      <c s="5"/>
      <c s="5"/>
      <c s="5"/>
      <c s="5"/>
      <c s="5"/>
      <c s="5"/>
      <c s="5"/>
      <c s="5"/>
      <c s="5"/>
      <c s="5"/>
      <c s="5"/>
      <c s="5"/>
      <c s="5"/>
    </row>
    <row r="41" spans="1:26" ht="15.75">
      <c r="A41" s="5"/>
      <c s="5"/>
      <c s="5"/>
      <c s="5"/>
      <c s="5"/>
      <c s="5"/>
      <c s="5"/>
      <c s="5"/>
      <c s="5"/>
      <c s="5"/>
      <c s="5"/>
      <c s="5"/>
      <c s="5"/>
      <c s="5"/>
      <c s="5"/>
      <c s="5"/>
      <c s="5"/>
      <c s="5"/>
      <c s="5"/>
      <c s="5"/>
      <c s="5"/>
      <c s="5"/>
      <c s="5"/>
      <c s="5"/>
      <c s="5"/>
      <c s="5"/>
    </row>
    <row r="42" spans="1:26" ht="15.75">
      <c r="A42" s="5"/>
      <c s="5"/>
      <c s="5"/>
      <c s="5"/>
      <c s="5"/>
      <c s="5"/>
      <c s="5"/>
      <c s="5"/>
      <c s="5"/>
      <c s="5"/>
      <c s="5"/>
      <c s="5"/>
      <c s="5"/>
      <c s="5"/>
      <c s="5"/>
      <c s="5"/>
      <c s="5"/>
      <c s="5"/>
      <c s="5"/>
      <c s="5"/>
      <c s="5"/>
      <c s="5"/>
      <c s="5"/>
      <c s="5"/>
      <c s="5"/>
      <c s="5"/>
    </row>
    <row r="43" spans="1:26" ht="15.75">
      <c r="A43" s="5"/>
      <c s="5"/>
      <c s="5"/>
      <c s="5"/>
      <c s="5"/>
      <c s="5"/>
      <c s="5"/>
      <c s="5"/>
      <c s="5"/>
      <c s="5"/>
      <c s="5"/>
      <c s="5"/>
      <c s="5"/>
      <c s="5"/>
      <c s="5"/>
      <c s="5"/>
      <c s="5"/>
      <c s="5"/>
      <c s="5"/>
      <c s="5"/>
      <c s="5"/>
      <c s="5"/>
      <c s="5"/>
      <c s="5"/>
      <c s="5"/>
      <c s="5"/>
    </row>
    <row r="44" spans="1:26" ht="15.75">
      <c r="A44" s="5"/>
      <c s="5"/>
      <c s="5"/>
      <c s="5"/>
      <c s="5"/>
      <c s="5"/>
      <c s="5"/>
      <c s="5"/>
      <c s="5"/>
      <c s="5"/>
      <c s="5"/>
      <c s="5"/>
      <c s="5"/>
      <c s="5"/>
      <c s="5"/>
      <c s="5"/>
      <c s="5"/>
      <c s="5"/>
      <c s="5"/>
      <c s="5"/>
      <c s="5"/>
      <c s="5"/>
      <c s="5"/>
      <c s="5"/>
      <c s="5"/>
      <c s="5"/>
    </row>
    <row r="45" spans="1:26" ht="15.75">
      <c r="A45" s="5"/>
      <c s="5"/>
      <c s="5"/>
      <c s="5"/>
      <c s="5"/>
      <c s="5"/>
      <c s="5"/>
      <c s="5"/>
      <c s="5"/>
      <c s="5"/>
      <c s="5"/>
      <c s="5"/>
      <c s="5"/>
      <c s="5"/>
      <c s="5"/>
      <c s="5"/>
      <c s="5"/>
      <c s="5"/>
      <c s="5"/>
      <c s="5"/>
      <c s="5"/>
      <c s="5"/>
      <c s="5"/>
      <c s="5"/>
      <c s="5"/>
      <c s="5"/>
    </row>
    <row r="46" spans="1:26" ht="15.75">
      <c r="A46" s="5"/>
      <c s="5"/>
      <c s="5"/>
      <c s="5"/>
      <c s="5"/>
      <c s="5"/>
      <c s="5"/>
      <c s="5"/>
      <c s="5"/>
      <c s="5"/>
      <c s="5"/>
      <c s="5"/>
      <c s="5"/>
      <c s="5"/>
      <c s="5"/>
      <c s="5"/>
      <c s="5"/>
      <c s="5"/>
      <c s="5"/>
      <c s="5"/>
      <c s="5"/>
      <c s="5"/>
      <c s="5"/>
      <c s="5"/>
      <c s="5"/>
      <c s="5"/>
    </row>
    <row r="47" spans="1:26" ht="15.75">
      <c r="A47" s="5"/>
      <c s="5"/>
      <c s="5"/>
      <c s="5"/>
      <c s="5"/>
      <c s="5"/>
      <c s="5"/>
      <c s="5"/>
      <c s="5"/>
      <c s="5"/>
      <c s="5"/>
      <c s="5"/>
      <c s="5"/>
      <c s="5"/>
      <c s="5"/>
      <c s="5"/>
      <c s="5"/>
      <c s="5"/>
      <c s="5"/>
      <c s="5"/>
      <c s="5"/>
      <c s="5"/>
      <c s="5"/>
      <c s="5"/>
      <c s="5"/>
      <c s="5"/>
    </row>
    <row r="48" spans="1:26" ht="15.75">
      <c r="A48" s="5"/>
      <c s="5"/>
      <c s="5"/>
      <c s="5"/>
      <c s="5"/>
      <c s="5"/>
      <c s="5"/>
      <c s="5"/>
      <c s="5"/>
      <c s="5"/>
      <c s="5"/>
      <c s="5"/>
      <c s="5"/>
      <c s="5"/>
      <c s="5"/>
      <c s="5"/>
      <c s="5"/>
      <c s="5"/>
      <c s="5"/>
      <c s="5"/>
      <c s="5"/>
      <c s="5"/>
      <c s="5"/>
      <c s="5"/>
      <c s="5"/>
      <c s="5"/>
    </row>
    <row r="49" spans="1:26" ht="15.75">
      <c r="A49" s="5"/>
      <c s="5"/>
      <c s="5"/>
      <c s="5"/>
      <c s="5"/>
      <c s="5"/>
      <c s="5"/>
      <c s="5"/>
      <c s="5"/>
      <c s="5"/>
      <c s="5"/>
      <c s="5"/>
      <c s="5"/>
      <c s="5"/>
      <c s="5"/>
      <c s="5"/>
      <c s="5"/>
      <c s="5"/>
      <c s="5"/>
      <c s="5"/>
      <c s="5"/>
      <c s="5"/>
      <c s="5"/>
      <c s="5"/>
      <c s="5"/>
      <c s="5"/>
    </row>
    <row r="50" spans="1:26" ht="15.75">
      <c r="A50" s="5"/>
      <c s="5"/>
      <c s="5"/>
      <c s="5"/>
      <c s="5"/>
      <c s="5"/>
      <c s="5"/>
      <c s="5"/>
      <c s="5"/>
      <c s="5"/>
      <c s="5"/>
      <c s="5"/>
      <c s="5"/>
      <c s="5"/>
      <c s="5"/>
      <c s="5"/>
      <c s="5"/>
      <c s="5"/>
      <c s="5"/>
      <c s="5"/>
      <c s="5"/>
      <c s="5"/>
      <c s="5"/>
      <c s="5"/>
      <c s="5"/>
      <c s="5"/>
    </row>
    <row r="51" spans="1:26" ht="15.75">
      <c r="A51" s="5"/>
      <c s="5"/>
      <c s="5"/>
      <c s="5"/>
      <c s="5"/>
      <c s="5"/>
      <c s="5"/>
      <c s="5"/>
      <c s="5"/>
      <c s="5"/>
      <c s="5"/>
      <c s="5"/>
      <c s="5"/>
      <c s="5"/>
      <c s="5"/>
      <c s="5"/>
      <c s="5"/>
      <c s="5"/>
      <c s="5"/>
      <c s="5"/>
      <c s="5"/>
      <c s="5"/>
      <c s="5"/>
      <c s="5"/>
      <c s="5"/>
      <c s="5"/>
    </row>
    <row r="52" spans="1:26" ht="15.75">
      <c r="A52" s="5"/>
      <c s="5"/>
      <c s="5"/>
      <c s="5"/>
      <c s="5"/>
      <c s="5"/>
      <c s="5"/>
      <c s="5"/>
      <c s="5"/>
      <c s="5"/>
      <c s="5"/>
      <c s="5"/>
      <c s="5"/>
      <c s="5"/>
      <c s="5"/>
      <c s="5"/>
      <c s="5"/>
      <c s="5"/>
      <c s="5"/>
      <c s="5"/>
      <c s="5"/>
      <c s="5"/>
      <c s="5"/>
      <c s="5"/>
      <c s="5"/>
      <c s="5"/>
    </row>
    <row r="53" spans="1:26" ht="15.75">
      <c r="A53" s="5"/>
      <c s="5"/>
      <c s="5"/>
      <c s="5"/>
      <c s="5"/>
      <c s="5"/>
      <c s="5"/>
      <c s="5"/>
      <c s="5"/>
      <c s="5"/>
      <c s="5"/>
      <c s="5"/>
      <c s="5"/>
      <c s="5"/>
      <c s="5"/>
      <c s="5"/>
      <c s="5"/>
      <c s="5"/>
      <c s="5"/>
      <c s="5"/>
      <c s="5"/>
      <c s="5"/>
      <c s="5"/>
      <c s="5"/>
      <c s="5"/>
      <c s="5"/>
    </row>
    <row r="54" spans="1:26" ht="15.75">
      <c r="A54" s="5"/>
      <c s="5"/>
      <c s="5"/>
      <c s="5"/>
      <c s="5"/>
      <c s="5"/>
      <c s="5"/>
      <c s="5"/>
      <c s="5"/>
      <c s="5"/>
      <c s="5"/>
      <c s="5"/>
      <c s="5"/>
      <c s="5"/>
      <c s="5"/>
      <c s="5"/>
      <c s="5"/>
      <c s="5"/>
      <c s="5"/>
      <c s="5"/>
      <c s="5"/>
      <c s="5"/>
      <c s="5"/>
      <c s="5"/>
      <c s="5"/>
      <c s="5"/>
    </row>
    <row r="55" spans="1:26" ht="15.75">
      <c r="A55" s="5"/>
      <c s="5"/>
      <c s="5"/>
      <c s="5"/>
      <c s="5"/>
      <c s="5"/>
      <c s="5"/>
      <c s="5"/>
      <c s="5"/>
      <c s="5"/>
      <c s="5"/>
      <c s="5"/>
      <c s="5"/>
      <c s="5"/>
      <c s="5"/>
      <c s="5"/>
      <c s="5"/>
      <c s="5"/>
      <c s="5"/>
      <c s="5"/>
      <c s="5"/>
      <c s="5"/>
      <c s="5"/>
      <c s="5"/>
      <c s="5"/>
      <c s="5"/>
    </row>
    <row r="56" spans="1:26" ht="15.75">
      <c r="A56" s="5"/>
      <c s="5"/>
      <c s="5"/>
      <c s="5"/>
      <c s="5"/>
      <c s="5"/>
      <c s="5"/>
      <c s="5"/>
      <c s="5"/>
      <c s="5"/>
      <c s="5"/>
      <c s="5"/>
      <c s="5"/>
      <c s="5"/>
      <c s="5"/>
      <c s="5"/>
      <c s="5"/>
      <c s="5"/>
      <c s="5"/>
      <c s="5"/>
      <c s="5"/>
      <c s="5"/>
      <c s="5"/>
      <c s="5"/>
      <c s="5"/>
      <c s="5"/>
    </row>
    <row r="57" spans="1:26" ht="15.75">
      <c r="A57" s="5"/>
      <c s="5"/>
      <c s="5"/>
      <c s="5"/>
      <c s="5"/>
      <c s="5"/>
      <c s="5"/>
      <c s="5"/>
      <c s="5"/>
      <c s="5"/>
      <c s="5"/>
      <c s="5"/>
      <c s="5"/>
      <c s="5"/>
      <c s="5"/>
      <c s="5"/>
      <c s="5"/>
      <c s="5"/>
      <c s="5"/>
      <c s="5"/>
      <c s="5"/>
      <c s="5"/>
      <c s="5"/>
      <c s="5"/>
      <c s="5"/>
      <c s="5"/>
    </row>
    <row r="58" spans="1:26" ht="15.75">
      <c r="A58" s="5"/>
      <c s="5"/>
      <c s="5"/>
      <c s="5"/>
      <c s="5"/>
      <c s="5"/>
      <c s="5"/>
      <c s="5"/>
      <c s="5"/>
      <c s="5"/>
      <c s="5"/>
      <c s="5"/>
      <c s="5"/>
      <c s="5"/>
      <c s="5"/>
      <c s="5"/>
      <c s="5"/>
      <c s="5"/>
      <c s="5"/>
      <c s="5"/>
      <c s="5"/>
      <c s="5"/>
      <c s="5"/>
      <c s="5"/>
      <c s="5"/>
      <c s="5"/>
    </row>
    <row r="59" spans="1:26" ht="15.75">
      <c r="A59" s="5"/>
      <c s="5"/>
      <c s="5"/>
      <c s="5"/>
      <c s="5"/>
      <c s="5"/>
      <c s="5"/>
      <c s="5"/>
      <c s="5"/>
      <c s="5"/>
      <c s="5"/>
      <c s="5"/>
      <c s="5"/>
      <c s="5"/>
      <c s="5"/>
      <c s="5"/>
      <c s="5"/>
      <c s="5"/>
      <c s="5"/>
      <c s="5"/>
      <c s="5"/>
      <c s="5"/>
      <c s="5"/>
      <c s="5"/>
      <c s="5"/>
      <c s="5"/>
    </row>
    <row r="60" spans="1:26" ht="15.75">
      <c r="A60" s="5"/>
      <c s="5"/>
      <c s="5"/>
      <c s="5"/>
      <c s="5"/>
      <c s="5"/>
      <c s="5"/>
      <c s="5"/>
      <c s="5"/>
      <c s="5"/>
      <c s="5"/>
      <c s="5"/>
      <c s="5"/>
      <c s="5"/>
      <c s="5"/>
      <c s="5"/>
      <c s="5"/>
      <c s="5"/>
      <c s="5"/>
      <c s="5"/>
      <c s="5"/>
      <c s="5"/>
      <c s="5"/>
      <c s="5"/>
      <c s="5"/>
      <c s="5"/>
    </row>
    <row r="61" spans="1:26" ht="15.75">
      <c r="A61" s="5"/>
      <c s="5"/>
      <c s="5"/>
      <c s="5"/>
      <c s="5"/>
      <c s="5"/>
      <c s="5"/>
      <c s="5"/>
      <c s="5"/>
      <c s="5"/>
      <c s="5"/>
      <c s="5"/>
      <c s="5"/>
      <c s="5"/>
      <c s="5"/>
      <c s="5"/>
      <c s="5"/>
      <c s="5"/>
      <c s="5"/>
      <c s="5"/>
      <c s="5"/>
      <c s="5"/>
      <c s="5"/>
      <c s="5"/>
      <c s="5"/>
      <c s="5"/>
    </row>
    <row r="62" spans="1:26" ht="15.75">
      <c r="A62" s="5"/>
      <c s="5"/>
      <c s="5"/>
      <c s="5"/>
      <c s="5"/>
      <c s="5"/>
      <c s="5"/>
      <c s="5"/>
      <c s="5"/>
      <c s="5"/>
      <c s="5"/>
      <c s="5"/>
      <c s="5"/>
      <c s="5"/>
      <c s="5"/>
      <c s="5"/>
      <c s="5"/>
      <c s="5"/>
      <c s="5"/>
      <c s="5"/>
      <c s="5"/>
      <c s="5"/>
      <c s="5"/>
      <c s="5"/>
      <c s="5"/>
      <c s="5"/>
    </row>
    <row r="63" spans="1:26" ht="15.75">
      <c r="A63" s="5"/>
      <c s="5"/>
      <c s="5"/>
      <c s="5"/>
      <c s="5"/>
      <c s="5"/>
      <c s="5"/>
      <c s="5"/>
      <c s="5"/>
      <c s="5"/>
      <c s="5"/>
      <c s="5"/>
      <c s="5"/>
      <c s="5"/>
      <c s="5"/>
      <c s="5"/>
      <c s="5"/>
      <c s="5"/>
      <c s="5"/>
      <c s="5"/>
      <c s="5"/>
      <c s="5"/>
      <c s="5"/>
      <c s="5"/>
      <c s="5"/>
      <c s="5"/>
    </row>
    <row r="64" spans="1:26" ht="15.75">
      <c r="A64" s="5"/>
      <c s="5"/>
      <c s="5"/>
      <c s="5"/>
      <c s="5"/>
      <c s="5"/>
      <c s="5"/>
      <c s="5"/>
      <c s="5"/>
      <c s="5"/>
      <c s="5"/>
      <c s="5"/>
      <c s="5"/>
      <c s="5"/>
      <c s="5"/>
      <c s="5"/>
      <c s="5"/>
      <c s="5"/>
      <c s="5"/>
      <c s="5"/>
      <c s="5"/>
      <c s="5"/>
      <c s="5"/>
      <c s="5"/>
      <c s="5"/>
      <c s="5"/>
    </row>
    <row r="65" spans="1:26" ht="15.75">
      <c r="A65" s="5"/>
      <c s="5"/>
      <c s="5"/>
      <c s="5"/>
      <c s="5"/>
      <c s="5"/>
      <c s="5"/>
      <c s="5"/>
      <c s="5"/>
      <c s="5"/>
      <c s="5"/>
      <c s="5"/>
      <c s="5"/>
      <c s="5"/>
      <c s="5"/>
      <c s="5"/>
      <c s="5"/>
      <c s="5"/>
      <c s="5"/>
      <c s="5"/>
      <c s="5"/>
      <c s="5"/>
      <c s="5"/>
      <c s="5"/>
      <c s="5"/>
      <c s="5"/>
    </row>
    <row r="66" spans="1:26" ht="15.75">
      <c r="A66" s="5"/>
      <c s="5"/>
      <c s="5"/>
      <c s="5"/>
      <c s="5"/>
      <c s="5"/>
      <c s="5"/>
      <c s="5"/>
      <c s="5"/>
      <c s="5"/>
      <c s="5"/>
      <c s="5"/>
      <c s="5"/>
      <c s="5"/>
      <c s="5"/>
      <c s="5"/>
      <c s="5"/>
      <c s="5"/>
      <c s="5"/>
      <c s="5"/>
      <c s="5"/>
      <c s="5"/>
      <c s="5"/>
      <c s="5"/>
      <c s="5"/>
      <c s="5"/>
    </row>
    <row r="67" spans="1:26" ht="15.75">
      <c r="A67" s="5"/>
      <c s="5"/>
      <c s="5"/>
      <c s="5"/>
      <c s="5"/>
      <c s="5"/>
      <c s="5"/>
      <c s="5"/>
      <c s="5"/>
      <c s="5"/>
      <c s="5"/>
      <c s="5"/>
      <c s="5"/>
      <c s="5"/>
      <c s="5"/>
      <c s="5"/>
      <c s="5"/>
      <c s="5"/>
      <c s="5"/>
      <c s="5"/>
      <c s="5"/>
      <c s="5"/>
      <c s="5"/>
      <c s="5"/>
      <c s="5"/>
      <c s="5"/>
    </row>
    <row r="68" spans="1:26" ht="15.75">
      <c r="A68" s="5"/>
      <c s="5"/>
      <c s="5"/>
      <c s="5"/>
      <c s="5"/>
      <c s="5"/>
      <c s="5"/>
      <c s="5"/>
      <c s="5"/>
      <c s="5"/>
      <c s="5"/>
      <c s="5"/>
      <c s="5"/>
      <c s="5"/>
      <c s="5"/>
      <c s="5"/>
      <c s="5"/>
      <c s="5"/>
      <c s="5"/>
      <c s="5"/>
      <c s="5"/>
      <c s="5"/>
      <c s="5"/>
      <c s="5"/>
      <c s="5"/>
      <c s="5"/>
    </row>
    <row r="69" spans="1:26" ht="15.75">
      <c r="A69" s="5"/>
      <c s="5"/>
      <c s="5"/>
      <c s="5"/>
      <c s="5"/>
      <c s="5"/>
      <c s="5"/>
      <c s="5"/>
      <c s="5"/>
      <c s="5"/>
      <c s="5"/>
      <c s="5"/>
      <c s="5"/>
      <c s="5"/>
      <c s="5"/>
      <c s="5"/>
      <c s="5"/>
      <c s="5"/>
      <c s="5"/>
      <c s="5"/>
      <c s="5"/>
      <c s="5"/>
      <c s="5"/>
      <c s="5"/>
      <c s="5"/>
      <c s="5"/>
    </row>
    <row r="70" spans="1:26" ht="15.75">
      <c r="A70" s="5"/>
      <c s="5"/>
      <c s="5"/>
      <c s="5"/>
      <c s="5"/>
      <c s="5"/>
      <c s="5"/>
      <c s="5"/>
      <c s="5"/>
      <c s="5"/>
      <c s="5"/>
      <c s="5"/>
      <c s="5"/>
      <c s="5"/>
      <c s="5"/>
      <c s="5"/>
      <c s="5"/>
      <c s="5"/>
      <c s="5"/>
      <c s="5"/>
      <c s="5"/>
      <c s="5"/>
      <c s="5"/>
      <c s="5"/>
      <c s="5"/>
      <c s="5"/>
    </row>
    <row r="71" spans="1:26" ht="15.75">
      <c r="A71" s="5"/>
      <c s="5"/>
      <c s="5"/>
      <c s="5"/>
      <c s="5"/>
      <c s="5"/>
      <c s="5"/>
      <c s="5"/>
      <c s="5"/>
      <c s="5"/>
      <c s="5"/>
      <c s="5"/>
      <c s="5"/>
      <c s="5"/>
      <c s="5"/>
      <c s="5"/>
      <c s="5"/>
      <c s="5"/>
      <c s="5"/>
      <c s="5"/>
      <c s="5"/>
      <c s="5"/>
      <c s="5"/>
      <c s="5"/>
      <c s="5"/>
      <c s="5"/>
    </row>
    <row r="72" spans="1:26" ht="15.75">
      <c r="A72" s="5"/>
      <c s="5"/>
      <c s="5"/>
      <c s="5"/>
      <c s="5"/>
      <c s="5"/>
      <c s="5"/>
      <c s="5"/>
      <c s="5"/>
      <c s="5"/>
      <c s="5"/>
      <c s="5"/>
      <c s="5"/>
      <c s="5"/>
      <c s="5"/>
      <c s="5"/>
      <c s="5"/>
      <c s="5"/>
      <c s="5"/>
      <c s="5"/>
      <c s="5"/>
      <c s="5"/>
      <c s="5"/>
      <c s="5"/>
      <c s="5"/>
      <c s="5"/>
    </row>
    <row r="73" spans="1:26" ht="15.75">
      <c r="A73" s="5"/>
      <c s="5"/>
      <c s="5"/>
      <c s="5"/>
      <c s="5"/>
      <c s="5"/>
      <c s="5"/>
      <c s="5"/>
      <c s="5"/>
      <c s="5"/>
      <c s="5"/>
      <c s="5"/>
      <c s="5"/>
      <c s="5"/>
      <c s="5"/>
      <c s="5"/>
      <c s="5"/>
      <c s="5"/>
      <c s="5"/>
      <c s="5"/>
      <c s="5"/>
      <c s="5"/>
      <c s="5"/>
      <c s="5"/>
      <c s="5"/>
      <c s="5"/>
    </row>
    <row r="74" spans="1:26" ht="15.75">
      <c r="A74" s="5"/>
      <c s="5"/>
      <c s="5"/>
      <c s="5"/>
      <c s="5"/>
      <c s="5"/>
      <c s="5"/>
      <c s="5"/>
      <c s="5"/>
      <c s="5"/>
      <c s="5"/>
      <c s="5"/>
      <c s="5"/>
      <c s="5"/>
      <c s="5"/>
      <c s="5"/>
      <c s="5"/>
      <c s="5"/>
      <c s="5"/>
      <c s="5"/>
      <c s="5"/>
      <c s="5"/>
      <c s="5"/>
      <c s="5"/>
      <c s="5"/>
      <c s="5"/>
    </row>
    <row r="75" spans="1:26" ht="15.75">
      <c r="A75" s="5"/>
      <c s="5"/>
      <c s="5"/>
      <c s="5"/>
      <c s="5"/>
      <c s="5"/>
      <c s="5"/>
      <c s="5"/>
      <c s="5"/>
      <c s="5"/>
      <c s="5"/>
      <c s="5"/>
      <c s="5"/>
      <c s="5"/>
      <c s="5"/>
      <c s="5"/>
      <c s="5"/>
      <c s="5"/>
      <c s="5"/>
      <c s="5"/>
      <c s="5"/>
      <c s="5"/>
      <c s="5"/>
      <c s="5"/>
      <c s="5"/>
      <c s="5"/>
    </row>
    <row r="76" spans="1:26" ht="15.75">
      <c r="A76" s="5"/>
      <c s="5"/>
      <c s="5"/>
      <c s="5"/>
      <c s="5"/>
      <c s="5"/>
      <c s="5"/>
      <c s="5"/>
      <c s="5"/>
      <c s="5"/>
      <c s="5"/>
      <c s="5"/>
      <c s="5"/>
      <c s="5"/>
      <c s="5"/>
      <c s="5"/>
      <c s="5"/>
      <c s="5"/>
      <c s="5"/>
      <c s="5"/>
      <c s="5"/>
      <c s="5"/>
      <c s="5"/>
      <c s="5"/>
      <c s="5"/>
      <c s="5"/>
    </row>
    <row r="77" spans="1:26" ht="15.75">
      <c r="A77" s="5"/>
      <c s="5"/>
      <c s="5"/>
      <c s="5"/>
      <c s="5"/>
      <c s="5"/>
      <c s="5"/>
      <c s="5"/>
      <c s="5"/>
      <c s="5"/>
      <c s="5"/>
      <c s="5"/>
      <c s="5"/>
      <c s="5"/>
      <c s="5"/>
      <c s="5"/>
      <c s="5"/>
      <c s="5"/>
      <c s="5"/>
      <c s="5"/>
      <c s="5"/>
      <c s="5"/>
      <c s="5"/>
      <c s="5"/>
      <c s="5"/>
      <c s="5"/>
    </row>
    <row r="78" spans="1:26" ht="15.75">
      <c r="A78" s="5"/>
      <c s="5"/>
      <c s="5"/>
      <c s="5"/>
      <c s="5"/>
      <c s="5"/>
      <c s="5"/>
      <c s="5"/>
      <c s="5"/>
      <c s="5"/>
      <c s="5"/>
      <c s="5"/>
      <c s="5"/>
      <c s="5"/>
      <c s="5"/>
      <c s="5"/>
      <c s="5"/>
      <c s="5"/>
      <c s="5"/>
      <c s="5"/>
      <c s="5"/>
      <c s="5"/>
      <c s="5"/>
      <c s="5"/>
      <c s="5"/>
      <c s="5"/>
    </row>
    <row r="79" spans="1:26" ht="15.75">
      <c r="A79" s="5"/>
      <c s="5"/>
      <c s="5"/>
      <c s="5"/>
      <c s="5"/>
      <c s="5"/>
      <c s="5"/>
      <c s="5"/>
      <c s="5"/>
      <c s="5"/>
      <c s="5"/>
      <c s="5"/>
      <c s="5"/>
      <c s="5"/>
      <c s="5"/>
      <c s="5"/>
      <c s="5"/>
      <c s="5"/>
      <c s="5"/>
      <c s="5"/>
      <c s="5"/>
      <c s="5"/>
      <c s="5"/>
      <c s="5"/>
      <c s="5"/>
      <c s="5"/>
    </row>
    <row r="80" spans="1:26" ht="15.75">
      <c r="A80" s="5"/>
      <c s="5"/>
      <c s="5"/>
      <c s="5"/>
      <c s="5"/>
      <c s="5"/>
      <c s="5"/>
      <c s="5"/>
      <c s="5"/>
      <c s="5"/>
      <c s="5"/>
      <c s="5"/>
      <c s="5"/>
      <c s="5"/>
      <c s="5"/>
      <c s="5"/>
      <c s="5"/>
      <c s="5"/>
      <c s="5"/>
      <c s="5"/>
      <c s="5"/>
      <c s="5"/>
      <c s="5"/>
      <c s="5"/>
      <c s="5"/>
      <c s="5"/>
    </row>
    <row r="81" spans="1:26" ht="15.75">
      <c r="A81" s="5"/>
      <c s="5"/>
      <c s="5"/>
      <c s="5"/>
      <c s="5"/>
      <c s="5"/>
      <c s="5"/>
      <c s="5"/>
      <c s="5"/>
      <c s="5"/>
      <c s="5"/>
      <c s="5"/>
      <c s="5"/>
      <c s="5"/>
      <c s="5"/>
      <c s="5"/>
      <c s="5"/>
      <c s="5"/>
      <c s="5"/>
      <c s="5"/>
      <c s="5"/>
      <c s="5"/>
      <c s="5"/>
      <c s="5"/>
      <c s="5"/>
      <c s="5"/>
    </row>
    <row r="82" spans="1:26" ht="15.75">
      <c r="A82" s="5"/>
      <c s="5"/>
      <c s="5"/>
      <c s="5"/>
      <c s="5"/>
      <c s="5"/>
      <c s="5"/>
      <c s="5"/>
      <c s="5"/>
      <c s="5"/>
      <c s="5"/>
      <c s="5"/>
      <c s="5"/>
      <c s="5"/>
      <c s="5"/>
      <c s="5"/>
      <c s="5"/>
      <c s="5"/>
      <c s="5"/>
      <c s="5"/>
      <c s="5"/>
      <c s="5"/>
      <c s="5"/>
      <c s="5"/>
      <c s="5"/>
      <c s="5"/>
    </row>
    <row r="83" spans="1:26" ht="15.75">
      <c r="A83" s="5"/>
      <c s="5"/>
      <c s="5"/>
      <c s="5"/>
      <c s="5"/>
      <c s="5"/>
      <c s="5"/>
      <c s="5"/>
      <c s="5"/>
      <c s="5"/>
      <c s="5"/>
      <c s="5"/>
      <c s="5"/>
      <c s="5"/>
      <c s="5"/>
      <c s="5"/>
      <c s="5"/>
      <c s="5"/>
      <c s="5"/>
      <c s="5"/>
      <c s="5"/>
      <c s="5"/>
      <c s="5"/>
      <c s="5"/>
      <c s="5"/>
      <c s="5"/>
    </row>
    <row r="84" spans="1:26" ht="15.75">
      <c r="A84" s="5"/>
      <c s="5"/>
      <c s="5"/>
      <c s="5"/>
      <c s="5"/>
      <c s="5"/>
      <c s="5"/>
      <c s="5"/>
      <c s="5"/>
      <c s="5"/>
      <c s="5"/>
      <c s="5"/>
      <c s="5"/>
      <c s="5"/>
      <c s="5"/>
      <c s="5"/>
      <c s="5"/>
      <c s="5"/>
      <c s="5"/>
      <c s="5"/>
      <c s="5"/>
      <c s="5"/>
      <c s="5"/>
      <c s="5"/>
      <c s="5"/>
      <c s="5"/>
    </row>
    <row r="85" spans="1:26" ht="15.75">
      <c r="A85" s="5"/>
      <c s="5"/>
      <c s="5"/>
      <c s="5"/>
      <c s="5"/>
      <c s="5"/>
      <c s="5"/>
      <c s="5"/>
      <c s="5"/>
      <c s="5"/>
      <c s="5"/>
      <c s="5"/>
      <c s="5"/>
      <c s="5"/>
      <c s="5"/>
      <c s="5"/>
      <c s="5"/>
      <c s="5"/>
      <c s="5"/>
      <c s="5"/>
      <c s="5"/>
      <c s="5"/>
      <c s="5"/>
      <c s="5"/>
      <c s="5"/>
      <c s="5"/>
    </row>
    <row r="86" spans="1:26" ht="15.75">
      <c r="A86" s="5"/>
      <c s="5"/>
      <c s="5"/>
      <c s="5"/>
      <c s="5"/>
      <c s="5"/>
      <c s="5"/>
      <c s="5"/>
      <c s="5"/>
      <c s="5"/>
      <c s="5"/>
      <c s="5"/>
      <c s="5"/>
      <c s="5"/>
      <c s="5"/>
      <c s="5"/>
      <c s="5"/>
      <c s="5"/>
      <c s="5"/>
      <c s="5"/>
      <c s="5"/>
      <c s="5"/>
      <c s="5"/>
      <c s="5"/>
      <c s="5"/>
      <c s="5"/>
    </row>
    <row r="87" spans="1:26" ht="15.75">
      <c r="A87" s="5"/>
      <c s="5"/>
      <c s="5"/>
      <c s="5"/>
      <c s="5"/>
      <c s="5"/>
      <c s="5"/>
      <c s="5"/>
      <c s="5"/>
      <c s="5"/>
      <c s="5"/>
      <c s="5"/>
      <c s="5"/>
      <c s="5"/>
      <c s="5"/>
      <c s="5"/>
      <c s="5"/>
      <c s="5"/>
      <c s="5"/>
      <c s="5"/>
      <c s="5"/>
      <c s="5"/>
      <c s="5"/>
      <c s="5"/>
      <c s="5"/>
      <c s="5"/>
    </row>
    <row r="88" spans="1:26" ht="15.75">
      <c r="A88" s="5"/>
      <c s="5"/>
      <c s="5"/>
      <c s="5"/>
      <c s="5"/>
      <c s="5"/>
      <c s="5"/>
      <c s="5"/>
      <c s="5"/>
      <c s="5"/>
      <c s="5"/>
      <c s="5"/>
      <c s="5"/>
      <c s="5"/>
      <c s="5"/>
      <c s="5"/>
      <c s="5"/>
      <c s="5"/>
      <c s="5"/>
      <c s="5"/>
      <c s="5"/>
      <c s="5"/>
      <c s="5"/>
      <c s="5"/>
      <c s="5"/>
      <c s="5"/>
    </row>
    <row r="89" spans="1:26" ht="15.75">
      <c r="A89" s="5"/>
      <c s="5"/>
      <c s="5"/>
      <c s="5"/>
      <c s="5"/>
      <c s="5"/>
      <c s="5"/>
      <c s="5"/>
      <c s="5"/>
      <c s="5"/>
      <c s="5"/>
      <c s="5"/>
      <c s="5"/>
      <c s="5"/>
      <c s="5"/>
      <c s="5"/>
      <c s="5"/>
      <c s="5"/>
      <c s="5"/>
      <c s="5"/>
      <c s="5"/>
      <c s="5"/>
      <c s="5"/>
      <c s="5"/>
      <c s="5"/>
      <c s="5"/>
    </row>
    <row r="90" spans="1:26" ht="15.75">
      <c r="A90" s="5"/>
      <c s="5"/>
      <c s="5"/>
      <c s="5"/>
      <c s="5"/>
      <c s="5"/>
      <c s="5"/>
      <c s="5"/>
      <c s="5"/>
      <c s="5"/>
      <c s="5"/>
      <c s="5"/>
      <c s="5"/>
      <c s="5"/>
      <c s="5"/>
      <c s="5"/>
      <c s="5"/>
      <c s="5"/>
      <c s="5"/>
      <c s="5"/>
      <c s="5"/>
      <c s="5"/>
      <c s="5"/>
      <c s="5"/>
      <c s="5"/>
      <c s="5"/>
    </row>
    <row r="91" spans="1:26" ht="15.75">
      <c r="A91" s="5"/>
      <c s="5"/>
      <c s="5"/>
      <c s="5"/>
      <c s="5"/>
      <c s="5"/>
      <c s="5"/>
      <c s="5"/>
      <c s="5"/>
      <c s="5"/>
      <c s="5"/>
      <c s="5"/>
      <c s="5"/>
      <c s="5"/>
      <c s="5"/>
      <c s="5"/>
      <c s="5"/>
      <c s="5"/>
      <c s="5"/>
      <c s="5"/>
      <c s="5"/>
      <c s="5"/>
      <c s="5"/>
      <c s="5"/>
      <c s="5"/>
      <c s="5"/>
    </row>
    <row r="92" spans="1:26" ht="15.75">
      <c r="A92" s="5"/>
      <c s="5"/>
      <c s="5"/>
      <c s="5"/>
      <c s="5"/>
      <c s="5"/>
      <c s="5"/>
      <c s="5"/>
      <c s="5"/>
      <c s="5"/>
      <c s="5"/>
      <c s="5"/>
      <c s="5"/>
      <c s="5"/>
      <c s="5"/>
      <c s="5"/>
      <c s="5"/>
      <c s="5"/>
      <c s="5"/>
      <c s="5"/>
      <c s="5"/>
      <c s="5"/>
      <c s="5"/>
      <c s="5"/>
      <c s="5"/>
      <c s="5"/>
    </row>
    <row r="93" spans="1:26" ht="15.75">
      <c r="A93" s="5"/>
      <c s="5"/>
      <c s="5"/>
      <c s="5"/>
      <c s="5"/>
      <c s="5"/>
      <c s="5"/>
      <c s="5"/>
      <c s="5"/>
      <c s="5"/>
      <c s="5"/>
      <c s="5"/>
      <c s="5"/>
      <c s="5"/>
      <c s="5"/>
      <c s="5"/>
      <c s="5"/>
      <c s="5"/>
      <c s="5"/>
      <c s="5"/>
      <c s="5"/>
      <c s="5"/>
      <c s="5"/>
      <c s="5"/>
      <c s="5"/>
      <c s="5"/>
    </row>
    <row r="94" spans="1:26" ht="15.75">
      <c r="A94" s="5"/>
      <c s="5"/>
      <c s="5"/>
      <c s="5"/>
      <c s="5"/>
      <c s="5"/>
      <c s="5"/>
      <c s="5"/>
      <c s="5"/>
      <c s="5"/>
      <c s="5"/>
      <c s="5"/>
      <c s="5"/>
      <c s="5"/>
      <c s="5"/>
      <c s="5"/>
      <c s="5"/>
      <c s="5"/>
      <c s="5"/>
      <c s="5"/>
      <c s="5"/>
      <c s="5"/>
      <c s="5"/>
      <c s="5"/>
      <c s="5"/>
      <c s="5"/>
    </row>
    <row r="95" spans="1:26" ht="15.75">
      <c r="A95" s="5"/>
      <c s="5"/>
      <c s="5"/>
      <c s="5"/>
      <c s="5"/>
      <c s="5"/>
      <c s="5"/>
      <c s="5"/>
      <c s="5"/>
      <c s="5"/>
      <c s="5"/>
      <c s="5"/>
      <c s="5"/>
      <c s="5"/>
      <c s="5"/>
      <c s="5"/>
      <c s="5"/>
      <c s="5"/>
      <c s="5"/>
      <c s="5"/>
      <c s="5"/>
      <c s="5"/>
      <c s="5"/>
      <c s="5"/>
      <c s="5"/>
      <c s="5"/>
    </row>
    <row r="96" spans="1:26" ht="15.75">
      <c r="A96" s="5"/>
      <c s="5"/>
      <c s="5"/>
      <c s="5"/>
      <c s="5"/>
      <c s="5"/>
      <c s="5"/>
      <c s="5"/>
      <c s="5"/>
      <c s="5"/>
      <c s="5"/>
      <c s="5"/>
      <c s="5"/>
      <c s="5"/>
      <c s="5"/>
      <c s="5"/>
      <c s="5"/>
      <c s="5"/>
      <c s="5"/>
      <c s="5"/>
      <c s="5"/>
      <c s="5"/>
      <c s="5"/>
      <c s="5"/>
      <c s="5"/>
      <c s="5"/>
    </row>
    <row r="97" spans="1:26" ht="15.75">
      <c r="A97" s="5"/>
      <c s="5"/>
      <c s="5"/>
      <c s="5"/>
      <c s="5"/>
      <c s="5"/>
      <c s="5"/>
      <c s="5"/>
      <c s="5"/>
      <c s="5"/>
      <c s="5"/>
      <c s="5"/>
      <c s="5"/>
      <c s="5"/>
      <c s="5"/>
      <c s="5"/>
      <c s="5"/>
      <c s="5"/>
      <c s="5"/>
      <c s="5"/>
      <c s="5"/>
      <c s="5"/>
      <c s="5"/>
      <c s="5"/>
      <c s="5"/>
      <c s="5"/>
    </row>
    <row r="98" spans="1:26" ht="15.75">
      <c r="A98" s="5"/>
      <c s="5"/>
      <c s="5"/>
      <c s="5"/>
      <c s="5"/>
      <c s="5"/>
      <c s="5"/>
      <c s="5"/>
      <c s="5"/>
      <c s="5"/>
      <c s="5"/>
      <c s="5"/>
      <c s="5"/>
      <c s="5"/>
      <c s="5"/>
      <c s="5"/>
      <c s="5"/>
      <c s="5"/>
      <c s="5"/>
      <c s="5"/>
      <c s="5"/>
      <c s="5"/>
      <c s="5"/>
      <c s="5"/>
      <c s="5"/>
      <c s="5"/>
    </row>
    <row r="99" spans="1:26" ht="15.75">
      <c r="A99" s="5"/>
      <c s="5"/>
      <c s="5"/>
      <c s="5"/>
      <c s="5"/>
      <c s="5"/>
      <c s="5"/>
      <c s="5"/>
      <c s="5"/>
      <c s="5"/>
      <c s="5"/>
      <c s="5"/>
      <c s="5"/>
      <c s="5"/>
      <c s="5"/>
      <c s="5"/>
      <c s="5"/>
      <c s="5"/>
      <c s="5"/>
      <c s="5"/>
      <c s="5"/>
      <c s="5"/>
      <c s="5"/>
      <c s="5"/>
      <c s="5"/>
      <c s="5"/>
    </row>
    <row r="100" spans="1:26" ht="15.75">
      <c r="A100" s="5"/>
      <c s="5"/>
      <c s="5"/>
      <c s="5"/>
      <c s="5"/>
      <c s="5"/>
      <c s="5"/>
      <c s="5"/>
      <c s="5"/>
      <c s="5"/>
      <c s="5"/>
      <c s="5"/>
      <c s="5"/>
      <c s="5"/>
      <c s="5"/>
      <c s="5"/>
      <c s="5"/>
      <c s="5"/>
      <c s="5"/>
      <c s="5"/>
      <c s="5"/>
      <c s="5"/>
      <c s="5"/>
      <c s="5"/>
      <c s="5"/>
      <c s="5"/>
    </row>
    <row r="101" spans="1:26" ht="15.75">
      <c r="A101" s="5"/>
      <c s="5"/>
      <c s="5"/>
      <c s="5"/>
      <c s="5"/>
      <c s="5"/>
      <c s="5"/>
      <c s="5"/>
      <c s="5"/>
      <c s="5"/>
      <c s="5"/>
      <c s="5"/>
      <c s="5"/>
      <c s="5"/>
      <c s="5"/>
      <c s="5"/>
      <c s="5"/>
      <c s="5"/>
      <c s="5"/>
      <c s="5"/>
      <c s="5"/>
      <c s="5"/>
      <c s="5"/>
      <c s="5"/>
      <c s="5"/>
      <c s="5"/>
    </row>
    <row r="102" spans="1:26" ht="15.75">
      <c r="A102" s="5"/>
      <c s="5"/>
      <c s="5"/>
      <c s="5"/>
      <c s="5"/>
      <c s="5"/>
      <c s="5"/>
      <c s="5"/>
      <c s="5"/>
      <c s="5"/>
      <c s="5"/>
      <c s="5"/>
      <c s="5"/>
      <c s="5"/>
      <c s="5"/>
      <c s="5"/>
      <c s="5"/>
      <c s="5"/>
      <c s="5"/>
      <c s="5"/>
      <c s="5"/>
      <c s="5"/>
      <c s="5"/>
      <c s="5"/>
      <c s="5"/>
      <c s="5"/>
    </row>
    <row r="103" spans="1:26" ht="15.75">
      <c r="A103" s="5"/>
      <c s="5"/>
      <c s="5"/>
      <c s="5"/>
      <c s="5"/>
      <c s="5"/>
      <c s="5"/>
      <c s="5"/>
      <c s="5"/>
      <c s="5"/>
      <c s="5"/>
      <c s="5"/>
      <c s="5"/>
      <c s="5"/>
      <c s="5"/>
      <c s="5"/>
      <c s="5"/>
      <c s="5"/>
      <c s="5"/>
      <c s="5"/>
      <c s="5"/>
      <c s="5"/>
      <c s="5"/>
      <c s="5"/>
      <c s="5"/>
      <c s="5"/>
    </row>
    <row r="104" spans="1:26" ht="15.75">
      <c r="A104" s="5"/>
      <c s="5"/>
      <c s="5"/>
      <c s="5"/>
      <c s="5"/>
      <c s="5"/>
      <c s="5"/>
      <c s="5"/>
      <c s="5"/>
      <c s="5"/>
      <c s="5"/>
      <c s="5"/>
      <c s="5"/>
      <c s="5"/>
      <c s="5"/>
      <c s="5"/>
      <c s="5"/>
      <c s="5"/>
      <c s="5"/>
      <c s="5"/>
      <c s="5"/>
      <c s="5"/>
      <c s="5"/>
      <c s="5"/>
      <c s="5"/>
      <c s="5"/>
    </row>
    <row r="105" spans="1:26" ht="15.75">
      <c r="A105" s="5"/>
      <c s="5"/>
      <c s="5"/>
      <c s="5"/>
      <c s="5"/>
      <c s="5"/>
      <c s="5"/>
      <c s="5"/>
      <c s="5"/>
      <c s="5"/>
      <c s="5"/>
      <c s="5"/>
      <c s="5"/>
      <c s="5"/>
      <c s="5"/>
      <c s="5"/>
      <c s="5"/>
      <c s="5"/>
      <c s="5"/>
      <c s="5"/>
      <c s="5"/>
      <c s="5"/>
      <c s="5"/>
      <c s="5"/>
      <c s="5"/>
      <c s="5"/>
    </row>
    <row r="106" spans="1:26" ht="15.75">
      <c r="A106" s="5"/>
      <c s="5"/>
      <c s="5"/>
      <c s="5"/>
      <c s="5"/>
      <c s="5"/>
      <c s="5"/>
      <c s="5"/>
      <c s="5"/>
      <c s="5"/>
      <c s="5"/>
      <c s="5"/>
      <c s="5"/>
      <c s="5"/>
      <c s="5"/>
      <c s="5"/>
      <c s="5"/>
      <c s="5"/>
      <c s="5"/>
      <c s="5"/>
      <c s="5"/>
      <c s="5"/>
      <c s="5"/>
      <c s="5"/>
      <c s="5"/>
      <c s="5"/>
    </row>
    <row r="107" spans="1:26" ht="15.75">
      <c r="A107" s="5"/>
      <c s="5"/>
      <c s="5"/>
      <c s="5"/>
      <c s="5"/>
      <c s="5"/>
      <c s="5"/>
      <c s="5"/>
      <c s="5"/>
      <c s="5"/>
      <c s="5"/>
      <c s="5"/>
      <c s="5"/>
      <c s="5"/>
      <c s="5"/>
      <c s="5"/>
      <c s="5"/>
      <c s="5"/>
      <c s="5"/>
      <c s="5"/>
      <c s="5"/>
      <c s="5"/>
      <c s="5"/>
      <c s="5"/>
      <c s="5"/>
      <c s="5"/>
    </row>
    <row r="108" spans="1:26" ht="15.75">
      <c r="A108" s="5"/>
      <c s="5"/>
      <c s="5"/>
      <c s="5"/>
      <c s="5"/>
      <c s="5"/>
      <c s="5"/>
      <c s="5"/>
      <c s="5"/>
      <c s="5"/>
      <c s="5"/>
      <c s="5"/>
      <c s="5"/>
      <c s="5"/>
      <c s="5"/>
      <c s="5"/>
      <c s="5"/>
      <c s="5"/>
      <c s="5"/>
      <c s="5"/>
      <c s="5"/>
      <c s="5"/>
      <c s="5"/>
      <c s="5"/>
      <c s="5"/>
      <c s="5"/>
    </row>
    <row r="109" spans="1:26" ht="15.75">
      <c r="A109" s="5"/>
      <c s="5"/>
      <c s="5"/>
      <c s="5"/>
      <c s="5"/>
      <c s="5"/>
      <c s="5"/>
      <c s="5"/>
      <c s="5"/>
      <c s="5"/>
      <c s="5"/>
      <c s="5"/>
      <c s="5"/>
      <c s="5"/>
      <c s="5"/>
      <c s="5"/>
      <c s="5"/>
      <c s="5"/>
      <c s="5"/>
      <c s="5"/>
      <c s="5"/>
      <c s="5"/>
      <c s="5"/>
      <c s="5"/>
      <c s="5"/>
      <c s="5"/>
    </row>
    <row r="110" spans="1:26" ht="15.75">
      <c r="A110" s="5"/>
      <c s="5"/>
      <c s="5"/>
      <c s="5"/>
      <c s="5"/>
      <c s="5"/>
      <c s="5"/>
      <c s="5"/>
      <c s="5"/>
      <c s="5"/>
      <c s="5"/>
      <c s="5"/>
      <c s="5"/>
      <c s="5"/>
      <c s="5"/>
      <c s="5"/>
      <c s="5"/>
      <c s="5"/>
      <c s="5"/>
      <c s="5"/>
      <c s="5"/>
      <c s="5"/>
      <c s="5"/>
      <c s="5"/>
      <c s="5"/>
      <c s="5"/>
    </row>
    <row r="111" spans="1:26" ht="15.75">
      <c r="A111" s="5"/>
      <c s="5"/>
      <c s="5"/>
      <c s="5"/>
      <c s="5"/>
      <c s="5"/>
      <c s="5"/>
      <c s="5"/>
      <c s="5"/>
      <c s="5"/>
      <c s="5"/>
      <c s="5"/>
      <c s="5"/>
      <c s="5"/>
      <c s="5"/>
      <c s="5"/>
      <c s="5"/>
      <c s="5"/>
      <c s="5"/>
      <c s="5"/>
      <c s="5"/>
      <c s="5"/>
      <c s="5"/>
      <c s="5"/>
      <c s="5"/>
      <c s="5"/>
    </row>
    <row r="112" spans="1:26" ht="15.75">
      <c r="A112" s="5"/>
      <c s="5"/>
      <c s="5"/>
      <c s="5"/>
      <c s="5"/>
      <c s="5"/>
      <c s="5"/>
      <c s="5"/>
      <c s="5"/>
      <c s="5"/>
      <c s="5"/>
      <c s="5"/>
      <c s="5"/>
      <c s="5"/>
      <c s="5"/>
      <c s="5"/>
      <c s="5"/>
      <c s="5"/>
      <c s="5"/>
      <c s="5"/>
      <c s="5"/>
      <c s="5"/>
      <c s="5"/>
      <c s="5"/>
      <c s="5"/>
      <c s="5"/>
    </row>
    <row r="113" spans="1:26" ht="15.75">
      <c r="A113" s="5"/>
      <c s="5"/>
      <c s="5"/>
      <c s="5"/>
      <c s="5"/>
      <c s="5"/>
      <c s="5"/>
      <c s="5"/>
      <c s="5"/>
      <c s="5"/>
      <c s="5"/>
      <c s="5"/>
      <c s="5"/>
      <c s="5"/>
      <c s="5"/>
      <c s="5"/>
      <c s="5"/>
      <c s="5"/>
      <c s="5"/>
      <c s="5"/>
      <c s="5"/>
      <c s="5"/>
      <c s="5"/>
      <c s="5"/>
      <c s="5"/>
      <c s="5"/>
    </row>
    <row r="114" spans="1:26" ht="15.75">
      <c r="A114" s="5"/>
      <c s="5"/>
      <c s="5"/>
      <c s="5"/>
      <c s="5"/>
      <c s="5"/>
      <c s="5"/>
      <c s="5"/>
      <c s="5"/>
      <c s="5"/>
      <c s="5"/>
      <c s="5"/>
      <c s="5"/>
      <c s="5"/>
      <c s="5"/>
      <c s="5"/>
      <c s="5"/>
      <c s="5"/>
      <c s="5"/>
      <c s="5"/>
      <c s="5"/>
      <c s="5"/>
      <c s="5"/>
      <c s="5"/>
      <c s="5"/>
      <c s="5"/>
    </row>
    <row r="115" spans="1:26" ht="15.75">
      <c r="A115" s="5"/>
      <c s="5"/>
      <c s="5"/>
      <c s="5"/>
      <c s="5"/>
      <c s="5"/>
      <c s="5"/>
      <c s="5"/>
      <c s="5"/>
      <c s="5"/>
      <c s="5"/>
      <c s="5"/>
      <c s="5"/>
      <c s="5"/>
      <c s="5"/>
      <c s="5"/>
      <c s="5"/>
      <c s="5"/>
      <c s="5"/>
      <c s="5"/>
      <c s="5"/>
      <c s="5"/>
      <c s="5"/>
      <c s="5"/>
      <c s="5"/>
      <c s="5"/>
    </row>
    <row r="116" spans="1:26" ht="15.75">
      <c r="A116" s="5"/>
      <c s="5"/>
      <c s="5"/>
      <c s="5"/>
      <c s="5"/>
      <c s="5"/>
      <c s="5"/>
      <c s="5"/>
      <c s="5"/>
      <c s="5"/>
      <c s="5"/>
      <c s="5"/>
      <c s="5"/>
      <c s="5"/>
      <c s="5"/>
      <c s="5"/>
      <c s="5"/>
      <c s="5"/>
      <c s="5"/>
      <c s="5"/>
      <c s="5"/>
      <c s="5"/>
      <c s="5"/>
      <c s="5"/>
      <c s="5"/>
      <c s="5"/>
    </row>
    <row r="117" spans="1:26" ht="15.75">
      <c r="A117" s="5"/>
      <c s="5"/>
      <c s="5"/>
      <c s="5"/>
      <c s="5"/>
      <c s="5"/>
      <c s="5"/>
      <c s="5"/>
      <c s="5"/>
      <c s="5"/>
      <c s="5"/>
      <c s="5"/>
      <c s="5"/>
      <c s="5"/>
      <c s="5"/>
      <c s="5"/>
      <c s="5"/>
      <c s="5"/>
      <c s="5"/>
      <c s="5"/>
      <c s="5"/>
      <c s="5"/>
      <c s="5"/>
      <c s="5"/>
      <c s="5"/>
      <c s="5"/>
    </row>
    <row r="118" spans="1:26" ht="15.75">
      <c r="A118" s="5"/>
      <c s="5"/>
      <c s="5"/>
      <c s="5"/>
      <c s="5"/>
      <c s="5"/>
      <c s="5"/>
      <c s="5"/>
      <c s="5"/>
      <c s="5"/>
      <c s="5"/>
      <c s="5"/>
      <c s="5"/>
      <c s="5"/>
      <c s="5"/>
      <c s="5"/>
      <c s="5"/>
      <c s="5"/>
      <c s="5"/>
      <c s="5"/>
      <c s="5"/>
      <c s="5"/>
      <c s="5"/>
      <c s="5"/>
      <c s="5"/>
      <c s="5"/>
    </row>
    <row r="119" spans="1:26" ht="15.75">
      <c r="A119" s="5"/>
      <c s="5"/>
      <c s="5"/>
      <c s="5"/>
      <c s="5"/>
      <c s="5"/>
      <c s="5"/>
      <c s="5"/>
      <c s="5"/>
      <c s="5"/>
      <c s="5"/>
      <c s="5"/>
      <c s="5"/>
      <c s="5"/>
      <c s="5"/>
      <c s="5"/>
      <c s="5"/>
      <c s="5"/>
      <c s="5"/>
      <c s="5"/>
      <c s="5"/>
      <c s="5"/>
      <c s="5"/>
      <c s="5"/>
      <c s="5"/>
      <c s="5"/>
    </row>
    <row r="120" spans="1:26" ht="15.75">
      <c r="A120" s="5"/>
      <c s="5"/>
      <c s="5"/>
      <c s="5"/>
      <c s="5"/>
      <c s="5"/>
      <c s="5"/>
      <c s="5"/>
      <c s="5"/>
      <c s="5"/>
      <c s="5"/>
      <c s="5"/>
      <c s="5"/>
      <c s="5"/>
      <c s="5"/>
      <c s="5"/>
      <c s="5"/>
      <c s="5"/>
      <c s="5"/>
      <c s="5"/>
      <c s="5"/>
      <c s="5"/>
      <c s="5"/>
      <c s="5"/>
      <c s="5"/>
      <c s="5"/>
    </row>
    <row r="121" spans="1:26" ht="15.75">
      <c r="A121" s="5"/>
      <c s="5"/>
      <c s="5"/>
      <c s="5"/>
      <c s="5"/>
      <c s="5"/>
      <c s="5"/>
      <c s="5"/>
      <c s="5"/>
      <c s="5"/>
      <c s="5"/>
      <c s="5"/>
      <c s="5"/>
      <c s="5"/>
      <c s="5"/>
      <c s="5"/>
      <c s="5"/>
      <c s="5"/>
      <c s="5"/>
      <c s="5"/>
      <c s="5"/>
      <c s="5"/>
      <c s="5"/>
      <c s="5"/>
      <c s="5"/>
      <c s="5"/>
    </row>
    <row r="122" spans="1:26" ht="15.75">
      <c r="A122" s="5"/>
      <c s="5"/>
      <c s="5"/>
      <c s="5"/>
      <c s="5"/>
      <c s="5"/>
      <c s="5"/>
      <c s="5"/>
      <c s="5"/>
      <c s="5"/>
      <c s="5"/>
      <c s="5"/>
      <c s="5"/>
      <c s="5"/>
      <c s="5"/>
      <c s="5"/>
      <c s="5"/>
      <c s="5"/>
      <c s="5"/>
      <c s="5"/>
      <c s="5"/>
      <c s="5"/>
      <c s="5"/>
      <c s="5"/>
      <c s="5"/>
      <c s="5"/>
    </row>
    <row r="123" spans="1:26" ht="15.75">
      <c r="A123" s="5"/>
      <c s="5"/>
      <c s="5"/>
      <c s="5"/>
      <c s="5"/>
      <c s="5"/>
      <c s="5"/>
      <c s="5"/>
      <c s="5"/>
      <c s="5"/>
      <c s="5"/>
      <c s="5"/>
      <c s="5"/>
      <c s="5"/>
      <c s="5"/>
      <c s="5"/>
      <c s="5"/>
      <c s="5"/>
      <c s="5"/>
      <c s="5"/>
      <c s="5"/>
      <c s="5"/>
      <c s="5"/>
      <c s="5"/>
      <c s="5"/>
      <c s="5"/>
    </row>
    <row r="124" spans="1:26" ht="15.75">
      <c r="A124" s="5"/>
      <c s="5"/>
      <c s="5"/>
      <c s="5"/>
      <c s="5"/>
      <c s="5"/>
      <c s="5"/>
      <c s="5"/>
      <c s="5"/>
      <c s="5"/>
      <c s="5"/>
      <c s="5"/>
      <c s="5"/>
      <c s="5"/>
      <c s="5"/>
      <c s="5"/>
      <c s="5"/>
      <c s="5"/>
      <c s="5"/>
      <c s="5"/>
      <c s="5"/>
      <c s="5"/>
      <c s="5"/>
      <c s="5"/>
      <c s="5"/>
      <c s="5"/>
    </row>
    <row r="125" spans="1:26" ht="15.75">
      <c r="A125" s="5"/>
      <c s="5"/>
      <c s="5"/>
      <c s="5"/>
      <c s="5"/>
      <c s="5"/>
      <c s="5"/>
      <c s="5"/>
      <c s="5"/>
      <c s="5"/>
      <c s="5"/>
      <c s="5"/>
      <c s="5"/>
      <c s="5"/>
      <c s="5"/>
      <c s="5"/>
      <c s="5"/>
      <c s="5"/>
      <c s="5"/>
      <c s="5"/>
      <c s="5"/>
      <c s="5"/>
      <c s="5"/>
      <c s="5"/>
      <c s="5"/>
      <c s="5"/>
    </row>
    <row r="126" spans="1:26" ht="15.75">
      <c r="A126" s="5"/>
      <c s="5"/>
      <c s="5"/>
      <c s="5"/>
      <c s="5"/>
      <c s="5"/>
      <c s="5"/>
      <c s="5"/>
      <c s="5"/>
      <c s="5"/>
      <c s="5"/>
      <c s="5"/>
      <c s="5"/>
      <c s="5"/>
      <c s="5"/>
      <c s="5"/>
      <c s="5"/>
      <c s="5"/>
      <c s="5"/>
      <c s="5"/>
      <c s="5"/>
      <c s="5"/>
      <c s="5"/>
      <c s="5"/>
      <c s="5"/>
      <c s="5"/>
    </row>
    <row r="127" spans="1:26" ht="15.75">
      <c r="A127" s="5"/>
      <c s="5"/>
      <c s="5"/>
      <c s="5"/>
      <c s="5"/>
      <c s="5"/>
      <c s="5"/>
      <c s="5"/>
      <c s="5"/>
      <c s="5"/>
      <c s="5"/>
      <c s="5"/>
      <c s="5"/>
      <c s="5"/>
      <c s="5"/>
      <c s="5"/>
      <c s="5"/>
      <c s="5"/>
      <c s="5"/>
      <c s="5"/>
      <c s="5"/>
      <c s="5"/>
      <c s="5"/>
      <c s="5"/>
      <c s="5"/>
      <c s="5"/>
    </row>
    <row r="128" spans="1:26" ht="15.75">
      <c r="A128" s="5"/>
      <c s="5"/>
      <c s="5"/>
      <c s="5"/>
      <c s="5"/>
      <c s="5"/>
      <c s="5"/>
      <c s="5"/>
      <c s="5"/>
      <c s="5"/>
      <c s="5"/>
      <c s="5"/>
      <c s="5"/>
      <c s="5"/>
      <c s="5"/>
      <c s="5"/>
      <c s="5"/>
      <c s="5"/>
      <c s="5"/>
      <c s="5"/>
      <c s="5"/>
      <c s="5"/>
      <c s="5"/>
      <c s="5"/>
      <c s="5"/>
      <c s="5"/>
    </row>
    <row r="129" spans="1:26" ht="15.75">
      <c r="A129" s="5"/>
      <c s="5"/>
      <c s="5"/>
      <c s="5"/>
      <c s="5"/>
      <c s="5"/>
      <c s="5"/>
      <c s="5"/>
      <c s="5"/>
      <c s="5"/>
      <c s="5"/>
      <c s="5"/>
      <c s="5"/>
      <c s="5"/>
      <c s="5"/>
      <c s="5"/>
      <c s="5"/>
      <c s="5"/>
      <c s="5"/>
      <c s="5"/>
      <c s="5"/>
      <c s="5"/>
      <c s="5"/>
      <c s="5"/>
      <c s="5"/>
      <c s="5"/>
    </row>
    <row r="130" spans="1:26" ht="15.75">
      <c r="A130" s="5"/>
      <c s="5"/>
      <c s="5"/>
      <c s="5"/>
      <c s="5"/>
      <c s="5"/>
      <c s="5"/>
      <c s="5"/>
      <c s="5"/>
      <c s="5"/>
      <c s="5"/>
      <c s="5"/>
      <c s="5"/>
      <c s="5"/>
      <c s="5"/>
      <c s="5"/>
      <c s="5"/>
      <c s="5"/>
      <c s="5"/>
      <c s="5"/>
      <c s="5"/>
      <c s="5"/>
      <c s="5"/>
      <c s="5"/>
      <c s="5"/>
      <c s="5"/>
    </row>
    <row r="131" spans="1:26" ht="15.75">
      <c r="A131" s="5"/>
      <c s="5"/>
      <c s="5"/>
      <c s="5"/>
      <c s="5"/>
      <c s="5"/>
      <c s="5"/>
      <c s="5"/>
      <c s="5"/>
      <c s="5"/>
      <c s="5"/>
      <c s="5"/>
      <c s="5"/>
      <c s="5"/>
      <c s="5"/>
      <c s="5"/>
      <c s="5"/>
      <c s="5"/>
      <c s="5"/>
      <c s="5"/>
      <c s="5"/>
      <c s="5"/>
      <c s="5"/>
      <c s="5"/>
      <c s="5"/>
      <c s="5"/>
    </row>
    <row r="132" spans="1:26" ht="15.75">
      <c r="A132" s="5"/>
      <c s="5"/>
      <c s="5"/>
      <c s="5"/>
      <c s="5"/>
      <c s="5"/>
      <c s="5"/>
      <c s="5"/>
      <c s="5"/>
      <c s="5"/>
      <c s="5"/>
      <c s="5"/>
      <c s="5"/>
      <c s="5"/>
      <c s="5"/>
      <c s="5"/>
      <c s="5"/>
      <c s="5"/>
      <c s="5"/>
      <c s="5"/>
      <c s="5"/>
      <c s="5"/>
      <c s="5"/>
      <c s="5"/>
      <c s="5"/>
      <c s="5"/>
    </row>
    <row r="133" spans="1:26" ht="15.75">
      <c r="A133" s="5"/>
      <c s="5"/>
      <c s="5"/>
      <c s="5"/>
      <c s="5"/>
      <c s="5"/>
      <c s="5"/>
      <c s="5"/>
      <c s="5"/>
      <c s="5"/>
      <c s="5"/>
      <c s="5"/>
      <c s="5"/>
      <c s="5"/>
      <c s="5"/>
      <c s="5"/>
      <c s="5"/>
      <c s="5"/>
      <c s="5"/>
      <c s="5"/>
      <c s="5"/>
      <c s="5"/>
      <c s="5"/>
      <c s="5"/>
      <c s="5"/>
      <c s="5"/>
    </row>
    <row r="134" spans="1:26" ht="15.75">
      <c r="A134" s="5"/>
      <c s="5"/>
      <c s="5"/>
      <c s="5"/>
      <c s="5"/>
      <c s="5"/>
      <c s="5"/>
      <c s="5"/>
      <c s="5"/>
      <c s="5"/>
      <c s="5"/>
      <c s="5"/>
      <c s="5"/>
      <c s="5"/>
      <c s="5"/>
      <c s="5"/>
      <c s="5"/>
      <c s="5"/>
      <c s="5"/>
      <c s="5"/>
      <c s="5"/>
      <c s="5"/>
      <c s="5"/>
      <c s="5"/>
      <c s="5"/>
      <c s="5"/>
    </row>
    <row r="135" spans="1:26" ht="15.75">
      <c r="A135" s="5"/>
      <c s="5"/>
      <c s="5"/>
      <c s="5"/>
      <c s="5"/>
      <c s="5"/>
      <c s="5"/>
      <c s="5"/>
      <c s="5"/>
      <c s="5"/>
      <c s="5"/>
      <c s="5"/>
      <c s="5"/>
      <c s="5"/>
      <c s="5"/>
      <c s="5"/>
      <c s="5"/>
      <c s="5"/>
      <c s="5"/>
      <c s="5"/>
      <c s="5"/>
      <c s="5"/>
      <c s="5"/>
      <c s="5"/>
      <c s="5"/>
      <c s="5"/>
    </row>
    <row r="136" spans="1:26" ht="15.75">
      <c r="A136" s="5"/>
      <c s="5"/>
      <c s="5"/>
      <c s="5"/>
      <c s="5"/>
      <c s="5"/>
      <c s="5"/>
      <c s="5"/>
      <c s="5"/>
      <c s="5"/>
      <c s="5"/>
      <c s="5"/>
      <c s="5"/>
      <c s="5"/>
      <c s="5"/>
      <c s="5"/>
      <c s="5"/>
      <c s="5"/>
      <c s="5"/>
      <c s="5"/>
      <c s="5"/>
      <c s="5"/>
      <c s="5"/>
      <c s="5"/>
      <c s="5"/>
      <c s="5"/>
    </row>
    <row r="137" spans="1:26" ht="15.75">
      <c r="A137" s="5"/>
      <c s="5"/>
      <c s="5"/>
      <c s="5"/>
      <c s="5"/>
      <c s="5"/>
      <c s="5"/>
      <c s="5"/>
      <c s="5"/>
      <c s="5"/>
      <c s="5"/>
      <c s="5"/>
      <c s="5"/>
      <c s="5"/>
      <c s="5"/>
      <c s="5"/>
      <c s="5"/>
      <c s="5"/>
      <c s="5"/>
      <c s="5"/>
      <c s="5"/>
      <c s="5"/>
      <c s="5"/>
      <c s="5"/>
      <c s="5"/>
      <c s="5"/>
    </row>
    <row r="138" spans="1:26" ht="15.75">
      <c r="A138" s="5"/>
      <c s="5"/>
      <c s="5"/>
      <c s="5"/>
      <c s="5"/>
      <c s="5"/>
      <c s="5"/>
      <c s="5"/>
      <c s="5"/>
      <c s="5"/>
      <c s="5"/>
      <c s="5"/>
      <c s="5"/>
      <c s="5"/>
      <c s="5"/>
      <c s="5"/>
      <c s="5"/>
      <c s="5"/>
      <c s="5"/>
      <c s="5"/>
      <c s="5"/>
      <c s="5"/>
      <c s="5"/>
      <c s="5"/>
      <c s="5"/>
      <c s="5"/>
    </row>
    <row r="139" spans="1:26" ht="15.75">
      <c r="A139" s="5"/>
      <c s="5"/>
      <c s="5"/>
      <c s="5"/>
      <c s="5"/>
      <c s="5"/>
      <c s="5"/>
      <c s="5"/>
      <c s="5"/>
      <c s="5"/>
      <c s="5"/>
      <c s="5"/>
      <c s="5"/>
      <c s="5"/>
      <c s="5"/>
      <c s="5"/>
      <c s="5"/>
      <c s="5"/>
      <c s="5"/>
      <c s="5"/>
      <c s="5"/>
      <c s="5"/>
      <c s="5"/>
      <c s="5"/>
      <c s="5"/>
      <c s="5"/>
    </row>
    <row r="140" spans="1:26" ht="15.75">
      <c r="A140" s="5"/>
      <c s="5"/>
      <c s="5"/>
      <c s="5"/>
      <c s="5"/>
      <c s="5"/>
      <c s="5"/>
      <c s="5"/>
      <c s="5"/>
      <c s="5"/>
      <c s="5"/>
      <c s="5"/>
      <c s="5"/>
      <c s="5"/>
      <c s="5"/>
      <c s="5"/>
      <c s="5"/>
      <c s="5"/>
      <c s="5"/>
      <c s="5"/>
      <c s="5"/>
      <c s="5"/>
      <c s="5"/>
      <c s="5"/>
      <c s="5"/>
      <c s="5"/>
    </row>
    <row r="141" spans="1:26" ht="15.75">
      <c r="A141" s="5"/>
      <c s="5"/>
      <c s="5"/>
      <c s="5"/>
      <c s="5"/>
      <c s="5"/>
      <c s="5"/>
      <c s="5"/>
      <c s="5"/>
      <c s="5"/>
      <c s="5"/>
      <c s="5"/>
      <c s="5"/>
      <c s="5"/>
      <c s="5"/>
      <c s="5"/>
      <c s="5"/>
      <c s="5"/>
      <c s="5"/>
      <c s="5"/>
      <c s="5"/>
      <c s="5"/>
      <c s="5"/>
      <c s="5"/>
      <c s="5"/>
      <c s="5"/>
    </row>
    <row r="142" spans="1:26" ht="15.75">
      <c r="A142" s="5"/>
      <c s="5"/>
      <c s="5"/>
      <c s="5"/>
      <c s="5"/>
      <c s="5"/>
      <c s="5"/>
      <c s="5"/>
      <c s="5"/>
      <c s="5"/>
      <c s="5"/>
      <c s="5"/>
      <c s="5"/>
      <c s="5"/>
      <c s="5"/>
      <c s="5"/>
      <c s="5"/>
      <c s="5"/>
      <c s="5"/>
      <c s="5"/>
      <c s="5"/>
      <c s="5"/>
      <c s="5"/>
      <c s="5"/>
      <c s="5"/>
      <c s="5"/>
    </row>
    <row r="143" spans="1:26" ht="15.75">
      <c r="A143" s="5"/>
      <c s="5"/>
      <c s="5"/>
      <c s="5"/>
      <c s="5"/>
      <c s="5"/>
      <c s="5"/>
      <c s="5"/>
      <c s="5"/>
      <c s="5"/>
      <c s="5"/>
      <c s="5"/>
      <c s="5"/>
      <c s="5"/>
      <c s="5"/>
      <c s="5"/>
      <c s="5"/>
      <c s="5"/>
      <c s="5"/>
      <c s="5"/>
      <c s="5"/>
      <c s="5"/>
      <c s="5"/>
      <c s="5"/>
      <c s="5"/>
      <c s="5"/>
    </row>
    <row r="144" spans="1:26" ht="15.75">
      <c r="A144" s="5"/>
      <c s="5"/>
      <c s="5"/>
      <c s="5"/>
      <c s="5"/>
      <c s="5"/>
      <c s="5"/>
      <c s="5"/>
      <c s="5"/>
      <c s="5"/>
      <c s="5"/>
      <c s="5"/>
      <c s="5"/>
      <c s="5"/>
      <c s="5"/>
      <c s="5"/>
      <c s="5"/>
      <c s="5"/>
      <c s="5"/>
      <c s="5"/>
      <c s="5"/>
      <c s="5"/>
      <c s="5"/>
      <c s="5"/>
      <c s="5"/>
      <c s="5"/>
    </row>
    <row r="145" spans="1:26" ht="15.75">
      <c r="A145" s="5"/>
      <c s="5"/>
      <c s="5"/>
      <c s="5"/>
      <c s="5"/>
      <c s="5"/>
      <c s="5"/>
      <c s="5"/>
      <c s="5"/>
      <c s="5"/>
      <c s="5"/>
      <c s="5"/>
      <c s="5"/>
      <c s="5"/>
      <c s="5"/>
      <c s="5"/>
      <c s="5"/>
      <c s="5"/>
      <c s="5"/>
      <c s="5"/>
      <c s="5"/>
      <c s="5"/>
      <c s="5"/>
      <c s="5"/>
      <c s="5"/>
      <c s="5"/>
    </row>
    <row r="146" spans="1:26" ht="15.75">
      <c r="A146" s="5"/>
      <c s="5"/>
      <c s="5"/>
      <c s="5"/>
      <c s="5"/>
      <c s="5"/>
      <c s="5"/>
      <c s="5"/>
      <c s="5"/>
      <c s="5"/>
      <c s="5"/>
      <c s="5"/>
      <c s="5"/>
      <c s="5"/>
      <c s="5"/>
      <c s="5"/>
      <c s="5"/>
      <c s="5"/>
      <c s="5"/>
      <c s="5"/>
      <c s="5"/>
      <c s="5"/>
      <c s="5"/>
      <c s="5"/>
      <c s="5"/>
      <c s="5"/>
    </row>
    <row r="147" spans="1:26" ht="15.75">
      <c r="A147" s="5"/>
      <c s="5"/>
      <c s="5"/>
      <c s="5"/>
      <c s="5"/>
      <c s="5"/>
      <c s="5"/>
      <c s="5"/>
      <c s="5"/>
      <c s="5"/>
      <c s="5"/>
      <c s="5"/>
      <c s="5"/>
      <c s="5"/>
      <c s="5"/>
      <c s="5"/>
      <c s="5"/>
      <c s="5"/>
      <c s="5"/>
      <c s="5"/>
      <c s="5"/>
      <c s="5"/>
      <c s="5"/>
      <c s="5"/>
      <c s="5"/>
      <c s="5"/>
    </row>
    <row r="148" spans="1:26" ht="15.75">
      <c r="A148" s="5"/>
      <c s="5"/>
      <c s="5"/>
      <c s="5"/>
      <c s="5"/>
      <c s="5"/>
      <c s="5"/>
      <c s="5"/>
      <c s="5"/>
      <c s="5"/>
      <c s="5"/>
      <c s="5"/>
      <c s="5"/>
      <c s="5"/>
      <c s="5"/>
      <c s="5"/>
      <c s="5"/>
      <c s="5"/>
      <c s="5"/>
      <c s="5"/>
      <c s="5"/>
      <c s="5"/>
      <c s="5"/>
      <c s="5"/>
      <c s="5"/>
      <c s="5"/>
    </row>
    <row r="149" spans="1:26" ht="15.75">
      <c r="A149" s="5"/>
      <c s="5"/>
      <c s="5"/>
      <c s="5"/>
      <c s="5"/>
      <c s="5"/>
      <c s="5"/>
      <c s="5"/>
      <c s="5"/>
      <c s="5"/>
      <c s="5"/>
      <c s="5"/>
      <c s="5"/>
      <c s="5"/>
      <c s="5"/>
      <c s="5"/>
      <c s="5"/>
      <c s="5"/>
      <c s="5"/>
      <c s="5"/>
      <c s="5"/>
      <c s="5"/>
      <c s="5"/>
      <c s="5"/>
      <c s="5"/>
      <c s="5"/>
    </row>
    <row r="150" spans="1:26" ht="15.75">
      <c r="A150" s="5"/>
      <c s="5"/>
      <c s="5"/>
      <c s="5"/>
      <c s="5"/>
      <c s="5"/>
      <c s="5"/>
      <c s="5"/>
      <c s="5"/>
      <c s="5"/>
      <c s="5"/>
      <c s="5"/>
      <c s="5"/>
      <c s="5"/>
      <c s="5"/>
      <c s="5"/>
      <c s="5"/>
      <c s="5"/>
      <c s="5"/>
      <c s="5"/>
      <c s="5"/>
      <c s="5"/>
      <c s="5"/>
      <c s="5"/>
      <c s="5"/>
      <c s="5"/>
    </row>
    <row r="151" spans="1:26" ht="15.75">
      <c r="A151" s="5"/>
      <c s="5"/>
      <c s="5"/>
      <c s="5"/>
      <c s="5"/>
      <c s="5"/>
      <c s="5"/>
      <c s="5"/>
      <c s="5"/>
      <c s="5"/>
      <c s="5"/>
      <c s="5"/>
      <c s="5"/>
      <c s="5"/>
      <c s="5"/>
      <c s="5"/>
      <c s="5"/>
      <c s="5"/>
      <c s="5"/>
      <c s="5"/>
      <c s="5"/>
      <c s="5"/>
      <c s="5"/>
      <c s="5"/>
      <c s="5"/>
      <c s="5"/>
    </row>
    <row r="152" spans="1:26" ht="15.75">
      <c r="A152" s="5"/>
      <c s="5"/>
      <c s="5"/>
      <c s="5"/>
      <c s="5"/>
      <c s="5"/>
      <c s="5"/>
      <c s="5"/>
      <c s="5"/>
      <c s="5"/>
      <c s="5"/>
      <c s="5"/>
      <c s="5"/>
      <c s="5"/>
      <c s="5"/>
      <c s="5"/>
      <c s="5"/>
      <c s="5"/>
      <c s="5"/>
      <c s="5"/>
      <c s="5"/>
      <c s="5"/>
      <c s="5"/>
      <c s="5"/>
      <c s="5"/>
      <c s="5"/>
    </row>
    <row r="153" spans="1:26" ht="15.75">
      <c r="A153" s="5"/>
      <c s="5"/>
      <c s="5"/>
      <c s="5"/>
      <c s="5"/>
      <c s="5"/>
      <c s="5"/>
      <c s="5"/>
      <c s="5"/>
      <c s="5"/>
      <c s="5"/>
      <c s="5"/>
      <c s="5"/>
      <c s="5"/>
      <c s="5"/>
      <c s="5"/>
      <c s="5"/>
      <c s="5"/>
      <c s="5"/>
      <c s="5"/>
      <c s="5"/>
      <c s="5"/>
      <c s="5"/>
      <c s="5"/>
      <c s="5"/>
      <c s="5"/>
    </row>
    <row r="154" spans="1:26" ht="15.75">
      <c r="A154" s="5"/>
      <c s="5"/>
      <c s="5"/>
      <c s="5"/>
      <c s="5"/>
      <c s="5"/>
      <c s="5"/>
      <c s="5"/>
      <c s="5"/>
      <c s="5"/>
      <c s="5"/>
      <c s="5"/>
      <c s="5"/>
      <c s="5"/>
      <c s="5"/>
      <c s="5"/>
      <c s="5"/>
      <c s="5"/>
      <c s="5"/>
      <c s="5"/>
      <c s="5"/>
      <c s="5"/>
      <c s="5"/>
      <c s="5"/>
      <c s="5"/>
      <c s="5"/>
    </row>
    <row r="155" spans="1:26" ht="15.75">
      <c r="A155" s="5"/>
      <c s="5"/>
      <c s="5"/>
      <c s="5"/>
      <c s="5"/>
      <c s="5"/>
      <c s="5"/>
      <c s="5"/>
      <c s="5"/>
      <c s="5"/>
      <c s="5"/>
      <c s="5"/>
      <c s="5"/>
      <c s="5"/>
      <c s="5"/>
      <c s="5"/>
      <c s="5"/>
      <c s="5"/>
      <c s="5"/>
      <c s="5"/>
      <c s="5"/>
      <c s="5"/>
      <c s="5"/>
      <c s="5"/>
      <c s="5"/>
      <c s="5"/>
    </row>
    <row r="156" spans="1:26" ht="15.75">
      <c r="A156" s="5"/>
      <c s="5"/>
      <c s="5"/>
      <c s="5"/>
      <c s="5"/>
      <c s="5"/>
      <c s="5"/>
      <c s="5"/>
      <c s="5"/>
      <c s="5"/>
      <c s="5"/>
      <c s="5"/>
      <c s="5"/>
      <c s="5"/>
      <c s="5"/>
      <c s="5"/>
      <c s="5"/>
      <c s="5"/>
      <c s="5"/>
      <c s="5"/>
      <c s="5"/>
      <c s="5"/>
      <c s="5"/>
      <c s="5"/>
      <c s="5"/>
      <c s="5"/>
    </row>
    <row r="157" spans="1:26" ht="15.75">
      <c r="A157" s="5"/>
      <c s="5"/>
      <c s="5"/>
      <c s="5"/>
      <c s="5"/>
      <c s="5"/>
      <c s="5"/>
      <c s="5"/>
      <c s="5"/>
      <c s="5"/>
      <c s="5"/>
      <c s="5"/>
      <c s="5"/>
      <c s="5"/>
      <c s="5"/>
      <c s="5"/>
      <c s="5"/>
      <c s="5"/>
      <c s="5"/>
      <c s="5"/>
      <c s="5"/>
      <c s="5"/>
      <c s="5"/>
      <c s="5"/>
      <c s="5"/>
      <c s="5"/>
    </row>
    <row r="158" spans="1:26" ht="15.75">
      <c r="A158" s="5"/>
      <c s="5"/>
      <c s="5"/>
      <c s="5"/>
      <c s="5"/>
      <c s="5"/>
      <c s="5"/>
      <c s="5"/>
      <c s="5"/>
      <c s="5"/>
      <c s="5"/>
      <c s="5"/>
      <c s="5"/>
      <c s="5"/>
      <c s="5"/>
      <c s="5"/>
      <c s="5"/>
      <c s="5"/>
      <c s="5"/>
      <c s="5"/>
      <c s="5"/>
      <c s="5"/>
      <c s="5"/>
      <c s="5"/>
      <c s="5"/>
      <c s="5"/>
    </row>
    <row r="159" spans="1:26" ht="15.75">
      <c r="A159" s="5"/>
      <c s="5"/>
      <c s="5"/>
      <c s="5"/>
      <c s="5"/>
      <c s="5"/>
      <c s="5"/>
      <c s="5"/>
      <c s="5"/>
      <c s="5"/>
      <c s="5"/>
      <c s="5"/>
      <c s="5"/>
      <c s="5"/>
      <c s="5"/>
      <c s="5"/>
      <c s="5"/>
      <c s="5"/>
      <c s="5"/>
      <c s="5"/>
      <c s="5"/>
      <c s="5"/>
      <c s="5"/>
      <c s="5"/>
      <c s="5"/>
      <c s="5"/>
    </row>
    <row r="160" spans="1:26" ht="15.75">
      <c r="A160" s="5"/>
      <c s="5"/>
      <c s="5"/>
      <c s="5"/>
      <c s="5"/>
      <c s="5"/>
      <c s="5"/>
      <c s="5"/>
      <c s="5"/>
      <c s="5"/>
      <c s="5"/>
      <c s="5"/>
      <c s="5"/>
      <c s="5"/>
      <c s="5"/>
      <c s="5"/>
      <c s="5"/>
      <c s="5"/>
      <c s="5"/>
      <c s="5"/>
      <c s="5"/>
      <c s="5"/>
      <c s="5"/>
      <c s="5"/>
      <c s="5"/>
      <c s="5"/>
    </row>
    <row r="161" spans="1:26" ht="15.75">
      <c r="A161" s="5"/>
      <c s="5"/>
      <c s="5"/>
      <c s="5"/>
      <c s="5"/>
      <c s="5"/>
      <c s="5"/>
      <c s="5"/>
      <c s="5"/>
      <c s="5"/>
      <c s="5"/>
      <c s="5"/>
      <c s="5"/>
      <c s="5"/>
      <c s="5"/>
      <c s="5"/>
      <c s="5"/>
      <c s="5"/>
      <c s="5"/>
      <c s="5"/>
      <c s="5"/>
      <c s="5"/>
      <c s="5"/>
      <c s="5"/>
      <c s="5"/>
      <c s="5"/>
    </row>
    <row r="162" spans="1:26" ht="15.75">
      <c r="A162" s="5"/>
      <c s="5"/>
      <c s="5"/>
      <c s="5"/>
      <c s="5"/>
      <c s="5"/>
      <c s="5"/>
      <c s="5"/>
      <c s="5"/>
      <c s="5"/>
      <c s="5"/>
      <c s="5"/>
      <c s="5"/>
      <c s="5"/>
      <c s="5"/>
      <c s="5"/>
      <c s="5"/>
      <c s="5"/>
      <c s="5"/>
      <c s="5"/>
      <c s="5"/>
      <c s="5"/>
      <c s="5"/>
      <c s="5"/>
      <c s="5"/>
      <c s="5"/>
    </row>
    <row r="163" spans="1:26" ht="15.75">
      <c r="A163" s="5"/>
      <c s="5"/>
      <c s="5"/>
      <c s="5"/>
      <c s="5"/>
      <c s="5"/>
      <c s="5"/>
      <c s="5"/>
      <c s="5"/>
      <c s="5"/>
      <c s="5"/>
      <c s="5"/>
      <c s="5"/>
      <c s="5"/>
      <c s="5"/>
      <c s="5"/>
      <c s="5"/>
      <c s="5"/>
      <c s="5"/>
      <c s="5"/>
      <c s="5"/>
      <c s="5"/>
      <c s="5"/>
      <c s="5"/>
      <c s="5"/>
      <c s="5"/>
    </row>
    <row r="164" spans="1:26" ht="15.75">
      <c r="A164" s="5"/>
      <c s="5"/>
      <c s="5"/>
      <c s="5"/>
      <c s="5"/>
      <c s="5"/>
      <c s="5"/>
      <c s="5"/>
      <c s="5"/>
      <c s="5"/>
      <c s="5"/>
      <c s="5"/>
      <c s="5"/>
      <c s="5"/>
      <c s="5"/>
      <c s="5"/>
      <c s="5"/>
      <c s="5"/>
      <c s="5"/>
      <c s="5"/>
      <c s="5"/>
      <c s="5"/>
      <c s="5"/>
      <c s="5"/>
      <c s="5"/>
      <c s="5"/>
    </row>
    <row r="165" spans="1:26" ht="15.75">
      <c r="A165" s="5"/>
      <c s="5"/>
      <c s="5"/>
      <c s="5"/>
      <c s="5"/>
      <c s="5"/>
      <c s="5"/>
      <c s="5"/>
      <c s="5"/>
      <c s="5"/>
      <c s="5"/>
      <c s="5"/>
      <c s="5"/>
      <c s="5"/>
      <c s="5"/>
      <c s="5"/>
      <c s="5"/>
      <c s="5"/>
      <c s="5"/>
      <c s="5"/>
      <c s="5"/>
      <c s="5"/>
      <c s="5"/>
      <c s="5"/>
      <c s="5"/>
      <c s="5"/>
    </row>
    <row r="166" spans="1:26" ht="15.75">
      <c r="A166" s="5"/>
      <c s="5"/>
      <c s="5"/>
      <c s="5"/>
      <c s="5"/>
      <c s="5"/>
      <c s="5"/>
      <c s="5"/>
      <c s="5"/>
      <c s="5"/>
      <c s="5"/>
      <c s="5"/>
      <c s="5"/>
      <c s="5"/>
      <c s="5"/>
      <c s="5"/>
      <c s="5"/>
      <c s="5"/>
      <c s="5"/>
      <c s="5"/>
      <c s="5"/>
      <c s="5"/>
      <c s="5"/>
      <c s="5"/>
      <c s="5"/>
      <c s="5"/>
    </row>
    <row r="167" spans="1:26" ht="15.75">
      <c r="A167" s="5"/>
      <c s="5"/>
      <c s="5"/>
      <c s="5"/>
      <c s="5"/>
      <c s="5"/>
      <c s="5"/>
      <c s="5"/>
      <c s="5"/>
      <c s="5"/>
      <c s="5"/>
      <c s="5"/>
      <c s="5"/>
      <c s="5"/>
      <c s="5"/>
      <c s="5"/>
      <c s="5"/>
      <c s="5"/>
      <c s="5"/>
      <c s="5"/>
      <c s="5"/>
      <c s="5"/>
      <c s="5"/>
      <c s="5"/>
      <c s="5"/>
      <c s="5"/>
    </row>
    <row r="168" spans="1:26" ht="15.75">
      <c r="A168" s="5"/>
      <c s="5"/>
      <c s="5"/>
      <c s="5"/>
      <c s="5"/>
      <c s="5"/>
      <c s="5"/>
      <c s="5"/>
      <c s="5"/>
      <c s="5"/>
      <c s="5"/>
      <c s="5"/>
      <c s="5"/>
      <c s="5"/>
      <c s="5"/>
      <c s="5"/>
      <c s="5"/>
      <c s="5"/>
      <c s="5"/>
      <c s="5"/>
      <c s="5"/>
      <c s="5"/>
      <c s="5"/>
      <c s="5"/>
      <c s="5"/>
      <c s="5"/>
    </row>
    <row r="169" spans="1:26" ht="15.75">
      <c r="A169" s="5"/>
      <c s="5"/>
      <c s="5"/>
      <c s="5"/>
      <c s="5"/>
      <c s="5"/>
      <c s="5"/>
      <c s="5"/>
      <c s="5"/>
      <c s="5"/>
      <c s="5"/>
      <c s="5"/>
      <c s="5"/>
      <c s="5"/>
      <c s="5"/>
      <c s="5"/>
      <c s="5"/>
      <c s="5"/>
      <c s="5"/>
      <c s="5"/>
      <c s="5"/>
      <c s="5"/>
      <c s="5"/>
      <c s="5"/>
      <c s="5"/>
      <c s="5"/>
    </row>
    <row r="170" spans="1:26" ht="15.75">
      <c r="A170" s="5"/>
      <c s="5"/>
      <c s="5"/>
      <c s="5"/>
      <c s="5"/>
      <c s="5"/>
      <c s="5"/>
      <c s="5"/>
      <c s="5"/>
      <c s="5"/>
      <c s="5"/>
      <c s="5"/>
      <c s="5"/>
      <c s="5"/>
      <c s="5"/>
      <c s="5"/>
      <c s="5"/>
      <c s="5"/>
      <c s="5"/>
      <c s="5"/>
      <c s="5"/>
      <c s="5"/>
      <c s="5"/>
      <c s="5"/>
      <c s="5"/>
      <c s="5"/>
    </row>
    <row r="171" spans="1:26" ht="15.75">
      <c r="A171" s="5"/>
      <c s="5"/>
      <c s="5"/>
      <c s="5"/>
      <c s="5"/>
      <c s="5"/>
      <c s="5"/>
      <c s="5"/>
      <c s="5"/>
      <c s="5"/>
      <c s="5"/>
      <c s="5"/>
      <c s="5"/>
      <c s="5"/>
      <c s="5"/>
      <c s="5"/>
      <c s="5"/>
      <c s="5"/>
      <c s="5"/>
      <c s="5"/>
      <c s="5"/>
      <c s="5"/>
      <c s="5"/>
      <c s="5"/>
      <c s="5"/>
      <c s="5"/>
    </row>
    <row r="172" spans="1:26" ht="15.75">
      <c r="A172" s="5"/>
      <c s="5"/>
      <c s="5"/>
      <c s="5"/>
      <c s="5"/>
      <c s="5"/>
      <c s="5"/>
      <c s="5"/>
      <c s="5"/>
      <c s="5"/>
      <c s="5"/>
      <c s="5"/>
      <c s="5"/>
      <c s="5"/>
      <c s="5"/>
      <c s="5"/>
      <c s="5"/>
      <c s="5"/>
      <c s="5"/>
      <c s="5"/>
      <c s="5"/>
      <c s="5"/>
      <c s="5"/>
      <c s="5"/>
      <c s="5"/>
      <c s="5"/>
    </row>
    <row r="173" spans="1:26" ht="15.75">
      <c r="A173" s="5"/>
      <c s="5"/>
      <c s="5"/>
      <c s="5"/>
      <c s="5"/>
      <c s="5"/>
      <c s="5"/>
      <c s="5"/>
      <c s="5"/>
      <c s="5"/>
      <c s="5"/>
      <c s="5"/>
      <c s="5"/>
      <c s="5"/>
      <c s="5"/>
      <c s="5"/>
      <c s="5"/>
      <c s="5"/>
      <c s="5"/>
      <c s="5"/>
      <c s="5"/>
      <c s="5"/>
      <c s="5"/>
      <c s="5"/>
      <c s="5"/>
      <c s="5"/>
    </row>
    <row r="174" spans="1:26" ht="15.75">
      <c r="A174" s="5"/>
      <c s="5"/>
      <c s="5"/>
      <c s="5"/>
      <c s="5"/>
      <c s="5"/>
      <c s="5"/>
      <c s="5"/>
      <c s="5"/>
      <c s="5"/>
      <c s="5"/>
      <c s="5"/>
      <c s="5"/>
      <c s="5"/>
      <c s="5"/>
      <c s="5"/>
      <c s="5"/>
      <c s="5"/>
      <c s="5"/>
      <c s="5"/>
      <c s="5"/>
      <c s="5"/>
      <c s="5"/>
      <c s="5"/>
      <c s="5"/>
      <c s="5"/>
    </row>
    <row r="175" spans="1:26" ht="15.75">
      <c r="A175" s="5"/>
      <c s="5"/>
      <c s="5"/>
      <c s="5"/>
      <c s="5"/>
      <c s="5"/>
      <c s="5"/>
      <c s="5"/>
      <c s="5"/>
      <c s="5"/>
      <c s="5"/>
      <c s="5"/>
      <c s="5"/>
      <c s="5"/>
      <c s="5"/>
      <c s="5"/>
      <c s="5"/>
      <c s="5"/>
      <c s="5"/>
      <c s="5"/>
      <c s="5"/>
      <c s="5"/>
      <c s="5"/>
      <c s="5"/>
      <c s="5"/>
      <c s="5"/>
    </row>
    <row r="176" spans="1:26" ht="15.75">
      <c r="A176" s="5"/>
      <c s="5"/>
      <c s="5"/>
      <c s="5"/>
      <c s="5"/>
      <c s="5"/>
      <c s="5"/>
      <c s="5"/>
      <c s="5"/>
      <c s="5"/>
      <c s="5"/>
      <c s="5"/>
      <c s="5"/>
      <c s="5"/>
      <c s="5"/>
      <c s="5"/>
      <c s="5"/>
      <c s="5"/>
      <c s="5"/>
      <c s="5"/>
      <c s="5"/>
      <c s="5"/>
      <c s="5"/>
      <c s="5"/>
      <c s="5"/>
      <c s="5"/>
    </row>
    <row r="177" spans="1:26" ht="15.75">
      <c r="A177" s="5"/>
      <c s="5"/>
      <c s="5"/>
      <c s="5"/>
      <c s="5"/>
      <c s="5"/>
      <c s="5"/>
      <c s="5"/>
      <c s="5"/>
      <c s="5"/>
      <c s="5"/>
      <c s="5"/>
      <c s="5"/>
      <c s="5"/>
      <c s="5"/>
      <c s="5"/>
      <c s="5"/>
      <c s="5"/>
      <c s="5"/>
      <c s="5"/>
      <c s="5"/>
      <c s="5"/>
      <c s="5"/>
      <c s="5"/>
      <c s="5"/>
      <c s="5"/>
    </row>
    <row r="178" spans="1:26" ht="15.75">
      <c r="A178" s="5"/>
      <c s="5"/>
      <c s="5"/>
      <c s="5"/>
      <c s="5"/>
      <c s="5"/>
      <c s="5"/>
      <c s="5"/>
      <c s="5"/>
      <c s="5"/>
      <c s="5"/>
      <c s="5"/>
      <c s="5"/>
      <c s="5"/>
      <c s="5"/>
      <c s="5"/>
      <c s="5"/>
      <c s="5"/>
      <c s="5"/>
      <c s="5"/>
      <c s="5"/>
      <c s="5"/>
      <c s="5"/>
      <c s="5"/>
      <c s="5"/>
      <c s="5"/>
    </row>
    <row r="179" spans="1:26" ht="15.75">
      <c r="A179" s="5"/>
      <c s="5"/>
      <c s="5"/>
      <c s="5"/>
      <c s="5"/>
      <c s="5"/>
      <c s="5"/>
      <c s="5"/>
      <c s="5"/>
      <c s="5"/>
      <c s="5"/>
      <c s="5"/>
      <c s="5"/>
      <c s="5"/>
      <c s="5"/>
      <c s="5"/>
      <c s="5"/>
      <c s="5"/>
      <c s="5"/>
      <c s="5"/>
      <c s="5"/>
      <c s="5"/>
      <c s="5"/>
      <c s="5"/>
      <c s="5"/>
      <c s="5"/>
    </row>
    <row r="180" spans="1:26" ht="15.75">
      <c r="A180" s="5"/>
      <c s="5"/>
      <c s="5"/>
      <c s="5"/>
      <c s="5"/>
      <c s="5"/>
      <c s="5"/>
      <c s="5"/>
      <c s="5"/>
      <c s="5"/>
      <c s="5"/>
      <c s="5"/>
      <c s="5"/>
      <c s="5"/>
      <c s="5"/>
      <c s="5"/>
      <c s="5"/>
      <c s="5"/>
      <c s="5"/>
      <c s="5"/>
      <c s="5"/>
      <c s="5"/>
      <c s="5"/>
      <c s="5"/>
      <c s="5"/>
      <c s="5"/>
    </row>
    <row r="181" spans="1:26" ht="15.75">
      <c r="A181" s="5"/>
      <c s="5"/>
      <c s="5"/>
      <c s="5"/>
      <c s="5"/>
      <c s="5"/>
      <c s="5"/>
      <c s="5"/>
      <c s="5"/>
      <c s="5"/>
      <c s="5"/>
      <c s="5"/>
      <c s="5"/>
      <c s="5"/>
      <c s="5"/>
      <c s="5"/>
      <c s="5"/>
      <c s="5"/>
      <c s="5"/>
      <c s="5"/>
      <c s="5"/>
      <c s="5"/>
      <c s="5"/>
      <c s="5"/>
      <c s="5"/>
      <c s="5"/>
    </row>
    <row r="182" spans="1:26" ht="15.75">
      <c r="A182" s="5"/>
      <c s="5"/>
      <c s="5"/>
      <c s="5"/>
      <c s="5"/>
      <c s="5"/>
      <c s="5"/>
      <c s="5"/>
      <c s="5"/>
      <c s="5"/>
      <c s="5"/>
      <c s="5"/>
      <c s="5"/>
      <c s="5"/>
      <c s="5"/>
      <c s="5"/>
      <c s="5"/>
      <c s="5"/>
      <c s="5"/>
      <c s="5"/>
      <c s="5"/>
      <c s="5"/>
      <c s="5"/>
      <c s="5"/>
      <c s="5"/>
      <c s="5"/>
    </row>
    <row r="183" spans="1:26" ht="15.75">
      <c r="A183" s="5"/>
      <c s="5"/>
      <c s="5"/>
      <c s="5"/>
      <c s="5"/>
      <c s="5"/>
      <c s="5"/>
      <c s="5"/>
      <c s="5"/>
      <c s="5"/>
      <c s="5"/>
      <c s="5"/>
      <c s="5"/>
      <c s="5"/>
      <c s="5"/>
      <c s="5"/>
      <c s="5"/>
      <c s="5"/>
      <c s="5"/>
      <c s="5"/>
      <c s="5"/>
      <c s="5"/>
      <c s="5"/>
      <c s="5"/>
      <c s="5"/>
      <c s="5"/>
    </row>
    <row r="184" spans="1:26" ht="15.75">
      <c r="A184" s="5"/>
      <c s="5"/>
      <c s="5"/>
      <c s="5"/>
      <c s="5"/>
      <c s="5"/>
      <c s="5"/>
      <c s="5"/>
      <c s="5"/>
      <c s="5"/>
      <c s="5"/>
      <c s="5"/>
      <c s="5"/>
      <c s="5"/>
      <c s="5"/>
      <c s="5"/>
      <c s="5"/>
      <c s="5"/>
      <c s="5"/>
      <c s="5"/>
      <c s="5"/>
      <c s="5"/>
      <c s="5"/>
      <c s="5"/>
      <c s="5"/>
      <c s="5"/>
    </row>
    <row r="185" spans="1:26" ht="15.75">
      <c r="A185" s="5"/>
      <c s="5"/>
      <c s="5"/>
      <c s="5"/>
      <c s="5"/>
      <c s="5"/>
      <c s="5"/>
      <c s="5"/>
      <c s="5"/>
      <c s="5"/>
      <c s="5"/>
      <c s="5"/>
      <c s="5"/>
      <c s="5"/>
      <c s="5"/>
      <c s="5"/>
      <c s="5"/>
      <c s="5"/>
      <c s="5"/>
      <c s="5"/>
      <c s="5"/>
      <c s="5"/>
      <c s="5"/>
      <c s="5"/>
      <c s="5"/>
      <c s="5"/>
    </row>
    <row r="186" spans="1:26" ht="15.75">
      <c r="A186" s="5"/>
      <c s="5"/>
      <c s="5"/>
      <c s="5"/>
      <c s="5"/>
      <c s="5"/>
      <c s="5"/>
      <c s="5"/>
      <c s="5"/>
      <c s="5"/>
      <c s="5"/>
      <c s="5"/>
      <c s="5"/>
      <c s="5"/>
      <c s="5"/>
      <c s="5"/>
      <c s="5"/>
      <c s="5"/>
      <c s="5"/>
      <c s="5"/>
      <c s="5"/>
      <c s="5"/>
      <c s="5"/>
      <c s="5"/>
      <c s="5"/>
      <c s="5"/>
    </row>
    <row r="187" spans="1:26" ht="15.75">
      <c r="A187" s="5"/>
      <c s="5"/>
      <c s="5"/>
      <c s="5"/>
      <c s="5"/>
      <c s="5"/>
      <c s="5"/>
      <c s="5"/>
      <c s="5"/>
      <c s="5"/>
      <c s="5"/>
      <c s="5"/>
      <c s="5"/>
      <c s="5"/>
      <c s="5"/>
      <c s="5"/>
      <c s="5"/>
      <c s="5"/>
      <c s="5"/>
      <c s="5"/>
      <c s="5"/>
      <c s="5"/>
      <c s="5"/>
      <c s="5"/>
      <c s="5"/>
      <c s="5"/>
    </row>
    <row r="188" spans="1:26" ht="15.75">
      <c r="A188" s="5"/>
      <c s="5"/>
      <c s="5"/>
      <c s="5"/>
      <c s="5"/>
      <c s="5"/>
      <c s="5"/>
      <c s="5"/>
      <c s="5"/>
      <c s="5"/>
      <c s="5"/>
      <c s="5"/>
      <c s="5"/>
      <c s="5"/>
      <c s="5"/>
      <c s="5"/>
      <c s="5"/>
      <c s="5"/>
      <c s="5"/>
      <c s="5"/>
      <c s="5"/>
      <c s="5"/>
      <c s="5"/>
      <c s="5"/>
      <c s="5"/>
      <c s="5"/>
    </row>
    <row r="189" spans="1:26" ht="15.75">
      <c r="A189" s="5"/>
      <c s="5"/>
      <c s="5"/>
      <c s="5"/>
      <c s="5"/>
      <c s="5"/>
      <c s="5"/>
      <c s="5"/>
      <c s="5"/>
      <c s="5"/>
      <c s="5"/>
      <c s="5"/>
      <c s="5"/>
      <c s="5"/>
      <c s="5"/>
      <c s="5"/>
      <c s="5"/>
      <c s="5"/>
      <c s="5"/>
      <c s="5"/>
      <c s="5"/>
      <c s="5"/>
      <c s="5"/>
      <c s="5"/>
      <c s="5"/>
      <c s="5"/>
    </row>
    <row r="190" spans="1:26" ht="15.75">
      <c r="A190" s="5"/>
      <c s="5"/>
      <c s="5"/>
      <c s="5"/>
      <c s="5"/>
      <c s="5"/>
      <c s="5"/>
      <c s="5"/>
      <c s="5"/>
      <c s="5"/>
      <c s="5"/>
      <c s="5"/>
      <c s="5"/>
      <c s="5"/>
      <c s="5"/>
      <c s="5"/>
      <c s="5"/>
      <c s="5"/>
      <c s="5"/>
      <c s="5"/>
      <c s="5"/>
      <c s="5"/>
      <c s="5"/>
      <c s="5"/>
      <c s="5"/>
      <c s="5"/>
    </row>
    <row r="191" spans="1:26" ht="15.75">
      <c r="A191" s="5"/>
      <c s="5"/>
      <c s="5"/>
      <c s="5"/>
      <c s="5"/>
      <c s="5"/>
      <c s="5"/>
      <c s="5"/>
      <c s="5"/>
      <c s="5"/>
      <c s="5"/>
      <c s="5"/>
      <c s="5"/>
      <c s="5"/>
      <c s="5"/>
      <c s="5"/>
      <c s="5"/>
      <c s="5"/>
      <c s="5"/>
      <c s="5"/>
      <c s="5"/>
      <c s="5"/>
      <c s="5"/>
      <c s="5"/>
      <c s="5"/>
      <c s="5"/>
    </row>
    <row r="192" spans="1:26" ht="15.75">
      <c r="A192" s="5"/>
      <c s="5"/>
      <c s="5"/>
      <c s="5"/>
      <c s="5"/>
      <c s="5"/>
      <c s="5"/>
      <c s="5"/>
      <c s="5"/>
      <c s="5"/>
      <c s="5"/>
      <c s="5"/>
      <c s="5"/>
      <c s="5"/>
      <c s="5"/>
      <c s="5"/>
      <c s="5"/>
      <c s="5"/>
      <c s="5"/>
      <c s="5"/>
      <c s="5"/>
      <c s="5"/>
      <c s="5"/>
      <c s="5"/>
      <c s="5"/>
      <c s="5"/>
    </row>
    <row r="193" spans="1:26" ht="15.75">
      <c r="A193" s="5"/>
      <c s="5"/>
      <c s="5"/>
      <c s="5"/>
      <c s="5"/>
      <c s="5"/>
      <c s="5"/>
      <c s="5"/>
      <c s="5"/>
      <c s="5"/>
      <c s="5"/>
      <c s="5"/>
      <c s="5"/>
      <c s="5"/>
      <c s="5"/>
      <c s="5"/>
      <c s="5"/>
      <c s="5"/>
      <c s="5"/>
      <c s="5"/>
      <c s="5"/>
      <c s="5"/>
      <c s="5"/>
      <c s="5"/>
      <c s="5"/>
      <c s="5"/>
    </row>
    <row r="194" spans="1:26" ht="15.75">
      <c r="A194" s="5"/>
      <c s="5"/>
      <c s="5"/>
      <c s="5"/>
      <c s="5"/>
      <c s="5"/>
      <c s="5"/>
      <c s="5"/>
      <c s="5"/>
      <c s="5"/>
      <c s="5"/>
      <c s="5"/>
      <c s="5"/>
      <c s="5"/>
      <c s="5"/>
      <c s="5"/>
      <c s="5"/>
      <c s="5"/>
      <c s="5"/>
      <c s="5"/>
      <c s="5"/>
      <c s="5"/>
      <c s="5"/>
      <c s="5"/>
      <c s="5"/>
      <c s="5"/>
    </row>
    <row r="195" spans="1:26" ht="15.75">
      <c r="A195" s="5"/>
      <c s="5"/>
      <c s="5"/>
      <c s="5"/>
      <c s="5"/>
      <c s="5"/>
      <c s="5"/>
      <c s="5"/>
      <c s="5"/>
      <c s="5"/>
      <c s="5"/>
      <c s="5"/>
      <c s="5"/>
      <c s="5"/>
      <c s="5"/>
      <c s="5"/>
      <c s="5"/>
      <c s="5"/>
      <c s="5"/>
      <c s="5"/>
      <c s="5"/>
      <c s="5"/>
      <c s="5"/>
      <c s="5"/>
      <c s="5"/>
      <c s="5"/>
    </row>
    <row r="196" spans="1:26" ht="15.75">
      <c r="A196" s="5"/>
      <c s="5"/>
      <c s="5"/>
      <c s="5"/>
      <c s="5"/>
      <c s="5"/>
      <c s="5"/>
      <c s="5"/>
      <c s="5"/>
      <c s="5"/>
      <c s="5"/>
      <c s="5"/>
      <c s="5"/>
      <c s="5"/>
      <c s="5"/>
      <c s="5"/>
      <c s="5"/>
      <c s="5"/>
      <c s="5"/>
      <c s="5"/>
      <c s="5"/>
      <c s="5"/>
      <c s="5"/>
      <c s="5"/>
      <c s="5"/>
      <c s="5"/>
    </row>
    <row r="197" spans="1:26" ht="15.75">
      <c r="A197" s="5"/>
      <c s="5"/>
      <c s="5"/>
      <c s="5"/>
      <c s="5"/>
      <c s="5"/>
      <c s="5"/>
      <c s="5"/>
      <c s="5"/>
      <c s="5"/>
      <c s="5"/>
      <c s="5"/>
      <c s="5"/>
      <c s="5"/>
      <c s="5"/>
      <c s="5"/>
      <c s="5"/>
      <c s="5"/>
      <c s="5"/>
      <c s="5"/>
      <c s="5"/>
      <c s="5"/>
      <c s="5"/>
      <c s="5"/>
      <c s="5"/>
      <c s="5"/>
    </row>
    <row r="198" spans="1:26" ht="15.75">
      <c r="A198" s="5"/>
      <c s="5"/>
      <c s="5"/>
      <c s="5"/>
      <c s="5"/>
      <c s="5"/>
      <c s="5"/>
      <c s="5"/>
      <c s="5"/>
      <c s="5"/>
      <c s="5"/>
      <c s="5"/>
      <c s="5"/>
      <c s="5"/>
      <c s="5"/>
      <c s="5"/>
      <c s="5"/>
      <c s="5"/>
      <c s="5"/>
      <c s="5"/>
      <c s="5"/>
      <c s="5"/>
      <c s="5"/>
      <c s="5"/>
      <c s="5"/>
      <c s="5"/>
    </row>
    <row r="199" spans="1:26" ht="15.75">
      <c r="A199" s="5"/>
      <c s="5"/>
      <c s="5"/>
      <c s="5"/>
      <c s="5"/>
      <c s="5"/>
      <c s="5"/>
      <c s="5"/>
      <c s="5"/>
      <c s="5"/>
      <c s="5"/>
      <c s="5"/>
      <c s="5"/>
      <c s="5"/>
      <c s="5"/>
      <c s="5"/>
      <c s="5"/>
      <c s="5"/>
      <c s="5"/>
      <c s="5"/>
      <c s="5"/>
      <c s="5"/>
      <c s="5"/>
      <c s="5"/>
      <c s="5"/>
      <c s="5"/>
    </row>
    <row r="200" spans="1:26" ht="15.75">
      <c r="A200" s="5"/>
      <c s="5"/>
      <c s="5"/>
      <c s="5"/>
      <c s="5"/>
      <c s="5"/>
      <c s="5"/>
      <c s="5"/>
      <c s="5"/>
      <c s="5"/>
      <c s="5"/>
      <c s="5"/>
      <c s="5"/>
      <c s="5"/>
      <c s="5"/>
      <c s="5"/>
      <c s="5"/>
      <c s="5"/>
      <c s="5"/>
      <c s="5"/>
      <c s="5"/>
      <c s="5"/>
      <c s="5"/>
      <c s="5"/>
      <c s="5"/>
      <c s="5"/>
    </row>
    <row r="201" spans="1:26" ht="15.75">
      <c r="A201" s="5"/>
      <c s="5"/>
      <c s="5"/>
      <c s="5"/>
      <c s="5"/>
      <c s="5"/>
      <c s="5"/>
      <c s="5"/>
      <c s="5"/>
      <c s="5"/>
      <c s="5"/>
      <c s="5"/>
      <c s="5"/>
      <c s="5"/>
      <c s="5"/>
      <c s="5"/>
      <c s="5"/>
      <c s="5"/>
      <c s="5"/>
      <c s="5"/>
      <c s="5"/>
      <c s="5"/>
      <c s="5"/>
      <c s="5"/>
      <c s="5"/>
      <c s="5"/>
    </row>
    <row r="202" spans="1:26" ht="15.75">
      <c r="A202" s="5"/>
      <c s="5"/>
      <c s="5"/>
      <c s="5"/>
      <c s="5"/>
      <c s="5"/>
      <c s="5"/>
      <c s="5"/>
      <c s="5"/>
      <c s="5"/>
      <c s="5"/>
      <c s="5"/>
      <c s="5"/>
      <c s="5"/>
      <c s="5"/>
      <c s="5"/>
      <c s="5"/>
      <c s="5"/>
      <c s="5"/>
      <c s="5"/>
      <c s="5"/>
      <c s="5"/>
      <c s="5"/>
      <c s="5"/>
      <c s="5"/>
      <c s="5"/>
    </row>
    <row r="203" spans="1:26" ht="15.75">
      <c r="A203" s="5"/>
      <c s="5"/>
      <c s="5"/>
      <c s="5"/>
      <c s="5"/>
      <c s="5"/>
      <c s="5"/>
      <c s="5"/>
      <c s="5"/>
      <c s="5"/>
      <c s="5"/>
      <c s="5"/>
      <c s="5"/>
      <c s="5"/>
      <c s="5"/>
      <c s="5"/>
      <c s="5"/>
      <c s="5"/>
      <c s="5"/>
      <c s="5"/>
      <c s="5"/>
      <c s="5"/>
      <c s="5"/>
      <c s="5"/>
      <c s="5"/>
      <c s="5"/>
    </row>
    <row r="204" spans="1:26" ht="15.75">
      <c r="A204" s="5"/>
      <c s="5"/>
      <c s="5"/>
      <c s="5"/>
      <c s="5"/>
      <c s="5"/>
      <c s="5"/>
      <c s="5"/>
      <c s="5"/>
      <c s="5"/>
      <c s="5"/>
      <c s="5"/>
      <c s="5"/>
      <c s="5"/>
      <c s="5"/>
      <c s="5"/>
      <c s="5"/>
      <c s="5"/>
      <c s="5"/>
      <c s="5"/>
      <c s="5"/>
      <c s="5"/>
      <c s="5"/>
      <c s="5"/>
      <c s="5"/>
      <c s="5"/>
    </row>
    <row r="205" spans="1:26" ht="15.75">
      <c r="A205" s="5"/>
      <c s="5"/>
      <c s="5"/>
      <c s="5"/>
      <c s="5"/>
      <c s="5"/>
      <c s="5"/>
      <c s="5"/>
      <c s="5"/>
      <c s="5"/>
      <c s="5"/>
      <c s="5"/>
      <c s="5"/>
      <c s="5"/>
      <c s="5"/>
      <c s="5"/>
      <c s="5"/>
      <c s="5"/>
      <c s="5"/>
      <c s="5"/>
      <c s="5"/>
      <c s="5"/>
      <c s="5"/>
      <c s="5"/>
      <c s="5"/>
      <c s="5"/>
    </row>
    <row r="206" spans="1:26" ht="15.75">
      <c r="A206" s="5"/>
      <c s="5"/>
      <c s="5"/>
      <c s="5"/>
      <c s="5"/>
      <c s="5"/>
      <c s="5"/>
      <c s="5"/>
      <c s="5"/>
      <c s="5"/>
      <c s="5"/>
      <c s="5"/>
      <c s="5"/>
      <c s="5"/>
      <c s="5"/>
      <c s="5"/>
      <c s="5"/>
      <c s="5"/>
      <c s="5"/>
      <c s="5"/>
      <c s="5"/>
      <c s="5"/>
      <c s="5"/>
      <c s="5"/>
      <c s="5"/>
      <c s="5"/>
    </row>
    <row r="207" spans="1:26" ht="15.75">
      <c r="A207" s="5"/>
      <c s="5"/>
      <c s="5"/>
      <c s="5"/>
      <c s="5"/>
      <c s="5"/>
      <c s="5"/>
      <c s="5"/>
      <c s="5"/>
      <c s="5"/>
      <c s="5"/>
      <c s="5"/>
      <c s="5"/>
      <c s="5"/>
      <c s="5"/>
      <c s="5"/>
      <c s="5"/>
      <c s="5"/>
      <c s="5"/>
      <c s="5"/>
      <c s="5"/>
      <c s="5"/>
      <c s="5"/>
      <c s="5"/>
      <c s="5"/>
      <c s="5"/>
    </row>
    <row r="208" spans="1:26" ht="15.75">
      <c r="A208" s="5"/>
      <c s="5"/>
      <c s="5"/>
      <c s="5"/>
      <c s="5"/>
      <c s="5"/>
      <c s="5"/>
      <c s="5"/>
      <c s="5"/>
      <c s="5"/>
      <c s="5"/>
      <c s="5"/>
      <c s="5"/>
      <c s="5"/>
      <c s="5"/>
      <c s="5"/>
      <c s="5"/>
      <c s="5"/>
      <c s="5"/>
      <c s="5"/>
      <c s="5"/>
      <c s="5"/>
      <c s="5"/>
      <c s="5"/>
      <c s="5"/>
      <c s="5"/>
    </row>
    <row r="209" spans="1:26" ht="15.75">
      <c r="A209" s="5"/>
      <c s="5"/>
      <c s="5"/>
      <c s="5"/>
      <c s="5"/>
      <c s="5"/>
      <c s="5"/>
      <c s="5"/>
      <c s="5"/>
      <c s="5"/>
      <c s="5"/>
      <c s="5"/>
      <c s="5"/>
      <c s="5"/>
      <c s="5"/>
      <c s="5"/>
      <c s="5"/>
      <c s="5"/>
      <c s="5"/>
      <c s="5"/>
      <c s="5"/>
      <c s="5"/>
      <c s="5"/>
      <c s="5"/>
      <c s="5"/>
      <c s="5"/>
    </row>
    <row r="210" spans="1:26" ht="15.75">
      <c r="A210" s="5"/>
      <c s="5"/>
      <c s="5"/>
      <c s="5"/>
      <c s="5"/>
      <c s="5"/>
      <c s="5"/>
      <c s="5"/>
      <c s="5"/>
      <c s="5"/>
      <c s="5"/>
      <c s="5"/>
      <c s="5"/>
      <c s="5"/>
      <c s="5"/>
      <c s="5"/>
      <c s="5"/>
      <c s="5"/>
      <c s="5"/>
      <c s="5"/>
      <c s="5"/>
      <c s="5"/>
      <c s="5"/>
      <c s="5"/>
      <c s="5"/>
      <c s="5"/>
    </row>
    <row r="211" spans="1:26" ht="15.75">
      <c r="A211" s="5"/>
      <c s="5"/>
      <c s="5"/>
      <c s="5"/>
      <c s="5"/>
      <c s="5"/>
      <c s="5"/>
      <c s="5"/>
      <c s="5"/>
      <c s="5"/>
      <c s="5"/>
      <c s="5"/>
      <c s="5"/>
      <c s="5"/>
      <c s="5"/>
      <c s="5"/>
      <c s="5"/>
      <c s="5"/>
      <c s="5"/>
      <c s="5"/>
      <c s="5"/>
      <c s="5"/>
      <c s="5"/>
      <c s="5"/>
      <c s="5"/>
      <c s="5"/>
    </row>
    <row r="212" spans="1:26" ht="15.75">
      <c r="A212" s="5"/>
      <c s="5"/>
      <c s="5"/>
      <c s="5"/>
      <c s="5"/>
      <c s="5"/>
      <c s="5"/>
      <c s="5"/>
      <c s="5"/>
      <c s="5"/>
      <c s="5"/>
      <c s="5"/>
      <c s="5"/>
      <c s="5"/>
      <c s="5"/>
      <c s="5"/>
      <c s="5"/>
      <c s="5"/>
      <c s="5"/>
      <c s="5"/>
      <c s="5"/>
      <c s="5"/>
      <c s="5"/>
      <c s="5"/>
      <c s="5"/>
      <c s="5"/>
    </row>
    <row r="213" spans="1:26" ht="15.75">
      <c r="A213" s="5"/>
      <c s="5"/>
      <c s="5"/>
      <c s="5"/>
      <c s="5"/>
      <c s="5"/>
      <c s="5"/>
      <c s="5"/>
      <c s="5"/>
      <c s="5"/>
      <c s="5"/>
      <c s="5"/>
      <c s="5"/>
      <c s="5"/>
      <c s="5"/>
      <c s="5"/>
      <c s="5"/>
      <c s="5"/>
      <c s="5"/>
      <c s="5"/>
      <c s="5"/>
      <c s="5"/>
      <c s="5"/>
      <c s="5"/>
      <c s="5"/>
      <c s="5"/>
    </row>
    <row r="214" spans="1:26" ht="15.75">
      <c r="A214" s="5"/>
      <c s="5"/>
      <c s="5"/>
      <c s="5"/>
      <c s="5"/>
      <c s="5"/>
      <c s="5"/>
      <c s="5"/>
      <c s="5"/>
      <c s="5"/>
      <c s="5"/>
      <c s="5"/>
      <c s="5"/>
      <c s="5"/>
      <c s="5"/>
      <c s="5"/>
      <c s="5"/>
      <c s="5"/>
      <c s="5"/>
      <c s="5"/>
      <c s="5"/>
      <c s="5"/>
      <c s="5"/>
      <c s="5"/>
      <c s="5"/>
      <c s="5"/>
    </row>
    <row r="215" spans="1:26" ht="15.75">
      <c r="A215" s="5"/>
      <c s="5"/>
      <c s="5"/>
      <c s="5"/>
      <c s="5"/>
      <c s="5"/>
      <c s="5"/>
      <c s="5"/>
      <c s="5"/>
      <c s="5"/>
      <c s="5"/>
      <c s="5"/>
      <c s="5"/>
      <c s="5"/>
      <c s="5"/>
      <c s="5"/>
      <c s="5"/>
      <c s="5"/>
      <c s="5"/>
      <c s="5"/>
      <c s="5"/>
      <c s="5"/>
      <c s="5"/>
      <c s="5"/>
      <c s="5"/>
      <c s="5"/>
    </row>
    <row r="216" spans="1:26" ht="15.75">
      <c r="A216" s="5"/>
      <c s="5"/>
      <c s="5"/>
      <c s="5"/>
      <c s="5"/>
      <c s="5"/>
      <c s="5"/>
      <c s="5"/>
      <c s="5"/>
      <c s="5"/>
      <c s="5"/>
      <c s="5"/>
      <c s="5"/>
      <c s="5"/>
      <c s="5"/>
      <c s="5"/>
      <c s="5"/>
      <c s="5"/>
      <c s="5"/>
      <c s="5"/>
      <c s="5"/>
      <c s="5"/>
      <c s="5"/>
      <c s="5"/>
      <c s="5"/>
      <c s="5"/>
    </row>
    <row r="217" spans="1:26" ht="15.75">
      <c r="A217" s="5"/>
      <c s="5"/>
      <c s="5"/>
      <c s="5"/>
      <c s="5"/>
      <c s="5"/>
      <c s="5"/>
      <c s="5"/>
      <c s="5"/>
      <c s="5"/>
      <c s="5"/>
      <c s="5"/>
      <c s="5"/>
      <c s="5"/>
      <c s="5"/>
      <c s="5"/>
      <c s="5"/>
      <c s="5"/>
      <c s="5"/>
      <c s="5"/>
      <c s="5"/>
      <c s="5"/>
      <c s="5"/>
      <c s="5"/>
      <c s="5"/>
      <c s="5"/>
    </row>
    <row r="218" spans="1:26" ht="15.75">
      <c r="A218" s="5"/>
      <c s="5"/>
      <c s="5"/>
      <c s="5"/>
      <c s="5"/>
      <c s="5"/>
      <c s="5"/>
      <c s="5"/>
      <c s="5"/>
      <c s="5"/>
      <c s="5"/>
      <c s="5"/>
      <c s="5"/>
      <c s="5"/>
      <c s="5"/>
      <c s="5"/>
      <c s="5"/>
      <c s="5"/>
      <c s="5"/>
      <c s="5"/>
      <c s="5"/>
      <c s="5"/>
      <c s="5"/>
      <c s="5"/>
      <c s="5"/>
      <c s="5"/>
    </row>
    <row r="219" spans="1:26" ht="15.75">
      <c r="A219" s="5"/>
      <c s="5"/>
      <c s="5"/>
      <c s="5"/>
      <c s="5"/>
      <c s="5"/>
      <c s="5"/>
      <c s="5"/>
      <c s="5"/>
      <c s="5"/>
      <c s="5"/>
      <c s="5"/>
      <c s="5"/>
      <c s="5"/>
      <c s="5"/>
      <c s="5"/>
      <c s="5"/>
      <c s="5"/>
      <c s="5"/>
      <c s="5"/>
      <c s="5"/>
      <c s="5"/>
      <c s="5"/>
      <c s="5"/>
      <c s="5"/>
      <c s="5"/>
    </row>
    <row r="220" spans="1:26" ht="15.75">
      <c r="A220" s="5"/>
      <c s="5"/>
      <c s="5"/>
      <c s="5"/>
      <c s="5"/>
      <c s="5"/>
      <c s="5"/>
      <c s="5"/>
      <c s="5"/>
      <c s="5"/>
      <c s="5"/>
      <c s="5"/>
      <c s="5"/>
      <c s="5"/>
      <c s="5"/>
      <c s="5"/>
      <c s="5"/>
      <c s="5"/>
      <c s="5"/>
      <c s="5"/>
      <c s="5"/>
      <c s="5"/>
      <c s="5"/>
      <c s="5"/>
      <c s="5"/>
      <c s="5"/>
    </row>
    <row r="221" spans="1:26" ht="15.75">
      <c r="A221" s="5"/>
      <c s="5"/>
      <c s="5"/>
      <c s="5"/>
      <c s="5"/>
      <c s="5"/>
      <c s="5"/>
      <c s="5"/>
      <c s="5"/>
      <c s="5"/>
      <c s="5"/>
      <c s="5"/>
      <c s="5"/>
      <c s="5"/>
      <c s="5"/>
      <c s="5"/>
      <c s="5"/>
      <c s="5"/>
      <c s="5"/>
      <c s="5"/>
      <c s="5"/>
      <c s="5"/>
      <c s="5"/>
      <c s="5"/>
      <c s="5"/>
      <c s="5"/>
    </row>
    <row r="222" spans="1:26" ht="15.75">
      <c r="A222" s="5"/>
      <c s="5"/>
      <c s="5"/>
      <c s="5"/>
      <c s="5"/>
      <c s="5"/>
      <c s="5"/>
      <c s="5"/>
      <c s="5"/>
      <c s="5"/>
      <c s="5"/>
      <c s="5"/>
      <c s="5"/>
      <c s="5"/>
      <c s="5"/>
      <c s="5"/>
      <c s="5"/>
      <c s="5"/>
      <c s="5"/>
      <c s="5"/>
      <c s="5"/>
      <c s="5"/>
      <c s="5"/>
      <c s="5"/>
      <c s="5"/>
      <c s="5"/>
    </row>
    <row r="223" spans="1:26" ht="15.75">
      <c r="A223" s="5"/>
      <c s="5"/>
      <c s="5"/>
      <c s="5"/>
      <c s="5"/>
      <c s="5"/>
      <c s="5"/>
      <c s="5"/>
      <c s="5"/>
      <c s="5"/>
      <c s="5"/>
      <c s="5"/>
      <c s="5"/>
      <c s="5"/>
      <c s="5"/>
      <c s="5"/>
      <c s="5"/>
      <c s="5"/>
      <c s="5"/>
      <c s="5"/>
      <c s="5"/>
      <c s="5"/>
      <c s="5"/>
      <c s="5"/>
      <c s="5"/>
      <c s="5"/>
    </row>
    <row r="224" spans="1:26" ht="15.75">
      <c r="A224" s="5"/>
      <c s="5"/>
      <c s="5"/>
      <c s="5"/>
      <c s="5"/>
      <c s="5"/>
      <c s="5"/>
      <c s="5"/>
      <c s="5"/>
      <c s="5"/>
      <c s="5"/>
      <c s="5"/>
      <c s="5"/>
      <c s="5"/>
      <c s="5"/>
      <c s="5"/>
      <c s="5"/>
      <c s="5"/>
      <c s="5"/>
      <c s="5"/>
      <c s="5"/>
      <c s="5"/>
      <c s="5"/>
      <c s="5"/>
      <c s="5"/>
      <c s="5"/>
    </row>
    <row r="225" spans="1:26" ht="15.75">
      <c r="A225" s="5"/>
      <c s="5"/>
      <c s="5"/>
      <c s="5"/>
      <c s="5"/>
      <c s="5"/>
      <c s="5"/>
      <c s="5"/>
      <c s="5"/>
      <c s="5"/>
      <c s="5"/>
      <c s="5"/>
      <c s="5"/>
      <c s="5"/>
      <c s="5"/>
      <c s="5"/>
      <c s="5"/>
      <c s="5"/>
      <c s="5"/>
      <c s="5"/>
      <c s="5"/>
      <c s="5"/>
      <c s="5"/>
      <c s="5"/>
      <c s="5"/>
      <c s="5"/>
    </row>
    <row r="226" spans="1:26" ht="15.75">
      <c r="A226" s="5"/>
      <c s="5"/>
      <c s="5"/>
      <c s="5"/>
      <c s="5"/>
      <c s="5"/>
      <c s="5"/>
      <c s="5"/>
      <c s="5"/>
      <c s="5"/>
      <c s="5"/>
      <c s="5"/>
      <c s="5"/>
      <c s="5"/>
      <c s="5"/>
      <c s="5"/>
      <c s="5"/>
      <c s="5"/>
      <c s="5"/>
      <c s="5"/>
      <c s="5"/>
      <c s="5"/>
      <c s="5"/>
      <c s="5"/>
      <c s="5"/>
      <c s="5"/>
    </row>
    <row r="227" spans="1:26" ht="15.75">
      <c r="A227" s="5"/>
      <c s="5"/>
      <c s="5"/>
      <c s="5"/>
      <c s="5"/>
      <c s="5"/>
      <c s="5"/>
      <c s="5"/>
      <c s="5"/>
      <c s="5"/>
      <c s="5"/>
      <c s="5"/>
      <c s="5"/>
      <c s="5"/>
      <c s="5"/>
      <c s="5"/>
      <c s="5"/>
      <c s="5"/>
      <c s="5"/>
      <c s="5"/>
      <c s="5"/>
      <c s="5"/>
      <c s="5"/>
      <c s="5"/>
      <c s="5"/>
      <c s="5"/>
    </row>
    <row r="228" spans="1:26" ht="15.75">
      <c r="A228" s="5"/>
      <c s="5"/>
      <c s="5"/>
      <c s="5"/>
      <c s="5"/>
      <c s="5"/>
      <c s="5"/>
      <c s="5"/>
      <c s="5"/>
      <c s="5"/>
      <c s="5"/>
      <c s="5"/>
      <c s="5"/>
      <c s="5"/>
      <c s="5"/>
      <c s="5"/>
      <c s="5"/>
      <c s="5"/>
      <c s="5"/>
      <c s="5"/>
      <c s="5"/>
      <c s="5"/>
      <c s="5"/>
      <c s="5"/>
      <c s="5"/>
      <c s="5"/>
    </row>
    <row r="229" spans="1:26" ht="15.75">
      <c r="A229" s="5"/>
      <c s="5"/>
      <c s="5"/>
      <c s="5"/>
      <c s="5"/>
      <c s="5"/>
      <c s="5"/>
      <c s="5"/>
      <c s="5"/>
      <c s="5"/>
      <c s="5"/>
      <c s="5"/>
      <c s="5"/>
      <c s="5"/>
      <c s="5"/>
      <c s="5"/>
      <c s="5"/>
      <c s="5"/>
      <c s="5"/>
      <c s="5"/>
      <c s="5"/>
      <c s="5"/>
      <c s="5"/>
      <c s="5"/>
      <c s="5"/>
      <c s="5"/>
    </row>
    <row r="230" spans="1:26" ht="15.75">
      <c r="A230" s="5"/>
      <c s="5"/>
      <c s="5"/>
      <c s="5"/>
      <c s="5"/>
      <c s="5"/>
      <c s="5"/>
      <c s="5"/>
      <c s="5"/>
      <c s="5"/>
      <c s="5"/>
      <c s="5"/>
      <c s="5"/>
      <c s="5"/>
      <c s="5"/>
      <c s="5"/>
      <c s="5"/>
      <c s="5"/>
      <c s="5"/>
      <c s="5"/>
      <c s="5"/>
      <c s="5"/>
      <c s="5"/>
      <c s="5"/>
      <c s="5"/>
      <c s="5"/>
    </row>
    <row r="231" spans="1:26" ht="15.75">
      <c r="A231" s="5"/>
      <c s="5"/>
      <c s="5"/>
      <c s="5"/>
      <c s="5"/>
      <c s="5"/>
      <c s="5"/>
      <c s="5"/>
      <c s="5"/>
      <c s="5"/>
      <c s="5"/>
      <c s="5"/>
      <c s="5"/>
      <c s="5"/>
      <c s="5"/>
      <c s="5"/>
      <c s="5"/>
      <c s="5"/>
      <c s="5"/>
      <c s="5"/>
      <c s="5"/>
      <c s="5"/>
      <c s="5"/>
      <c s="5"/>
      <c s="5"/>
      <c s="5"/>
    </row>
    <row r="232" spans="1:26" ht="15.75">
      <c r="A232" s="5"/>
      <c s="5"/>
      <c s="5"/>
      <c s="5"/>
      <c s="5"/>
      <c s="5"/>
      <c s="5"/>
      <c s="5"/>
      <c s="5"/>
      <c s="5"/>
      <c s="5"/>
      <c s="5"/>
      <c s="5"/>
      <c s="5"/>
      <c s="5"/>
      <c s="5"/>
      <c s="5"/>
      <c s="5"/>
      <c s="5"/>
      <c s="5"/>
      <c s="5"/>
      <c s="5"/>
      <c s="5"/>
      <c s="5"/>
      <c s="5"/>
      <c s="5"/>
    </row>
    <row r="233" spans="1:26" ht="15.75">
      <c r="A233" s="5"/>
      <c s="5"/>
      <c s="5"/>
      <c s="5"/>
      <c s="5"/>
      <c s="5"/>
      <c s="5"/>
      <c s="5"/>
      <c s="5"/>
      <c s="5"/>
      <c s="5"/>
      <c s="5"/>
      <c s="5"/>
      <c s="5"/>
      <c s="5"/>
      <c s="5"/>
      <c s="5"/>
      <c s="5"/>
      <c s="5"/>
      <c s="5"/>
      <c s="5"/>
      <c s="5"/>
      <c s="5"/>
      <c s="5"/>
      <c s="5"/>
      <c s="5"/>
    </row>
    <row r="234" spans="1:26" ht="15.75">
      <c r="A234" s="5"/>
      <c s="5"/>
      <c s="5"/>
      <c s="5"/>
      <c s="5"/>
      <c s="5"/>
      <c s="5"/>
      <c s="5"/>
      <c s="5"/>
      <c s="5"/>
      <c s="5"/>
      <c s="5"/>
      <c s="5"/>
      <c s="5"/>
      <c s="5"/>
      <c s="5"/>
      <c s="5"/>
      <c s="5"/>
      <c s="5"/>
      <c s="5"/>
      <c s="5"/>
      <c s="5"/>
      <c s="5"/>
      <c s="5"/>
      <c s="5"/>
      <c s="5"/>
    </row>
    <row r="235" spans="1:26" ht="15.75">
      <c r="A235" s="5"/>
      <c s="5"/>
      <c s="5"/>
      <c s="5"/>
      <c s="5"/>
      <c s="5"/>
      <c s="5"/>
      <c s="5"/>
      <c s="5"/>
      <c s="5"/>
      <c s="5"/>
      <c s="5"/>
      <c s="5"/>
      <c s="5"/>
      <c s="5"/>
      <c s="5"/>
      <c s="5"/>
      <c s="5"/>
      <c s="5"/>
      <c s="5"/>
      <c s="5"/>
      <c s="5"/>
      <c s="5"/>
      <c s="5"/>
      <c s="5"/>
      <c s="5"/>
    </row>
    <row r="236" spans="1:26" ht="15.75">
      <c r="A236" s="5"/>
      <c s="5"/>
      <c s="5"/>
      <c s="5"/>
      <c s="5"/>
      <c s="5"/>
      <c s="5"/>
      <c s="5"/>
      <c s="5"/>
      <c s="5"/>
      <c s="5"/>
      <c s="5"/>
      <c s="5"/>
      <c s="5"/>
      <c s="5"/>
      <c s="5"/>
      <c s="5"/>
      <c s="5"/>
      <c s="5"/>
      <c s="5"/>
      <c s="5"/>
      <c s="5"/>
      <c s="5"/>
      <c s="5"/>
      <c s="5"/>
      <c s="5"/>
    </row>
    <row r="237" spans="1:26" ht="15.75">
      <c r="A237" s="5"/>
      <c s="5"/>
      <c s="5"/>
      <c s="5"/>
      <c s="5"/>
      <c s="5"/>
      <c s="5"/>
      <c s="5"/>
      <c s="5"/>
      <c s="5"/>
      <c s="5"/>
      <c s="5"/>
      <c s="5"/>
      <c s="5"/>
      <c s="5"/>
      <c s="5"/>
      <c s="5"/>
      <c s="5"/>
      <c s="5"/>
      <c s="5"/>
      <c s="5"/>
      <c s="5"/>
      <c s="5"/>
      <c s="5"/>
      <c s="5"/>
      <c s="5"/>
    </row>
    <row r="238" spans="1:26" ht="15.75">
      <c r="A238" s="5"/>
      <c s="5"/>
      <c s="5"/>
      <c s="5"/>
      <c s="5"/>
      <c s="5"/>
      <c s="5"/>
      <c s="5"/>
      <c s="5"/>
      <c s="5"/>
      <c s="5"/>
      <c s="5"/>
      <c s="5"/>
      <c s="5"/>
      <c s="5"/>
      <c s="5"/>
      <c s="5"/>
      <c s="5"/>
      <c s="5"/>
      <c s="5"/>
      <c s="5"/>
      <c s="5"/>
      <c s="5"/>
      <c s="5"/>
      <c s="5"/>
      <c s="5"/>
    </row>
    <row r="239" spans="1:26" ht="15.75">
      <c r="A239" s="5"/>
      <c s="5"/>
      <c s="5"/>
      <c s="5"/>
      <c s="5"/>
      <c s="5"/>
      <c s="5"/>
      <c s="5"/>
      <c s="5"/>
      <c s="5"/>
      <c s="5"/>
      <c s="5"/>
      <c s="5"/>
      <c s="5"/>
      <c s="5"/>
      <c s="5"/>
      <c s="5"/>
      <c s="5"/>
      <c s="5"/>
      <c s="5"/>
      <c s="5"/>
      <c s="5"/>
      <c s="5"/>
      <c s="5"/>
      <c s="5"/>
      <c s="5"/>
    </row>
    <row r="240" spans="1:26" ht="15.75">
      <c r="A240" s="5"/>
      <c s="5"/>
      <c s="5"/>
      <c s="5"/>
      <c s="5"/>
      <c s="5"/>
      <c s="5"/>
      <c s="5"/>
      <c s="5"/>
      <c s="5"/>
      <c s="5"/>
      <c s="5"/>
      <c s="5"/>
      <c s="5"/>
      <c s="5"/>
      <c s="5"/>
      <c s="5"/>
      <c s="5"/>
      <c s="5"/>
      <c s="5"/>
      <c s="5"/>
      <c s="5"/>
      <c s="5"/>
      <c s="5"/>
      <c s="5"/>
      <c s="5"/>
    </row>
    <row r="241" spans="1:26" ht="15.75">
      <c r="A241" s="5"/>
      <c s="5"/>
      <c s="5"/>
      <c s="5"/>
      <c s="5"/>
      <c s="5"/>
      <c s="5"/>
      <c s="5"/>
      <c s="5"/>
      <c s="5"/>
      <c s="5"/>
      <c s="5"/>
      <c s="5"/>
      <c s="5"/>
      <c s="5"/>
      <c s="5"/>
      <c s="5"/>
      <c s="5"/>
      <c s="5"/>
      <c s="5"/>
      <c s="5"/>
      <c s="5"/>
      <c s="5"/>
      <c s="5"/>
      <c s="5"/>
      <c s="5"/>
    </row>
    <row r="242" spans="1:26" ht="15.75">
      <c r="A242" s="5"/>
      <c s="5"/>
      <c s="5"/>
      <c s="5"/>
      <c s="5"/>
      <c s="5"/>
      <c s="5"/>
      <c s="5"/>
      <c s="5"/>
      <c s="5"/>
      <c s="5"/>
      <c s="5"/>
      <c s="5"/>
      <c s="5"/>
      <c s="5"/>
      <c s="5"/>
      <c s="5"/>
      <c s="5"/>
      <c s="5"/>
      <c s="5"/>
      <c s="5"/>
      <c s="5"/>
      <c s="5"/>
      <c s="5"/>
      <c s="5"/>
      <c s="5"/>
    </row>
    <row r="243" spans="1:26" ht="15.75">
      <c r="A243" s="5"/>
      <c s="5"/>
      <c s="5"/>
      <c s="5"/>
      <c s="5"/>
      <c s="5"/>
      <c s="5"/>
      <c s="5"/>
      <c s="5"/>
      <c s="5"/>
      <c s="5"/>
      <c s="5"/>
      <c s="5"/>
      <c s="5"/>
      <c s="5"/>
      <c s="5"/>
      <c s="5"/>
      <c s="5"/>
      <c s="5"/>
      <c s="5"/>
      <c s="5"/>
      <c s="5"/>
      <c s="5"/>
      <c s="5"/>
      <c s="5"/>
      <c s="5"/>
    </row>
    <row r="244" spans="1:26" ht="15.75">
      <c r="A244" s="5"/>
      <c s="5"/>
      <c s="5"/>
      <c s="5"/>
      <c s="5"/>
      <c s="5"/>
      <c s="5"/>
      <c s="5"/>
      <c s="5"/>
      <c s="5"/>
      <c s="5"/>
      <c s="5"/>
      <c s="5"/>
      <c s="5"/>
      <c s="5"/>
      <c s="5"/>
      <c s="5"/>
      <c s="5"/>
      <c s="5"/>
      <c s="5"/>
      <c s="5"/>
      <c s="5"/>
      <c s="5"/>
      <c s="5"/>
      <c s="5"/>
      <c s="5"/>
    </row>
    <row r="245" spans="1:26" ht="15.75">
      <c r="A245" s="5"/>
      <c s="5"/>
      <c s="5"/>
      <c s="5"/>
      <c s="5"/>
      <c s="5"/>
      <c s="5"/>
      <c s="5"/>
      <c s="5"/>
      <c s="5"/>
      <c s="5"/>
      <c s="5"/>
      <c s="5"/>
      <c s="5"/>
      <c s="5"/>
      <c s="5"/>
      <c s="5"/>
      <c s="5"/>
      <c s="5"/>
      <c s="5"/>
      <c s="5"/>
      <c s="5"/>
      <c s="5"/>
      <c s="5"/>
      <c s="5"/>
      <c s="5"/>
    </row>
    <row r="246" spans="1:26" ht="15.75">
      <c r="A246" s="5"/>
      <c s="5"/>
      <c s="5"/>
      <c s="5"/>
      <c s="5"/>
      <c s="5"/>
      <c s="5"/>
      <c s="5"/>
      <c s="5"/>
      <c s="5"/>
      <c s="5"/>
      <c s="5"/>
      <c s="5"/>
      <c s="5"/>
      <c s="5"/>
      <c s="5"/>
      <c s="5"/>
      <c s="5"/>
      <c s="5"/>
      <c s="5"/>
      <c s="5"/>
      <c s="5"/>
      <c s="5"/>
      <c s="5"/>
      <c s="5"/>
      <c s="5"/>
    </row>
    <row r="247" spans="1:26" ht="15.75">
      <c r="A247" s="5"/>
      <c s="5"/>
      <c s="5"/>
      <c s="5"/>
      <c s="5"/>
      <c s="5"/>
      <c s="5"/>
      <c s="5"/>
      <c s="5"/>
      <c s="5"/>
      <c s="5"/>
      <c s="5"/>
      <c s="5"/>
      <c s="5"/>
      <c s="5"/>
      <c s="5"/>
      <c s="5"/>
      <c s="5"/>
      <c s="5"/>
      <c s="5"/>
      <c s="5"/>
      <c s="5"/>
      <c s="5"/>
      <c s="5"/>
      <c s="5"/>
      <c s="5"/>
    </row>
    <row r="248" spans="1:26" ht="15.75">
      <c r="A248" s="5"/>
      <c s="5"/>
      <c s="5"/>
      <c s="5"/>
      <c s="5"/>
      <c s="5"/>
      <c s="5"/>
      <c s="5"/>
      <c s="5"/>
      <c s="5"/>
      <c s="5"/>
      <c s="5"/>
      <c s="5"/>
      <c s="5"/>
      <c s="5"/>
      <c s="5"/>
      <c s="5"/>
      <c s="5"/>
      <c s="5"/>
      <c s="5"/>
      <c s="5"/>
      <c s="5"/>
      <c s="5"/>
      <c s="5"/>
      <c s="5"/>
      <c s="5"/>
    </row>
    <row r="249" spans="1:26" ht="15.75">
      <c r="A249" s="5"/>
      <c s="5"/>
      <c s="5"/>
      <c s="5"/>
      <c s="5"/>
      <c s="5"/>
      <c s="5"/>
      <c s="5"/>
      <c s="5"/>
      <c s="5"/>
      <c s="5"/>
      <c s="5"/>
      <c s="5"/>
      <c s="5"/>
      <c s="5"/>
      <c s="5"/>
      <c s="5"/>
      <c s="5"/>
      <c s="5"/>
      <c s="5"/>
      <c s="5"/>
      <c s="5"/>
      <c s="5"/>
      <c s="5"/>
      <c s="5"/>
      <c s="5"/>
    </row>
    <row r="250" spans="1:26" ht="15.75">
      <c r="A250" s="5"/>
      <c s="5"/>
      <c s="5"/>
      <c s="5"/>
      <c s="5"/>
      <c s="5"/>
      <c s="5"/>
      <c s="5"/>
      <c s="5"/>
      <c s="5"/>
      <c s="5"/>
      <c s="5"/>
      <c s="5"/>
      <c s="5"/>
      <c s="5"/>
      <c s="5"/>
      <c s="5"/>
      <c s="5"/>
      <c s="5"/>
      <c s="5"/>
      <c s="5"/>
      <c s="5"/>
      <c s="5"/>
      <c s="5"/>
      <c s="5"/>
      <c s="5"/>
    </row>
    <row r="251" spans="1:26" ht="15.75">
      <c r="A251" s="5"/>
      <c s="5"/>
      <c s="5"/>
      <c s="5"/>
      <c s="5"/>
      <c s="5"/>
      <c s="5"/>
      <c s="5"/>
      <c s="5"/>
      <c s="5"/>
      <c s="5"/>
      <c s="5"/>
      <c s="5"/>
      <c s="5"/>
      <c s="5"/>
      <c s="5"/>
      <c s="5"/>
      <c s="5"/>
      <c s="5"/>
      <c s="5"/>
      <c s="5"/>
      <c s="5"/>
      <c s="5"/>
      <c s="5"/>
      <c s="5"/>
      <c s="5"/>
    </row>
    <row r="252" spans="1:26" ht="15.75">
      <c r="A252" s="5"/>
      <c s="5"/>
      <c s="5"/>
      <c s="5"/>
      <c s="5"/>
      <c s="5"/>
      <c s="5"/>
      <c s="5"/>
      <c s="5"/>
      <c s="5"/>
      <c s="5"/>
      <c s="5"/>
      <c s="5"/>
      <c s="5"/>
      <c s="5"/>
      <c s="5"/>
      <c s="5"/>
      <c s="5"/>
      <c s="5"/>
      <c s="5"/>
      <c s="5"/>
      <c s="5"/>
      <c s="5"/>
      <c s="5"/>
      <c s="5"/>
      <c s="5"/>
    </row>
    <row r="253" spans="1:26" ht="15.75">
      <c r="A253" s="5"/>
      <c s="5"/>
      <c s="5"/>
      <c s="5"/>
      <c s="5"/>
      <c s="5"/>
      <c s="5"/>
      <c s="5"/>
      <c s="5"/>
      <c s="5"/>
      <c s="5"/>
      <c s="5"/>
      <c s="5"/>
      <c s="5"/>
      <c s="5"/>
      <c s="5"/>
      <c s="5"/>
      <c s="5"/>
      <c s="5"/>
      <c s="5"/>
      <c s="5"/>
      <c s="5"/>
      <c s="5"/>
      <c s="5"/>
      <c s="5"/>
      <c s="5"/>
    </row>
    <row r="254" spans="1:26" ht="15.75">
      <c r="A254" s="5"/>
      <c s="5"/>
      <c s="5"/>
      <c s="5"/>
      <c s="5"/>
      <c s="5"/>
      <c s="5"/>
      <c s="5"/>
      <c s="5"/>
      <c s="5"/>
      <c s="5"/>
      <c s="5"/>
      <c s="5"/>
      <c s="5"/>
      <c s="5"/>
      <c s="5"/>
      <c s="5"/>
      <c s="5"/>
      <c s="5"/>
      <c s="5"/>
      <c s="5"/>
      <c s="5"/>
      <c s="5"/>
      <c s="5"/>
      <c s="5"/>
      <c s="5"/>
    </row>
    <row r="255" spans="1:26" ht="15.75">
      <c r="A255" s="5"/>
      <c s="5"/>
      <c s="5"/>
      <c s="5"/>
      <c s="5"/>
      <c s="5"/>
      <c s="5"/>
      <c s="5"/>
      <c s="5"/>
      <c s="5"/>
      <c s="5"/>
      <c s="5"/>
      <c s="5"/>
      <c s="5"/>
      <c s="5"/>
      <c s="5"/>
      <c s="5"/>
      <c s="5"/>
      <c s="5"/>
      <c s="5"/>
      <c s="5"/>
      <c s="5"/>
      <c s="5"/>
      <c s="5"/>
      <c s="5"/>
      <c s="5"/>
    </row>
    <row r="256" spans="1:26" ht="15.75">
      <c r="A256" s="5"/>
      <c s="5"/>
      <c s="5"/>
      <c s="5"/>
      <c s="5"/>
      <c s="5"/>
      <c s="5"/>
      <c s="5"/>
      <c s="5"/>
      <c s="5"/>
      <c s="5"/>
      <c s="5"/>
      <c s="5"/>
      <c s="5"/>
      <c s="5"/>
      <c s="5"/>
      <c s="5"/>
      <c s="5"/>
      <c s="5"/>
      <c s="5"/>
      <c s="5"/>
      <c s="5"/>
      <c s="5"/>
      <c s="5"/>
      <c s="5"/>
      <c s="5"/>
    </row>
    <row r="257" spans="1:26" ht="15.75">
      <c r="A257" s="5"/>
      <c s="5"/>
      <c s="5"/>
      <c s="5"/>
      <c s="5"/>
      <c s="5"/>
      <c s="5"/>
      <c s="5"/>
      <c s="5"/>
      <c s="5"/>
      <c s="5"/>
      <c s="5"/>
      <c s="5"/>
      <c s="5"/>
      <c s="5"/>
      <c s="5"/>
      <c s="5"/>
      <c s="5"/>
      <c s="5"/>
      <c s="5"/>
      <c s="5"/>
      <c s="5"/>
      <c s="5"/>
      <c s="5"/>
      <c s="5"/>
      <c s="5"/>
    </row>
    <row r="258" spans="1:26" ht="15.75">
      <c r="A258" s="5"/>
      <c s="5"/>
      <c s="5"/>
      <c s="5"/>
      <c s="5"/>
      <c s="5"/>
      <c s="5"/>
      <c s="5"/>
      <c s="5"/>
      <c s="5"/>
      <c s="5"/>
      <c s="5"/>
      <c s="5"/>
      <c s="5"/>
      <c s="5"/>
      <c s="5"/>
      <c s="5"/>
      <c s="5"/>
      <c s="5"/>
      <c s="5"/>
      <c s="5"/>
      <c s="5"/>
      <c s="5"/>
      <c s="5"/>
      <c s="5"/>
      <c s="5"/>
    </row>
    <row r="259" spans="1:26" ht="15.75">
      <c r="A259" s="5"/>
      <c s="5"/>
      <c s="5"/>
      <c s="5"/>
      <c s="5"/>
      <c s="5"/>
      <c s="5"/>
      <c s="5"/>
      <c s="5"/>
      <c s="5"/>
      <c s="5"/>
      <c s="5"/>
      <c s="5"/>
      <c s="5"/>
      <c s="5"/>
      <c s="5"/>
      <c s="5"/>
      <c s="5"/>
      <c s="5"/>
      <c s="5"/>
      <c s="5"/>
      <c s="5"/>
      <c s="5"/>
      <c s="5"/>
      <c s="5"/>
      <c s="5"/>
    </row>
    <row r="260" spans="1:26" ht="15.75">
      <c r="A260" s="5"/>
      <c s="5"/>
      <c s="5"/>
      <c s="5"/>
      <c s="5"/>
      <c s="5"/>
      <c s="5"/>
      <c s="5"/>
      <c s="5"/>
      <c s="5"/>
      <c s="5"/>
      <c s="5"/>
      <c s="5"/>
      <c s="5"/>
      <c s="5"/>
      <c s="5"/>
      <c s="5"/>
      <c s="5"/>
      <c s="5"/>
      <c s="5"/>
      <c s="5"/>
      <c s="5"/>
      <c s="5"/>
      <c s="5"/>
      <c s="5"/>
      <c s="5"/>
    </row>
    <row r="261" spans="1:26" ht="15.75">
      <c r="A261" s="5"/>
      <c s="5"/>
      <c s="5"/>
      <c s="5"/>
      <c s="5"/>
      <c s="5"/>
      <c s="5"/>
      <c s="5"/>
      <c s="5"/>
      <c s="5"/>
      <c s="5"/>
      <c s="5"/>
      <c s="5"/>
      <c s="5"/>
      <c s="5"/>
      <c s="5"/>
      <c s="5"/>
      <c s="5"/>
      <c s="5"/>
      <c s="5"/>
      <c s="5"/>
      <c s="5"/>
      <c s="5"/>
      <c s="5"/>
      <c s="5"/>
      <c s="5"/>
    </row>
    <row r="262" spans="1:26" ht="15.75">
      <c r="A262" s="5"/>
      <c s="5"/>
      <c s="5"/>
      <c s="5"/>
      <c s="5"/>
      <c s="5"/>
      <c s="5"/>
      <c s="5"/>
      <c s="5"/>
      <c s="5"/>
      <c s="5"/>
      <c s="5"/>
      <c s="5"/>
      <c s="5"/>
      <c s="5"/>
      <c s="5"/>
      <c s="5"/>
      <c s="5"/>
      <c s="5"/>
      <c s="5"/>
      <c s="5"/>
      <c s="5"/>
      <c s="5"/>
      <c s="5"/>
      <c s="5"/>
      <c s="5"/>
    </row>
    <row r="263" spans="1:26" ht="15.75">
      <c r="A263" s="5"/>
      <c s="5"/>
      <c s="5"/>
      <c s="5"/>
      <c s="5"/>
      <c s="5"/>
      <c s="5"/>
      <c s="5"/>
      <c s="5"/>
      <c s="5"/>
      <c s="5"/>
      <c s="5"/>
      <c s="5"/>
      <c s="5"/>
      <c s="5"/>
      <c s="5"/>
      <c s="5"/>
      <c s="5"/>
      <c s="5"/>
      <c s="5"/>
      <c s="5"/>
      <c s="5"/>
      <c s="5"/>
      <c s="5"/>
      <c s="5"/>
      <c s="5"/>
    </row>
    <row r="264" spans="1:26" ht="15.75">
      <c r="A264" s="5"/>
      <c s="5"/>
      <c s="5"/>
      <c s="5"/>
      <c s="5"/>
      <c s="5"/>
      <c s="5"/>
      <c s="5"/>
      <c s="5"/>
      <c s="5"/>
      <c s="5"/>
      <c s="5"/>
      <c s="5"/>
      <c s="5"/>
      <c s="5"/>
      <c s="5"/>
      <c s="5"/>
      <c s="5"/>
      <c s="5"/>
      <c s="5"/>
      <c s="5"/>
      <c s="5"/>
      <c s="5"/>
      <c s="5"/>
      <c s="5"/>
      <c s="5"/>
    </row>
    <row r="265" spans="1:26" ht="15.75">
      <c r="A265" s="5"/>
      <c s="5"/>
      <c s="5"/>
      <c s="5"/>
      <c s="5"/>
      <c s="5"/>
      <c s="5"/>
      <c s="5"/>
      <c s="5"/>
      <c s="5"/>
      <c s="5"/>
      <c s="5"/>
      <c s="5"/>
      <c s="5"/>
      <c s="5"/>
      <c s="5"/>
      <c s="5"/>
      <c s="5"/>
      <c s="5"/>
      <c s="5"/>
      <c s="5"/>
      <c s="5"/>
      <c s="5"/>
      <c s="5"/>
      <c s="5"/>
      <c s="5"/>
    </row>
    <row r="266" spans="1:26" ht="15.75">
      <c r="A266" s="5"/>
      <c s="5"/>
      <c s="5"/>
      <c s="5"/>
      <c s="5"/>
      <c s="5"/>
      <c s="5"/>
      <c s="5"/>
      <c s="5"/>
      <c s="5"/>
      <c s="5"/>
      <c s="5"/>
      <c s="5"/>
      <c s="5"/>
      <c s="5"/>
      <c s="5"/>
      <c s="5"/>
      <c s="5"/>
      <c s="5"/>
      <c s="5"/>
      <c s="5"/>
      <c s="5"/>
      <c s="5"/>
      <c s="5"/>
      <c s="5"/>
      <c s="5"/>
    </row>
    <row r="267" spans="1:26" ht="15.75">
      <c r="A267" s="5"/>
      <c s="5"/>
      <c s="5"/>
      <c s="5"/>
      <c s="5"/>
      <c s="5"/>
      <c s="5"/>
      <c s="5"/>
      <c s="5"/>
      <c s="5"/>
      <c s="5"/>
      <c s="5"/>
      <c s="5"/>
      <c s="5"/>
      <c s="5"/>
      <c s="5"/>
      <c s="5"/>
      <c s="5"/>
      <c s="5"/>
      <c s="5"/>
      <c s="5"/>
      <c s="5"/>
      <c s="5"/>
      <c s="5"/>
      <c s="5"/>
      <c s="5"/>
    </row>
    <row r="268" spans="1:26" ht="15.75">
      <c r="A268" s="5"/>
      <c s="5"/>
      <c s="5"/>
      <c s="5"/>
      <c s="5"/>
      <c s="5"/>
      <c s="5"/>
      <c s="5"/>
      <c s="5"/>
      <c s="5"/>
      <c s="5"/>
      <c s="5"/>
      <c s="5"/>
      <c s="5"/>
      <c s="5"/>
      <c s="5"/>
      <c s="5"/>
      <c s="5"/>
      <c s="5"/>
      <c s="5"/>
      <c s="5"/>
      <c s="5"/>
      <c s="5"/>
      <c s="5"/>
      <c s="5"/>
      <c s="5"/>
    </row>
    <row r="269" spans="1:26" ht="15.75">
      <c r="A269" s="5"/>
      <c s="5"/>
      <c s="5"/>
      <c s="5"/>
      <c s="5"/>
      <c s="5"/>
      <c s="5"/>
      <c s="5"/>
      <c s="5"/>
      <c s="5"/>
      <c s="5"/>
      <c s="5"/>
      <c s="5"/>
      <c s="5"/>
      <c s="5"/>
      <c s="5"/>
      <c s="5"/>
      <c s="5"/>
      <c s="5"/>
      <c s="5"/>
      <c s="5"/>
      <c s="5"/>
      <c s="5"/>
      <c s="5"/>
      <c s="5"/>
      <c s="5"/>
    </row>
    <row r="270" spans="1:26" ht="15.75">
      <c r="A270" s="5"/>
      <c s="5"/>
      <c s="5"/>
      <c s="5"/>
      <c s="5"/>
      <c s="5"/>
      <c s="5"/>
      <c s="5"/>
      <c s="5"/>
      <c s="5"/>
      <c s="5"/>
      <c s="5"/>
      <c s="5"/>
      <c s="5"/>
      <c s="5"/>
      <c s="5"/>
      <c s="5"/>
      <c s="5"/>
      <c s="5"/>
      <c s="5"/>
      <c s="5"/>
      <c s="5"/>
      <c s="5"/>
      <c s="5"/>
      <c s="5"/>
      <c s="5"/>
    </row>
    <row r="271" spans="1:26" ht="15.75">
      <c r="A271" s="5"/>
      <c s="5"/>
      <c s="5"/>
      <c s="5"/>
      <c s="5"/>
      <c s="5"/>
      <c s="5"/>
      <c s="5"/>
      <c s="5"/>
      <c s="5"/>
      <c s="5"/>
      <c s="5"/>
      <c s="5"/>
      <c s="5"/>
      <c s="5"/>
      <c s="5"/>
      <c s="5"/>
      <c s="5"/>
      <c s="5"/>
      <c s="5"/>
      <c s="5"/>
      <c s="5"/>
      <c s="5"/>
      <c s="5"/>
      <c s="5"/>
      <c s="5"/>
    </row>
    <row r="272" spans="1:26" ht="15.75">
      <c r="A272" s="5"/>
      <c s="5"/>
      <c s="5"/>
      <c s="5"/>
      <c s="5"/>
      <c s="5"/>
      <c s="5"/>
      <c s="5"/>
      <c s="5"/>
      <c s="5"/>
      <c s="5"/>
      <c s="5"/>
      <c s="5"/>
      <c s="5"/>
      <c s="5"/>
      <c s="5"/>
      <c s="5"/>
      <c s="5"/>
      <c s="5"/>
      <c s="5"/>
      <c s="5"/>
      <c s="5"/>
      <c s="5"/>
      <c s="5"/>
      <c s="5"/>
      <c s="5"/>
    </row>
    <row r="273" spans="1:26" ht="15.75">
      <c r="A273" s="5"/>
      <c s="5"/>
      <c s="5"/>
      <c s="5"/>
      <c s="5"/>
      <c s="5"/>
      <c s="5"/>
      <c s="5"/>
      <c s="5"/>
      <c s="5"/>
      <c s="5"/>
      <c s="5"/>
      <c s="5"/>
      <c s="5"/>
      <c s="5"/>
      <c s="5"/>
      <c s="5"/>
      <c s="5"/>
      <c s="5"/>
      <c s="5"/>
      <c s="5"/>
      <c s="5"/>
      <c s="5"/>
      <c s="5"/>
      <c s="5"/>
      <c s="5"/>
    </row>
    <row r="274" spans="1:26" ht="15.75">
      <c r="A274" s="5"/>
      <c s="5"/>
      <c s="5"/>
      <c s="5"/>
      <c s="5"/>
      <c s="5"/>
      <c s="5"/>
      <c s="5"/>
      <c s="5"/>
      <c s="5"/>
      <c s="5"/>
      <c s="5"/>
      <c s="5"/>
      <c s="5"/>
      <c s="5"/>
      <c s="5"/>
      <c s="5"/>
      <c s="5"/>
      <c s="5"/>
      <c s="5"/>
      <c s="5"/>
      <c s="5"/>
      <c s="5"/>
      <c s="5"/>
      <c s="5"/>
      <c s="5"/>
    </row>
    <row r="275" spans="1:26" ht="15.75">
      <c r="A275" s="5"/>
      <c s="5"/>
      <c s="5"/>
      <c s="5"/>
      <c s="5"/>
      <c s="5"/>
      <c s="5"/>
      <c s="5"/>
      <c s="5"/>
      <c s="5"/>
      <c s="5"/>
      <c s="5"/>
      <c s="5"/>
      <c s="5"/>
      <c s="5"/>
      <c s="5"/>
      <c s="5"/>
      <c s="5"/>
      <c s="5"/>
      <c s="5"/>
      <c s="5"/>
      <c s="5"/>
      <c s="5"/>
      <c s="5"/>
      <c s="5"/>
      <c s="5"/>
    </row>
    <row r="276" spans="1:26" ht="15.75">
      <c r="A276" s="5"/>
      <c s="5"/>
      <c s="5"/>
      <c s="5"/>
      <c s="5"/>
      <c s="5"/>
      <c s="5"/>
      <c s="5"/>
      <c s="5"/>
      <c s="5"/>
      <c s="5"/>
      <c s="5"/>
      <c s="5"/>
      <c s="5"/>
      <c s="5"/>
      <c s="5"/>
      <c s="5"/>
      <c s="5"/>
      <c s="5"/>
      <c s="5"/>
      <c s="5"/>
      <c s="5"/>
      <c s="5"/>
      <c s="5"/>
      <c s="5"/>
      <c s="5"/>
    </row>
    <row r="277" spans="1:26" ht="15.75">
      <c r="A277" s="5"/>
      <c s="5"/>
      <c s="5"/>
      <c s="5"/>
      <c s="5"/>
      <c s="5"/>
      <c s="5"/>
      <c s="5"/>
      <c s="5"/>
      <c s="5"/>
      <c s="5"/>
      <c s="5"/>
      <c s="5"/>
      <c s="5"/>
      <c s="5"/>
      <c s="5"/>
      <c s="5"/>
      <c s="5"/>
      <c s="5"/>
      <c s="5"/>
      <c s="5"/>
      <c s="5"/>
      <c s="5"/>
      <c s="5"/>
      <c s="5"/>
      <c s="5"/>
    </row>
    <row r="278" spans="1:26" ht="15.75">
      <c r="A278" s="5"/>
      <c s="5"/>
      <c s="5"/>
      <c s="5"/>
      <c s="5"/>
      <c s="5"/>
      <c s="5"/>
      <c s="5"/>
      <c s="5"/>
      <c s="5"/>
      <c s="5"/>
      <c s="5"/>
      <c s="5"/>
      <c s="5"/>
      <c s="5"/>
      <c s="5"/>
      <c s="5"/>
      <c s="5"/>
      <c s="5"/>
      <c s="5"/>
      <c s="5"/>
      <c s="5"/>
      <c s="5"/>
      <c s="5"/>
      <c s="5"/>
      <c s="5"/>
    </row>
    <row r="279" spans="1:26" ht="15.75">
      <c r="A279" s="5"/>
      <c s="5"/>
      <c s="5"/>
      <c s="5"/>
      <c s="5"/>
      <c s="5"/>
      <c s="5"/>
      <c s="5"/>
      <c s="5"/>
      <c s="5"/>
      <c s="5"/>
      <c s="5"/>
      <c s="5"/>
      <c s="5"/>
      <c s="5"/>
      <c s="5"/>
      <c s="5"/>
      <c s="5"/>
      <c s="5"/>
      <c s="5"/>
      <c s="5"/>
      <c s="5"/>
      <c s="5"/>
      <c s="5"/>
      <c s="5"/>
      <c s="5"/>
    </row>
    <row r="280" spans="1:26" ht="15.75">
      <c r="A280" s="5"/>
      <c s="5"/>
      <c s="5"/>
      <c s="5"/>
      <c s="5"/>
      <c s="5"/>
      <c s="5"/>
      <c s="5"/>
      <c s="5"/>
      <c s="5"/>
      <c s="5"/>
      <c s="5"/>
      <c s="5"/>
      <c s="5"/>
      <c s="5"/>
      <c s="5"/>
      <c s="5"/>
      <c s="5"/>
      <c s="5"/>
      <c s="5"/>
      <c s="5"/>
      <c s="5"/>
      <c s="5"/>
      <c s="5"/>
      <c s="5"/>
      <c s="5"/>
    </row>
    <row r="281" spans="1:26" ht="15.75">
      <c r="A281" s="5"/>
      <c s="5"/>
      <c s="5"/>
      <c s="5"/>
      <c s="5"/>
      <c s="5"/>
      <c s="5"/>
      <c s="5"/>
      <c s="5"/>
      <c s="5"/>
      <c s="5"/>
      <c s="5"/>
      <c s="5"/>
      <c s="5"/>
      <c s="5"/>
      <c s="5"/>
      <c s="5"/>
      <c s="5"/>
      <c s="5"/>
      <c s="5"/>
      <c s="5"/>
      <c s="5"/>
      <c s="5"/>
      <c s="5"/>
      <c s="5"/>
      <c s="5"/>
    </row>
    <row r="282" spans="1:26" ht="15.75">
      <c r="A282" s="5"/>
      <c s="5"/>
      <c s="5"/>
      <c s="5"/>
      <c s="5"/>
      <c s="5"/>
      <c s="5"/>
      <c s="5"/>
      <c s="5"/>
      <c s="5"/>
      <c s="5"/>
      <c s="5"/>
      <c s="5"/>
      <c s="5"/>
      <c s="5"/>
      <c s="5"/>
      <c s="5"/>
      <c s="5"/>
      <c s="5"/>
      <c s="5"/>
      <c s="5"/>
      <c s="5"/>
      <c s="5"/>
      <c s="5"/>
      <c s="5"/>
      <c s="5"/>
    </row>
    <row r="283" spans="1:26" ht="15.75">
      <c r="A283" s="5"/>
      <c s="5"/>
      <c s="5"/>
      <c s="5"/>
      <c s="5"/>
      <c s="5"/>
      <c s="5"/>
      <c s="5"/>
      <c s="5"/>
      <c s="5"/>
      <c s="5"/>
      <c s="5"/>
      <c s="5"/>
      <c s="5"/>
      <c s="5"/>
      <c s="5"/>
      <c s="5"/>
      <c s="5"/>
      <c s="5"/>
      <c s="5"/>
      <c s="5"/>
      <c s="5"/>
      <c s="5"/>
      <c s="5"/>
      <c s="5"/>
      <c s="5"/>
    </row>
    <row r="284" spans="1:26" ht="15.75">
      <c r="A284" s="5"/>
      <c s="5"/>
      <c s="5"/>
      <c s="5"/>
      <c s="5"/>
      <c s="5"/>
      <c s="5"/>
      <c s="5"/>
      <c s="5"/>
      <c s="5"/>
      <c s="5"/>
      <c s="5"/>
      <c s="5"/>
      <c s="5"/>
      <c s="5"/>
      <c s="5"/>
      <c s="5"/>
      <c s="5"/>
      <c s="5"/>
      <c s="5"/>
      <c s="5"/>
      <c s="5"/>
      <c s="5"/>
      <c s="5"/>
      <c s="5"/>
      <c s="5"/>
    </row>
    <row r="285" spans="1:26" ht="15.75">
      <c r="A285" s="5"/>
      <c s="5"/>
      <c s="5"/>
      <c s="5"/>
      <c s="5"/>
      <c s="5"/>
      <c s="5"/>
      <c s="5"/>
      <c s="5"/>
      <c s="5"/>
      <c s="5"/>
      <c s="5"/>
      <c s="5"/>
      <c s="5"/>
      <c s="5"/>
      <c s="5"/>
      <c s="5"/>
      <c s="5"/>
      <c s="5"/>
      <c s="5"/>
      <c s="5"/>
      <c s="5"/>
      <c s="5"/>
      <c s="5"/>
      <c s="5"/>
      <c s="5"/>
    </row>
    <row r="286" spans="1:26" ht="15.75">
      <c r="A286" s="5"/>
      <c s="5"/>
      <c s="5"/>
      <c s="5"/>
      <c s="5"/>
      <c s="5"/>
      <c s="5"/>
      <c s="5"/>
      <c s="5"/>
      <c s="5"/>
      <c s="5"/>
      <c s="5"/>
      <c s="5"/>
      <c s="5"/>
      <c s="5"/>
      <c s="5"/>
      <c s="5"/>
      <c s="5"/>
      <c s="5"/>
      <c s="5"/>
      <c s="5"/>
      <c s="5"/>
      <c s="5"/>
      <c s="5"/>
      <c s="5"/>
      <c s="5"/>
    </row>
    <row r="287" spans="1:26" ht="15.75">
      <c r="A287" s="5"/>
      <c s="5"/>
      <c s="5"/>
      <c s="5"/>
      <c s="5"/>
      <c s="5"/>
      <c s="5"/>
      <c s="5"/>
      <c s="5"/>
      <c s="5"/>
      <c s="5"/>
      <c s="5"/>
      <c s="5"/>
      <c s="5"/>
      <c s="5"/>
      <c s="5"/>
      <c s="5"/>
      <c s="5"/>
      <c s="5"/>
      <c s="5"/>
      <c s="5"/>
      <c s="5"/>
      <c s="5"/>
      <c s="5"/>
      <c s="5"/>
      <c s="5"/>
    </row>
    <row r="288" spans="1:26" ht="15.75">
      <c r="A288" s="5"/>
      <c s="5"/>
      <c s="5"/>
      <c s="5"/>
      <c s="5"/>
      <c s="5"/>
      <c s="5"/>
      <c s="5"/>
      <c s="5"/>
      <c s="5"/>
      <c s="5"/>
      <c s="5"/>
      <c s="5"/>
      <c s="5"/>
      <c s="5"/>
      <c s="5"/>
      <c s="5"/>
      <c s="5"/>
      <c s="5"/>
      <c s="5"/>
      <c s="5"/>
      <c s="5"/>
      <c s="5"/>
      <c s="5"/>
      <c s="5"/>
      <c s="5"/>
    </row>
    <row r="289" spans="1:26" ht="15.75">
      <c r="A289" s="5"/>
      <c s="5"/>
      <c s="5"/>
      <c s="5"/>
      <c s="5"/>
      <c s="5"/>
      <c s="5"/>
      <c s="5"/>
      <c s="5"/>
      <c s="5"/>
      <c s="5"/>
      <c s="5"/>
      <c s="5"/>
      <c s="5"/>
      <c s="5"/>
      <c s="5"/>
      <c s="5"/>
      <c s="5"/>
      <c s="5"/>
      <c s="5"/>
      <c s="5"/>
      <c s="5"/>
      <c s="5"/>
      <c s="5"/>
      <c s="5"/>
      <c s="5"/>
    </row>
    <row r="290" spans="1:26" ht="15.75">
      <c r="A290" s="5"/>
      <c s="5"/>
      <c s="5"/>
      <c s="5"/>
      <c s="5"/>
      <c s="5"/>
      <c s="5"/>
      <c s="5"/>
      <c s="5"/>
      <c s="5"/>
      <c s="5"/>
      <c s="5"/>
      <c s="5"/>
      <c s="5"/>
      <c s="5"/>
      <c s="5"/>
      <c s="5"/>
      <c s="5"/>
      <c s="5"/>
      <c s="5"/>
      <c s="5"/>
      <c s="5"/>
      <c s="5"/>
      <c s="5"/>
      <c s="5"/>
      <c s="5"/>
    </row>
    <row r="291" spans="1:26" ht="15.75">
      <c r="A291" s="5"/>
      <c s="5"/>
      <c s="5"/>
      <c s="5"/>
      <c s="5"/>
      <c s="5"/>
      <c s="5"/>
      <c s="5"/>
      <c s="5"/>
      <c s="5"/>
      <c s="5"/>
      <c s="5"/>
      <c s="5"/>
      <c s="5"/>
      <c s="5"/>
      <c s="5"/>
      <c s="5"/>
      <c s="5"/>
      <c s="5"/>
      <c s="5"/>
      <c s="5"/>
      <c s="5"/>
      <c s="5"/>
      <c s="5"/>
      <c s="5"/>
      <c s="5"/>
    </row>
    <row r="292" spans="1:26" ht="15.75">
      <c r="A292" s="5"/>
      <c s="5"/>
      <c s="5"/>
      <c s="5"/>
      <c s="5"/>
      <c s="5"/>
      <c s="5"/>
      <c s="5"/>
      <c s="5"/>
      <c s="5"/>
      <c s="5"/>
      <c s="5"/>
      <c s="5"/>
      <c s="5"/>
      <c s="5"/>
      <c s="5"/>
      <c s="5"/>
      <c s="5"/>
      <c s="5"/>
      <c s="5"/>
      <c s="5"/>
      <c s="5"/>
      <c s="5"/>
      <c s="5"/>
      <c s="5"/>
      <c s="5"/>
    </row>
    <row r="293" spans="1:26" ht="15.75">
      <c r="A293" s="5"/>
      <c s="5"/>
      <c s="5"/>
      <c s="5"/>
      <c s="5"/>
      <c s="5"/>
      <c s="5"/>
      <c s="5"/>
      <c s="5"/>
      <c s="5"/>
      <c s="5"/>
      <c s="5"/>
      <c s="5"/>
      <c s="5"/>
      <c s="5"/>
      <c s="5"/>
      <c s="5"/>
      <c s="5"/>
      <c s="5"/>
      <c s="5"/>
      <c s="5"/>
      <c s="5"/>
      <c s="5"/>
      <c s="5"/>
      <c s="5"/>
      <c s="5"/>
    </row>
    <row r="294" spans="1:26" ht="15.75">
      <c r="A294" s="5"/>
      <c s="5"/>
      <c s="5"/>
      <c s="5"/>
      <c s="5"/>
      <c s="5"/>
      <c s="5"/>
      <c s="5"/>
      <c s="5"/>
      <c s="5"/>
      <c s="5"/>
      <c s="5"/>
      <c s="5"/>
      <c s="5"/>
      <c s="5"/>
      <c s="5"/>
      <c s="5"/>
      <c s="5"/>
      <c s="5"/>
      <c s="5"/>
      <c s="5"/>
      <c s="5"/>
      <c s="5"/>
      <c s="5"/>
      <c s="5"/>
      <c s="5"/>
    </row>
    <row r="295" spans="1:26" ht="15.75">
      <c r="A295" s="5"/>
      <c s="5"/>
      <c s="5"/>
      <c s="5"/>
      <c s="5"/>
      <c s="5"/>
      <c s="5"/>
      <c s="5"/>
      <c s="5"/>
      <c s="5"/>
      <c s="5"/>
      <c s="5"/>
      <c s="5"/>
      <c s="5"/>
      <c s="5"/>
      <c s="5"/>
      <c s="5"/>
      <c s="5"/>
      <c s="5"/>
      <c s="5"/>
      <c s="5"/>
      <c s="5"/>
      <c s="5"/>
      <c s="5"/>
      <c s="5"/>
      <c s="5"/>
    </row>
    <row r="296" spans="1:26" ht="15.75">
      <c r="A296" s="5"/>
      <c s="5"/>
      <c s="5"/>
      <c s="5"/>
      <c s="5"/>
      <c s="5"/>
      <c s="5"/>
      <c s="5"/>
      <c s="5"/>
      <c s="5"/>
      <c s="5"/>
      <c s="5"/>
      <c s="5"/>
      <c s="5"/>
      <c s="5"/>
      <c s="5"/>
      <c s="5"/>
      <c s="5"/>
      <c s="5"/>
      <c s="5"/>
      <c s="5"/>
      <c s="5"/>
      <c s="5"/>
      <c s="5"/>
      <c s="5"/>
      <c s="5"/>
    </row>
    <row r="297" spans="1:26" ht="15.75">
      <c r="A297" s="5"/>
      <c s="5"/>
      <c s="5"/>
      <c s="5"/>
      <c s="5"/>
      <c s="5"/>
      <c s="5"/>
      <c s="5"/>
      <c s="5"/>
      <c s="5"/>
      <c s="5"/>
      <c s="5"/>
      <c s="5"/>
      <c s="5"/>
      <c s="5"/>
      <c s="5"/>
      <c s="5"/>
      <c s="5"/>
      <c s="5"/>
      <c s="5"/>
      <c s="5"/>
      <c s="5"/>
      <c s="5"/>
      <c s="5"/>
      <c s="5"/>
      <c s="5"/>
    </row>
    <row r="298" spans="1:26" ht="15.75">
      <c r="A298" s="5"/>
      <c s="5"/>
      <c s="5"/>
      <c s="5"/>
      <c s="5"/>
      <c s="5"/>
      <c s="5"/>
      <c s="5"/>
      <c s="5"/>
      <c s="5"/>
      <c s="5"/>
      <c s="5"/>
      <c s="5"/>
      <c s="5"/>
      <c s="5"/>
      <c s="5"/>
      <c s="5"/>
      <c s="5"/>
      <c s="5"/>
      <c s="5"/>
      <c s="5"/>
      <c s="5"/>
      <c s="5"/>
      <c s="5"/>
      <c s="5"/>
      <c s="5"/>
    </row>
    <row r="299" spans="1:26" ht="15.75">
      <c r="A299" s="5"/>
      <c s="5"/>
      <c s="5"/>
      <c s="5"/>
      <c s="5"/>
      <c s="5"/>
      <c s="5"/>
      <c s="5"/>
      <c s="5"/>
      <c s="5"/>
      <c s="5"/>
      <c s="5"/>
      <c s="5"/>
      <c s="5"/>
      <c s="5"/>
      <c s="5"/>
      <c s="5"/>
      <c s="5"/>
      <c s="5"/>
      <c s="5"/>
      <c s="5"/>
      <c s="5"/>
      <c s="5"/>
      <c s="5"/>
      <c s="5"/>
      <c s="5"/>
    </row>
    <row r="300" spans="1:26" ht="15.75">
      <c r="A300" s="5"/>
      <c s="5"/>
      <c s="5"/>
      <c s="5"/>
      <c s="5"/>
      <c s="5"/>
      <c s="5"/>
      <c s="5"/>
      <c s="5"/>
      <c s="5"/>
      <c s="5"/>
      <c s="5"/>
      <c s="5"/>
      <c s="5"/>
      <c s="5"/>
      <c s="5"/>
      <c s="5"/>
      <c s="5"/>
      <c s="5"/>
      <c s="5"/>
      <c s="5"/>
      <c s="5"/>
      <c s="5"/>
      <c s="5"/>
      <c s="5"/>
      <c s="5"/>
    </row>
    <row r="301" spans="1:26" ht="15.75">
      <c r="A301" s="5"/>
      <c s="5"/>
      <c s="5"/>
      <c s="5"/>
      <c s="5"/>
      <c s="5"/>
      <c s="5"/>
      <c s="5"/>
      <c s="5"/>
      <c s="5"/>
      <c s="5"/>
      <c s="5"/>
      <c s="5"/>
      <c s="5"/>
      <c s="5"/>
      <c s="5"/>
      <c s="5"/>
      <c s="5"/>
      <c s="5"/>
      <c s="5"/>
      <c s="5"/>
      <c s="5"/>
      <c s="5"/>
      <c s="5"/>
      <c s="5"/>
      <c s="5"/>
    </row>
    <row r="302" spans="1:26" ht="15.75">
      <c r="A302" s="5"/>
      <c s="5"/>
      <c s="5"/>
      <c s="5"/>
      <c s="5"/>
      <c s="5"/>
      <c s="5"/>
      <c s="5"/>
      <c s="5"/>
      <c s="5"/>
      <c s="5"/>
      <c s="5"/>
      <c s="5"/>
      <c s="5"/>
      <c s="5"/>
      <c s="5"/>
      <c s="5"/>
      <c s="5"/>
      <c s="5"/>
      <c s="5"/>
      <c s="5"/>
      <c s="5"/>
      <c s="5"/>
      <c s="5"/>
      <c s="5"/>
      <c s="5"/>
    </row>
    <row r="303" spans="1:26" ht="15.75">
      <c r="A303" s="5"/>
      <c s="5"/>
      <c s="5"/>
      <c s="5"/>
      <c s="5"/>
      <c s="5"/>
      <c s="5"/>
      <c s="5"/>
      <c s="5"/>
      <c s="5"/>
      <c s="5"/>
      <c s="5"/>
      <c s="5"/>
      <c s="5"/>
      <c s="5"/>
      <c s="5"/>
      <c s="5"/>
      <c s="5"/>
      <c s="5"/>
      <c s="5"/>
      <c s="5"/>
      <c s="5"/>
      <c s="5"/>
      <c s="5"/>
      <c s="5"/>
      <c s="5"/>
    </row>
    <row r="304" spans="1:26" ht="15.75">
      <c r="A304" s="5"/>
      <c s="5"/>
      <c s="5"/>
      <c s="5"/>
      <c s="5"/>
      <c s="5"/>
      <c s="5"/>
      <c s="5"/>
      <c s="5"/>
      <c s="5"/>
      <c s="5"/>
      <c s="5"/>
      <c s="5"/>
      <c s="5"/>
      <c s="5"/>
      <c s="5"/>
      <c s="5"/>
      <c s="5"/>
      <c s="5"/>
      <c s="5"/>
      <c s="5"/>
      <c s="5"/>
      <c s="5"/>
      <c s="5"/>
      <c s="5"/>
      <c s="5"/>
    </row>
    <row r="305" spans="1:26" ht="15.75">
      <c r="A305" s="5"/>
      <c s="5"/>
      <c s="5"/>
      <c s="5"/>
      <c s="5"/>
      <c s="5"/>
      <c s="5"/>
      <c s="5"/>
      <c s="5"/>
      <c s="5"/>
      <c s="5"/>
      <c s="5"/>
      <c s="5"/>
      <c s="5"/>
      <c s="5"/>
      <c s="5"/>
      <c s="5"/>
      <c s="5"/>
      <c s="5"/>
      <c s="5"/>
      <c s="5"/>
      <c s="5"/>
      <c s="5"/>
      <c s="5"/>
      <c s="5"/>
      <c s="5"/>
    </row>
    <row r="306" spans="1:26" ht="15.75">
      <c r="A306" s="5"/>
      <c s="5"/>
      <c s="5"/>
      <c s="5"/>
      <c s="5"/>
      <c s="5"/>
      <c s="5"/>
      <c s="5"/>
      <c s="5"/>
      <c s="5"/>
      <c s="5"/>
      <c s="5"/>
      <c s="5"/>
      <c s="5"/>
      <c s="5"/>
      <c s="5"/>
      <c s="5"/>
      <c s="5"/>
      <c s="5"/>
      <c s="5"/>
      <c s="5"/>
      <c s="5"/>
      <c s="5"/>
      <c s="5"/>
      <c s="5"/>
      <c s="5"/>
    </row>
    <row r="307" spans="1:26" ht="15.75">
      <c r="A307" s="5"/>
      <c s="5"/>
      <c s="5"/>
      <c s="5"/>
      <c s="5"/>
      <c s="5"/>
      <c s="5"/>
      <c s="5"/>
      <c s="5"/>
      <c s="5"/>
      <c s="5"/>
      <c s="5"/>
      <c s="5"/>
      <c s="5"/>
      <c s="5"/>
      <c s="5"/>
      <c s="5"/>
      <c s="5"/>
      <c s="5"/>
      <c s="5"/>
      <c s="5"/>
      <c s="5"/>
      <c s="5"/>
      <c s="5"/>
      <c s="5"/>
      <c s="5"/>
    </row>
    <row r="308" spans="1:26" ht="15.75">
      <c r="A308" s="5"/>
      <c s="5"/>
      <c s="5"/>
      <c s="5"/>
      <c s="5"/>
      <c s="5"/>
      <c s="5"/>
      <c s="5"/>
      <c s="5"/>
      <c s="5"/>
      <c s="5"/>
      <c s="5"/>
      <c s="5"/>
      <c s="5"/>
      <c s="5"/>
      <c s="5"/>
      <c s="5"/>
      <c s="5"/>
      <c s="5"/>
      <c s="5"/>
      <c s="5"/>
      <c s="5"/>
      <c s="5"/>
      <c s="5"/>
      <c s="5"/>
      <c s="5"/>
    </row>
    <row r="309" spans="1:26" ht="15.75">
      <c r="A309" s="5"/>
      <c s="5"/>
      <c s="5"/>
      <c s="5"/>
      <c s="5"/>
      <c s="5"/>
      <c s="5"/>
      <c s="5"/>
      <c s="5"/>
      <c s="5"/>
      <c s="5"/>
      <c s="5"/>
      <c s="5"/>
      <c s="5"/>
      <c s="5"/>
      <c s="5"/>
      <c s="5"/>
      <c s="5"/>
      <c s="5"/>
      <c s="5"/>
      <c s="5"/>
      <c s="5"/>
      <c s="5"/>
      <c s="5"/>
      <c s="5"/>
      <c s="5"/>
    </row>
    <row r="310" spans="1:26" ht="15.75">
      <c r="A310" s="5"/>
      <c s="5"/>
      <c s="5"/>
      <c s="5"/>
      <c s="5"/>
      <c s="5"/>
      <c s="5"/>
      <c s="5"/>
      <c s="5"/>
      <c s="5"/>
      <c s="5"/>
      <c s="5"/>
      <c s="5"/>
      <c s="5"/>
      <c s="5"/>
      <c s="5"/>
      <c s="5"/>
      <c s="5"/>
      <c s="5"/>
      <c s="5"/>
      <c s="5"/>
      <c s="5"/>
      <c s="5"/>
      <c s="5"/>
      <c s="5"/>
      <c s="5"/>
    </row>
    <row r="311" spans="1:26" ht="15.75">
      <c r="A311" s="5"/>
      <c s="5"/>
      <c s="5"/>
      <c s="5"/>
      <c s="5"/>
      <c s="5"/>
      <c s="5"/>
      <c s="5"/>
      <c s="5"/>
      <c s="5"/>
      <c s="5"/>
      <c s="5"/>
      <c s="5"/>
      <c s="5"/>
      <c s="5"/>
      <c s="5"/>
      <c s="5"/>
      <c s="5"/>
      <c s="5"/>
      <c s="5"/>
      <c s="5"/>
      <c s="5"/>
      <c s="5"/>
      <c s="5"/>
      <c s="5"/>
      <c s="5"/>
    </row>
    <row r="312" spans="1:26" ht="15.75">
      <c r="A312" s="5"/>
      <c s="5"/>
      <c s="5"/>
      <c s="5"/>
      <c s="5"/>
      <c s="5"/>
      <c s="5"/>
      <c s="5"/>
      <c s="5"/>
      <c s="5"/>
      <c s="5"/>
      <c s="5"/>
      <c s="5"/>
      <c s="5"/>
      <c s="5"/>
      <c s="5"/>
      <c s="5"/>
      <c s="5"/>
      <c s="5"/>
      <c s="5"/>
      <c s="5"/>
      <c s="5"/>
      <c s="5"/>
      <c s="5"/>
      <c s="5"/>
      <c s="5"/>
    </row>
    <row r="313" spans="1:26" ht="15.75">
      <c r="A313" s="5"/>
      <c s="5"/>
      <c s="5"/>
      <c s="5"/>
      <c s="5"/>
      <c s="5"/>
      <c s="5"/>
      <c s="5"/>
      <c s="5"/>
      <c s="5"/>
      <c s="5"/>
      <c s="5"/>
      <c s="5"/>
      <c s="5"/>
      <c s="5"/>
      <c s="5"/>
      <c s="5"/>
      <c s="5"/>
      <c s="5"/>
      <c s="5"/>
      <c s="5"/>
      <c s="5"/>
      <c s="5"/>
      <c s="5"/>
      <c s="5"/>
      <c s="5"/>
    </row>
    <row r="314" spans="1:26" ht="15.75">
      <c r="A314" s="5"/>
      <c s="5"/>
      <c s="5"/>
      <c s="5"/>
      <c s="5"/>
      <c s="5"/>
      <c s="5"/>
      <c s="5"/>
      <c s="5"/>
      <c s="5"/>
      <c s="5"/>
      <c s="5"/>
      <c s="5"/>
      <c s="5"/>
      <c s="5"/>
      <c s="5"/>
      <c s="5"/>
      <c s="5"/>
      <c s="5"/>
      <c s="5"/>
      <c s="5"/>
      <c s="5"/>
      <c s="5"/>
      <c s="5"/>
      <c s="5"/>
      <c s="5"/>
    </row>
    <row r="315" spans="1:26" ht="15.75">
      <c r="A315" s="5"/>
      <c s="5"/>
      <c s="5"/>
      <c s="5"/>
      <c s="5"/>
      <c s="5"/>
      <c s="5"/>
      <c s="5"/>
      <c s="5"/>
      <c s="5"/>
      <c s="5"/>
      <c s="5"/>
      <c s="5"/>
      <c s="5"/>
      <c s="5"/>
      <c s="5"/>
      <c s="5"/>
      <c s="5"/>
      <c s="5"/>
      <c s="5"/>
      <c s="5"/>
      <c s="5"/>
      <c s="5"/>
      <c s="5"/>
      <c s="5"/>
      <c s="5"/>
    </row>
    <row r="316" spans="1:26" ht="15.75">
      <c r="A316" s="5"/>
      <c s="5"/>
      <c s="5"/>
      <c s="5"/>
      <c s="5"/>
      <c s="5"/>
      <c s="5"/>
      <c s="5"/>
      <c s="5"/>
      <c s="5"/>
      <c s="5"/>
      <c s="5"/>
      <c s="5"/>
      <c s="5"/>
      <c s="5"/>
      <c s="5"/>
      <c s="5"/>
      <c s="5"/>
      <c s="5"/>
      <c s="5"/>
      <c s="5"/>
      <c s="5"/>
      <c s="5"/>
      <c s="5"/>
      <c s="5"/>
      <c s="5"/>
    </row>
    <row r="317" spans="1:26" ht="15.75">
      <c r="A317" s="5"/>
      <c s="5"/>
      <c s="5"/>
      <c s="5"/>
      <c s="5"/>
      <c s="5"/>
      <c s="5"/>
      <c s="5"/>
      <c s="5"/>
      <c s="5"/>
      <c s="5"/>
      <c s="5"/>
      <c s="5"/>
      <c s="5"/>
      <c s="5"/>
      <c s="5"/>
      <c s="5"/>
      <c s="5"/>
      <c s="5"/>
      <c s="5"/>
      <c s="5"/>
      <c s="5"/>
      <c s="5"/>
      <c s="5"/>
      <c s="5"/>
      <c s="5"/>
    </row>
    <row r="318" spans="1:26" ht="15.75">
      <c r="A318" s="5"/>
      <c s="5"/>
      <c s="5"/>
      <c s="5"/>
      <c s="5"/>
      <c s="5"/>
      <c s="5"/>
      <c s="5"/>
      <c s="5"/>
      <c s="5"/>
      <c s="5"/>
      <c s="5"/>
      <c s="5"/>
      <c s="5"/>
      <c s="5"/>
      <c s="5"/>
      <c s="5"/>
      <c s="5"/>
      <c s="5"/>
      <c s="5"/>
      <c s="5"/>
      <c s="5"/>
      <c s="5"/>
      <c s="5"/>
      <c s="5"/>
      <c s="5"/>
    </row>
    <row r="319" spans="1:26" ht="15.75">
      <c r="A319" s="5"/>
      <c s="5"/>
      <c s="5"/>
      <c s="5"/>
      <c s="5"/>
      <c s="5"/>
      <c s="5"/>
      <c s="5"/>
      <c s="5"/>
      <c s="5"/>
      <c s="5"/>
      <c s="5"/>
      <c s="5"/>
      <c s="5"/>
      <c s="5"/>
      <c s="5"/>
      <c s="5"/>
      <c s="5"/>
      <c s="5"/>
      <c s="5"/>
      <c s="5"/>
      <c s="5"/>
      <c s="5"/>
      <c s="5"/>
      <c s="5"/>
      <c s="5"/>
    </row>
    <row r="320" spans="1:26" ht="15.75">
      <c r="A320" s="5"/>
      <c s="5"/>
      <c s="5"/>
      <c s="5"/>
      <c s="5"/>
      <c s="5"/>
      <c s="5"/>
      <c s="5"/>
      <c s="5"/>
      <c s="5"/>
      <c s="5"/>
      <c s="5"/>
      <c s="5"/>
      <c s="5"/>
      <c s="5"/>
      <c s="5"/>
      <c s="5"/>
      <c s="5"/>
      <c s="5"/>
      <c s="5"/>
      <c s="5"/>
      <c s="5"/>
      <c s="5"/>
      <c s="5"/>
      <c s="5"/>
      <c s="5"/>
    </row>
    <row r="321" spans="1:26" ht="15.75">
      <c r="A321" s="5"/>
      <c s="5"/>
      <c s="5"/>
      <c s="5"/>
      <c s="5"/>
      <c s="5"/>
      <c s="5"/>
      <c s="5"/>
      <c s="5"/>
      <c s="5"/>
      <c s="5"/>
      <c s="5"/>
      <c s="5"/>
      <c s="5"/>
      <c s="5"/>
      <c s="5"/>
      <c s="5"/>
      <c s="5"/>
      <c s="5"/>
      <c s="5"/>
      <c s="5"/>
      <c s="5"/>
      <c s="5"/>
      <c s="5"/>
      <c s="5"/>
      <c s="5"/>
    </row>
    <row r="322" spans="1:26" ht="15.75">
      <c r="A322" s="5"/>
      <c s="5"/>
      <c s="5"/>
      <c s="5"/>
      <c s="5"/>
      <c s="5"/>
      <c s="5"/>
      <c s="5"/>
      <c s="5"/>
      <c s="5"/>
      <c s="5"/>
      <c s="5"/>
      <c s="5"/>
      <c s="5"/>
      <c s="5"/>
      <c s="5"/>
      <c s="5"/>
      <c s="5"/>
      <c s="5"/>
      <c s="5"/>
      <c s="5"/>
      <c s="5"/>
      <c s="5"/>
      <c s="5"/>
      <c s="5"/>
      <c s="5"/>
    </row>
    <row r="323" spans="1:26" ht="15.75">
      <c r="A323" s="5"/>
      <c s="5"/>
      <c s="5"/>
      <c s="5"/>
      <c s="5"/>
      <c s="5"/>
      <c s="5"/>
      <c s="5"/>
      <c s="5"/>
      <c s="5"/>
      <c s="5"/>
      <c s="5"/>
      <c s="5"/>
      <c s="5"/>
      <c s="5"/>
      <c s="5"/>
      <c s="5"/>
      <c s="5"/>
      <c s="5"/>
      <c s="5"/>
      <c s="5"/>
      <c s="5"/>
      <c s="5"/>
      <c s="5"/>
      <c s="5"/>
      <c s="5"/>
    </row>
    <row r="324" spans="1:26" ht="15.75">
      <c r="A324" s="5"/>
      <c s="5"/>
      <c s="5"/>
      <c s="5"/>
      <c s="5"/>
      <c s="5"/>
      <c s="5"/>
      <c s="5"/>
      <c s="5"/>
      <c s="5"/>
      <c s="5"/>
      <c s="5"/>
      <c s="5"/>
      <c s="5"/>
      <c s="5"/>
      <c s="5"/>
      <c s="5"/>
      <c s="5"/>
      <c s="5"/>
      <c s="5"/>
      <c s="5"/>
      <c s="5"/>
      <c s="5"/>
      <c s="5"/>
      <c s="5"/>
      <c s="5"/>
    </row>
    <row r="325" spans="1:26" ht="15.75">
      <c r="A325" s="5"/>
      <c s="5"/>
      <c s="5"/>
      <c s="5"/>
      <c s="5"/>
      <c s="5"/>
      <c s="5"/>
      <c s="5"/>
      <c s="5"/>
      <c s="5"/>
      <c s="5"/>
      <c s="5"/>
      <c s="5"/>
      <c s="5"/>
      <c s="5"/>
      <c s="5"/>
      <c s="5"/>
      <c s="5"/>
      <c s="5"/>
      <c s="5"/>
      <c s="5"/>
      <c s="5"/>
      <c s="5"/>
      <c s="5"/>
      <c s="5"/>
      <c s="5"/>
    </row>
    <row r="326" spans="1:26" ht="15.75">
      <c r="A326" s="5"/>
      <c s="5"/>
      <c s="5"/>
      <c s="5"/>
      <c s="5"/>
      <c s="5"/>
      <c s="5"/>
      <c s="5"/>
      <c s="5"/>
      <c s="5"/>
      <c s="5"/>
      <c s="5"/>
      <c s="5"/>
      <c s="5"/>
      <c s="5"/>
      <c s="5"/>
      <c s="5"/>
      <c s="5"/>
      <c s="5"/>
      <c s="5"/>
      <c s="5"/>
      <c s="5"/>
      <c s="5"/>
      <c s="5"/>
      <c s="5"/>
      <c s="5"/>
    </row>
    <row r="327" spans="1:26" ht="15.75">
      <c r="A327" s="5"/>
      <c s="5"/>
      <c s="5"/>
      <c s="5"/>
      <c s="5"/>
      <c s="5"/>
      <c s="5"/>
      <c s="5"/>
      <c s="5"/>
      <c s="5"/>
      <c s="5"/>
      <c s="5"/>
      <c s="5"/>
      <c s="5"/>
      <c s="5"/>
      <c s="5"/>
      <c s="5"/>
      <c s="5"/>
      <c s="5"/>
      <c s="5"/>
      <c s="5"/>
      <c s="5"/>
      <c s="5"/>
      <c s="5"/>
      <c s="5"/>
      <c s="5"/>
    </row>
    <row r="328" spans="1:26" ht="15.75">
      <c r="A328" s="5"/>
      <c s="5"/>
      <c s="5"/>
      <c s="5"/>
      <c s="5"/>
      <c s="5"/>
      <c s="5"/>
      <c s="5"/>
      <c s="5"/>
      <c s="5"/>
      <c s="5"/>
      <c s="5"/>
      <c s="5"/>
      <c s="5"/>
      <c s="5"/>
      <c s="5"/>
      <c s="5"/>
      <c s="5"/>
      <c s="5"/>
      <c s="5"/>
      <c s="5"/>
      <c s="5"/>
      <c s="5"/>
      <c s="5"/>
      <c s="5"/>
      <c s="5"/>
    </row>
    <row r="329" spans="1:26" ht="15.75">
      <c r="A329" s="5"/>
      <c s="5"/>
      <c s="5"/>
      <c s="5"/>
      <c s="5"/>
      <c s="5"/>
      <c s="5"/>
      <c s="5"/>
      <c s="5"/>
      <c s="5"/>
      <c s="5"/>
      <c s="5"/>
      <c s="5"/>
      <c s="5"/>
      <c s="5"/>
      <c s="5"/>
      <c s="5"/>
      <c s="5"/>
      <c s="5"/>
      <c s="5"/>
      <c s="5"/>
      <c s="5"/>
      <c s="5"/>
      <c s="5"/>
      <c s="5"/>
      <c s="5"/>
    </row>
    <row r="330" spans="1:26" ht="15.75">
      <c r="A330" s="5"/>
      <c s="5"/>
      <c s="5"/>
      <c s="5"/>
      <c s="5"/>
      <c s="5"/>
      <c s="5"/>
      <c s="5"/>
      <c s="5"/>
      <c s="5"/>
      <c s="5"/>
      <c s="5"/>
      <c s="5"/>
      <c s="5"/>
      <c s="5"/>
      <c s="5"/>
      <c s="5"/>
      <c s="5"/>
      <c s="5"/>
      <c s="5"/>
      <c s="5"/>
      <c s="5"/>
      <c s="5"/>
      <c s="5"/>
      <c s="5"/>
      <c s="5"/>
    </row>
    <row r="331" spans="1:26" ht="15.75">
      <c r="A331" s="5"/>
      <c s="5"/>
      <c s="5"/>
      <c s="5"/>
      <c s="5"/>
      <c s="5"/>
      <c s="5"/>
      <c s="5"/>
      <c s="5"/>
      <c s="5"/>
      <c s="5"/>
      <c s="5"/>
      <c s="5"/>
      <c s="5"/>
      <c s="5"/>
      <c s="5"/>
      <c s="5"/>
      <c s="5"/>
      <c s="5"/>
      <c s="5"/>
      <c s="5"/>
      <c s="5"/>
      <c s="5"/>
      <c s="5"/>
      <c s="5"/>
      <c s="5"/>
    </row>
    <row r="332" spans="1:26" ht="15.75">
      <c r="A332" s="5"/>
      <c s="5"/>
      <c s="5"/>
      <c s="5"/>
      <c s="5"/>
      <c s="5"/>
      <c s="5"/>
      <c s="5"/>
      <c s="5"/>
      <c s="5"/>
      <c s="5"/>
      <c s="5"/>
      <c s="5"/>
      <c s="5"/>
      <c s="5"/>
      <c s="5"/>
      <c s="5"/>
      <c s="5"/>
      <c s="5"/>
      <c s="5"/>
      <c s="5"/>
      <c s="5"/>
      <c s="5"/>
      <c s="5"/>
      <c s="5"/>
      <c s="5"/>
    </row>
    <row r="333" spans="1:26" ht="15.75">
      <c r="A333" s="5"/>
      <c s="5"/>
      <c s="5"/>
      <c s="5"/>
      <c s="5"/>
      <c s="5"/>
      <c s="5"/>
      <c s="5"/>
      <c s="5"/>
      <c s="5"/>
      <c s="5"/>
      <c s="5"/>
      <c s="5"/>
      <c s="5"/>
      <c s="5"/>
      <c s="5"/>
      <c s="5"/>
      <c s="5"/>
      <c s="5"/>
      <c s="5"/>
      <c s="5"/>
      <c s="5"/>
      <c s="5"/>
      <c s="5"/>
      <c s="5"/>
      <c s="5"/>
    </row>
    <row r="334" spans="1:26" ht="15.75">
      <c r="A334" s="5"/>
      <c s="5"/>
      <c s="5"/>
      <c s="5"/>
      <c s="5"/>
      <c s="5"/>
      <c s="5"/>
      <c s="5"/>
      <c s="5"/>
      <c s="5"/>
      <c s="5"/>
      <c s="5"/>
      <c s="5"/>
      <c s="5"/>
      <c s="5"/>
      <c s="5"/>
      <c s="5"/>
      <c s="5"/>
      <c s="5"/>
      <c s="5"/>
      <c s="5"/>
      <c s="5"/>
      <c s="5"/>
      <c s="5"/>
      <c s="5"/>
      <c s="5"/>
    </row>
    <row r="335" spans="1:26" ht="15.75">
      <c r="A335" s="5"/>
      <c s="5"/>
      <c s="5"/>
      <c s="5"/>
      <c s="5"/>
      <c s="5"/>
      <c s="5"/>
      <c s="5"/>
      <c s="5"/>
      <c s="5"/>
      <c s="5"/>
      <c s="5"/>
      <c s="5"/>
      <c s="5"/>
      <c s="5"/>
      <c s="5"/>
      <c s="5"/>
      <c s="5"/>
      <c s="5"/>
      <c s="5"/>
      <c s="5"/>
      <c s="5"/>
      <c s="5"/>
      <c s="5"/>
      <c s="5"/>
      <c s="5"/>
    </row>
    <row r="336" spans="1:26" ht="15.75">
      <c r="A336" s="5"/>
      <c s="5"/>
      <c s="5"/>
      <c s="5"/>
      <c s="5"/>
      <c s="5"/>
      <c s="5"/>
      <c s="5"/>
      <c s="5"/>
      <c s="5"/>
      <c s="5"/>
      <c s="5"/>
      <c s="5"/>
      <c s="5"/>
      <c s="5"/>
      <c s="5"/>
      <c s="5"/>
      <c s="5"/>
      <c s="5"/>
      <c s="5"/>
      <c s="5"/>
      <c s="5"/>
      <c s="5"/>
      <c s="5"/>
      <c s="5"/>
      <c s="5"/>
    </row>
    <row r="337" spans="1:26" ht="15.75">
      <c r="A337" s="5"/>
      <c s="5"/>
      <c s="5"/>
      <c s="5"/>
      <c s="5"/>
      <c s="5"/>
      <c s="5"/>
      <c s="5"/>
      <c s="5"/>
      <c s="5"/>
      <c s="5"/>
      <c s="5"/>
      <c s="5"/>
      <c s="5"/>
      <c s="5"/>
      <c s="5"/>
      <c s="5"/>
      <c s="5"/>
      <c s="5"/>
      <c s="5"/>
      <c s="5"/>
      <c s="5"/>
      <c s="5"/>
      <c s="5"/>
      <c s="5"/>
      <c s="5"/>
    </row>
    <row r="338" spans="1:26" ht="15.75">
      <c r="A338" s="5"/>
      <c s="5"/>
      <c s="5"/>
      <c s="5"/>
      <c s="5"/>
      <c s="5"/>
      <c s="5"/>
      <c s="5"/>
      <c s="5"/>
      <c s="5"/>
      <c s="5"/>
      <c s="5"/>
      <c s="5"/>
      <c s="5"/>
      <c s="5"/>
      <c s="5"/>
      <c s="5"/>
      <c s="5"/>
      <c s="5"/>
      <c s="5"/>
      <c s="5"/>
      <c s="5"/>
      <c s="5"/>
      <c s="5"/>
      <c s="5"/>
      <c s="5"/>
    </row>
    <row r="339" spans="1:26" ht="15.75">
      <c r="A339" s="5"/>
      <c s="5"/>
      <c s="5"/>
      <c s="5"/>
      <c s="5"/>
      <c s="5"/>
      <c s="5"/>
      <c s="5"/>
      <c s="5"/>
      <c s="5"/>
      <c s="5"/>
      <c s="5"/>
      <c s="5"/>
      <c s="5"/>
      <c s="5"/>
      <c s="5"/>
      <c s="5"/>
      <c s="5"/>
      <c s="5"/>
      <c s="5"/>
      <c s="5"/>
      <c s="5"/>
      <c s="5"/>
      <c s="5"/>
      <c s="5"/>
      <c s="5"/>
    </row>
    <row r="340" spans="1:26" ht="15.75">
      <c r="A340" s="5"/>
      <c s="5"/>
      <c s="5"/>
      <c s="5"/>
      <c s="5"/>
      <c s="5"/>
      <c s="5"/>
      <c s="5"/>
      <c s="5"/>
      <c s="5"/>
      <c s="5"/>
      <c s="5"/>
      <c s="5"/>
      <c s="5"/>
      <c s="5"/>
      <c s="5"/>
      <c s="5"/>
      <c s="5"/>
      <c s="5"/>
      <c s="5"/>
      <c s="5"/>
      <c s="5"/>
      <c s="5"/>
      <c s="5"/>
      <c s="5"/>
      <c s="5"/>
    </row>
    <row r="341" spans="1:26" ht="15.75">
      <c r="A341" s="5"/>
      <c s="5"/>
      <c s="5"/>
      <c s="5"/>
      <c s="5"/>
      <c s="5"/>
      <c s="5"/>
      <c s="5"/>
      <c s="5"/>
      <c s="5"/>
      <c s="5"/>
      <c s="5"/>
      <c s="5"/>
      <c s="5"/>
      <c s="5"/>
      <c s="5"/>
      <c s="5"/>
      <c s="5"/>
      <c s="5"/>
      <c s="5"/>
      <c s="5"/>
      <c s="5"/>
      <c s="5"/>
      <c s="5"/>
      <c s="5"/>
      <c s="5"/>
    </row>
    <row r="342" spans="1:26" ht="15.75">
      <c r="A342" s="5"/>
      <c s="5"/>
      <c s="5"/>
      <c s="5"/>
      <c s="5"/>
      <c s="5"/>
      <c s="5"/>
      <c s="5"/>
      <c s="5"/>
      <c s="5"/>
      <c s="5"/>
      <c s="5"/>
      <c s="5"/>
      <c s="5"/>
      <c s="5"/>
      <c s="5"/>
      <c s="5"/>
      <c s="5"/>
      <c s="5"/>
      <c s="5"/>
      <c s="5"/>
      <c s="5"/>
      <c s="5"/>
      <c s="5"/>
      <c s="5"/>
      <c s="5"/>
    </row>
    <row r="343" spans="1:26" ht="15.75">
      <c r="A343" s="5"/>
      <c s="5"/>
      <c s="5"/>
      <c s="5"/>
      <c s="5"/>
      <c s="5"/>
      <c s="5"/>
      <c s="5"/>
      <c s="5"/>
      <c s="5"/>
      <c s="5"/>
      <c s="5"/>
      <c s="5"/>
      <c s="5"/>
      <c s="5"/>
      <c s="5"/>
      <c s="5"/>
      <c s="5"/>
      <c s="5"/>
      <c s="5"/>
      <c s="5"/>
      <c s="5"/>
      <c s="5"/>
      <c s="5"/>
      <c s="5"/>
      <c s="5"/>
    </row>
    <row r="344" spans="1:26" ht="15.75">
      <c r="A344" s="5"/>
      <c s="5"/>
      <c s="5"/>
      <c s="5"/>
      <c s="5"/>
      <c s="5"/>
      <c s="5"/>
      <c s="5"/>
      <c s="5"/>
      <c s="5"/>
      <c s="5"/>
      <c s="5"/>
      <c s="5"/>
      <c s="5"/>
      <c s="5"/>
      <c s="5"/>
      <c s="5"/>
      <c s="5"/>
      <c s="5"/>
      <c s="5"/>
      <c s="5"/>
      <c s="5"/>
      <c s="5"/>
      <c s="5"/>
      <c s="5"/>
      <c s="5"/>
    </row>
    <row r="345" spans="1:26" ht="15.75">
      <c r="A345" s="5"/>
      <c s="5"/>
      <c s="5"/>
      <c s="5"/>
      <c s="5"/>
      <c s="5"/>
      <c s="5"/>
      <c s="5"/>
      <c s="5"/>
      <c s="5"/>
      <c s="5"/>
      <c s="5"/>
      <c s="5"/>
      <c s="5"/>
      <c s="5"/>
      <c s="5"/>
      <c s="5"/>
      <c s="5"/>
      <c s="5"/>
      <c s="5"/>
      <c s="5"/>
      <c s="5"/>
      <c s="5"/>
      <c s="5"/>
      <c s="5"/>
      <c s="5"/>
    </row>
    <row r="346" spans="1:26" ht="15.75">
      <c r="A346" s="5"/>
      <c s="5"/>
      <c s="5"/>
      <c s="5"/>
      <c s="5"/>
      <c s="5"/>
      <c s="5"/>
      <c s="5"/>
      <c s="5"/>
      <c s="5"/>
      <c s="5"/>
      <c s="5"/>
      <c s="5"/>
      <c s="5"/>
      <c s="5"/>
      <c s="5"/>
      <c s="5"/>
      <c s="5"/>
      <c s="5"/>
      <c s="5"/>
      <c s="5"/>
      <c s="5"/>
      <c s="5"/>
      <c s="5"/>
      <c s="5"/>
      <c s="5"/>
    </row>
    <row r="347" spans="1:26" ht="15.75">
      <c r="A347" s="5"/>
      <c s="5"/>
      <c s="5"/>
      <c s="5"/>
      <c s="5"/>
      <c s="5"/>
      <c s="5"/>
      <c s="5"/>
      <c s="5"/>
      <c s="5"/>
      <c s="5"/>
      <c s="5"/>
      <c s="5"/>
      <c s="5"/>
      <c s="5"/>
      <c s="5"/>
      <c s="5"/>
      <c s="5"/>
      <c s="5"/>
      <c s="5"/>
      <c s="5"/>
      <c s="5"/>
      <c s="5"/>
      <c s="5"/>
      <c s="5"/>
      <c s="5"/>
    </row>
    <row r="348" spans="1:26" ht="15.75">
      <c r="A348" s="5"/>
      <c s="5"/>
      <c s="5"/>
      <c s="5"/>
      <c s="5"/>
      <c s="5"/>
      <c s="5"/>
      <c s="5"/>
      <c s="5"/>
      <c s="5"/>
      <c s="5"/>
      <c s="5"/>
      <c s="5"/>
      <c s="5"/>
      <c s="5"/>
      <c s="5"/>
      <c s="5"/>
      <c s="5"/>
      <c s="5"/>
      <c s="5"/>
      <c s="5"/>
      <c s="5"/>
      <c s="5"/>
      <c s="5"/>
      <c s="5"/>
      <c s="5"/>
    </row>
    <row r="349" spans="1:26" ht="15.75">
      <c r="A349" s="5"/>
      <c s="5"/>
      <c s="5"/>
      <c s="5"/>
      <c s="5"/>
      <c s="5"/>
      <c s="5"/>
      <c s="5"/>
      <c s="5"/>
      <c s="5"/>
      <c s="5"/>
      <c s="5"/>
      <c s="5"/>
      <c s="5"/>
      <c s="5"/>
      <c s="5"/>
      <c s="5"/>
      <c s="5"/>
      <c s="5"/>
      <c s="5"/>
      <c s="5"/>
      <c s="5"/>
      <c s="5"/>
      <c s="5"/>
      <c s="5"/>
      <c s="5"/>
    </row>
    <row r="350" spans="1:26" ht="15.75">
      <c r="A350" s="5"/>
      <c s="5"/>
      <c s="5"/>
      <c s="5"/>
      <c s="5"/>
      <c s="5"/>
      <c s="5"/>
      <c s="5"/>
      <c s="5"/>
      <c s="5"/>
      <c s="5"/>
      <c s="5"/>
      <c s="5"/>
      <c s="5"/>
      <c s="5"/>
      <c s="5"/>
      <c s="5"/>
      <c s="5"/>
      <c s="5"/>
      <c s="5"/>
      <c s="5"/>
      <c s="5"/>
      <c s="5"/>
      <c s="5"/>
      <c s="5"/>
      <c s="5"/>
    </row>
    <row r="351" spans="1:26" ht="15.75">
      <c r="A351" s="5"/>
      <c s="5"/>
      <c s="5"/>
      <c s="5"/>
      <c s="5"/>
      <c s="5"/>
      <c s="5"/>
      <c s="5"/>
      <c s="5"/>
      <c s="5"/>
      <c s="5"/>
      <c s="5"/>
      <c s="5"/>
      <c s="5"/>
      <c s="5"/>
      <c s="5"/>
      <c s="5"/>
      <c s="5"/>
      <c s="5"/>
      <c s="5"/>
      <c s="5"/>
      <c s="5"/>
      <c s="5"/>
      <c s="5"/>
      <c s="5"/>
      <c s="5"/>
    </row>
    <row r="352" spans="1:26" ht="15.75">
      <c r="A352" s="5"/>
      <c s="5"/>
      <c s="5"/>
      <c s="5"/>
      <c s="5"/>
      <c s="5"/>
      <c s="5"/>
      <c s="5"/>
      <c s="5"/>
      <c s="5"/>
      <c s="5"/>
      <c s="5"/>
      <c s="5"/>
      <c s="5"/>
      <c s="5"/>
      <c s="5"/>
      <c s="5"/>
      <c s="5"/>
      <c s="5"/>
      <c s="5"/>
      <c s="5"/>
      <c s="5"/>
      <c s="5"/>
      <c s="5"/>
      <c s="5"/>
      <c s="5"/>
    </row>
    <row r="353" spans="1:26" ht="15.75">
      <c r="A353" s="5"/>
      <c s="5"/>
      <c s="5"/>
      <c s="5"/>
      <c s="5"/>
      <c s="5"/>
      <c s="5"/>
      <c s="5"/>
      <c s="5"/>
      <c s="5"/>
      <c s="5"/>
      <c s="5"/>
      <c s="5"/>
      <c s="5"/>
      <c s="5"/>
      <c s="5"/>
      <c s="5"/>
      <c s="5"/>
      <c s="5"/>
      <c s="5"/>
      <c s="5"/>
      <c s="5"/>
      <c s="5"/>
      <c s="5"/>
      <c s="5"/>
      <c s="5"/>
    </row>
    <row r="354" spans="1:26" ht="15.75">
      <c r="A354" s="5"/>
      <c s="5"/>
      <c s="5"/>
      <c s="5"/>
      <c s="5"/>
      <c s="5"/>
      <c s="5"/>
      <c s="5"/>
      <c s="5"/>
      <c s="5"/>
      <c s="5"/>
      <c s="5"/>
      <c s="5"/>
      <c s="5"/>
      <c s="5"/>
      <c s="5"/>
      <c s="5"/>
      <c s="5"/>
      <c s="5"/>
      <c s="5"/>
      <c s="5"/>
      <c s="5"/>
      <c s="5"/>
      <c s="5"/>
      <c s="5"/>
      <c s="5"/>
    </row>
    <row r="355" spans="1:26" ht="15.75">
      <c r="A355" s="5"/>
      <c s="5"/>
      <c s="5"/>
      <c s="5"/>
      <c s="5"/>
      <c s="5"/>
      <c s="5"/>
      <c s="5"/>
      <c s="5"/>
      <c s="5"/>
      <c s="5"/>
      <c s="5"/>
      <c s="5"/>
      <c s="5"/>
      <c s="5"/>
      <c s="5"/>
      <c s="5"/>
      <c s="5"/>
      <c s="5"/>
      <c s="5"/>
      <c s="5"/>
      <c s="5"/>
      <c s="5"/>
      <c s="5"/>
      <c s="5"/>
      <c s="5"/>
    </row>
    <row r="356" spans="1:26" ht="15.75">
      <c r="A356" s="5"/>
      <c s="5"/>
      <c s="5"/>
      <c s="5"/>
      <c s="5"/>
      <c s="5"/>
      <c s="5"/>
      <c s="5"/>
      <c s="5"/>
      <c s="5"/>
      <c s="5"/>
      <c s="5"/>
      <c s="5"/>
      <c s="5"/>
      <c s="5"/>
      <c s="5"/>
      <c s="5"/>
      <c s="5"/>
      <c s="5"/>
      <c s="5"/>
      <c s="5"/>
      <c s="5"/>
      <c s="5"/>
      <c s="5"/>
      <c s="5"/>
      <c s="5"/>
    </row>
    <row r="357" spans="1:26" ht="15.75">
      <c r="A357" s="5"/>
      <c s="5"/>
      <c s="5"/>
      <c s="5"/>
      <c s="5"/>
      <c s="5"/>
      <c s="5"/>
      <c s="5"/>
      <c s="5"/>
      <c s="5"/>
      <c s="5"/>
      <c s="5"/>
      <c s="5"/>
      <c s="5"/>
      <c s="5"/>
      <c s="5"/>
      <c s="5"/>
      <c s="5"/>
      <c s="5"/>
      <c s="5"/>
      <c s="5"/>
      <c s="5"/>
      <c s="5"/>
      <c s="5"/>
      <c s="5"/>
      <c s="5"/>
    </row>
    <row r="358" spans="1:26" ht="15.75">
      <c r="A358" s="5"/>
      <c s="5"/>
      <c s="5"/>
      <c s="5"/>
      <c s="5"/>
      <c s="5"/>
      <c s="5"/>
      <c s="5"/>
      <c s="5"/>
      <c s="5"/>
      <c s="5"/>
      <c s="5"/>
      <c s="5"/>
      <c s="5"/>
      <c s="5"/>
      <c s="5"/>
      <c s="5"/>
      <c s="5"/>
      <c s="5"/>
      <c s="5"/>
      <c s="5"/>
      <c s="5"/>
      <c s="5"/>
      <c s="5"/>
      <c s="5"/>
      <c s="5"/>
    </row>
    <row r="359" spans="1:26" ht="15.75">
      <c r="A359" s="5"/>
      <c s="5"/>
      <c s="5"/>
      <c s="5"/>
      <c s="5"/>
      <c s="5"/>
      <c s="5"/>
      <c s="5"/>
      <c s="5"/>
      <c s="5"/>
      <c s="5"/>
      <c s="5"/>
      <c s="5"/>
      <c s="5"/>
      <c s="5"/>
      <c s="5"/>
      <c s="5"/>
      <c s="5"/>
      <c s="5"/>
      <c s="5"/>
      <c s="5"/>
      <c s="5"/>
      <c s="5"/>
      <c s="5"/>
      <c s="5"/>
      <c s="5"/>
    </row>
    <row r="360" spans="1:26" ht="15.75">
      <c r="A360" s="5"/>
      <c s="5"/>
      <c s="5"/>
      <c s="5"/>
      <c s="5"/>
      <c s="5"/>
      <c s="5"/>
      <c s="5"/>
      <c s="5"/>
      <c s="5"/>
      <c s="5"/>
      <c s="5"/>
      <c s="5"/>
      <c s="5"/>
      <c s="5"/>
      <c s="5"/>
      <c s="5"/>
      <c s="5"/>
      <c s="5"/>
      <c s="5"/>
      <c s="5"/>
      <c s="5"/>
      <c s="5"/>
      <c s="5"/>
      <c s="5"/>
      <c s="5"/>
    </row>
    <row r="361" spans="1:26" ht="15.75">
      <c r="A361" s="5"/>
      <c s="5"/>
      <c s="5"/>
      <c s="5"/>
      <c s="5"/>
      <c s="5"/>
      <c s="5"/>
      <c s="5"/>
      <c s="5"/>
      <c s="5"/>
      <c s="5"/>
      <c s="5"/>
      <c s="5"/>
      <c s="5"/>
      <c s="5"/>
      <c s="5"/>
      <c s="5"/>
      <c s="5"/>
      <c s="5"/>
      <c s="5"/>
      <c s="5"/>
      <c s="5"/>
      <c s="5"/>
      <c s="5"/>
      <c s="5"/>
      <c s="5"/>
    </row>
    <row r="362" spans="1:26" ht="15.75">
      <c r="A362" s="5"/>
      <c s="5"/>
      <c s="5"/>
      <c s="5"/>
      <c s="5"/>
      <c s="5"/>
      <c s="5"/>
      <c s="5"/>
      <c s="5"/>
      <c s="5"/>
      <c s="5"/>
      <c s="5"/>
      <c s="5"/>
      <c s="5"/>
      <c s="5"/>
      <c s="5"/>
      <c s="5"/>
      <c s="5"/>
      <c s="5"/>
      <c s="5"/>
      <c s="5"/>
      <c s="5"/>
      <c s="5"/>
      <c s="5"/>
      <c s="5"/>
      <c s="5"/>
    </row>
    <row r="363" spans="1:26" ht="15.75">
      <c r="A363" s="5"/>
      <c s="5"/>
      <c s="5"/>
      <c s="5"/>
      <c s="5"/>
      <c s="5"/>
      <c s="5"/>
      <c s="5"/>
      <c s="5"/>
      <c s="5"/>
      <c s="5"/>
      <c s="5"/>
      <c s="5"/>
      <c s="5"/>
      <c s="5"/>
      <c s="5"/>
      <c s="5"/>
      <c s="5"/>
      <c s="5"/>
      <c s="5"/>
      <c s="5"/>
      <c s="5"/>
      <c s="5"/>
      <c s="5"/>
      <c s="5"/>
      <c s="5"/>
    </row>
    <row r="364" spans="1:26" ht="15.75">
      <c r="A364" s="5"/>
      <c s="5"/>
      <c s="5"/>
      <c s="5"/>
      <c s="5"/>
      <c s="5"/>
      <c s="5"/>
      <c s="5"/>
      <c s="5"/>
      <c s="5"/>
      <c s="5"/>
      <c s="5"/>
      <c s="5"/>
      <c s="5"/>
      <c s="5"/>
      <c s="5"/>
      <c s="5"/>
      <c s="5"/>
      <c s="5"/>
      <c s="5"/>
      <c s="5"/>
      <c s="5"/>
      <c s="5"/>
      <c s="5"/>
      <c s="5"/>
      <c s="5"/>
    </row>
    <row r="365" spans="1:26" ht="15.75">
      <c r="A365" s="5"/>
      <c s="5"/>
      <c s="5"/>
      <c s="5"/>
      <c s="5"/>
      <c s="5"/>
      <c s="5"/>
      <c s="5"/>
      <c s="5"/>
      <c s="5"/>
      <c s="5"/>
      <c s="5"/>
      <c s="5"/>
      <c s="5"/>
      <c s="5"/>
      <c s="5"/>
      <c s="5"/>
      <c s="5"/>
      <c s="5"/>
      <c s="5"/>
      <c s="5"/>
      <c s="5"/>
      <c s="5"/>
      <c s="5"/>
      <c s="5"/>
      <c s="5"/>
    </row>
    <row r="366" spans="1:26" ht="15.75">
      <c r="A366" s="5"/>
      <c s="5"/>
      <c s="5"/>
      <c s="5"/>
      <c s="5"/>
      <c s="5"/>
      <c s="5"/>
      <c s="5"/>
      <c s="5"/>
      <c s="5"/>
      <c s="5"/>
      <c s="5"/>
      <c s="5"/>
      <c s="5"/>
      <c s="5"/>
      <c s="5"/>
      <c s="5"/>
      <c s="5"/>
      <c s="5"/>
      <c s="5"/>
      <c s="5"/>
      <c s="5"/>
      <c s="5"/>
      <c s="5"/>
      <c s="5"/>
      <c s="5"/>
    </row>
    <row r="367" spans="1:26" ht="15.75">
      <c r="A367" s="5"/>
      <c s="5"/>
      <c s="5"/>
      <c s="5"/>
      <c s="5"/>
      <c s="5"/>
      <c s="5"/>
      <c s="5"/>
      <c s="5"/>
      <c s="5"/>
      <c s="5"/>
      <c s="5"/>
      <c s="5"/>
      <c s="5"/>
      <c s="5"/>
      <c s="5"/>
      <c s="5"/>
      <c s="5"/>
      <c s="5"/>
      <c s="5"/>
      <c s="5"/>
      <c s="5"/>
      <c s="5"/>
      <c s="5"/>
      <c s="5"/>
      <c s="5"/>
    </row>
    <row r="368" spans="1:26" ht="15.75">
      <c r="A368" s="5"/>
      <c s="5"/>
      <c s="5"/>
      <c s="5"/>
      <c s="5"/>
      <c s="5"/>
      <c s="5"/>
      <c s="5"/>
      <c s="5"/>
      <c s="5"/>
      <c s="5"/>
      <c s="5"/>
      <c s="5"/>
      <c s="5"/>
      <c s="5"/>
      <c s="5"/>
      <c s="5"/>
      <c s="5"/>
      <c s="5"/>
      <c s="5"/>
      <c s="5"/>
      <c s="5"/>
      <c s="5"/>
      <c s="5"/>
      <c s="5"/>
      <c s="5"/>
    </row>
    <row r="369" spans="1:26" ht="15.75">
      <c r="A369" s="5"/>
      <c s="5"/>
      <c s="5"/>
      <c s="5"/>
      <c s="5"/>
      <c s="5"/>
      <c s="5"/>
      <c s="5"/>
      <c s="5"/>
      <c s="5"/>
      <c s="5"/>
      <c s="5"/>
      <c s="5"/>
      <c s="5"/>
      <c s="5"/>
      <c s="5"/>
      <c s="5"/>
      <c s="5"/>
      <c s="5"/>
      <c s="5"/>
      <c s="5"/>
      <c s="5"/>
      <c s="5"/>
      <c s="5"/>
      <c s="5"/>
      <c s="5"/>
    </row>
    <row r="370" spans="1:26" ht="15.75">
      <c r="A370" s="5"/>
      <c s="5"/>
      <c s="5"/>
      <c s="5"/>
      <c s="5"/>
      <c s="5"/>
      <c s="5"/>
      <c s="5"/>
      <c s="5"/>
      <c s="5"/>
      <c s="5"/>
      <c s="5"/>
      <c s="5"/>
      <c s="5"/>
      <c s="5"/>
      <c s="5"/>
      <c s="5"/>
      <c s="5"/>
      <c s="5"/>
      <c s="5"/>
      <c s="5"/>
      <c s="5"/>
      <c s="5"/>
      <c s="5"/>
      <c s="5"/>
      <c s="5"/>
    </row>
    <row r="371" spans="1:26" ht="15.75">
      <c r="A371" s="5"/>
      <c s="5"/>
      <c s="5"/>
      <c s="5"/>
      <c s="5"/>
      <c s="5"/>
      <c s="5"/>
      <c s="5"/>
      <c s="5"/>
      <c s="5"/>
      <c s="5"/>
      <c s="5"/>
      <c s="5"/>
      <c s="5"/>
      <c s="5"/>
      <c s="5"/>
      <c s="5"/>
      <c s="5"/>
      <c s="5"/>
      <c s="5"/>
      <c s="5"/>
      <c s="5"/>
      <c s="5"/>
      <c s="5"/>
      <c s="5"/>
      <c s="5"/>
    </row>
    <row r="372" spans="1:26" ht="15.75">
      <c r="A372" s="5"/>
      <c s="5"/>
      <c s="5"/>
      <c s="5"/>
      <c s="5"/>
      <c s="5"/>
      <c s="5"/>
      <c s="5"/>
      <c s="5"/>
      <c s="5"/>
      <c s="5"/>
      <c s="5"/>
      <c s="5"/>
      <c s="5"/>
      <c s="5"/>
      <c s="5"/>
      <c s="5"/>
      <c s="5"/>
      <c s="5"/>
      <c s="5"/>
      <c s="5"/>
      <c s="5"/>
      <c s="5"/>
      <c s="5"/>
      <c s="5"/>
      <c s="5"/>
    </row>
    <row r="373" spans="1:26" ht="15.75">
      <c r="A373" s="5"/>
      <c s="5"/>
      <c s="5"/>
      <c s="5"/>
      <c s="5"/>
      <c s="5"/>
      <c s="5"/>
      <c s="5"/>
      <c s="5"/>
      <c s="5"/>
      <c s="5"/>
      <c s="5"/>
      <c s="5"/>
      <c s="5"/>
      <c s="5"/>
      <c s="5"/>
      <c s="5"/>
      <c s="5"/>
      <c s="5"/>
      <c s="5"/>
      <c s="5"/>
      <c s="5"/>
      <c s="5"/>
      <c s="5"/>
      <c s="5"/>
      <c s="5"/>
    </row>
    <row r="374" spans="1:26" ht="15.75">
      <c r="A374" s="5"/>
      <c s="5"/>
      <c s="5"/>
      <c s="5"/>
      <c s="5"/>
      <c s="5"/>
      <c s="5"/>
      <c s="5"/>
      <c s="5"/>
      <c s="5"/>
      <c s="5"/>
      <c s="5"/>
      <c s="5"/>
      <c s="5"/>
      <c s="5"/>
      <c s="5"/>
      <c s="5"/>
      <c s="5"/>
      <c s="5"/>
      <c s="5"/>
      <c s="5"/>
      <c s="5"/>
      <c s="5"/>
      <c s="5"/>
      <c s="5"/>
      <c s="5"/>
    </row>
    <row r="375" spans="1:26" ht="15.75">
      <c r="A375" s="5"/>
      <c s="5"/>
      <c s="5"/>
      <c s="5"/>
      <c s="5"/>
      <c s="5"/>
      <c s="5"/>
      <c s="5"/>
      <c s="5"/>
      <c s="5"/>
      <c s="5"/>
      <c s="5"/>
      <c s="5"/>
      <c s="5"/>
      <c s="5"/>
      <c s="5"/>
      <c s="5"/>
      <c s="5"/>
      <c s="5"/>
      <c s="5"/>
      <c s="5"/>
      <c s="5"/>
      <c s="5"/>
      <c s="5"/>
      <c s="5"/>
      <c s="5"/>
    </row>
    <row r="376" spans="1:26" ht="15.75">
      <c r="A376" s="5"/>
      <c s="5"/>
      <c s="5"/>
      <c s="5"/>
      <c s="5"/>
      <c s="5"/>
      <c s="5"/>
      <c s="5"/>
      <c s="5"/>
      <c s="5"/>
      <c s="5"/>
      <c s="5"/>
      <c s="5"/>
      <c s="5"/>
      <c s="5"/>
      <c s="5"/>
      <c s="5"/>
      <c s="5"/>
      <c s="5"/>
      <c s="5"/>
      <c s="5"/>
      <c s="5"/>
      <c s="5"/>
      <c s="5"/>
      <c s="5"/>
      <c s="5"/>
    </row>
    <row r="377" spans="1:26" ht="15.75">
      <c r="A377" s="5"/>
      <c s="5"/>
      <c s="5"/>
      <c s="5"/>
      <c s="5"/>
      <c s="5"/>
      <c s="5"/>
      <c s="5"/>
      <c s="5"/>
      <c s="5"/>
      <c s="5"/>
      <c s="5"/>
      <c s="5"/>
      <c s="5"/>
      <c s="5"/>
      <c s="5"/>
      <c s="5"/>
      <c s="5"/>
      <c s="5"/>
      <c s="5"/>
      <c s="5"/>
      <c s="5"/>
      <c s="5"/>
      <c s="5"/>
      <c s="5"/>
      <c s="5"/>
    </row>
    <row r="378" spans="1:26" ht="15.75">
      <c r="A378" s="5"/>
      <c s="5"/>
      <c s="5"/>
      <c s="5"/>
      <c s="5"/>
      <c s="5"/>
      <c s="5"/>
      <c s="5"/>
      <c s="5"/>
      <c s="5"/>
      <c s="5"/>
      <c s="5"/>
      <c s="5"/>
      <c s="5"/>
      <c s="5"/>
      <c s="5"/>
      <c s="5"/>
      <c s="5"/>
      <c s="5"/>
      <c s="5"/>
      <c s="5"/>
      <c s="5"/>
      <c s="5"/>
      <c s="5"/>
      <c s="5"/>
      <c s="5"/>
    </row>
    <row r="379" spans="1:26" ht="15.75">
      <c r="A379" s="5"/>
      <c s="5"/>
      <c s="5"/>
      <c s="5"/>
      <c s="5"/>
      <c s="5"/>
      <c s="5"/>
      <c s="5"/>
      <c s="5"/>
      <c s="5"/>
      <c s="5"/>
      <c s="5"/>
      <c s="5"/>
      <c s="5"/>
      <c s="5"/>
      <c s="5"/>
      <c s="5"/>
      <c s="5"/>
      <c s="5"/>
      <c s="5"/>
      <c s="5"/>
      <c s="5"/>
      <c s="5"/>
      <c s="5"/>
      <c s="5"/>
      <c s="5"/>
    </row>
    <row r="380" spans="1:26" ht="15.75">
      <c r="A380" s="5"/>
      <c s="5"/>
      <c s="5"/>
      <c s="5"/>
      <c s="5"/>
      <c s="5"/>
      <c s="5"/>
      <c s="5"/>
      <c s="5"/>
      <c s="5"/>
      <c s="5"/>
      <c s="5"/>
      <c s="5"/>
      <c s="5"/>
      <c s="5"/>
      <c s="5"/>
      <c s="5"/>
      <c s="5"/>
      <c s="5"/>
      <c s="5"/>
      <c s="5"/>
      <c s="5"/>
      <c s="5"/>
      <c s="5"/>
      <c s="5"/>
      <c s="5"/>
    </row>
    <row r="381" spans="1:26" ht="15.75">
      <c r="A381" s="5"/>
      <c s="5"/>
      <c s="5"/>
      <c s="5"/>
      <c s="5"/>
      <c s="5"/>
      <c s="5"/>
      <c s="5"/>
      <c s="5"/>
      <c s="5"/>
      <c s="5"/>
      <c s="5"/>
      <c s="5"/>
      <c s="5"/>
      <c s="5"/>
      <c s="5"/>
      <c s="5"/>
      <c s="5"/>
      <c s="5"/>
      <c s="5"/>
      <c s="5"/>
      <c s="5"/>
      <c s="5"/>
      <c s="5"/>
      <c s="5"/>
      <c s="5"/>
    </row>
    <row r="382" spans="1:26" ht="15.75">
      <c r="A382" s="5"/>
      <c s="5"/>
      <c s="5"/>
      <c s="5"/>
      <c s="5"/>
      <c s="5"/>
      <c s="5"/>
      <c s="5"/>
      <c s="5"/>
      <c s="5"/>
      <c s="5"/>
      <c s="5"/>
      <c s="5"/>
      <c s="5"/>
      <c s="5"/>
      <c s="5"/>
      <c s="5"/>
      <c s="5"/>
      <c s="5"/>
      <c s="5"/>
      <c s="5"/>
      <c s="5"/>
      <c s="5"/>
      <c s="5"/>
      <c s="5"/>
      <c s="5"/>
    </row>
    <row r="383" spans="1:26" ht="15.75">
      <c r="A383" s="5"/>
      <c s="5"/>
      <c s="5"/>
      <c s="5"/>
      <c s="5"/>
      <c s="5"/>
      <c s="5"/>
      <c s="5"/>
      <c s="5"/>
      <c s="5"/>
      <c s="5"/>
      <c s="5"/>
      <c s="5"/>
      <c s="5"/>
      <c s="5"/>
      <c s="5"/>
      <c s="5"/>
      <c s="5"/>
      <c s="5"/>
      <c s="5"/>
      <c s="5"/>
      <c s="5"/>
      <c s="5"/>
      <c s="5"/>
      <c s="5"/>
      <c s="5"/>
    </row>
    <row r="384" spans="1:26" ht="15.75">
      <c r="A384" s="5"/>
      <c s="5"/>
      <c s="5"/>
      <c s="5"/>
      <c s="5"/>
      <c s="5"/>
      <c s="5"/>
      <c s="5"/>
      <c s="5"/>
      <c s="5"/>
      <c s="5"/>
      <c s="5"/>
      <c s="5"/>
      <c s="5"/>
      <c s="5"/>
      <c s="5"/>
      <c s="5"/>
      <c s="5"/>
      <c s="5"/>
      <c s="5"/>
      <c s="5"/>
      <c s="5"/>
      <c s="5"/>
      <c s="5"/>
      <c s="5"/>
      <c s="5"/>
    </row>
    <row r="385" spans="1:26" ht="15.75">
      <c r="A385" s="5"/>
      <c s="5"/>
      <c s="5"/>
      <c s="5"/>
      <c s="5"/>
      <c s="5"/>
      <c s="5"/>
      <c s="5"/>
      <c s="5"/>
      <c s="5"/>
      <c s="5"/>
      <c s="5"/>
      <c s="5"/>
      <c s="5"/>
      <c s="5"/>
      <c s="5"/>
      <c s="5"/>
      <c s="5"/>
      <c s="5"/>
      <c s="5"/>
      <c s="5"/>
      <c s="5"/>
      <c s="5"/>
      <c s="5"/>
      <c s="5"/>
      <c s="5"/>
    </row>
    <row r="386" spans="1:26" ht="15.75">
      <c r="A386" s="5"/>
      <c s="5"/>
      <c s="5"/>
      <c s="5"/>
      <c s="5"/>
      <c s="5"/>
      <c s="5"/>
      <c s="5"/>
      <c s="5"/>
      <c s="5"/>
      <c s="5"/>
      <c s="5"/>
      <c s="5"/>
      <c s="5"/>
      <c s="5"/>
      <c s="5"/>
      <c s="5"/>
      <c s="5"/>
      <c s="5"/>
      <c s="5"/>
      <c s="5"/>
      <c s="5"/>
      <c s="5"/>
      <c s="5"/>
      <c s="5"/>
      <c s="5"/>
    </row>
    <row r="387" spans="1:26" ht="15.75">
      <c r="A387" s="5"/>
      <c s="5"/>
      <c s="5"/>
      <c s="5"/>
      <c s="5"/>
      <c s="5"/>
      <c s="5"/>
      <c s="5"/>
      <c s="5"/>
      <c s="5"/>
      <c s="5"/>
      <c s="5"/>
      <c s="5"/>
      <c s="5"/>
      <c s="5"/>
      <c s="5"/>
      <c s="5"/>
      <c s="5"/>
      <c s="5"/>
      <c s="5"/>
      <c s="5"/>
      <c s="5"/>
      <c s="5"/>
      <c s="5"/>
      <c s="5"/>
      <c s="5"/>
    </row>
    <row r="388" spans="1:26" ht="15.75">
      <c r="A388" s="5"/>
      <c s="5"/>
      <c s="5"/>
      <c s="5"/>
      <c s="5"/>
      <c s="5"/>
      <c s="5"/>
      <c s="5"/>
      <c s="5"/>
      <c s="5"/>
      <c s="5"/>
      <c s="5"/>
      <c s="5"/>
      <c s="5"/>
      <c s="5"/>
      <c s="5"/>
      <c s="5"/>
      <c s="5"/>
      <c s="5"/>
      <c s="5"/>
      <c s="5"/>
      <c s="5"/>
      <c s="5"/>
      <c s="5"/>
      <c s="5"/>
      <c s="5"/>
    </row>
    <row r="389" spans="1:26" ht="15.75">
      <c r="A389" s="5"/>
      <c s="5"/>
      <c s="5"/>
      <c s="5"/>
      <c s="5"/>
      <c s="5"/>
      <c s="5"/>
      <c s="5"/>
      <c s="5"/>
      <c s="5"/>
      <c s="5"/>
      <c s="5"/>
      <c s="5"/>
      <c s="5"/>
      <c s="5"/>
      <c s="5"/>
      <c s="5"/>
      <c s="5"/>
      <c s="5"/>
      <c s="5"/>
      <c s="5"/>
      <c s="5"/>
      <c s="5"/>
      <c s="5"/>
      <c s="5"/>
      <c s="5"/>
    </row>
    <row r="390" spans="1:26" ht="15.75">
      <c r="A390" s="5"/>
      <c s="5"/>
      <c s="5"/>
      <c s="5"/>
      <c s="5"/>
      <c s="5"/>
      <c s="5"/>
      <c s="5"/>
      <c s="5"/>
      <c s="5"/>
      <c s="5"/>
      <c s="5"/>
      <c s="5"/>
      <c s="5"/>
      <c s="5"/>
      <c s="5"/>
      <c s="5"/>
      <c s="5"/>
      <c s="5"/>
      <c s="5"/>
      <c s="5"/>
      <c s="5"/>
      <c s="5"/>
      <c s="5"/>
      <c s="5"/>
      <c s="5"/>
    </row>
    <row r="391" spans="1:26" ht="15.75">
      <c r="A391" s="5"/>
      <c s="5"/>
      <c s="5"/>
      <c s="5"/>
      <c s="5"/>
      <c s="5"/>
      <c s="5"/>
      <c s="5"/>
      <c s="5"/>
      <c s="5"/>
      <c s="5"/>
      <c s="5"/>
      <c s="5"/>
      <c s="5"/>
      <c s="5"/>
      <c s="5"/>
      <c s="5"/>
      <c s="5"/>
      <c s="5"/>
      <c s="5"/>
      <c s="5"/>
      <c s="5"/>
      <c s="5"/>
      <c s="5"/>
      <c s="5"/>
      <c s="5"/>
    </row>
    <row r="392" spans="1:26" ht="15.75">
      <c r="A392" s="5"/>
      <c s="5"/>
      <c s="5"/>
      <c s="5"/>
      <c s="5"/>
      <c s="5"/>
      <c s="5"/>
      <c s="5"/>
      <c s="5"/>
      <c s="5"/>
      <c s="5"/>
      <c s="5"/>
      <c s="5"/>
      <c s="5"/>
      <c s="5"/>
      <c s="5"/>
      <c s="5"/>
      <c s="5"/>
      <c s="5"/>
      <c s="5"/>
      <c s="5"/>
      <c s="5"/>
      <c s="5"/>
      <c s="5"/>
      <c s="5"/>
      <c s="5"/>
    </row>
    <row r="393" spans="1:26" ht="15.75">
      <c r="A393" s="5"/>
      <c s="5"/>
      <c s="5"/>
      <c s="5"/>
      <c s="5"/>
      <c s="5"/>
      <c s="5"/>
      <c s="5"/>
      <c s="5"/>
      <c s="5"/>
      <c s="5"/>
      <c s="5"/>
      <c s="5"/>
      <c s="5"/>
      <c s="5"/>
      <c s="5"/>
      <c s="5"/>
      <c s="5"/>
      <c s="5"/>
      <c s="5"/>
      <c s="5"/>
      <c s="5"/>
      <c s="5"/>
      <c s="5"/>
      <c s="5"/>
      <c s="5"/>
    </row>
    <row r="394" spans="1:26" ht="15.75">
      <c r="A394" s="5"/>
      <c s="5"/>
      <c s="5"/>
      <c s="5"/>
      <c s="5"/>
      <c s="5"/>
      <c s="5"/>
      <c s="5"/>
      <c s="5"/>
      <c s="5"/>
      <c s="5"/>
      <c s="5"/>
      <c s="5"/>
      <c s="5"/>
      <c s="5"/>
      <c s="5"/>
      <c s="5"/>
      <c s="5"/>
      <c s="5"/>
      <c s="5"/>
      <c s="5"/>
      <c s="5"/>
      <c s="5"/>
      <c s="5"/>
      <c s="5"/>
      <c s="5"/>
    </row>
    <row r="395" spans="1:26" ht="15.75">
      <c r="A395" s="5"/>
      <c s="5"/>
      <c s="5"/>
      <c s="5"/>
      <c s="5"/>
      <c s="5"/>
      <c s="5"/>
      <c s="5"/>
      <c s="5"/>
      <c s="5"/>
      <c s="5"/>
      <c s="5"/>
      <c s="5"/>
      <c s="5"/>
      <c s="5"/>
      <c s="5"/>
      <c s="5"/>
      <c s="5"/>
      <c s="5"/>
      <c s="5"/>
      <c s="5"/>
      <c s="5"/>
      <c s="5"/>
      <c s="5"/>
      <c s="5"/>
      <c s="5"/>
    </row>
    <row r="396" spans="1:26" ht="15.75">
      <c r="A396" s="5"/>
      <c s="5"/>
      <c s="5"/>
      <c s="5"/>
      <c s="5"/>
      <c s="5"/>
      <c s="5"/>
      <c s="5"/>
      <c s="5"/>
      <c s="5"/>
      <c s="5"/>
      <c s="5"/>
      <c s="5"/>
      <c s="5"/>
      <c s="5"/>
      <c s="5"/>
      <c s="5"/>
      <c s="5"/>
      <c s="5"/>
      <c s="5"/>
      <c s="5"/>
      <c s="5"/>
      <c s="5"/>
      <c s="5"/>
      <c s="5"/>
      <c s="5"/>
    </row>
    <row r="397" spans="1:26" ht="15.75">
      <c r="A397" s="5"/>
      <c s="5"/>
      <c s="5"/>
      <c s="5"/>
      <c s="5"/>
      <c s="5"/>
      <c s="5"/>
      <c s="5"/>
      <c s="5"/>
      <c s="5"/>
      <c s="5"/>
      <c s="5"/>
      <c s="5"/>
      <c s="5"/>
      <c s="5"/>
      <c s="5"/>
      <c s="5"/>
      <c s="5"/>
      <c s="5"/>
      <c s="5"/>
      <c s="5"/>
      <c s="5"/>
      <c s="5"/>
      <c s="5"/>
      <c s="5"/>
      <c s="5"/>
    </row>
    <row r="398" spans="1:26" ht="15.75">
      <c r="A398" s="5"/>
      <c s="5"/>
      <c s="5"/>
      <c s="5"/>
      <c s="5"/>
      <c s="5"/>
      <c s="5"/>
      <c s="5"/>
      <c s="5"/>
      <c s="5"/>
      <c s="5"/>
      <c s="5"/>
      <c s="5"/>
      <c s="5"/>
      <c s="5"/>
      <c s="5"/>
      <c s="5"/>
      <c s="5"/>
      <c s="5"/>
      <c s="5"/>
      <c s="5"/>
      <c s="5"/>
      <c s="5"/>
      <c s="5"/>
      <c s="5"/>
      <c s="5"/>
    </row>
    <row r="399" spans="1:26" ht="15.75">
      <c r="A399" s="5"/>
      <c s="5"/>
      <c s="5"/>
      <c s="5"/>
      <c s="5"/>
      <c s="5"/>
      <c s="5"/>
      <c s="5"/>
      <c s="5"/>
      <c s="5"/>
      <c s="5"/>
      <c s="5"/>
      <c s="5"/>
      <c s="5"/>
      <c s="5"/>
      <c s="5"/>
      <c s="5"/>
      <c s="5"/>
      <c s="5"/>
      <c s="5"/>
      <c s="5"/>
      <c s="5"/>
      <c s="5"/>
      <c s="5"/>
      <c s="5"/>
      <c s="5"/>
    </row>
    <row r="400" spans="1:26" ht="15.75">
      <c r="A400" s="5"/>
      <c s="5"/>
      <c s="5"/>
      <c s="5"/>
      <c s="5"/>
      <c s="5"/>
      <c s="5"/>
      <c s="5"/>
      <c s="5"/>
      <c s="5"/>
      <c s="5"/>
      <c s="5"/>
      <c s="5"/>
      <c s="5"/>
      <c s="5"/>
      <c s="5"/>
      <c s="5"/>
      <c s="5"/>
      <c s="5"/>
      <c s="5"/>
      <c s="5"/>
      <c s="5"/>
      <c s="5"/>
      <c s="5"/>
      <c s="5"/>
      <c s="5"/>
    </row>
    <row r="401" spans="1:26" ht="15.75">
      <c r="A401" s="5"/>
      <c s="5"/>
      <c s="5"/>
      <c s="5"/>
      <c s="5"/>
      <c s="5"/>
      <c s="5"/>
      <c s="5"/>
      <c s="5"/>
      <c s="5"/>
      <c s="5"/>
      <c s="5"/>
      <c s="5"/>
      <c s="5"/>
      <c s="5"/>
      <c s="5"/>
      <c s="5"/>
      <c s="5"/>
      <c s="5"/>
      <c s="5"/>
      <c s="5"/>
      <c s="5"/>
      <c s="5"/>
      <c s="5"/>
      <c s="5"/>
      <c s="5"/>
    </row>
    <row r="402" spans="1:26" ht="15.75">
      <c r="A402" s="5"/>
      <c s="5"/>
      <c s="5"/>
      <c s="5"/>
      <c s="5"/>
      <c s="5"/>
      <c s="5"/>
      <c s="5"/>
      <c s="5"/>
      <c s="5"/>
      <c s="5"/>
      <c s="5"/>
      <c s="5"/>
      <c s="5"/>
      <c s="5"/>
      <c s="5"/>
      <c s="5"/>
      <c s="5"/>
      <c s="5"/>
      <c s="5"/>
      <c s="5"/>
      <c s="5"/>
      <c s="5"/>
      <c s="5"/>
      <c s="5"/>
      <c s="5"/>
    </row>
    <row r="403" spans="1:26" ht="15.75">
      <c r="A403" s="5"/>
      <c s="5"/>
      <c s="5"/>
      <c s="5"/>
      <c s="5"/>
      <c s="5"/>
      <c s="5"/>
      <c s="5"/>
      <c s="5"/>
      <c s="5"/>
      <c s="5"/>
      <c s="5"/>
      <c s="5"/>
      <c s="5"/>
      <c s="5"/>
      <c s="5"/>
      <c s="5"/>
      <c s="5"/>
      <c s="5"/>
      <c s="5"/>
      <c s="5"/>
      <c s="5"/>
      <c s="5"/>
      <c s="5"/>
      <c s="5"/>
      <c s="5"/>
    </row>
    <row r="404" spans="1:26" ht="15.75">
      <c r="A404" s="5"/>
      <c s="5"/>
      <c s="5"/>
      <c s="5"/>
      <c s="5"/>
      <c s="5"/>
      <c s="5"/>
      <c s="5"/>
      <c s="5"/>
      <c s="5"/>
      <c s="5"/>
      <c s="5"/>
      <c s="5"/>
      <c s="5"/>
      <c s="5"/>
      <c s="5"/>
      <c s="5"/>
      <c s="5"/>
      <c s="5"/>
      <c s="5"/>
      <c s="5"/>
      <c s="5"/>
      <c s="5"/>
      <c s="5"/>
      <c s="5"/>
      <c s="5"/>
    </row>
    <row r="405" spans="1:26" ht="15.75">
      <c r="A405" s="5"/>
      <c s="5"/>
      <c s="5"/>
      <c s="5"/>
      <c s="5"/>
      <c s="5"/>
      <c s="5"/>
      <c s="5"/>
      <c s="5"/>
      <c s="5"/>
      <c s="5"/>
      <c s="5"/>
      <c s="5"/>
      <c s="5"/>
      <c s="5"/>
      <c s="5"/>
      <c s="5"/>
      <c s="5"/>
      <c s="5"/>
      <c s="5"/>
      <c s="5"/>
      <c s="5"/>
      <c s="5"/>
      <c s="5"/>
      <c s="5"/>
      <c s="5"/>
    </row>
    <row r="406" spans="1:26" ht="15.75">
      <c r="A406" s="5"/>
      <c s="5"/>
      <c s="5"/>
      <c s="5"/>
      <c s="5"/>
      <c s="5"/>
      <c s="5"/>
      <c s="5"/>
      <c s="5"/>
      <c s="5"/>
      <c s="5"/>
      <c s="5"/>
      <c s="5"/>
      <c s="5"/>
      <c s="5"/>
      <c s="5"/>
      <c s="5"/>
      <c s="5"/>
      <c s="5"/>
      <c s="5"/>
      <c s="5"/>
      <c s="5"/>
      <c s="5"/>
      <c s="5"/>
      <c s="5"/>
      <c s="5"/>
    </row>
    <row r="407" spans="1:26" ht="15.75">
      <c r="A407" s="5"/>
      <c s="5"/>
      <c s="5"/>
      <c s="5"/>
      <c s="5"/>
      <c s="5"/>
      <c s="5"/>
      <c s="5"/>
      <c s="5"/>
      <c s="5"/>
      <c s="5"/>
      <c s="5"/>
      <c s="5"/>
      <c s="5"/>
      <c s="5"/>
      <c s="5"/>
      <c s="5"/>
      <c s="5"/>
      <c s="5"/>
      <c s="5"/>
      <c s="5"/>
      <c s="5"/>
      <c s="5"/>
      <c s="5"/>
      <c s="5"/>
      <c s="5"/>
    </row>
    <row r="408" spans="1:26" ht="15.75">
      <c r="A408" s="5"/>
      <c s="5"/>
      <c s="5"/>
      <c s="5"/>
      <c s="5"/>
      <c s="5"/>
      <c s="5"/>
      <c s="5"/>
      <c s="5"/>
      <c s="5"/>
      <c s="5"/>
      <c s="5"/>
      <c s="5"/>
      <c s="5"/>
      <c s="5"/>
      <c s="5"/>
      <c s="5"/>
      <c s="5"/>
      <c s="5"/>
      <c s="5"/>
      <c s="5"/>
      <c s="5"/>
      <c s="5"/>
      <c s="5"/>
      <c s="5"/>
      <c s="5"/>
    </row>
    <row r="409" spans="1:26" ht="15.75">
      <c r="A409" s="5"/>
      <c s="5"/>
      <c s="5"/>
      <c s="5"/>
      <c s="5"/>
      <c s="5"/>
      <c s="5"/>
      <c s="5"/>
      <c s="5"/>
      <c s="5"/>
      <c s="5"/>
      <c s="5"/>
      <c s="5"/>
      <c s="5"/>
      <c s="5"/>
      <c s="5"/>
      <c s="5"/>
      <c s="5"/>
      <c s="5"/>
      <c s="5"/>
      <c s="5"/>
      <c s="5"/>
      <c s="5"/>
      <c s="5"/>
      <c s="5"/>
      <c s="5"/>
    </row>
    <row r="410" spans="1:26" ht="15.75">
      <c r="A410" s="5"/>
      <c s="5"/>
      <c s="5"/>
      <c s="5"/>
      <c s="5"/>
      <c s="5"/>
      <c s="5"/>
      <c s="5"/>
      <c s="5"/>
      <c s="5"/>
      <c s="5"/>
      <c s="5"/>
      <c s="5"/>
      <c s="5"/>
      <c s="5"/>
      <c s="5"/>
      <c s="5"/>
      <c s="5"/>
      <c s="5"/>
      <c s="5"/>
      <c s="5"/>
      <c s="5"/>
      <c s="5"/>
      <c s="5"/>
      <c s="5"/>
      <c s="5"/>
    </row>
    <row r="411" spans="1:26" ht="15.75">
      <c r="A411" s="5"/>
      <c s="5"/>
      <c s="5"/>
      <c s="5"/>
      <c s="5"/>
      <c s="5"/>
      <c s="5"/>
      <c s="5"/>
      <c s="5"/>
      <c s="5"/>
      <c s="5"/>
      <c s="5"/>
      <c s="5"/>
      <c s="5"/>
      <c s="5"/>
      <c s="5"/>
      <c s="5"/>
      <c s="5"/>
      <c s="5"/>
      <c s="5"/>
      <c s="5"/>
      <c s="5"/>
      <c s="5"/>
      <c s="5"/>
      <c s="5"/>
      <c s="5"/>
    </row>
    <row r="412" spans="1:26" ht="15.75">
      <c r="A412" s="5"/>
      <c s="5"/>
      <c s="5"/>
      <c s="5"/>
      <c s="5"/>
      <c s="5"/>
      <c s="5"/>
      <c s="5"/>
      <c s="5"/>
      <c s="5"/>
      <c s="5"/>
      <c s="5"/>
      <c s="5"/>
      <c s="5"/>
      <c s="5"/>
      <c s="5"/>
      <c s="5"/>
      <c s="5"/>
      <c s="5"/>
      <c s="5"/>
      <c s="5"/>
      <c s="5"/>
      <c s="5"/>
      <c s="5"/>
      <c s="5"/>
      <c s="5"/>
    </row>
    <row r="413" spans="1:26" ht="15.75">
      <c r="A413" s="5"/>
      <c s="5"/>
      <c s="5"/>
      <c s="5"/>
      <c s="5"/>
      <c s="5"/>
      <c s="5"/>
      <c s="5"/>
      <c s="5"/>
      <c s="5"/>
      <c s="5"/>
      <c s="5"/>
      <c s="5"/>
      <c s="5"/>
      <c s="5"/>
      <c s="5"/>
      <c s="5"/>
      <c s="5"/>
      <c s="5"/>
      <c s="5"/>
      <c s="5"/>
      <c s="5"/>
      <c s="5"/>
      <c s="5"/>
      <c s="5"/>
      <c s="5"/>
    </row>
    <row r="414" spans="1:26" ht="15.75">
      <c r="A414" s="5"/>
      <c s="5"/>
      <c s="5"/>
      <c s="5"/>
      <c s="5"/>
      <c s="5"/>
      <c s="5"/>
      <c s="5"/>
      <c s="5"/>
      <c s="5"/>
      <c s="5"/>
      <c s="5"/>
      <c s="5"/>
      <c s="5"/>
      <c s="5"/>
      <c s="5"/>
      <c s="5"/>
      <c s="5"/>
      <c s="5"/>
      <c s="5"/>
      <c s="5"/>
      <c s="5"/>
      <c s="5"/>
      <c s="5"/>
      <c s="5"/>
      <c s="5"/>
    </row>
    <row r="415" spans="1:26" ht="15.75">
      <c r="A415" s="5"/>
      <c s="5"/>
      <c s="5"/>
      <c s="5"/>
      <c s="5"/>
      <c s="5"/>
      <c s="5"/>
      <c s="5"/>
      <c s="5"/>
      <c s="5"/>
      <c s="5"/>
      <c s="5"/>
      <c s="5"/>
      <c s="5"/>
      <c s="5"/>
      <c s="5"/>
      <c s="5"/>
      <c s="5"/>
      <c s="5"/>
      <c s="5"/>
      <c s="5"/>
      <c s="5"/>
      <c s="5"/>
      <c s="5"/>
      <c s="5"/>
      <c s="5"/>
    </row>
    <row r="416" spans="1:26" ht="15.75">
      <c r="A416" s="5"/>
      <c s="5"/>
      <c s="5"/>
      <c s="5"/>
      <c s="5"/>
      <c s="5"/>
      <c s="5"/>
      <c s="5"/>
      <c s="5"/>
      <c s="5"/>
      <c s="5"/>
      <c s="5"/>
      <c s="5"/>
      <c s="5"/>
      <c s="5"/>
      <c s="5"/>
      <c s="5"/>
      <c s="5"/>
      <c s="5"/>
      <c s="5"/>
      <c s="5"/>
      <c s="5"/>
      <c s="5"/>
      <c s="5"/>
      <c s="5"/>
      <c s="5"/>
    </row>
    <row r="417" spans="1:26" ht="15.75">
      <c r="A417" s="5"/>
      <c s="5"/>
      <c s="5"/>
      <c s="5"/>
      <c s="5"/>
      <c s="5"/>
      <c s="5"/>
      <c s="5"/>
      <c s="5"/>
      <c s="5"/>
      <c s="5"/>
      <c s="5"/>
      <c s="5"/>
      <c s="5"/>
      <c s="5"/>
      <c s="5"/>
      <c s="5"/>
      <c s="5"/>
      <c s="5"/>
      <c s="5"/>
      <c s="5"/>
      <c s="5"/>
      <c s="5"/>
      <c s="5"/>
      <c s="5"/>
      <c s="5"/>
    </row>
    <row r="418" spans="1:26" ht="15.75">
      <c r="A418" s="5"/>
      <c s="5"/>
      <c s="5"/>
      <c s="5"/>
      <c s="5"/>
      <c s="5"/>
      <c s="5"/>
      <c s="5"/>
      <c s="5"/>
      <c s="5"/>
      <c s="5"/>
      <c s="5"/>
      <c s="5"/>
      <c s="5"/>
      <c s="5"/>
      <c s="5"/>
      <c s="5"/>
      <c s="5"/>
      <c s="5"/>
      <c s="5"/>
      <c s="5"/>
      <c s="5"/>
      <c s="5"/>
      <c s="5"/>
      <c s="5"/>
      <c s="5"/>
    </row>
    <row r="419" spans="1:26" ht="15.75">
      <c r="A419" s="5"/>
      <c s="5"/>
      <c s="5"/>
      <c s="5"/>
      <c s="5"/>
      <c s="5"/>
      <c s="5"/>
      <c s="5"/>
      <c s="5"/>
      <c s="5"/>
      <c s="5"/>
      <c s="5"/>
      <c s="5"/>
      <c s="5"/>
      <c s="5"/>
      <c s="5"/>
      <c s="5"/>
      <c s="5"/>
      <c s="5"/>
      <c s="5"/>
      <c s="5"/>
      <c s="5"/>
      <c s="5"/>
      <c s="5"/>
      <c s="5"/>
      <c s="5"/>
    </row>
    <row r="420" spans="1:26" ht="15.75">
      <c r="A420" s="5"/>
      <c s="5"/>
      <c s="5"/>
      <c s="5"/>
      <c s="5"/>
      <c s="5"/>
      <c s="5"/>
      <c s="5"/>
      <c s="5"/>
      <c s="5"/>
      <c s="5"/>
      <c s="5"/>
      <c s="5"/>
      <c s="5"/>
      <c s="5"/>
      <c s="5"/>
      <c s="5"/>
      <c s="5"/>
      <c s="5"/>
      <c s="5"/>
      <c s="5"/>
      <c s="5"/>
      <c s="5"/>
      <c s="5"/>
      <c s="5"/>
      <c s="5"/>
    </row>
    <row r="421" spans="1:26" ht="15.75">
      <c r="A421" s="5"/>
      <c s="5"/>
      <c s="5"/>
      <c s="5"/>
      <c s="5"/>
      <c s="5"/>
      <c s="5"/>
      <c s="5"/>
      <c s="5"/>
      <c s="5"/>
      <c s="5"/>
      <c s="5"/>
      <c s="5"/>
      <c s="5"/>
      <c s="5"/>
      <c s="5"/>
      <c s="5"/>
      <c s="5"/>
      <c s="5"/>
      <c s="5"/>
      <c s="5"/>
      <c s="5"/>
      <c s="5"/>
      <c s="5"/>
      <c s="5"/>
      <c s="5"/>
    </row>
    <row r="422" spans="1:26" ht="15.75">
      <c r="A422" s="5"/>
      <c s="5"/>
      <c s="5"/>
      <c s="5"/>
      <c s="5"/>
      <c s="5"/>
      <c s="5"/>
      <c s="5"/>
      <c s="5"/>
      <c s="5"/>
      <c s="5"/>
      <c s="5"/>
      <c s="5"/>
      <c s="5"/>
      <c s="5"/>
      <c s="5"/>
      <c s="5"/>
      <c s="5"/>
      <c s="5"/>
      <c s="5"/>
      <c s="5"/>
      <c s="5"/>
      <c s="5"/>
      <c s="5"/>
      <c s="5"/>
      <c s="5"/>
    </row>
    <row r="423" spans="1:26" ht="15.75">
      <c r="A423" s="5"/>
      <c s="5"/>
      <c s="5"/>
      <c s="5"/>
      <c s="5"/>
      <c s="5"/>
      <c s="5"/>
      <c s="5"/>
      <c s="5"/>
      <c s="5"/>
      <c s="5"/>
      <c s="5"/>
      <c s="5"/>
      <c s="5"/>
      <c s="5"/>
      <c s="5"/>
      <c s="5"/>
      <c s="5"/>
      <c s="5"/>
      <c s="5"/>
      <c s="5"/>
      <c s="5"/>
      <c s="5"/>
      <c s="5"/>
      <c s="5"/>
      <c s="5"/>
    </row>
    <row r="424" spans="1:26" ht="15.75">
      <c r="A424" s="5"/>
      <c s="5"/>
      <c s="5"/>
      <c s="5"/>
      <c s="5"/>
      <c s="5"/>
      <c s="5"/>
      <c s="5"/>
      <c s="5"/>
      <c s="5"/>
      <c s="5"/>
      <c s="5"/>
      <c s="5"/>
      <c s="5"/>
      <c s="5"/>
      <c s="5"/>
      <c s="5"/>
      <c s="5"/>
      <c s="5"/>
      <c s="5"/>
      <c s="5"/>
      <c s="5"/>
      <c s="5"/>
      <c s="5"/>
      <c s="5"/>
      <c s="5"/>
    </row>
    <row r="425" spans="1:26" ht="15.75">
      <c r="A425" s="5"/>
      <c s="5"/>
      <c s="5"/>
      <c s="5"/>
      <c s="5"/>
      <c s="5"/>
      <c s="5"/>
      <c s="5"/>
      <c s="5"/>
      <c s="5"/>
      <c s="5"/>
      <c s="5"/>
      <c s="5"/>
      <c s="5"/>
      <c s="5"/>
      <c s="5"/>
      <c s="5"/>
      <c s="5"/>
      <c s="5"/>
      <c s="5"/>
      <c s="5"/>
      <c s="5"/>
      <c s="5"/>
      <c s="5"/>
      <c s="5"/>
      <c s="5"/>
    </row>
    <row r="426" spans="1:26" ht="15.75">
      <c r="A426" s="5"/>
      <c s="5"/>
      <c s="5"/>
      <c s="5"/>
      <c s="5"/>
      <c s="5"/>
      <c s="5"/>
      <c s="5"/>
      <c s="5"/>
      <c s="5"/>
      <c s="5"/>
      <c s="5"/>
      <c s="5"/>
      <c s="5"/>
      <c s="5"/>
      <c s="5"/>
      <c s="5"/>
      <c s="5"/>
      <c s="5"/>
      <c s="5"/>
      <c s="5"/>
      <c s="5"/>
      <c s="5"/>
      <c s="5"/>
      <c s="5"/>
      <c s="5"/>
    </row>
    <row r="427" spans="1:26" ht="15.75">
      <c r="A427" s="5"/>
      <c s="5"/>
      <c s="5"/>
      <c s="5"/>
      <c s="5"/>
      <c s="5"/>
      <c s="5"/>
      <c s="5"/>
      <c s="5"/>
      <c s="5"/>
      <c s="5"/>
      <c s="5"/>
      <c s="5"/>
      <c s="5"/>
      <c s="5"/>
      <c s="5"/>
      <c s="5"/>
      <c s="5"/>
      <c s="5"/>
      <c s="5"/>
      <c s="5"/>
      <c s="5"/>
      <c s="5"/>
      <c s="5"/>
      <c s="5"/>
      <c s="5"/>
    </row>
    <row r="428" spans="1:26" ht="15.75">
      <c r="A428" s="5"/>
      <c s="5"/>
      <c s="5"/>
      <c s="5"/>
      <c s="5"/>
      <c s="5"/>
      <c s="5"/>
      <c s="5"/>
      <c s="5"/>
      <c s="5"/>
      <c s="5"/>
      <c s="5"/>
      <c s="5"/>
      <c s="5"/>
      <c s="5"/>
      <c s="5"/>
      <c s="5"/>
      <c s="5"/>
      <c s="5"/>
      <c s="5"/>
      <c s="5"/>
      <c s="5"/>
      <c s="5"/>
      <c s="5"/>
      <c s="5"/>
      <c s="5"/>
    </row>
    <row r="429" spans="1:26" ht="15.75">
      <c r="A429" s="5"/>
      <c s="5"/>
      <c s="5"/>
      <c s="5"/>
      <c s="5"/>
      <c s="5"/>
      <c s="5"/>
      <c s="5"/>
      <c s="5"/>
      <c s="5"/>
      <c s="5"/>
      <c s="5"/>
      <c s="5"/>
      <c s="5"/>
      <c s="5"/>
      <c s="5"/>
      <c s="5"/>
      <c s="5"/>
      <c s="5"/>
      <c s="5"/>
      <c s="5"/>
      <c s="5"/>
      <c s="5"/>
      <c s="5"/>
      <c s="5"/>
      <c s="5"/>
    </row>
    <row r="430" spans="1:26" ht="15.75">
      <c r="A430" s="5"/>
      <c s="5"/>
      <c s="5"/>
      <c s="5"/>
      <c s="5"/>
      <c s="5"/>
      <c s="5"/>
      <c s="5"/>
      <c s="5"/>
      <c s="5"/>
      <c s="5"/>
      <c s="5"/>
      <c s="5"/>
      <c s="5"/>
      <c s="5"/>
      <c s="5"/>
      <c s="5"/>
      <c s="5"/>
      <c s="5"/>
      <c s="5"/>
      <c s="5"/>
      <c s="5"/>
      <c s="5"/>
      <c s="5"/>
      <c s="5"/>
      <c s="5"/>
    </row>
    <row r="431" spans="1:26" ht="15.75">
      <c r="A431" s="5"/>
      <c s="5"/>
      <c s="5"/>
      <c s="5"/>
      <c s="5"/>
      <c s="5"/>
      <c s="5"/>
      <c s="5"/>
      <c s="5"/>
      <c s="5"/>
      <c s="5"/>
      <c s="5"/>
      <c s="5"/>
      <c s="5"/>
      <c s="5"/>
      <c s="5"/>
      <c s="5"/>
      <c s="5"/>
      <c s="5"/>
      <c s="5"/>
      <c s="5"/>
      <c s="5"/>
      <c s="5"/>
      <c s="5"/>
      <c s="5"/>
      <c s="5"/>
    </row>
    <row r="432" spans="1:26" ht="15.75">
      <c r="A432" s="5"/>
      <c s="5"/>
      <c s="5"/>
      <c s="5"/>
      <c s="5"/>
      <c s="5"/>
      <c s="5"/>
      <c s="5"/>
      <c s="5"/>
      <c s="5"/>
      <c s="5"/>
      <c s="5"/>
      <c s="5"/>
      <c s="5"/>
      <c s="5"/>
      <c s="5"/>
      <c s="5"/>
      <c s="5"/>
      <c s="5"/>
      <c s="5"/>
      <c s="5"/>
      <c s="5"/>
      <c s="5"/>
      <c s="5"/>
      <c s="5"/>
      <c s="5"/>
    </row>
    <row r="433" spans="1:26" ht="15.75">
      <c r="A433" s="5"/>
      <c s="5"/>
      <c s="5"/>
      <c s="5"/>
      <c s="5"/>
      <c s="5"/>
      <c s="5"/>
      <c s="5"/>
      <c s="5"/>
      <c s="5"/>
      <c s="5"/>
      <c s="5"/>
      <c s="5"/>
      <c s="5"/>
      <c s="5"/>
      <c s="5"/>
      <c s="5"/>
      <c s="5"/>
      <c s="5"/>
      <c s="5"/>
      <c s="5"/>
      <c s="5"/>
      <c s="5"/>
      <c s="5"/>
      <c s="5"/>
      <c s="5"/>
    </row>
    <row r="434" spans="1:26" ht="15.75">
      <c r="A434" s="5"/>
      <c s="5"/>
      <c s="5"/>
      <c s="5"/>
      <c s="5"/>
      <c s="5"/>
      <c s="5"/>
      <c s="5"/>
      <c s="5"/>
      <c s="5"/>
      <c s="5"/>
      <c s="5"/>
      <c s="5"/>
      <c s="5"/>
      <c s="5"/>
      <c s="5"/>
      <c s="5"/>
      <c s="5"/>
      <c s="5"/>
      <c s="5"/>
      <c s="5"/>
      <c s="5"/>
      <c s="5"/>
      <c s="5"/>
      <c s="5"/>
      <c s="5"/>
    </row>
    <row r="435" spans="1:26" ht="15.75">
      <c r="A435" s="5"/>
      <c s="5"/>
      <c s="5"/>
      <c s="5"/>
      <c s="5"/>
      <c s="5"/>
      <c s="5"/>
      <c s="5"/>
      <c s="5"/>
      <c s="5"/>
      <c s="5"/>
      <c s="5"/>
      <c s="5"/>
      <c s="5"/>
      <c s="5"/>
      <c s="5"/>
      <c s="5"/>
      <c s="5"/>
      <c s="5"/>
      <c s="5"/>
      <c s="5"/>
      <c s="5"/>
      <c s="5"/>
      <c s="5"/>
      <c s="5"/>
      <c s="5"/>
    </row>
    <row r="436" spans="1:26" ht="15.75">
      <c r="A436" s="5"/>
      <c s="5"/>
      <c s="5"/>
      <c s="5"/>
      <c s="5"/>
      <c s="5"/>
      <c s="5"/>
      <c s="5"/>
      <c s="5"/>
      <c s="5"/>
      <c s="5"/>
      <c s="5"/>
      <c s="5"/>
      <c s="5"/>
      <c s="5"/>
      <c s="5"/>
      <c s="5"/>
      <c s="5"/>
      <c s="5"/>
      <c s="5"/>
      <c s="5"/>
      <c s="5"/>
      <c s="5"/>
      <c s="5"/>
      <c s="5"/>
      <c s="5"/>
    </row>
    <row r="437" spans="1:26" ht="15.75">
      <c r="A437" s="5"/>
      <c s="5"/>
      <c s="5"/>
      <c s="5"/>
      <c s="5"/>
      <c s="5"/>
      <c s="5"/>
      <c s="5"/>
      <c s="5"/>
      <c s="5"/>
      <c s="5"/>
      <c s="5"/>
      <c s="5"/>
      <c s="5"/>
      <c s="5"/>
      <c s="5"/>
      <c s="5"/>
      <c s="5"/>
      <c s="5"/>
      <c s="5"/>
      <c s="5"/>
      <c s="5"/>
      <c s="5"/>
      <c s="5"/>
      <c s="5"/>
      <c s="5"/>
    </row>
    <row r="438" spans="1:26" ht="15.75">
      <c r="A438" s="5"/>
      <c s="5"/>
      <c s="5"/>
      <c s="5"/>
      <c s="5"/>
      <c s="5"/>
      <c s="5"/>
      <c s="5"/>
      <c s="5"/>
      <c s="5"/>
      <c s="5"/>
      <c s="5"/>
      <c s="5"/>
      <c s="5"/>
      <c s="5"/>
      <c s="5"/>
      <c s="5"/>
      <c s="5"/>
      <c s="5"/>
      <c s="5"/>
      <c s="5"/>
      <c s="5"/>
      <c s="5"/>
      <c s="5"/>
      <c s="5"/>
      <c s="5"/>
    </row>
    <row r="439" spans="1:26" ht="15.75">
      <c r="A439" s="5"/>
      <c s="5"/>
      <c s="5"/>
      <c s="5"/>
      <c s="5"/>
      <c s="5"/>
      <c s="5"/>
      <c s="5"/>
      <c s="5"/>
      <c s="5"/>
      <c s="5"/>
      <c s="5"/>
      <c s="5"/>
      <c s="5"/>
      <c s="5"/>
      <c s="5"/>
      <c s="5"/>
      <c s="5"/>
      <c s="5"/>
      <c s="5"/>
      <c s="5"/>
      <c s="5"/>
      <c s="5"/>
      <c s="5"/>
      <c s="5"/>
      <c s="5"/>
    </row>
    <row r="440" spans="1:26" ht="15.75">
      <c r="A440" s="5"/>
      <c s="5"/>
      <c s="5"/>
      <c s="5"/>
      <c s="5"/>
      <c s="5"/>
      <c s="5"/>
      <c s="5"/>
      <c s="5"/>
      <c s="5"/>
      <c s="5"/>
      <c s="5"/>
      <c s="5"/>
      <c s="5"/>
      <c s="5"/>
      <c s="5"/>
      <c s="5"/>
      <c s="5"/>
      <c s="5"/>
      <c s="5"/>
      <c s="5"/>
      <c s="5"/>
      <c s="5"/>
      <c s="5"/>
      <c s="5"/>
      <c s="5"/>
    </row>
    <row r="441" spans="1:26" ht="15.75">
      <c r="A441" s="5"/>
      <c s="5"/>
      <c s="5"/>
      <c s="5"/>
      <c s="5"/>
      <c s="5"/>
      <c s="5"/>
      <c s="5"/>
      <c s="5"/>
      <c s="5"/>
      <c s="5"/>
      <c s="5"/>
      <c s="5"/>
      <c s="5"/>
      <c s="5"/>
      <c s="5"/>
      <c s="5"/>
      <c s="5"/>
      <c s="5"/>
      <c s="5"/>
      <c s="5"/>
      <c s="5"/>
      <c s="5"/>
      <c s="5"/>
      <c s="5"/>
      <c s="5"/>
    </row>
    <row r="442" spans="1:26" ht="15.75">
      <c r="A442" s="5"/>
      <c s="5"/>
      <c s="5"/>
      <c s="5"/>
      <c s="5"/>
      <c s="5"/>
      <c s="5"/>
      <c s="5"/>
      <c s="5"/>
      <c s="5"/>
      <c s="5"/>
      <c s="5"/>
      <c s="5"/>
      <c s="5"/>
      <c s="5"/>
      <c s="5"/>
      <c s="5"/>
      <c s="5"/>
      <c s="5"/>
      <c s="5"/>
      <c s="5"/>
      <c s="5"/>
      <c s="5"/>
      <c s="5"/>
      <c s="5"/>
      <c s="5"/>
    </row>
    <row r="443" spans="1:26" ht="15.75">
      <c r="A443" s="5"/>
      <c s="5"/>
      <c s="5"/>
      <c s="5"/>
      <c s="5"/>
      <c s="5"/>
      <c s="5"/>
      <c s="5"/>
      <c s="5"/>
      <c s="5"/>
      <c s="5"/>
      <c s="5"/>
      <c s="5"/>
      <c s="5"/>
      <c s="5"/>
      <c s="5"/>
      <c s="5"/>
      <c s="5"/>
      <c s="5"/>
      <c s="5"/>
      <c s="5"/>
      <c s="5"/>
      <c s="5"/>
      <c s="5"/>
      <c s="5"/>
      <c s="5"/>
    </row>
    <row r="444" spans="1:26" ht="15.75">
      <c r="A444" s="5"/>
      <c s="5"/>
      <c s="5"/>
      <c s="5"/>
      <c s="5"/>
      <c s="5"/>
      <c s="5"/>
      <c s="5"/>
      <c s="5"/>
      <c s="5"/>
      <c s="5"/>
      <c s="5"/>
      <c s="5"/>
      <c s="5"/>
      <c s="5"/>
      <c s="5"/>
      <c s="5"/>
      <c s="5"/>
      <c s="5"/>
      <c s="5"/>
      <c s="5"/>
      <c s="5"/>
      <c s="5"/>
      <c s="5"/>
      <c s="5"/>
      <c s="5"/>
    </row>
    <row r="445" spans="1:26" ht="15.75">
      <c r="A445" s="5"/>
      <c s="5"/>
      <c s="5"/>
      <c s="5"/>
      <c s="5"/>
      <c s="5"/>
      <c s="5"/>
      <c s="5"/>
      <c s="5"/>
      <c s="5"/>
      <c s="5"/>
      <c s="5"/>
      <c s="5"/>
      <c s="5"/>
      <c s="5"/>
      <c s="5"/>
      <c s="5"/>
      <c s="5"/>
      <c s="5"/>
      <c s="5"/>
      <c s="5"/>
      <c s="5"/>
      <c s="5"/>
      <c s="5"/>
      <c s="5"/>
      <c s="5"/>
    </row>
    <row r="446" spans="1:26" ht="15.75">
      <c r="A446" s="5"/>
      <c s="5"/>
      <c s="5"/>
      <c s="5"/>
      <c s="5"/>
      <c s="5"/>
      <c s="5"/>
      <c s="5"/>
      <c s="5"/>
      <c s="5"/>
      <c s="5"/>
      <c s="5"/>
      <c s="5"/>
      <c s="5"/>
      <c s="5"/>
      <c s="5"/>
      <c s="5"/>
      <c s="5"/>
      <c s="5"/>
      <c s="5"/>
      <c s="5"/>
      <c s="5"/>
      <c s="5"/>
      <c s="5"/>
      <c s="5"/>
      <c s="5"/>
    </row>
    <row r="447" spans="1:26" ht="15.75">
      <c r="A447" s="5"/>
      <c s="5"/>
      <c s="5"/>
      <c s="5"/>
      <c s="5"/>
      <c s="5"/>
      <c s="5"/>
      <c s="5"/>
      <c s="5"/>
      <c s="5"/>
      <c s="5"/>
      <c s="5"/>
      <c s="5"/>
      <c s="5"/>
      <c s="5"/>
      <c s="5"/>
      <c s="5"/>
      <c s="5"/>
      <c s="5"/>
      <c s="5"/>
      <c s="5"/>
      <c s="5"/>
      <c s="5"/>
      <c s="5"/>
      <c s="5"/>
      <c s="5"/>
    </row>
    <row r="448" spans="1:26" ht="15.75">
      <c r="A448" s="5"/>
      <c s="5"/>
      <c s="5"/>
      <c s="5"/>
      <c s="5"/>
      <c s="5"/>
      <c s="5"/>
      <c s="5"/>
      <c s="5"/>
      <c s="5"/>
      <c s="5"/>
      <c s="5"/>
      <c s="5"/>
      <c s="5"/>
      <c s="5"/>
      <c s="5"/>
      <c s="5"/>
      <c s="5"/>
      <c s="5"/>
      <c s="5"/>
      <c s="5"/>
      <c s="5"/>
      <c s="5"/>
      <c s="5"/>
      <c s="5"/>
      <c s="5"/>
    </row>
    <row r="449" spans="1:26" ht="15.75">
      <c r="A449" s="5"/>
      <c s="5"/>
      <c s="5"/>
      <c s="5"/>
      <c s="5"/>
      <c s="5"/>
      <c s="5"/>
      <c s="5"/>
      <c s="5"/>
      <c s="5"/>
      <c s="5"/>
      <c s="5"/>
      <c s="5"/>
      <c s="5"/>
      <c s="5"/>
      <c s="5"/>
      <c s="5"/>
      <c s="5"/>
      <c s="5"/>
      <c s="5"/>
      <c s="5"/>
      <c s="5"/>
      <c s="5"/>
      <c s="5"/>
      <c s="5"/>
      <c s="5"/>
    </row>
    <row r="450" spans="1:26" ht="15.75">
      <c r="A450" s="5"/>
      <c s="5"/>
      <c s="5"/>
      <c s="5"/>
      <c s="5"/>
      <c s="5"/>
      <c s="5"/>
      <c s="5"/>
      <c s="5"/>
      <c s="5"/>
      <c s="5"/>
      <c s="5"/>
      <c s="5"/>
      <c s="5"/>
      <c s="5"/>
      <c s="5"/>
      <c s="5"/>
      <c s="5"/>
      <c s="5"/>
      <c s="5"/>
      <c s="5"/>
      <c s="5"/>
      <c s="5"/>
      <c s="5"/>
      <c s="5"/>
      <c s="5"/>
    </row>
    <row r="451" spans="1:26" ht="15.75">
      <c r="A451" s="5"/>
      <c s="5"/>
      <c s="5"/>
      <c s="5"/>
      <c s="5"/>
      <c s="5"/>
      <c s="5"/>
      <c s="5"/>
      <c s="5"/>
      <c s="5"/>
      <c s="5"/>
      <c s="5"/>
      <c s="5"/>
      <c s="5"/>
      <c s="5"/>
      <c s="5"/>
      <c s="5"/>
      <c s="5"/>
      <c s="5"/>
      <c s="5"/>
      <c s="5"/>
      <c s="5"/>
      <c s="5"/>
      <c s="5"/>
      <c s="5"/>
      <c s="5"/>
    </row>
    <row r="452" spans="1:26" ht="15.75">
      <c r="A452" s="5"/>
      <c s="5"/>
      <c s="5"/>
      <c s="5"/>
      <c s="5"/>
      <c s="5"/>
      <c s="5"/>
      <c s="5"/>
      <c s="5"/>
      <c s="5"/>
      <c s="5"/>
      <c s="5"/>
      <c s="5"/>
      <c s="5"/>
      <c s="5"/>
      <c s="5"/>
      <c s="5"/>
      <c s="5"/>
      <c s="5"/>
      <c s="5"/>
      <c s="5"/>
      <c s="5"/>
      <c s="5"/>
      <c s="5"/>
      <c s="5"/>
      <c s="5"/>
    </row>
    <row r="453" spans="1:26" ht="15.75">
      <c r="A453" s="5"/>
      <c s="5"/>
      <c s="5"/>
      <c s="5"/>
      <c s="5"/>
      <c s="5"/>
      <c s="5"/>
      <c s="5"/>
      <c s="5"/>
      <c s="5"/>
      <c s="5"/>
      <c s="5"/>
      <c s="5"/>
      <c s="5"/>
      <c s="5"/>
      <c s="5"/>
      <c s="5"/>
      <c s="5"/>
      <c s="5"/>
      <c s="5"/>
      <c s="5"/>
      <c s="5"/>
      <c s="5"/>
      <c s="5"/>
      <c s="5"/>
      <c s="5"/>
    </row>
    <row r="454" spans="1:26" ht="15.75">
      <c r="A454" s="5"/>
      <c s="5"/>
      <c s="5"/>
      <c s="5"/>
      <c s="5"/>
      <c s="5"/>
      <c s="5"/>
      <c s="5"/>
      <c s="5"/>
      <c s="5"/>
      <c s="5"/>
      <c s="5"/>
      <c s="5"/>
      <c s="5"/>
      <c s="5"/>
      <c s="5"/>
      <c s="5"/>
      <c s="5"/>
      <c s="5"/>
      <c s="5"/>
      <c s="5"/>
      <c s="5"/>
      <c s="5"/>
      <c s="5"/>
      <c s="5"/>
      <c s="5"/>
    </row>
    <row r="455" spans="1:26" ht="15.75">
      <c r="A455" s="5"/>
      <c s="5"/>
      <c s="5"/>
      <c s="5"/>
      <c s="5"/>
      <c s="5"/>
      <c s="5"/>
      <c s="5"/>
      <c s="5"/>
      <c s="5"/>
      <c s="5"/>
      <c s="5"/>
      <c s="5"/>
      <c s="5"/>
      <c s="5"/>
      <c s="5"/>
      <c s="5"/>
      <c s="5"/>
      <c s="5"/>
      <c s="5"/>
      <c s="5"/>
      <c s="5"/>
      <c s="5"/>
      <c s="5"/>
      <c s="5"/>
      <c s="5"/>
    </row>
    <row r="456" spans="1:26" ht="15.75">
      <c r="A456" s="5"/>
      <c s="5"/>
      <c s="5"/>
      <c s="5"/>
      <c s="5"/>
      <c s="5"/>
      <c s="5"/>
      <c s="5"/>
      <c s="5"/>
      <c s="5"/>
      <c s="5"/>
      <c s="5"/>
      <c s="5"/>
      <c s="5"/>
      <c s="5"/>
      <c s="5"/>
      <c s="5"/>
      <c s="5"/>
      <c s="5"/>
      <c s="5"/>
      <c s="5"/>
      <c s="5"/>
      <c s="5"/>
      <c s="5"/>
      <c s="5"/>
      <c s="5"/>
    </row>
    <row r="457" spans="1:26" ht="15.75">
      <c r="A457" s="5"/>
      <c s="5"/>
      <c s="5"/>
      <c s="5"/>
      <c s="5"/>
      <c s="5"/>
      <c s="5"/>
      <c s="5"/>
      <c s="5"/>
      <c s="5"/>
      <c s="5"/>
      <c s="5"/>
      <c s="5"/>
      <c s="5"/>
      <c s="5"/>
      <c s="5"/>
      <c s="5"/>
      <c s="5"/>
      <c s="5"/>
      <c s="5"/>
      <c s="5"/>
      <c s="5"/>
      <c s="5"/>
      <c s="5"/>
      <c s="5"/>
      <c s="5"/>
    </row>
    <row r="458" spans="1:26" ht="15.75">
      <c r="A458" s="5"/>
      <c s="5"/>
      <c s="5"/>
      <c s="5"/>
      <c s="5"/>
      <c s="5"/>
      <c s="5"/>
      <c s="5"/>
      <c s="5"/>
      <c s="5"/>
      <c s="5"/>
      <c s="5"/>
      <c s="5"/>
      <c s="5"/>
      <c s="5"/>
      <c s="5"/>
      <c s="5"/>
      <c s="5"/>
      <c s="5"/>
      <c s="5"/>
      <c s="5"/>
      <c s="5"/>
      <c s="5"/>
      <c s="5"/>
      <c s="5"/>
      <c s="5"/>
    </row>
    <row r="459" spans="1:26" ht="15.75">
      <c r="A459" s="5"/>
      <c s="5"/>
      <c s="5"/>
      <c s="5"/>
      <c s="5"/>
      <c s="5"/>
      <c s="5"/>
      <c s="5"/>
      <c s="5"/>
      <c s="5"/>
      <c s="5"/>
      <c s="5"/>
      <c s="5"/>
      <c s="5"/>
      <c s="5"/>
      <c s="5"/>
      <c s="5"/>
      <c s="5"/>
      <c s="5"/>
      <c s="5"/>
      <c s="5"/>
      <c s="5"/>
      <c s="5"/>
      <c s="5"/>
      <c s="5"/>
      <c s="5"/>
    </row>
    <row r="460" spans="1:26" ht="15.75">
      <c r="A460" s="5"/>
      <c s="5"/>
      <c s="5"/>
      <c s="5"/>
      <c s="5"/>
      <c s="5"/>
      <c s="5"/>
      <c s="5"/>
      <c s="5"/>
      <c s="5"/>
      <c s="5"/>
      <c s="5"/>
      <c s="5"/>
      <c s="5"/>
      <c s="5"/>
      <c s="5"/>
      <c s="5"/>
      <c s="5"/>
      <c s="5"/>
      <c s="5"/>
      <c s="5"/>
      <c s="5"/>
      <c s="5"/>
      <c s="5"/>
      <c s="5"/>
      <c s="5"/>
    </row>
    <row r="461" spans="1:26" ht="15.75">
      <c r="A461" s="5"/>
      <c s="5"/>
      <c s="5"/>
      <c s="5"/>
      <c s="5"/>
      <c s="5"/>
      <c s="5"/>
      <c s="5"/>
      <c s="5"/>
      <c s="5"/>
      <c s="5"/>
      <c s="5"/>
      <c s="5"/>
      <c s="5"/>
      <c s="5"/>
      <c s="5"/>
      <c s="5"/>
      <c s="5"/>
      <c s="5"/>
      <c s="5"/>
      <c s="5"/>
      <c s="5"/>
      <c s="5"/>
      <c s="5"/>
      <c s="5"/>
      <c s="5"/>
    </row>
    <row r="462" spans="1:26" ht="15.75">
      <c r="A462" s="5"/>
      <c s="5"/>
      <c s="5"/>
      <c s="5"/>
      <c s="5"/>
      <c s="5"/>
      <c s="5"/>
      <c s="5"/>
      <c s="5"/>
      <c s="5"/>
      <c s="5"/>
      <c s="5"/>
      <c s="5"/>
      <c s="5"/>
      <c s="5"/>
      <c s="5"/>
      <c s="5"/>
      <c s="5"/>
      <c s="5"/>
      <c s="5"/>
      <c s="5"/>
      <c s="5"/>
      <c s="5"/>
      <c s="5"/>
      <c s="5"/>
      <c s="5"/>
    </row>
    <row r="463" spans="1:26" ht="15.75">
      <c r="A463" s="5"/>
      <c s="5"/>
      <c s="5"/>
      <c s="5"/>
      <c s="5"/>
      <c s="5"/>
      <c s="5"/>
      <c s="5"/>
      <c s="5"/>
      <c s="5"/>
      <c s="5"/>
      <c s="5"/>
      <c s="5"/>
      <c s="5"/>
      <c s="5"/>
      <c s="5"/>
      <c s="5"/>
      <c s="5"/>
      <c s="5"/>
      <c s="5"/>
      <c s="5"/>
      <c s="5"/>
      <c s="5"/>
      <c s="5"/>
      <c s="5"/>
      <c s="5"/>
    </row>
    <row r="464" spans="1:26" ht="15.75">
      <c r="A464" s="5"/>
      <c s="5"/>
      <c s="5"/>
      <c s="5"/>
      <c s="5"/>
      <c s="5"/>
      <c s="5"/>
      <c s="5"/>
      <c s="5"/>
      <c s="5"/>
      <c s="5"/>
      <c s="5"/>
      <c s="5"/>
      <c s="5"/>
      <c s="5"/>
      <c s="5"/>
      <c s="5"/>
      <c s="5"/>
      <c s="5"/>
      <c s="5"/>
      <c s="5"/>
      <c s="5"/>
      <c s="5"/>
      <c s="5"/>
      <c s="5"/>
      <c s="5"/>
    </row>
    <row r="465" spans="1:26" ht="15.75">
      <c r="A465" s="5"/>
      <c s="5"/>
      <c s="5"/>
      <c s="5"/>
      <c s="5"/>
      <c s="5"/>
      <c s="5"/>
      <c s="5"/>
      <c s="5"/>
      <c s="5"/>
      <c s="5"/>
      <c s="5"/>
      <c s="5"/>
      <c s="5"/>
      <c s="5"/>
      <c s="5"/>
      <c s="5"/>
      <c s="5"/>
      <c s="5"/>
      <c s="5"/>
      <c s="5"/>
      <c s="5"/>
      <c s="5"/>
      <c s="5"/>
      <c s="5"/>
      <c s="5"/>
    </row>
    <row r="466" spans="1:26" ht="15.75">
      <c r="A466" s="5"/>
      <c s="5"/>
      <c s="5"/>
      <c s="5"/>
      <c s="5"/>
      <c s="5"/>
      <c s="5"/>
      <c s="5"/>
      <c s="5"/>
      <c s="5"/>
      <c s="5"/>
      <c s="5"/>
      <c s="5"/>
      <c s="5"/>
      <c s="5"/>
      <c s="5"/>
      <c s="5"/>
      <c s="5"/>
      <c s="5"/>
      <c s="5"/>
      <c s="5"/>
      <c s="5"/>
      <c s="5"/>
      <c s="5"/>
      <c s="5"/>
      <c s="5"/>
    </row>
    <row r="467" spans="1:26" ht="15.75">
      <c r="A467" s="5"/>
      <c s="5"/>
      <c s="5"/>
      <c s="5"/>
      <c s="5"/>
      <c s="5"/>
      <c s="5"/>
      <c s="5"/>
      <c s="5"/>
      <c s="5"/>
      <c s="5"/>
      <c s="5"/>
      <c s="5"/>
      <c s="5"/>
      <c s="5"/>
      <c s="5"/>
      <c s="5"/>
      <c s="5"/>
      <c s="5"/>
      <c s="5"/>
      <c s="5"/>
      <c s="5"/>
      <c s="5"/>
      <c s="5"/>
      <c s="5"/>
      <c s="5"/>
    </row>
    <row r="468" spans="1:26" ht="15.75">
      <c r="A468" s="5"/>
      <c s="5"/>
      <c s="5"/>
      <c s="5"/>
      <c s="5"/>
      <c s="5"/>
      <c s="5"/>
      <c s="5"/>
      <c s="5"/>
      <c s="5"/>
      <c s="5"/>
      <c s="5"/>
      <c s="5"/>
      <c s="5"/>
      <c s="5"/>
      <c s="5"/>
      <c s="5"/>
      <c s="5"/>
      <c s="5"/>
      <c s="5"/>
      <c s="5"/>
      <c s="5"/>
      <c s="5"/>
      <c s="5"/>
      <c s="5"/>
      <c s="5"/>
    </row>
    <row r="469" spans="1:26" ht="15.75">
      <c r="A469" s="5"/>
      <c s="5"/>
      <c s="5"/>
      <c s="5"/>
      <c s="5"/>
      <c s="5"/>
      <c s="5"/>
      <c s="5"/>
      <c s="5"/>
      <c s="5"/>
      <c s="5"/>
      <c s="5"/>
      <c s="5"/>
      <c s="5"/>
      <c s="5"/>
      <c s="5"/>
      <c s="5"/>
      <c s="5"/>
      <c s="5"/>
      <c s="5"/>
      <c s="5"/>
      <c s="5"/>
      <c s="5"/>
      <c s="5"/>
      <c s="5"/>
      <c s="5"/>
    </row>
    <row r="470" spans="1:26" ht="15.75">
      <c r="A470" s="5"/>
      <c s="5"/>
      <c s="5"/>
      <c s="5"/>
      <c s="5"/>
      <c s="5"/>
      <c s="5"/>
      <c s="5"/>
      <c s="5"/>
      <c s="5"/>
      <c s="5"/>
      <c s="5"/>
      <c s="5"/>
      <c s="5"/>
      <c s="5"/>
      <c s="5"/>
      <c s="5"/>
      <c s="5"/>
      <c s="5"/>
      <c s="5"/>
      <c s="5"/>
      <c s="5"/>
      <c s="5"/>
      <c s="5"/>
      <c s="5"/>
      <c s="5"/>
    </row>
    <row r="471" spans="1:26" ht="15.75">
      <c r="A471" s="5"/>
      <c s="5"/>
      <c s="5"/>
      <c s="5"/>
      <c s="5"/>
      <c s="5"/>
      <c s="5"/>
      <c s="5"/>
      <c s="5"/>
      <c s="5"/>
      <c s="5"/>
      <c s="5"/>
      <c s="5"/>
      <c s="5"/>
      <c s="5"/>
      <c s="5"/>
      <c s="5"/>
      <c s="5"/>
      <c s="5"/>
      <c s="5"/>
      <c s="5"/>
      <c s="5"/>
      <c s="5"/>
      <c s="5"/>
      <c s="5"/>
      <c s="5"/>
    </row>
    <row r="472" spans="1:26" ht="15.75">
      <c r="A472" s="5"/>
      <c s="5"/>
      <c s="5"/>
      <c s="5"/>
      <c s="5"/>
      <c s="5"/>
      <c s="5"/>
      <c s="5"/>
      <c s="5"/>
      <c s="5"/>
      <c s="5"/>
      <c s="5"/>
      <c s="5"/>
      <c s="5"/>
      <c s="5"/>
      <c s="5"/>
      <c s="5"/>
      <c s="5"/>
      <c s="5"/>
      <c s="5"/>
      <c s="5"/>
      <c s="5"/>
      <c s="5"/>
      <c s="5"/>
      <c s="5"/>
      <c s="5"/>
    </row>
    <row r="473" spans="1:26" ht="15.75">
      <c r="A473" s="5"/>
      <c s="5"/>
      <c s="5"/>
      <c s="5"/>
      <c s="5"/>
      <c s="5"/>
      <c s="5"/>
      <c s="5"/>
      <c s="5"/>
      <c s="5"/>
      <c s="5"/>
      <c s="5"/>
      <c s="5"/>
      <c s="5"/>
      <c s="5"/>
      <c s="5"/>
      <c s="5"/>
      <c s="5"/>
      <c s="5"/>
      <c s="5"/>
      <c s="5"/>
      <c s="5"/>
      <c s="5"/>
      <c s="5"/>
      <c s="5"/>
      <c s="5"/>
    </row>
    <row r="474" spans="1:26" ht="15.75">
      <c r="A474" s="5"/>
      <c s="5"/>
      <c s="5"/>
      <c s="5"/>
      <c s="5"/>
      <c s="5"/>
      <c s="5"/>
      <c s="5"/>
      <c s="5"/>
      <c s="5"/>
      <c s="5"/>
      <c s="5"/>
      <c s="5"/>
      <c s="5"/>
      <c s="5"/>
      <c s="5"/>
      <c s="5"/>
      <c s="5"/>
      <c s="5"/>
      <c s="5"/>
      <c s="5"/>
      <c s="5"/>
      <c s="5"/>
      <c s="5"/>
      <c s="5"/>
      <c s="5"/>
    </row>
    <row r="475" spans="1:26" ht="15.75">
      <c r="A475" s="5"/>
      <c s="5"/>
      <c s="5"/>
      <c s="5"/>
      <c s="5"/>
      <c s="5"/>
      <c s="5"/>
      <c s="5"/>
      <c s="5"/>
      <c s="5"/>
      <c s="5"/>
      <c s="5"/>
      <c s="5"/>
      <c s="5"/>
      <c s="5"/>
      <c s="5"/>
      <c s="5"/>
      <c s="5"/>
      <c s="5"/>
      <c s="5"/>
      <c s="5"/>
      <c s="5"/>
      <c s="5"/>
      <c s="5"/>
      <c s="5"/>
      <c s="5"/>
    </row>
    <row r="476" spans="1:26" ht="15.75">
      <c r="A476" s="5"/>
      <c s="5"/>
      <c s="5"/>
      <c s="5"/>
      <c s="5"/>
      <c s="5"/>
      <c s="5"/>
      <c s="5"/>
      <c s="5"/>
      <c s="5"/>
      <c s="5"/>
      <c s="5"/>
      <c s="5"/>
      <c s="5"/>
      <c s="5"/>
      <c s="5"/>
      <c s="5"/>
      <c s="5"/>
      <c s="5"/>
      <c s="5"/>
      <c s="5"/>
      <c s="5"/>
      <c s="5"/>
      <c s="5"/>
      <c s="5"/>
      <c s="5"/>
    </row>
    <row r="477" spans="1:26" ht="15.75">
      <c r="A477" s="5"/>
      <c s="5"/>
      <c s="5"/>
      <c s="5"/>
      <c s="5"/>
      <c s="5"/>
      <c s="5"/>
      <c s="5"/>
      <c s="5"/>
      <c s="5"/>
      <c s="5"/>
      <c s="5"/>
      <c s="5"/>
      <c s="5"/>
      <c s="5"/>
      <c s="5"/>
      <c s="5"/>
      <c s="5"/>
      <c s="5"/>
      <c s="5"/>
      <c s="5"/>
      <c s="5"/>
      <c s="5"/>
      <c s="5"/>
      <c s="5"/>
      <c s="5"/>
    </row>
    <row r="478" spans="1:26" ht="15.75">
      <c r="A478" s="5"/>
      <c s="5"/>
      <c s="5"/>
      <c s="5"/>
      <c s="5"/>
      <c s="5"/>
      <c s="5"/>
      <c s="5"/>
      <c s="5"/>
      <c s="5"/>
      <c s="5"/>
      <c s="5"/>
      <c s="5"/>
      <c s="5"/>
      <c s="5"/>
      <c s="5"/>
      <c s="5"/>
      <c s="5"/>
      <c s="5"/>
      <c s="5"/>
      <c s="5"/>
      <c s="5"/>
      <c s="5"/>
      <c s="5"/>
      <c s="5"/>
      <c s="5"/>
    </row>
    <row r="479" spans="1:26" ht="15.75">
      <c r="A479" s="5"/>
      <c s="5"/>
      <c s="5"/>
      <c s="5"/>
      <c s="5"/>
      <c s="5"/>
      <c s="5"/>
      <c s="5"/>
      <c s="5"/>
      <c s="5"/>
      <c s="5"/>
      <c s="5"/>
      <c s="5"/>
      <c s="5"/>
      <c s="5"/>
      <c s="5"/>
      <c s="5"/>
      <c s="5"/>
      <c s="5"/>
      <c s="5"/>
      <c s="5"/>
      <c s="5"/>
      <c s="5"/>
      <c s="5"/>
      <c s="5"/>
      <c s="5"/>
    </row>
    <row r="480" spans="1:26" ht="15.75">
      <c r="A480" s="5"/>
      <c s="5"/>
      <c s="5"/>
      <c s="5"/>
      <c s="5"/>
      <c s="5"/>
      <c s="5"/>
      <c s="5"/>
      <c s="5"/>
      <c s="5"/>
      <c s="5"/>
      <c s="5"/>
      <c s="5"/>
      <c s="5"/>
      <c s="5"/>
      <c s="5"/>
      <c s="5"/>
      <c s="5"/>
      <c s="5"/>
      <c s="5"/>
      <c s="5"/>
      <c s="5"/>
      <c s="5"/>
      <c s="5"/>
      <c s="5"/>
      <c s="5"/>
    </row>
    <row r="481" spans="1:26" ht="15.75">
      <c r="A481" s="5"/>
      <c s="5"/>
      <c s="5"/>
      <c s="5"/>
      <c s="5"/>
      <c s="5"/>
      <c s="5"/>
      <c s="5"/>
      <c s="5"/>
      <c s="5"/>
      <c s="5"/>
      <c s="5"/>
      <c s="5"/>
      <c s="5"/>
      <c s="5"/>
      <c s="5"/>
      <c s="5"/>
      <c s="5"/>
      <c s="5"/>
      <c s="5"/>
      <c s="5"/>
      <c s="5"/>
      <c s="5"/>
      <c s="5"/>
      <c s="5"/>
      <c s="5"/>
    </row>
    <row r="482" spans="1:26" ht="15.75">
      <c r="A482" s="5"/>
      <c s="5"/>
      <c s="5"/>
      <c s="5"/>
      <c s="5"/>
      <c s="5"/>
      <c s="5"/>
      <c s="5"/>
      <c s="5"/>
      <c s="5"/>
      <c s="5"/>
      <c s="5"/>
      <c s="5"/>
      <c s="5"/>
      <c s="5"/>
      <c s="5"/>
      <c s="5"/>
      <c s="5"/>
      <c s="5"/>
      <c s="5"/>
      <c s="5"/>
      <c s="5"/>
      <c s="5"/>
      <c s="5"/>
      <c s="5"/>
      <c s="5"/>
    </row>
    <row r="483" spans="1:26" ht="15.75">
      <c r="A483" s="5"/>
      <c s="5"/>
      <c s="5"/>
      <c s="5"/>
      <c s="5"/>
      <c s="5"/>
      <c s="5"/>
      <c s="5"/>
      <c s="5"/>
      <c s="5"/>
      <c s="5"/>
      <c s="5"/>
      <c s="5"/>
      <c s="5"/>
      <c s="5"/>
      <c s="5"/>
      <c s="5"/>
      <c s="5"/>
      <c s="5"/>
      <c s="5"/>
      <c s="5"/>
      <c s="5"/>
      <c s="5"/>
      <c s="5"/>
      <c s="5"/>
      <c s="5"/>
    </row>
    <row r="484" spans="1:26" ht="15.75">
      <c r="A484" s="5"/>
      <c s="5"/>
      <c s="5"/>
      <c s="5"/>
      <c s="5"/>
      <c s="5"/>
      <c s="5"/>
      <c s="5"/>
      <c s="5"/>
      <c s="5"/>
      <c s="5"/>
      <c s="5"/>
      <c s="5"/>
      <c s="5"/>
      <c s="5"/>
      <c s="5"/>
      <c s="5"/>
      <c s="5"/>
      <c s="5"/>
      <c s="5"/>
      <c s="5"/>
      <c s="5"/>
      <c s="5"/>
      <c s="5"/>
      <c s="5"/>
      <c s="5"/>
    </row>
    <row r="485" spans="1:26" ht="15.75">
      <c r="A485" s="5"/>
      <c s="5"/>
      <c s="5"/>
      <c s="5"/>
      <c s="5"/>
      <c s="5"/>
      <c s="5"/>
      <c s="5"/>
      <c s="5"/>
      <c s="5"/>
      <c s="5"/>
      <c s="5"/>
      <c s="5"/>
      <c s="5"/>
      <c s="5"/>
      <c s="5"/>
      <c s="5"/>
      <c s="5"/>
      <c s="5"/>
      <c s="5"/>
      <c s="5"/>
      <c s="5"/>
      <c s="5"/>
      <c s="5"/>
      <c s="5"/>
      <c s="5"/>
    </row>
    <row r="486" spans="1:26" ht="15.75">
      <c r="A486" s="5"/>
      <c s="5"/>
      <c s="5"/>
      <c s="5"/>
      <c s="5"/>
      <c s="5"/>
      <c s="5"/>
      <c s="5"/>
      <c s="5"/>
      <c s="5"/>
      <c s="5"/>
      <c s="5"/>
      <c s="5"/>
      <c s="5"/>
      <c s="5"/>
      <c s="5"/>
      <c s="5"/>
      <c s="5"/>
      <c s="5"/>
      <c s="5"/>
      <c s="5"/>
      <c s="5"/>
      <c s="5"/>
      <c s="5"/>
      <c s="5"/>
      <c s="5"/>
    </row>
    <row r="487" spans="1:26" ht="15.75">
      <c r="A487" s="5"/>
      <c s="5"/>
      <c s="5"/>
      <c s="5"/>
      <c s="5"/>
      <c s="5"/>
      <c s="5"/>
      <c s="5"/>
      <c s="5"/>
      <c s="5"/>
      <c s="5"/>
      <c s="5"/>
      <c s="5"/>
      <c s="5"/>
      <c s="5"/>
      <c s="5"/>
      <c s="5"/>
      <c s="5"/>
      <c s="5"/>
      <c s="5"/>
      <c s="5"/>
      <c s="5"/>
      <c s="5"/>
      <c s="5"/>
      <c s="5"/>
      <c s="5"/>
    </row>
    <row r="488" spans="1:26" ht="15.75">
      <c r="A488" s="5"/>
      <c s="5"/>
      <c s="5"/>
      <c s="5"/>
      <c s="5"/>
      <c s="5"/>
      <c s="5"/>
      <c s="5"/>
      <c s="5"/>
      <c s="5"/>
      <c s="5"/>
      <c s="5"/>
      <c s="5"/>
      <c s="5"/>
      <c s="5"/>
      <c s="5"/>
      <c s="5"/>
      <c s="5"/>
      <c s="5"/>
      <c s="5"/>
      <c s="5"/>
      <c s="5"/>
      <c s="5"/>
      <c s="5"/>
      <c s="5"/>
      <c s="5"/>
    </row>
    <row r="489" spans="1:26" ht="15.75">
      <c r="A489" s="5"/>
      <c s="5"/>
      <c s="5"/>
      <c s="5"/>
      <c s="5"/>
      <c s="5"/>
      <c s="5"/>
      <c s="5"/>
      <c s="5"/>
      <c s="5"/>
      <c s="5"/>
      <c s="5"/>
      <c s="5"/>
      <c s="5"/>
      <c s="5"/>
      <c s="5"/>
      <c s="5"/>
      <c s="5"/>
      <c s="5"/>
      <c s="5"/>
      <c s="5"/>
      <c s="5"/>
      <c s="5"/>
      <c s="5"/>
      <c s="5"/>
      <c s="5"/>
    </row>
    <row r="490" spans="1:26" ht="15.75">
      <c r="A490" s="5"/>
      <c s="5"/>
      <c s="5"/>
      <c s="5"/>
      <c s="5"/>
      <c s="5"/>
      <c s="5"/>
      <c s="5"/>
      <c s="5"/>
      <c s="5"/>
      <c s="5"/>
      <c s="5"/>
      <c s="5"/>
      <c s="5"/>
      <c s="5"/>
      <c s="5"/>
      <c s="5"/>
      <c s="5"/>
      <c s="5"/>
      <c s="5"/>
      <c s="5"/>
      <c s="5"/>
      <c s="5"/>
      <c s="5"/>
      <c s="5"/>
      <c s="5"/>
    </row>
    <row r="491" spans="1:26" ht="15.75">
      <c r="A491" s="5"/>
      <c s="5"/>
      <c s="5"/>
      <c s="5"/>
      <c s="5"/>
      <c s="5"/>
      <c s="5"/>
      <c s="5"/>
      <c s="5"/>
      <c s="5"/>
      <c s="5"/>
      <c s="5"/>
      <c s="5"/>
      <c s="5"/>
      <c s="5"/>
      <c s="5"/>
      <c s="5"/>
      <c s="5"/>
      <c s="5"/>
      <c s="5"/>
      <c s="5"/>
      <c s="5"/>
      <c s="5"/>
      <c s="5"/>
      <c s="5"/>
      <c s="5"/>
    </row>
    <row r="492" spans="1:26" ht="15.75">
      <c r="A492" s="5"/>
      <c s="5"/>
      <c s="5"/>
      <c s="5"/>
      <c s="5"/>
      <c s="5"/>
      <c s="5"/>
      <c s="5"/>
      <c s="5"/>
      <c s="5"/>
      <c s="5"/>
      <c s="5"/>
      <c s="5"/>
      <c s="5"/>
      <c s="5"/>
      <c s="5"/>
      <c s="5"/>
      <c s="5"/>
      <c s="5"/>
      <c s="5"/>
      <c s="5"/>
      <c s="5"/>
      <c s="5"/>
      <c s="5"/>
      <c s="5"/>
      <c s="5"/>
    </row>
    <row r="493" spans="1:26" ht="15.75">
      <c r="A493" s="5"/>
      <c s="5"/>
      <c s="5"/>
      <c s="5"/>
      <c s="5"/>
      <c s="5"/>
      <c s="5"/>
      <c s="5"/>
      <c s="5"/>
      <c s="5"/>
      <c s="5"/>
      <c s="5"/>
      <c s="5"/>
      <c s="5"/>
      <c s="5"/>
      <c s="5"/>
      <c s="5"/>
      <c s="5"/>
      <c s="5"/>
      <c s="5"/>
      <c s="5"/>
      <c s="5"/>
      <c s="5"/>
      <c s="5"/>
      <c s="5"/>
      <c s="5"/>
    </row>
    <row r="494" spans="1:26" ht="15.75">
      <c r="A494" s="5"/>
      <c s="5"/>
      <c s="5"/>
      <c s="5"/>
      <c s="5"/>
      <c s="5"/>
      <c s="5"/>
      <c s="5"/>
      <c s="5"/>
      <c s="5"/>
      <c s="5"/>
      <c s="5"/>
      <c s="5"/>
      <c s="5"/>
      <c s="5"/>
      <c s="5"/>
      <c s="5"/>
      <c s="5"/>
      <c s="5"/>
      <c s="5"/>
      <c s="5"/>
      <c s="5"/>
      <c s="5"/>
      <c s="5"/>
      <c s="5"/>
      <c s="5"/>
    </row>
    <row r="495" spans="1:26" ht="15.75">
      <c r="A495" s="5"/>
      <c s="5"/>
      <c s="5"/>
      <c s="5"/>
      <c s="5"/>
      <c s="5"/>
      <c s="5"/>
      <c s="5"/>
      <c s="5"/>
      <c s="5"/>
      <c s="5"/>
      <c s="5"/>
      <c s="5"/>
      <c s="5"/>
      <c s="5"/>
      <c s="5"/>
      <c s="5"/>
      <c s="5"/>
      <c s="5"/>
      <c s="5"/>
      <c s="5"/>
      <c s="5"/>
      <c s="5"/>
      <c s="5"/>
      <c s="5"/>
      <c s="5"/>
    </row>
    <row r="496" spans="1:26" ht="15.75">
      <c r="A496" s="5"/>
      <c s="5"/>
      <c s="5"/>
      <c s="5"/>
      <c s="5"/>
      <c s="5"/>
      <c s="5"/>
      <c s="5"/>
      <c s="5"/>
      <c s="5"/>
      <c s="5"/>
      <c s="5"/>
      <c s="5"/>
      <c s="5"/>
      <c s="5"/>
      <c s="5"/>
      <c s="5"/>
      <c s="5"/>
      <c s="5"/>
      <c s="5"/>
      <c s="5"/>
      <c s="5"/>
      <c s="5"/>
      <c s="5"/>
      <c s="5"/>
      <c s="5"/>
    </row>
    <row r="497" spans="1:26" ht="15.75">
      <c r="A497" s="5"/>
      <c s="5"/>
      <c s="5"/>
      <c s="5"/>
      <c s="5"/>
      <c s="5"/>
      <c s="5"/>
      <c s="5"/>
      <c s="5"/>
      <c s="5"/>
      <c s="5"/>
      <c s="5"/>
      <c s="5"/>
      <c s="5"/>
      <c s="5"/>
      <c s="5"/>
      <c s="5"/>
      <c s="5"/>
      <c s="5"/>
      <c s="5"/>
      <c s="5"/>
      <c s="5"/>
      <c s="5"/>
      <c s="5"/>
      <c s="5"/>
      <c s="5"/>
    </row>
    <row r="498" spans="1:26" ht="15.75">
      <c r="A498" s="5"/>
      <c s="5"/>
      <c s="5"/>
      <c s="5"/>
      <c s="5"/>
      <c s="5"/>
      <c s="5"/>
      <c s="5"/>
      <c s="5"/>
      <c s="5"/>
      <c s="5"/>
      <c s="5"/>
      <c s="5"/>
      <c s="5"/>
      <c s="5"/>
      <c s="5"/>
      <c s="5"/>
      <c s="5"/>
      <c s="5"/>
      <c s="5"/>
      <c s="5"/>
      <c s="5"/>
      <c s="5"/>
      <c s="5"/>
      <c s="5"/>
      <c s="5"/>
    </row>
    <row r="499" spans="1:26" ht="15.75">
      <c r="A499" s="5"/>
      <c s="5"/>
      <c s="5"/>
      <c s="5"/>
      <c s="5"/>
      <c s="5"/>
      <c s="5"/>
      <c s="5"/>
      <c s="5"/>
      <c s="5"/>
      <c s="5"/>
      <c s="5"/>
      <c s="5"/>
      <c s="5"/>
      <c s="5"/>
      <c s="5"/>
      <c s="5"/>
      <c s="5"/>
      <c s="5"/>
      <c s="5"/>
      <c s="5"/>
      <c s="5"/>
      <c s="5"/>
      <c s="5"/>
      <c s="5"/>
      <c s="5"/>
    </row>
    <row r="500" spans="1:26" ht="15.75">
      <c r="A500" s="5"/>
      <c s="5"/>
      <c s="5"/>
      <c s="5"/>
      <c s="5"/>
      <c s="5"/>
      <c s="5"/>
      <c s="5"/>
      <c s="5"/>
      <c s="5"/>
      <c s="5"/>
      <c s="5"/>
      <c s="5"/>
      <c s="5"/>
      <c s="5"/>
      <c s="5"/>
      <c s="5"/>
      <c s="5"/>
      <c s="5"/>
      <c s="5"/>
      <c s="5"/>
      <c s="5"/>
      <c s="5"/>
      <c s="5"/>
      <c s="5"/>
      <c s="5"/>
    </row>
    <row r="501" spans="1:26" ht="15.75">
      <c r="A501" s="5"/>
      <c s="5"/>
      <c s="5"/>
      <c s="5"/>
      <c s="5"/>
      <c s="5"/>
      <c s="5"/>
      <c s="5"/>
      <c s="5"/>
      <c s="5"/>
      <c s="5"/>
      <c s="5"/>
      <c s="5"/>
      <c s="5"/>
      <c s="5"/>
      <c s="5"/>
      <c s="5"/>
      <c s="5"/>
      <c s="5"/>
      <c s="5"/>
      <c s="5"/>
      <c s="5"/>
      <c s="5"/>
      <c s="5"/>
      <c s="5"/>
      <c s="5"/>
    </row>
    <row r="502" spans="1:26" ht="15.75">
      <c r="A502" s="5"/>
      <c s="5"/>
      <c s="5"/>
      <c s="5"/>
      <c s="5"/>
      <c s="5"/>
      <c s="5"/>
      <c s="5"/>
      <c s="5"/>
      <c s="5"/>
      <c s="5"/>
      <c s="5"/>
      <c s="5"/>
      <c s="5"/>
      <c s="5"/>
      <c s="5"/>
      <c s="5"/>
      <c s="5"/>
      <c s="5"/>
      <c s="5"/>
      <c s="5"/>
      <c s="5"/>
      <c s="5"/>
      <c s="5"/>
      <c s="5"/>
      <c s="5"/>
    </row>
    <row r="503" spans="1:26" ht="15.75">
      <c r="A503" s="5"/>
      <c s="5"/>
      <c s="5"/>
      <c s="5"/>
      <c s="5"/>
      <c s="5"/>
      <c s="5"/>
      <c s="5"/>
      <c s="5"/>
      <c s="5"/>
      <c s="5"/>
      <c s="5"/>
      <c s="5"/>
      <c s="5"/>
      <c s="5"/>
      <c s="5"/>
      <c s="5"/>
      <c s="5"/>
      <c s="5"/>
      <c s="5"/>
      <c s="5"/>
      <c s="5"/>
      <c s="5"/>
      <c s="5"/>
      <c s="5"/>
      <c s="5"/>
    </row>
    <row r="504" spans="1:26" ht="15.75">
      <c r="A504" s="5"/>
      <c s="5"/>
      <c s="5"/>
      <c s="5"/>
      <c s="5"/>
      <c s="5"/>
      <c s="5"/>
      <c s="5"/>
      <c s="5"/>
      <c s="5"/>
      <c s="5"/>
      <c s="5"/>
      <c s="5"/>
      <c s="5"/>
      <c s="5"/>
      <c s="5"/>
      <c s="5"/>
      <c s="5"/>
      <c s="5"/>
      <c s="5"/>
      <c s="5"/>
      <c s="5"/>
      <c s="5"/>
      <c s="5"/>
      <c s="5"/>
      <c s="5"/>
    </row>
    <row r="505" spans="1:26" ht="15.75">
      <c r="A505" s="5"/>
      <c s="5"/>
      <c s="5"/>
      <c s="5"/>
      <c s="5"/>
      <c s="5"/>
      <c s="5"/>
      <c s="5"/>
      <c s="5"/>
      <c s="5"/>
      <c s="5"/>
      <c s="5"/>
      <c s="5"/>
      <c s="5"/>
      <c s="5"/>
      <c s="5"/>
      <c s="5"/>
      <c s="5"/>
      <c s="5"/>
      <c s="5"/>
      <c s="5"/>
      <c s="5"/>
      <c s="5"/>
      <c s="5"/>
      <c s="5"/>
      <c s="5"/>
    </row>
    <row r="506" spans="1:26" ht="15.75">
      <c r="A506" s="5"/>
      <c s="5"/>
      <c s="5"/>
      <c s="5"/>
      <c s="5"/>
      <c s="5"/>
      <c s="5"/>
      <c s="5"/>
      <c s="5"/>
      <c s="5"/>
      <c s="5"/>
      <c s="5"/>
      <c s="5"/>
      <c s="5"/>
      <c s="5"/>
      <c s="5"/>
      <c s="5"/>
      <c s="5"/>
      <c s="5"/>
      <c s="5"/>
      <c s="5"/>
      <c s="5"/>
      <c s="5"/>
      <c s="5"/>
      <c s="5"/>
      <c s="5"/>
    </row>
    <row r="507" spans="1:26" ht="15.75">
      <c r="A507" s="5"/>
      <c s="5"/>
      <c s="5"/>
      <c s="5"/>
      <c s="5"/>
      <c s="5"/>
      <c s="5"/>
      <c s="5"/>
      <c s="5"/>
      <c s="5"/>
      <c s="5"/>
      <c s="5"/>
      <c s="5"/>
      <c s="5"/>
      <c s="5"/>
      <c s="5"/>
      <c s="5"/>
      <c s="5"/>
      <c s="5"/>
      <c s="5"/>
      <c s="5"/>
      <c s="5"/>
      <c s="5"/>
      <c s="5"/>
      <c s="5"/>
      <c s="5"/>
    </row>
    <row r="508" spans="1:26" ht="15.75">
      <c r="A508" s="5"/>
      <c s="5"/>
      <c s="5"/>
      <c s="5"/>
      <c s="5"/>
      <c s="5"/>
      <c s="5"/>
      <c s="5"/>
      <c s="5"/>
      <c s="5"/>
      <c s="5"/>
      <c s="5"/>
      <c s="5"/>
      <c s="5"/>
      <c s="5"/>
      <c s="5"/>
      <c s="5"/>
      <c s="5"/>
      <c s="5"/>
      <c s="5"/>
      <c s="5"/>
      <c s="5"/>
      <c s="5"/>
      <c s="5"/>
      <c s="5"/>
      <c s="5"/>
    </row>
    <row r="509" spans="1:26" ht="15.75">
      <c r="A509" s="5"/>
      <c s="5"/>
      <c s="5"/>
      <c s="5"/>
      <c s="5"/>
      <c s="5"/>
      <c s="5"/>
      <c s="5"/>
      <c s="5"/>
      <c s="5"/>
      <c s="5"/>
      <c s="5"/>
      <c s="5"/>
      <c s="5"/>
      <c s="5"/>
      <c s="5"/>
      <c s="5"/>
      <c s="5"/>
      <c s="5"/>
      <c s="5"/>
      <c s="5"/>
      <c s="5"/>
      <c s="5"/>
      <c s="5"/>
      <c s="5"/>
      <c s="5"/>
    </row>
    <row r="510" spans="1:26" ht="15.75">
      <c r="A510" s="5"/>
      <c s="5"/>
      <c s="5"/>
      <c s="5"/>
      <c s="5"/>
      <c s="5"/>
      <c s="5"/>
      <c s="5"/>
      <c s="5"/>
      <c s="5"/>
      <c s="5"/>
      <c s="5"/>
      <c s="5"/>
      <c s="5"/>
      <c s="5"/>
      <c s="5"/>
      <c s="5"/>
      <c s="5"/>
      <c s="5"/>
      <c s="5"/>
      <c s="5"/>
      <c s="5"/>
      <c s="5"/>
      <c s="5"/>
      <c s="5"/>
      <c s="5"/>
    </row>
    <row r="511" spans="1:26" ht="15.75">
      <c r="A511" s="5"/>
      <c s="5"/>
      <c s="5"/>
      <c s="5"/>
      <c s="5"/>
      <c s="5"/>
      <c s="5"/>
      <c s="5"/>
      <c s="5"/>
      <c s="5"/>
      <c s="5"/>
      <c s="5"/>
      <c s="5"/>
      <c s="5"/>
      <c s="5"/>
      <c s="5"/>
      <c s="5"/>
      <c s="5"/>
      <c s="5"/>
      <c s="5"/>
      <c s="5"/>
      <c s="5"/>
      <c s="5"/>
      <c s="5"/>
      <c s="5"/>
      <c s="5"/>
    </row>
    <row r="512" spans="1:26" ht="15.75">
      <c r="A512" s="5"/>
      <c s="5"/>
      <c s="5"/>
      <c s="5"/>
      <c s="5"/>
      <c s="5"/>
      <c s="5"/>
      <c s="5"/>
      <c s="5"/>
      <c s="5"/>
      <c s="5"/>
      <c s="5"/>
      <c s="5"/>
      <c s="5"/>
      <c s="5"/>
      <c s="5"/>
      <c s="5"/>
      <c s="5"/>
      <c s="5"/>
      <c s="5"/>
      <c s="5"/>
      <c s="5"/>
      <c s="5"/>
      <c s="5"/>
      <c s="5"/>
      <c s="5"/>
    </row>
    <row r="513" spans="1:26" ht="15.75">
      <c r="A513" s="5"/>
      <c s="5"/>
      <c s="5"/>
      <c s="5"/>
      <c s="5"/>
      <c s="5"/>
      <c s="5"/>
      <c s="5"/>
      <c s="5"/>
      <c s="5"/>
      <c s="5"/>
      <c s="5"/>
      <c s="5"/>
      <c s="5"/>
      <c s="5"/>
      <c s="5"/>
      <c s="5"/>
      <c s="5"/>
      <c s="5"/>
      <c s="5"/>
      <c s="5"/>
      <c s="5"/>
      <c s="5"/>
      <c s="5"/>
      <c s="5"/>
      <c s="5"/>
    </row>
    <row r="514" spans="1:26" ht="15.75">
      <c r="A514" s="5"/>
      <c s="5"/>
      <c s="5"/>
      <c s="5"/>
      <c s="5"/>
      <c s="5"/>
      <c s="5"/>
      <c s="5"/>
      <c s="5"/>
      <c s="5"/>
      <c s="5"/>
      <c s="5"/>
      <c s="5"/>
      <c s="5"/>
      <c s="5"/>
      <c s="5"/>
      <c s="5"/>
      <c s="5"/>
      <c s="5"/>
      <c s="5"/>
      <c s="5"/>
      <c s="5"/>
      <c s="5"/>
      <c s="5"/>
      <c s="5"/>
      <c s="5"/>
    </row>
    <row r="515" spans="1:26" ht="15.75">
      <c r="A515" s="5"/>
      <c s="5"/>
      <c s="5"/>
      <c s="5"/>
      <c s="5"/>
      <c s="5"/>
      <c s="5"/>
      <c s="5"/>
      <c s="5"/>
      <c s="5"/>
      <c s="5"/>
      <c s="5"/>
      <c s="5"/>
      <c s="5"/>
      <c s="5"/>
      <c s="5"/>
      <c s="5"/>
      <c s="5"/>
      <c s="5"/>
      <c s="5"/>
      <c s="5"/>
      <c s="5"/>
      <c s="5"/>
      <c s="5"/>
      <c s="5"/>
      <c s="5"/>
    </row>
    <row r="516" spans="1:26" ht="15.75">
      <c r="A516" s="5"/>
      <c s="5"/>
      <c s="5"/>
      <c s="5"/>
      <c s="5"/>
      <c s="5"/>
      <c s="5"/>
      <c s="5"/>
      <c s="5"/>
      <c s="5"/>
      <c s="5"/>
      <c s="5"/>
      <c s="5"/>
      <c s="5"/>
      <c s="5"/>
      <c s="5"/>
      <c s="5"/>
      <c s="5"/>
      <c s="5"/>
      <c s="5"/>
      <c s="5"/>
      <c s="5"/>
      <c s="5"/>
      <c s="5"/>
      <c s="5"/>
      <c s="5"/>
    </row>
    <row r="517" spans="1:26" ht="15.75">
      <c r="A517" s="5"/>
      <c s="5"/>
      <c s="5"/>
      <c s="5"/>
      <c s="5"/>
      <c s="5"/>
      <c s="5"/>
      <c s="5"/>
      <c s="5"/>
      <c s="5"/>
      <c s="5"/>
      <c s="5"/>
      <c s="5"/>
      <c s="5"/>
      <c s="5"/>
      <c s="5"/>
      <c s="5"/>
      <c s="5"/>
      <c s="5"/>
      <c s="5"/>
      <c s="5"/>
      <c s="5"/>
      <c s="5"/>
      <c s="5"/>
      <c s="5"/>
      <c s="5"/>
    </row>
    <row r="518" spans="1:26" ht="15.75">
      <c r="A518" s="5"/>
      <c s="5"/>
      <c s="5"/>
      <c s="5"/>
      <c s="5"/>
      <c s="5"/>
      <c s="5"/>
      <c s="5"/>
      <c s="5"/>
      <c s="5"/>
      <c s="5"/>
      <c s="5"/>
      <c s="5"/>
      <c s="5"/>
      <c s="5"/>
      <c s="5"/>
      <c s="5"/>
      <c s="5"/>
      <c s="5"/>
      <c s="5"/>
      <c s="5"/>
      <c s="5"/>
      <c s="5"/>
      <c s="5"/>
      <c s="5"/>
      <c s="5"/>
    </row>
    <row r="519" spans="1:26" ht="15.75">
      <c r="A519" s="5"/>
      <c s="5"/>
      <c s="5"/>
      <c s="5"/>
      <c s="5"/>
      <c s="5"/>
      <c s="5"/>
      <c s="5"/>
      <c s="5"/>
      <c s="5"/>
      <c s="5"/>
      <c s="5"/>
      <c s="5"/>
      <c s="5"/>
      <c s="5"/>
      <c s="5"/>
      <c s="5"/>
      <c s="5"/>
      <c s="5"/>
      <c s="5"/>
      <c s="5"/>
      <c s="5"/>
      <c s="5"/>
      <c s="5"/>
      <c s="5"/>
      <c s="5"/>
    </row>
    <row r="520" spans="1:26" ht="15.75">
      <c r="A520" s="5"/>
      <c s="5"/>
      <c s="5"/>
      <c s="5"/>
      <c s="5"/>
      <c s="5"/>
      <c s="5"/>
      <c s="5"/>
      <c s="5"/>
      <c s="5"/>
      <c s="5"/>
      <c s="5"/>
      <c s="5"/>
      <c s="5"/>
      <c s="5"/>
      <c s="5"/>
      <c s="5"/>
      <c s="5"/>
      <c s="5"/>
      <c s="5"/>
      <c s="5"/>
      <c s="5"/>
      <c s="5"/>
      <c s="5"/>
      <c s="5"/>
      <c s="5"/>
    </row>
    <row r="521" spans="1:26" ht="15.75">
      <c r="A521" s="5"/>
      <c s="5"/>
      <c s="5"/>
      <c s="5"/>
      <c s="5"/>
      <c s="5"/>
      <c s="5"/>
      <c s="5"/>
      <c s="5"/>
      <c s="5"/>
      <c s="5"/>
      <c s="5"/>
      <c s="5"/>
      <c s="5"/>
      <c s="5"/>
      <c s="5"/>
      <c s="5"/>
      <c s="5"/>
      <c s="5"/>
      <c s="5"/>
      <c s="5"/>
      <c s="5"/>
      <c s="5"/>
      <c s="5"/>
      <c s="5"/>
      <c s="5"/>
    </row>
    <row r="522" spans="1:26" ht="15.75">
      <c r="A522" s="5"/>
      <c s="5"/>
      <c s="5"/>
      <c s="5"/>
      <c s="5"/>
      <c s="5"/>
      <c s="5"/>
      <c s="5"/>
      <c s="5"/>
      <c s="5"/>
      <c s="5"/>
      <c s="5"/>
      <c s="5"/>
      <c s="5"/>
      <c s="5"/>
      <c s="5"/>
      <c s="5"/>
      <c s="5"/>
      <c s="5"/>
      <c s="5"/>
      <c s="5"/>
      <c s="5"/>
      <c s="5"/>
      <c s="5"/>
      <c s="5"/>
      <c s="5"/>
    </row>
    <row r="523" spans="1:26" ht="15.75">
      <c r="A523" s="5"/>
      <c s="5"/>
      <c s="5"/>
      <c s="5"/>
      <c s="5"/>
      <c s="5"/>
      <c s="5"/>
      <c s="5"/>
      <c s="5"/>
      <c s="5"/>
      <c s="5"/>
      <c s="5"/>
      <c s="5"/>
      <c s="5"/>
      <c s="5"/>
      <c s="5"/>
      <c s="5"/>
      <c s="5"/>
      <c s="5"/>
      <c s="5"/>
      <c s="5"/>
      <c s="5"/>
      <c s="5"/>
      <c s="5"/>
      <c s="5"/>
      <c s="5"/>
    </row>
    <row r="524" spans="1:26" ht="15.75">
      <c r="A524" s="5"/>
      <c s="5"/>
      <c s="5"/>
      <c s="5"/>
      <c s="5"/>
      <c s="5"/>
      <c s="5"/>
      <c s="5"/>
      <c s="5"/>
      <c s="5"/>
      <c s="5"/>
      <c s="5"/>
      <c s="5"/>
      <c s="5"/>
      <c s="5"/>
      <c s="5"/>
      <c s="5"/>
      <c s="5"/>
      <c s="5"/>
      <c s="5"/>
      <c s="5"/>
      <c s="5"/>
      <c s="5"/>
      <c s="5"/>
      <c s="5"/>
      <c s="5"/>
    </row>
    <row r="525" spans="1:26" ht="15.75">
      <c r="A525" s="5"/>
      <c s="5"/>
      <c s="5"/>
      <c s="5"/>
      <c s="5"/>
      <c s="5"/>
      <c s="5"/>
      <c s="5"/>
      <c s="5"/>
      <c s="5"/>
      <c s="5"/>
      <c s="5"/>
      <c s="5"/>
      <c s="5"/>
      <c s="5"/>
      <c s="5"/>
      <c s="5"/>
      <c s="5"/>
      <c s="5"/>
      <c s="5"/>
      <c s="5"/>
      <c s="5"/>
      <c s="5"/>
      <c s="5"/>
      <c s="5"/>
      <c s="5"/>
    </row>
    <row r="526" spans="1:26" ht="15.75">
      <c r="A526" s="5"/>
      <c s="5"/>
      <c s="5"/>
      <c s="5"/>
      <c s="5"/>
      <c s="5"/>
      <c s="5"/>
      <c s="5"/>
      <c s="5"/>
      <c s="5"/>
      <c s="5"/>
      <c s="5"/>
      <c s="5"/>
      <c s="5"/>
      <c s="5"/>
      <c s="5"/>
      <c s="5"/>
      <c s="5"/>
      <c s="5"/>
      <c s="5"/>
      <c s="5"/>
      <c s="5"/>
      <c s="5"/>
      <c s="5"/>
      <c s="5"/>
      <c s="5"/>
    </row>
    <row r="527" spans="1:26" ht="15.75">
      <c r="A527" s="5"/>
      <c s="5"/>
      <c s="5"/>
      <c s="5"/>
      <c s="5"/>
      <c s="5"/>
      <c s="5"/>
      <c s="5"/>
      <c s="5"/>
      <c s="5"/>
      <c s="5"/>
      <c s="5"/>
      <c s="5"/>
      <c s="5"/>
      <c s="5"/>
      <c s="5"/>
      <c s="5"/>
      <c s="5"/>
      <c s="5"/>
      <c s="5"/>
      <c s="5"/>
      <c s="5"/>
      <c s="5"/>
      <c s="5"/>
      <c s="5"/>
      <c s="5"/>
    </row>
    <row r="528" spans="1:26" ht="15.75">
      <c r="A528" s="5"/>
      <c s="5"/>
      <c s="5"/>
      <c s="5"/>
      <c s="5"/>
      <c s="5"/>
      <c s="5"/>
      <c s="5"/>
      <c s="5"/>
      <c s="5"/>
      <c s="5"/>
      <c s="5"/>
      <c s="5"/>
      <c s="5"/>
      <c s="5"/>
      <c s="5"/>
      <c s="5"/>
      <c s="5"/>
      <c s="5"/>
      <c s="5"/>
      <c s="5"/>
      <c s="5"/>
      <c s="5"/>
      <c s="5"/>
      <c s="5"/>
      <c s="5"/>
    </row>
    <row r="529" spans="1:26" ht="15.75">
      <c r="A529" s="5"/>
      <c s="5"/>
      <c s="5"/>
      <c s="5"/>
      <c s="5"/>
      <c s="5"/>
      <c s="5"/>
      <c s="5"/>
      <c s="5"/>
      <c s="5"/>
      <c s="5"/>
      <c s="5"/>
      <c s="5"/>
      <c s="5"/>
      <c s="5"/>
      <c s="5"/>
      <c s="5"/>
      <c s="5"/>
      <c s="5"/>
      <c s="5"/>
      <c s="5"/>
      <c s="5"/>
      <c s="5"/>
      <c s="5"/>
      <c s="5"/>
      <c s="5"/>
    </row>
    <row r="530" spans="1:26" ht="15.75">
      <c r="A530" s="5"/>
      <c s="5"/>
      <c s="5"/>
      <c s="5"/>
      <c s="5"/>
      <c s="5"/>
      <c s="5"/>
      <c s="5"/>
      <c s="5"/>
      <c s="5"/>
      <c s="5"/>
      <c s="5"/>
      <c s="5"/>
      <c s="5"/>
      <c s="5"/>
      <c s="5"/>
      <c s="5"/>
      <c s="5"/>
      <c s="5"/>
      <c s="5"/>
      <c s="5"/>
      <c s="5"/>
      <c s="5"/>
      <c s="5"/>
      <c s="5"/>
      <c s="5"/>
    </row>
    <row r="531" spans="1:26" ht="15.75">
      <c r="A531" s="5"/>
      <c s="5"/>
      <c s="5"/>
      <c s="5"/>
      <c s="5"/>
      <c s="5"/>
      <c s="5"/>
      <c s="5"/>
      <c s="5"/>
      <c s="5"/>
      <c s="5"/>
      <c s="5"/>
      <c s="5"/>
      <c s="5"/>
      <c s="5"/>
      <c s="5"/>
      <c s="5"/>
      <c s="5"/>
      <c s="5"/>
      <c s="5"/>
      <c s="5"/>
      <c s="5"/>
      <c s="5"/>
      <c s="5"/>
      <c s="5"/>
      <c s="5"/>
    </row>
    <row r="532" spans="1:26" ht="15.75">
      <c r="A532" s="5"/>
      <c s="5"/>
      <c s="5"/>
      <c s="5"/>
      <c s="5"/>
      <c s="5"/>
      <c s="5"/>
      <c s="5"/>
      <c s="5"/>
      <c s="5"/>
      <c s="5"/>
      <c s="5"/>
      <c s="5"/>
      <c s="5"/>
      <c s="5"/>
      <c s="5"/>
      <c s="5"/>
      <c s="5"/>
      <c s="5"/>
      <c s="5"/>
      <c s="5"/>
      <c s="5"/>
      <c s="5"/>
      <c s="5"/>
      <c s="5"/>
      <c s="5"/>
    </row>
    <row r="533" spans="1:26" ht="15.75">
      <c r="A533" s="5"/>
      <c s="5"/>
      <c s="5"/>
      <c s="5"/>
      <c s="5"/>
      <c s="5"/>
      <c s="5"/>
      <c s="5"/>
      <c s="5"/>
      <c s="5"/>
      <c s="5"/>
      <c s="5"/>
      <c s="5"/>
      <c s="5"/>
      <c s="5"/>
      <c s="5"/>
      <c s="5"/>
      <c s="5"/>
      <c s="5"/>
      <c s="5"/>
      <c s="5"/>
      <c s="5"/>
      <c s="5"/>
      <c s="5"/>
      <c s="5"/>
      <c s="5"/>
    </row>
    <row r="534" spans="1:26" ht="15.75">
      <c r="A534" s="5"/>
      <c s="5"/>
      <c s="5"/>
      <c s="5"/>
      <c s="5"/>
      <c s="5"/>
      <c s="5"/>
      <c s="5"/>
      <c s="5"/>
      <c s="5"/>
      <c s="5"/>
      <c s="5"/>
      <c s="5"/>
      <c s="5"/>
      <c s="5"/>
      <c s="5"/>
      <c s="5"/>
      <c s="5"/>
      <c s="5"/>
      <c s="5"/>
      <c s="5"/>
      <c s="5"/>
      <c s="5"/>
      <c s="5"/>
      <c s="5"/>
      <c s="5"/>
    </row>
    <row r="535" spans="1:26" ht="15.75">
      <c r="A535" s="5"/>
      <c s="5"/>
      <c s="5"/>
      <c s="5"/>
      <c s="5"/>
      <c s="5"/>
      <c s="5"/>
      <c s="5"/>
      <c s="5"/>
      <c s="5"/>
      <c s="5"/>
      <c s="5"/>
      <c s="5"/>
      <c s="5"/>
      <c s="5"/>
      <c s="5"/>
      <c s="5"/>
      <c s="5"/>
      <c s="5"/>
      <c s="5"/>
      <c s="5"/>
      <c s="5"/>
      <c s="5"/>
      <c s="5"/>
      <c s="5"/>
      <c s="5"/>
    </row>
    <row r="536" spans="1:26" ht="15.75">
      <c r="A536" s="5"/>
      <c s="5"/>
      <c s="5"/>
      <c s="5"/>
      <c s="5"/>
      <c s="5"/>
      <c s="5"/>
      <c s="5"/>
      <c s="5"/>
      <c s="5"/>
      <c s="5"/>
      <c s="5"/>
      <c s="5"/>
      <c s="5"/>
      <c s="5"/>
      <c s="5"/>
      <c s="5"/>
      <c s="5"/>
      <c s="5"/>
      <c s="5"/>
      <c s="5"/>
      <c s="5"/>
      <c s="5"/>
      <c s="5"/>
      <c s="5"/>
      <c s="5"/>
    </row>
    <row r="537" spans="1:26" ht="15.75">
      <c r="A537" s="5"/>
      <c s="5"/>
      <c s="5"/>
      <c s="5"/>
      <c s="5"/>
      <c s="5"/>
      <c s="5"/>
      <c s="5"/>
      <c s="5"/>
      <c s="5"/>
      <c s="5"/>
      <c s="5"/>
      <c s="5"/>
      <c s="5"/>
      <c s="5"/>
      <c s="5"/>
      <c s="5"/>
      <c s="5"/>
      <c s="5"/>
      <c s="5"/>
      <c s="5"/>
      <c s="5"/>
      <c s="5"/>
      <c s="5"/>
      <c s="5"/>
      <c s="5"/>
    </row>
    <row r="538" spans="1:26" ht="15.75">
      <c r="A538" s="5"/>
      <c s="5"/>
      <c s="5"/>
      <c s="5"/>
      <c s="5"/>
      <c s="5"/>
      <c s="5"/>
      <c s="5"/>
      <c s="5"/>
      <c s="5"/>
      <c s="5"/>
      <c s="5"/>
      <c s="5"/>
      <c s="5"/>
      <c s="5"/>
      <c s="5"/>
      <c s="5"/>
      <c s="5"/>
      <c s="5"/>
      <c s="5"/>
      <c s="5"/>
      <c s="5"/>
      <c s="5"/>
      <c s="5"/>
      <c s="5"/>
      <c s="5"/>
    </row>
    <row r="539" spans="1:26" ht="15.75">
      <c r="A539" s="5"/>
      <c s="5"/>
      <c s="5"/>
      <c s="5"/>
      <c s="5"/>
      <c s="5"/>
      <c s="5"/>
      <c s="5"/>
      <c s="5"/>
      <c s="5"/>
      <c s="5"/>
      <c s="5"/>
      <c s="5"/>
      <c s="5"/>
      <c s="5"/>
      <c s="5"/>
      <c s="5"/>
      <c s="5"/>
      <c s="5"/>
      <c s="5"/>
      <c s="5"/>
      <c s="5"/>
      <c s="5"/>
      <c s="5"/>
      <c s="5"/>
      <c s="5"/>
    </row>
    <row r="540" spans="1:26" ht="15.75">
      <c r="A540" s="5"/>
      <c s="5"/>
      <c s="5"/>
      <c s="5"/>
      <c s="5"/>
      <c s="5"/>
      <c s="5"/>
      <c s="5"/>
      <c s="5"/>
      <c s="5"/>
      <c s="5"/>
      <c s="5"/>
      <c s="5"/>
      <c s="5"/>
      <c s="5"/>
      <c s="5"/>
      <c s="5"/>
      <c s="5"/>
      <c s="5"/>
      <c s="5"/>
      <c s="5"/>
      <c s="5"/>
      <c s="5"/>
      <c s="5"/>
      <c s="5"/>
      <c s="5"/>
    </row>
    <row r="541" spans="1:26" ht="15.75">
      <c r="A541" s="5"/>
      <c s="5"/>
      <c s="5"/>
      <c s="5"/>
      <c s="5"/>
      <c s="5"/>
      <c s="5"/>
      <c s="5"/>
      <c s="5"/>
      <c s="5"/>
      <c s="5"/>
      <c s="5"/>
      <c s="5"/>
      <c s="5"/>
      <c s="5"/>
      <c s="5"/>
      <c s="5"/>
      <c s="5"/>
      <c s="5"/>
      <c s="5"/>
      <c s="5"/>
      <c s="5"/>
      <c s="5"/>
      <c s="5"/>
      <c s="5"/>
      <c s="5"/>
    </row>
    <row r="542" spans="1:26" ht="15.75">
      <c r="A542" s="5"/>
      <c s="5"/>
      <c s="5"/>
      <c s="5"/>
      <c s="5"/>
      <c s="5"/>
      <c s="5"/>
      <c s="5"/>
      <c s="5"/>
      <c s="5"/>
      <c s="5"/>
      <c s="5"/>
      <c s="5"/>
      <c s="5"/>
      <c s="5"/>
      <c s="5"/>
      <c s="5"/>
      <c s="5"/>
      <c s="5"/>
      <c s="5"/>
      <c s="5"/>
      <c s="5"/>
      <c s="5"/>
      <c s="5"/>
      <c s="5"/>
      <c s="5"/>
    </row>
    <row r="543" spans="1:26" ht="15.75">
      <c r="A543" s="5"/>
      <c s="5"/>
      <c s="5"/>
      <c s="5"/>
      <c s="5"/>
      <c s="5"/>
      <c s="5"/>
      <c s="5"/>
      <c s="5"/>
      <c s="5"/>
      <c s="5"/>
      <c s="5"/>
      <c s="5"/>
      <c s="5"/>
      <c s="5"/>
      <c s="5"/>
      <c s="5"/>
      <c s="5"/>
      <c s="5"/>
      <c s="5"/>
      <c s="5"/>
      <c s="5"/>
      <c s="5"/>
      <c s="5"/>
      <c s="5"/>
      <c s="5"/>
    </row>
    <row r="544" spans="1:26" ht="15.75">
      <c r="A544" s="5"/>
      <c s="5"/>
      <c s="5"/>
      <c s="5"/>
      <c s="5"/>
      <c s="5"/>
      <c s="5"/>
      <c s="5"/>
      <c s="5"/>
      <c s="5"/>
      <c s="5"/>
      <c s="5"/>
      <c s="5"/>
      <c s="5"/>
      <c s="5"/>
      <c s="5"/>
      <c s="5"/>
      <c s="5"/>
      <c s="5"/>
      <c s="5"/>
      <c s="5"/>
      <c s="5"/>
      <c s="5"/>
      <c s="5"/>
      <c s="5"/>
      <c s="5"/>
    </row>
    <row r="545" spans="1:26" ht="15.75">
      <c r="A545" s="5"/>
      <c s="5"/>
      <c s="5"/>
      <c s="5"/>
      <c s="5"/>
      <c s="5"/>
      <c s="5"/>
      <c s="5"/>
      <c s="5"/>
      <c s="5"/>
      <c s="5"/>
      <c s="5"/>
      <c s="5"/>
      <c s="5"/>
      <c s="5"/>
      <c s="5"/>
      <c s="5"/>
      <c s="5"/>
      <c s="5"/>
      <c s="5"/>
      <c s="5"/>
      <c s="5"/>
      <c s="5"/>
      <c s="5"/>
      <c s="5"/>
      <c s="5"/>
    </row>
    <row r="546" spans="1:26" ht="15.75">
      <c r="A546" s="5"/>
      <c s="5"/>
      <c s="5"/>
      <c s="5"/>
      <c s="5"/>
      <c s="5"/>
      <c s="5"/>
      <c s="5"/>
      <c s="5"/>
      <c s="5"/>
      <c s="5"/>
      <c s="5"/>
      <c s="5"/>
      <c s="5"/>
      <c s="5"/>
      <c s="5"/>
      <c s="5"/>
      <c s="5"/>
      <c s="5"/>
      <c s="5"/>
      <c s="5"/>
      <c s="5"/>
      <c s="5"/>
      <c s="5"/>
      <c s="5"/>
      <c s="5"/>
    </row>
    <row r="547" spans="1:26" ht="15.75">
      <c r="A547" s="5"/>
      <c s="5"/>
      <c s="5"/>
      <c s="5"/>
      <c s="5"/>
      <c s="5"/>
      <c s="5"/>
      <c s="5"/>
      <c s="5"/>
      <c s="5"/>
      <c s="5"/>
      <c s="5"/>
      <c s="5"/>
      <c s="5"/>
      <c s="5"/>
      <c s="5"/>
      <c s="5"/>
      <c s="5"/>
      <c s="5"/>
      <c s="5"/>
      <c s="5"/>
      <c s="5"/>
      <c s="5"/>
      <c s="5"/>
      <c s="5"/>
      <c s="5"/>
    </row>
    <row r="548" spans="1:26" ht="15.75">
      <c r="A548" s="5"/>
      <c s="5"/>
      <c s="5"/>
      <c s="5"/>
      <c s="5"/>
      <c s="5"/>
      <c s="5"/>
      <c s="5"/>
      <c s="5"/>
      <c s="5"/>
      <c s="5"/>
      <c s="5"/>
      <c s="5"/>
      <c s="5"/>
      <c s="5"/>
      <c s="5"/>
      <c s="5"/>
      <c s="5"/>
      <c s="5"/>
      <c s="5"/>
      <c s="5"/>
      <c s="5"/>
      <c s="5"/>
      <c s="5"/>
      <c s="5"/>
      <c s="5"/>
    </row>
    <row r="549" spans="1:26" ht="15.75">
      <c r="A549" s="5"/>
      <c s="5"/>
      <c s="5"/>
      <c s="5"/>
      <c s="5"/>
      <c s="5"/>
      <c s="5"/>
      <c s="5"/>
      <c s="5"/>
      <c s="5"/>
      <c s="5"/>
      <c s="5"/>
      <c s="5"/>
      <c s="5"/>
      <c s="5"/>
      <c s="5"/>
      <c s="5"/>
      <c s="5"/>
      <c s="5"/>
      <c s="5"/>
      <c s="5"/>
      <c s="5"/>
      <c s="5"/>
      <c s="5"/>
      <c s="5"/>
      <c s="5"/>
    </row>
    <row r="550" spans="1:26" ht="15.75">
      <c r="A550" s="5"/>
      <c s="5"/>
      <c s="5"/>
      <c s="5"/>
      <c s="5"/>
      <c s="5"/>
      <c s="5"/>
      <c s="5"/>
      <c s="5"/>
      <c s="5"/>
      <c s="5"/>
      <c s="5"/>
      <c s="5"/>
      <c s="5"/>
      <c s="5"/>
      <c s="5"/>
      <c s="5"/>
      <c s="5"/>
      <c s="5"/>
      <c s="5"/>
      <c s="5"/>
      <c s="5"/>
      <c s="5"/>
      <c s="5"/>
      <c s="5"/>
      <c s="5"/>
    </row>
    <row r="551" spans="1:26" ht="15.75">
      <c r="A551" s="5"/>
      <c s="5"/>
      <c s="5"/>
      <c s="5"/>
      <c s="5"/>
      <c s="5"/>
      <c s="5"/>
      <c s="5"/>
      <c s="5"/>
      <c s="5"/>
      <c s="5"/>
      <c s="5"/>
      <c s="5"/>
      <c s="5"/>
      <c s="5"/>
      <c s="5"/>
      <c s="5"/>
      <c s="5"/>
      <c s="5"/>
      <c s="5"/>
      <c s="5"/>
      <c s="5"/>
      <c s="5"/>
      <c s="5"/>
      <c s="5"/>
      <c s="5"/>
    </row>
    <row r="552" spans="1:26" ht="15.75">
      <c r="A552" s="5"/>
      <c s="5"/>
      <c s="5"/>
      <c s="5"/>
      <c s="5"/>
      <c s="5"/>
      <c s="5"/>
      <c s="5"/>
      <c s="5"/>
      <c s="5"/>
      <c s="5"/>
      <c s="5"/>
      <c s="5"/>
      <c s="5"/>
      <c s="5"/>
      <c s="5"/>
      <c s="5"/>
      <c s="5"/>
      <c s="5"/>
      <c s="5"/>
      <c s="5"/>
      <c s="5"/>
      <c s="5"/>
      <c s="5"/>
      <c s="5"/>
      <c s="5"/>
    </row>
    <row r="553" spans="1:26" ht="15.75">
      <c r="A553" s="5"/>
      <c s="5"/>
      <c s="5"/>
      <c s="5"/>
      <c s="5"/>
      <c s="5"/>
      <c s="5"/>
      <c s="5"/>
      <c s="5"/>
      <c s="5"/>
      <c s="5"/>
      <c s="5"/>
      <c s="5"/>
      <c s="5"/>
      <c s="5"/>
      <c s="5"/>
      <c s="5"/>
      <c s="5"/>
      <c s="5"/>
      <c s="5"/>
      <c s="5"/>
      <c s="5"/>
      <c s="5"/>
      <c s="5"/>
      <c s="5"/>
      <c s="5"/>
    </row>
    <row r="554" spans="1:26" ht="15.75">
      <c r="A554" s="5"/>
      <c s="5"/>
      <c s="5"/>
      <c s="5"/>
      <c s="5"/>
      <c s="5"/>
      <c s="5"/>
      <c s="5"/>
      <c s="5"/>
      <c s="5"/>
      <c s="5"/>
      <c s="5"/>
      <c s="5"/>
      <c s="5"/>
      <c s="5"/>
      <c s="5"/>
      <c s="5"/>
      <c s="5"/>
      <c s="5"/>
      <c s="5"/>
      <c s="5"/>
      <c s="5"/>
      <c s="5"/>
      <c s="5"/>
      <c s="5"/>
      <c s="5"/>
    </row>
    <row r="555" spans="1:26" ht="15.75">
      <c r="A555" s="5"/>
      <c s="5"/>
      <c s="5"/>
      <c s="5"/>
      <c s="5"/>
      <c s="5"/>
      <c s="5"/>
      <c s="5"/>
      <c s="5"/>
      <c s="5"/>
      <c s="5"/>
      <c s="5"/>
      <c s="5"/>
      <c s="5"/>
      <c s="5"/>
      <c s="5"/>
      <c s="5"/>
      <c s="5"/>
      <c s="5"/>
      <c s="5"/>
      <c s="5"/>
      <c s="5"/>
      <c s="5"/>
      <c s="5"/>
      <c s="5"/>
      <c s="5"/>
    </row>
    <row r="556" spans="1:26" ht="15.75">
      <c r="A556" s="5"/>
      <c s="5"/>
      <c s="5"/>
      <c s="5"/>
      <c s="5"/>
      <c s="5"/>
      <c s="5"/>
      <c s="5"/>
      <c s="5"/>
      <c s="5"/>
      <c s="5"/>
      <c s="5"/>
      <c s="5"/>
      <c s="5"/>
      <c s="5"/>
      <c s="5"/>
      <c s="5"/>
      <c s="5"/>
      <c s="5"/>
      <c s="5"/>
      <c s="5"/>
      <c s="5"/>
      <c s="5"/>
      <c s="5"/>
      <c s="5"/>
      <c s="5"/>
    </row>
    <row r="557" spans="1:26" ht="15.75">
      <c r="A557" s="5"/>
      <c s="5"/>
      <c s="5"/>
      <c s="5"/>
      <c s="5"/>
      <c s="5"/>
      <c s="5"/>
      <c s="5"/>
      <c s="5"/>
      <c s="5"/>
      <c s="5"/>
      <c s="5"/>
      <c s="5"/>
      <c s="5"/>
      <c s="5"/>
      <c s="5"/>
      <c s="5"/>
      <c s="5"/>
      <c s="5"/>
      <c s="5"/>
      <c s="5"/>
      <c s="5"/>
      <c s="5"/>
      <c s="5"/>
      <c s="5"/>
      <c s="5"/>
    </row>
    <row r="558" spans="1:26" ht="15.75">
      <c r="A558" s="5"/>
      <c s="5"/>
      <c s="5"/>
      <c s="5"/>
      <c s="5"/>
      <c s="5"/>
      <c s="5"/>
      <c s="5"/>
      <c s="5"/>
      <c s="5"/>
      <c s="5"/>
      <c s="5"/>
      <c s="5"/>
      <c s="5"/>
      <c s="5"/>
      <c s="5"/>
      <c s="5"/>
      <c s="5"/>
      <c s="5"/>
      <c s="5"/>
      <c s="5"/>
      <c s="5"/>
      <c s="5"/>
      <c s="5"/>
      <c s="5"/>
      <c s="5"/>
    </row>
    <row r="559" spans="1:26" ht="15.75">
      <c r="A559" s="5"/>
      <c s="5"/>
      <c s="5"/>
      <c s="5"/>
      <c s="5"/>
      <c s="5"/>
      <c s="5"/>
      <c s="5"/>
      <c s="5"/>
      <c s="5"/>
      <c s="5"/>
      <c s="5"/>
      <c s="5"/>
      <c s="5"/>
      <c s="5"/>
      <c s="5"/>
      <c s="5"/>
      <c s="5"/>
      <c s="5"/>
      <c s="5"/>
      <c s="5"/>
      <c s="5"/>
      <c s="5"/>
      <c s="5"/>
      <c s="5"/>
      <c s="5"/>
    </row>
    <row r="560" spans="1:26" ht="15.75">
      <c r="A560" s="5"/>
      <c s="5"/>
      <c s="5"/>
      <c s="5"/>
      <c s="5"/>
      <c s="5"/>
      <c s="5"/>
      <c s="5"/>
      <c s="5"/>
      <c s="5"/>
      <c s="5"/>
      <c s="5"/>
      <c s="5"/>
      <c s="5"/>
      <c s="5"/>
      <c s="5"/>
      <c s="5"/>
      <c s="5"/>
      <c s="5"/>
      <c s="5"/>
      <c s="5"/>
      <c s="5"/>
      <c s="5"/>
      <c s="5"/>
      <c s="5"/>
      <c s="5"/>
    </row>
    <row r="561" spans="1:26" ht="15.75">
      <c r="A561" s="5"/>
      <c s="5"/>
      <c s="5"/>
      <c s="5"/>
      <c s="5"/>
      <c s="5"/>
      <c s="5"/>
      <c s="5"/>
      <c s="5"/>
      <c s="5"/>
      <c s="5"/>
      <c s="5"/>
      <c s="5"/>
      <c s="5"/>
      <c s="5"/>
      <c s="5"/>
      <c s="5"/>
      <c s="5"/>
      <c s="5"/>
      <c s="5"/>
      <c s="5"/>
      <c s="5"/>
      <c s="5"/>
      <c s="5"/>
      <c s="5"/>
      <c s="5"/>
    </row>
    <row r="562" spans="1:26" ht="15.75">
      <c r="A562" s="5"/>
      <c s="5"/>
      <c s="5"/>
      <c s="5"/>
      <c s="5"/>
      <c s="5"/>
      <c s="5"/>
      <c s="5"/>
      <c s="5"/>
      <c s="5"/>
      <c s="5"/>
      <c s="5"/>
      <c s="5"/>
      <c s="5"/>
      <c s="5"/>
      <c s="5"/>
      <c s="5"/>
      <c s="5"/>
      <c s="5"/>
      <c s="5"/>
      <c s="5"/>
      <c s="5"/>
      <c s="5"/>
      <c s="5"/>
      <c s="5"/>
      <c s="5"/>
    </row>
    <row r="563" spans="1:26" ht="15.75">
      <c r="A563" s="5"/>
      <c s="5"/>
      <c s="5"/>
      <c s="5"/>
      <c s="5"/>
      <c s="5"/>
      <c s="5"/>
      <c s="5"/>
      <c s="5"/>
      <c s="5"/>
      <c s="5"/>
      <c s="5"/>
      <c s="5"/>
      <c s="5"/>
      <c s="5"/>
      <c s="5"/>
      <c s="5"/>
      <c s="5"/>
      <c s="5"/>
      <c s="5"/>
      <c s="5"/>
      <c s="5"/>
      <c s="5"/>
      <c s="5"/>
      <c s="5"/>
      <c s="5"/>
    </row>
    <row r="564" spans="1:26" ht="15.75">
      <c r="A564" s="5"/>
      <c s="5"/>
      <c s="5"/>
      <c s="5"/>
      <c s="5"/>
      <c s="5"/>
      <c s="5"/>
      <c s="5"/>
      <c s="5"/>
      <c s="5"/>
      <c s="5"/>
      <c s="5"/>
      <c s="5"/>
      <c s="5"/>
      <c s="5"/>
      <c s="5"/>
      <c s="5"/>
      <c s="5"/>
      <c s="5"/>
      <c s="5"/>
      <c s="5"/>
      <c s="5"/>
      <c s="5"/>
      <c s="5"/>
      <c s="5"/>
      <c s="5"/>
    </row>
    <row r="565" spans="1:26" ht="15.75">
      <c r="A565" s="5"/>
      <c s="5"/>
      <c s="5"/>
      <c s="5"/>
      <c s="5"/>
      <c s="5"/>
      <c s="5"/>
      <c s="5"/>
      <c s="5"/>
      <c s="5"/>
      <c s="5"/>
      <c s="5"/>
      <c s="5"/>
      <c s="5"/>
      <c s="5"/>
      <c s="5"/>
      <c s="5"/>
      <c s="5"/>
      <c s="5"/>
      <c s="5"/>
      <c s="5"/>
      <c s="5"/>
      <c s="5"/>
      <c s="5"/>
      <c s="5"/>
      <c s="5"/>
    </row>
    <row r="566" spans="1:26" ht="15.75">
      <c r="A566" s="5"/>
      <c s="5"/>
      <c s="5"/>
      <c s="5"/>
      <c s="5"/>
      <c s="5"/>
      <c s="5"/>
      <c s="5"/>
      <c s="5"/>
      <c s="5"/>
      <c s="5"/>
      <c s="5"/>
      <c s="5"/>
      <c s="5"/>
      <c s="5"/>
      <c s="5"/>
      <c s="5"/>
      <c s="5"/>
      <c s="5"/>
      <c s="5"/>
      <c s="5"/>
      <c s="5"/>
      <c s="5"/>
      <c s="5"/>
      <c s="5"/>
      <c s="5"/>
    </row>
    <row r="567" spans="1:26" ht="15.75">
      <c r="A567" s="5"/>
      <c s="5"/>
      <c s="5"/>
      <c s="5"/>
      <c s="5"/>
      <c s="5"/>
      <c s="5"/>
      <c s="5"/>
      <c s="5"/>
      <c s="5"/>
      <c s="5"/>
      <c s="5"/>
      <c s="5"/>
      <c s="5"/>
      <c s="5"/>
      <c s="5"/>
      <c s="5"/>
      <c s="5"/>
      <c s="5"/>
      <c s="5"/>
      <c s="5"/>
      <c s="5"/>
      <c s="5"/>
      <c s="5"/>
      <c s="5"/>
      <c s="5"/>
    </row>
    <row r="568" spans="1:26" ht="15.75">
      <c r="A568" s="5"/>
      <c s="5"/>
      <c s="5"/>
      <c s="5"/>
      <c s="5"/>
      <c s="5"/>
      <c s="5"/>
      <c s="5"/>
      <c s="5"/>
      <c s="5"/>
      <c s="5"/>
      <c s="5"/>
      <c s="5"/>
      <c s="5"/>
      <c s="5"/>
      <c s="5"/>
      <c s="5"/>
      <c s="5"/>
      <c s="5"/>
      <c s="5"/>
      <c s="5"/>
      <c s="5"/>
      <c s="5"/>
      <c s="5"/>
      <c s="5"/>
      <c s="5"/>
    </row>
    <row r="569" spans="1:26" ht="15.75">
      <c r="A569" s="5"/>
      <c s="5"/>
      <c s="5"/>
      <c s="5"/>
      <c s="5"/>
      <c s="5"/>
      <c s="5"/>
      <c s="5"/>
      <c s="5"/>
      <c s="5"/>
      <c s="5"/>
      <c s="5"/>
      <c s="5"/>
      <c s="5"/>
      <c s="5"/>
      <c s="5"/>
      <c s="5"/>
      <c s="5"/>
      <c s="5"/>
      <c s="5"/>
      <c s="5"/>
      <c s="5"/>
      <c s="5"/>
      <c s="5"/>
      <c s="5"/>
      <c s="5"/>
    </row>
    <row r="570" spans="1:26" ht="15.75">
      <c r="A570" s="5"/>
      <c s="5"/>
      <c s="5"/>
      <c s="5"/>
      <c s="5"/>
      <c s="5"/>
      <c s="5"/>
      <c s="5"/>
      <c s="5"/>
      <c s="5"/>
      <c s="5"/>
      <c s="5"/>
      <c s="5"/>
      <c s="5"/>
      <c s="5"/>
      <c s="5"/>
      <c s="5"/>
      <c s="5"/>
      <c s="5"/>
      <c s="5"/>
      <c s="5"/>
      <c s="5"/>
      <c s="5"/>
      <c s="5"/>
      <c s="5"/>
      <c s="5"/>
    </row>
    <row r="571" spans="1:26" ht="15.75">
      <c r="A571" s="5"/>
      <c s="5"/>
      <c s="5"/>
      <c s="5"/>
      <c s="5"/>
      <c s="5"/>
      <c s="5"/>
      <c s="5"/>
      <c s="5"/>
      <c s="5"/>
      <c s="5"/>
      <c s="5"/>
      <c s="5"/>
      <c s="5"/>
      <c s="5"/>
      <c s="5"/>
      <c s="5"/>
      <c s="5"/>
      <c s="5"/>
      <c s="5"/>
      <c s="5"/>
      <c s="5"/>
      <c s="5"/>
      <c s="5"/>
      <c s="5"/>
      <c s="5"/>
    </row>
    <row r="572" spans="1:26" ht="15.75">
      <c r="A572" s="5"/>
      <c s="5"/>
      <c s="5"/>
      <c s="5"/>
      <c s="5"/>
      <c s="5"/>
      <c s="5"/>
      <c s="5"/>
      <c s="5"/>
      <c s="5"/>
      <c s="5"/>
      <c s="5"/>
      <c s="5"/>
      <c s="5"/>
      <c s="5"/>
      <c s="5"/>
      <c s="5"/>
      <c s="5"/>
      <c s="5"/>
      <c s="5"/>
      <c s="5"/>
      <c s="5"/>
      <c s="5"/>
      <c s="5"/>
      <c s="5"/>
      <c s="5"/>
    </row>
    <row r="573" spans="1:26" ht="15.75">
      <c r="A573" s="5"/>
      <c s="5"/>
      <c s="5"/>
      <c s="5"/>
      <c s="5"/>
      <c s="5"/>
      <c s="5"/>
      <c s="5"/>
      <c s="5"/>
      <c s="5"/>
      <c s="5"/>
      <c s="5"/>
      <c s="5"/>
      <c s="5"/>
      <c s="5"/>
      <c s="5"/>
      <c s="5"/>
      <c s="5"/>
      <c s="5"/>
      <c s="5"/>
      <c s="5"/>
      <c s="5"/>
      <c s="5"/>
      <c s="5"/>
      <c s="5"/>
      <c s="5"/>
    </row>
    <row r="574" spans="1:26" ht="15.75">
      <c r="A574" s="5"/>
      <c s="5"/>
      <c s="5"/>
      <c s="5"/>
      <c s="5"/>
      <c s="5"/>
      <c s="5"/>
      <c s="5"/>
      <c s="5"/>
      <c s="5"/>
      <c s="5"/>
      <c s="5"/>
      <c s="5"/>
      <c s="5"/>
      <c s="5"/>
      <c s="5"/>
      <c s="5"/>
      <c s="5"/>
      <c s="5"/>
      <c s="5"/>
      <c s="5"/>
      <c s="5"/>
      <c s="5"/>
      <c s="5"/>
      <c s="5"/>
      <c s="5"/>
    </row>
    <row r="575" spans="1:26" ht="15.75">
      <c r="A575" s="5"/>
      <c s="5"/>
      <c s="5"/>
      <c s="5"/>
      <c s="5"/>
      <c s="5"/>
      <c s="5"/>
      <c s="5"/>
      <c s="5"/>
      <c s="5"/>
      <c s="5"/>
      <c s="5"/>
      <c s="5"/>
      <c s="5"/>
      <c s="5"/>
      <c s="5"/>
      <c s="5"/>
      <c s="5"/>
      <c s="5"/>
      <c s="5"/>
      <c s="5"/>
      <c s="5"/>
      <c s="5"/>
      <c s="5"/>
      <c s="5"/>
      <c s="5"/>
    </row>
    <row r="576" spans="1:26" ht="15.75">
      <c r="A576" s="5"/>
      <c s="5"/>
      <c s="5"/>
      <c s="5"/>
      <c s="5"/>
      <c s="5"/>
      <c s="5"/>
      <c s="5"/>
      <c s="5"/>
      <c s="5"/>
      <c s="5"/>
      <c s="5"/>
      <c s="5"/>
      <c s="5"/>
      <c s="5"/>
      <c s="5"/>
      <c s="5"/>
      <c s="5"/>
      <c s="5"/>
      <c s="5"/>
      <c s="5"/>
      <c s="5"/>
      <c s="5"/>
      <c s="5"/>
      <c s="5"/>
      <c s="5"/>
    </row>
    <row r="577" spans="1:26" ht="15.75">
      <c r="A577" s="5"/>
      <c s="5"/>
      <c s="5"/>
      <c s="5"/>
      <c s="5"/>
      <c s="5"/>
      <c s="5"/>
      <c s="5"/>
      <c s="5"/>
      <c s="5"/>
      <c s="5"/>
      <c s="5"/>
      <c s="5"/>
      <c s="5"/>
      <c s="5"/>
      <c s="5"/>
      <c s="5"/>
      <c s="5"/>
      <c s="5"/>
      <c s="5"/>
      <c s="5"/>
      <c s="5"/>
      <c s="5"/>
      <c s="5"/>
      <c s="5"/>
      <c s="5"/>
    </row>
    <row r="578" spans="1:26" ht="15.75">
      <c r="A578" s="5"/>
      <c s="5"/>
      <c s="5"/>
      <c s="5"/>
      <c s="5"/>
      <c s="5"/>
      <c s="5"/>
      <c s="5"/>
      <c s="5"/>
      <c s="5"/>
      <c s="5"/>
      <c s="5"/>
      <c s="5"/>
      <c s="5"/>
      <c s="5"/>
      <c s="5"/>
      <c s="5"/>
      <c s="5"/>
      <c s="5"/>
      <c s="5"/>
      <c s="5"/>
      <c s="5"/>
      <c s="5"/>
      <c s="5"/>
      <c s="5"/>
      <c s="5"/>
    </row>
    <row r="579" spans="1:26" ht="15.75">
      <c r="A579" s="5"/>
      <c s="5"/>
      <c s="5"/>
      <c s="5"/>
      <c s="5"/>
      <c s="5"/>
      <c s="5"/>
      <c s="5"/>
      <c s="5"/>
      <c s="5"/>
      <c s="5"/>
      <c s="5"/>
      <c s="5"/>
      <c s="5"/>
      <c s="5"/>
      <c s="5"/>
      <c s="5"/>
      <c s="5"/>
      <c s="5"/>
      <c s="5"/>
      <c s="5"/>
      <c s="5"/>
      <c s="5"/>
      <c s="5"/>
      <c s="5"/>
      <c s="5"/>
    </row>
    <row r="580" spans="1:26" ht="15.75">
      <c r="A580" s="5"/>
      <c s="5"/>
      <c s="5"/>
      <c s="5"/>
      <c s="5"/>
      <c s="5"/>
      <c s="5"/>
      <c s="5"/>
      <c s="5"/>
      <c s="5"/>
      <c s="5"/>
      <c s="5"/>
      <c s="5"/>
      <c s="5"/>
      <c s="5"/>
      <c s="5"/>
      <c s="5"/>
      <c s="5"/>
      <c s="5"/>
      <c s="5"/>
      <c s="5"/>
      <c s="5"/>
      <c s="5"/>
      <c s="5"/>
      <c s="5"/>
      <c s="5"/>
    </row>
    <row r="581" spans="1:26" ht="15.75">
      <c r="A581" s="5"/>
      <c s="5"/>
      <c s="5"/>
      <c s="5"/>
      <c s="5"/>
      <c s="5"/>
      <c s="5"/>
      <c s="5"/>
      <c s="5"/>
      <c s="5"/>
      <c s="5"/>
      <c s="5"/>
      <c s="5"/>
      <c s="5"/>
      <c s="5"/>
      <c s="5"/>
      <c s="5"/>
      <c s="5"/>
      <c s="5"/>
      <c s="5"/>
      <c s="5"/>
      <c s="5"/>
      <c s="5"/>
      <c s="5"/>
      <c s="5"/>
      <c s="5"/>
    </row>
    <row r="582" spans="1:26" ht="15.75">
      <c r="A582" s="5"/>
      <c s="5"/>
      <c s="5"/>
      <c s="5"/>
      <c s="5"/>
      <c s="5"/>
      <c s="5"/>
      <c s="5"/>
      <c s="5"/>
      <c s="5"/>
      <c s="5"/>
      <c s="5"/>
      <c s="5"/>
      <c s="5"/>
      <c s="5"/>
      <c s="5"/>
      <c s="5"/>
      <c s="5"/>
      <c s="5"/>
      <c s="5"/>
      <c s="5"/>
      <c s="5"/>
      <c s="5"/>
      <c s="5"/>
      <c s="5"/>
      <c s="5"/>
    </row>
    <row r="583" spans="1:26" ht="15.75">
      <c r="A583" s="5"/>
      <c s="5"/>
      <c s="5"/>
      <c s="5"/>
      <c s="5"/>
      <c s="5"/>
      <c s="5"/>
      <c s="5"/>
      <c s="5"/>
      <c s="5"/>
      <c s="5"/>
      <c s="5"/>
      <c s="5"/>
      <c s="5"/>
      <c s="5"/>
      <c s="5"/>
      <c s="5"/>
      <c s="5"/>
      <c s="5"/>
      <c s="5"/>
      <c s="5"/>
      <c s="5"/>
      <c s="5"/>
      <c s="5"/>
      <c s="5"/>
      <c s="5"/>
    </row>
    <row r="584" spans="1:26" ht="15.75">
      <c r="A584" s="5"/>
      <c s="5"/>
      <c s="5"/>
      <c s="5"/>
      <c s="5"/>
      <c s="5"/>
      <c s="5"/>
      <c s="5"/>
      <c s="5"/>
      <c s="5"/>
      <c s="5"/>
      <c s="5"/>
      <c s="5"/>
      <c s="5"/>
      <c s="5"/>
      <c s="5"/>
      <c s="5"/>
      <c s="5"/>
      <c s="5"/>
      <c s="5"/>
      <c s="5"/>
      <c s="5"/>
      <c s="5"/>
      <c s="5"/>
      <c s="5"/>
      <c s="5"/>
    </row>
    <row r="585" spans="1:26" ht="15.75">
      <c r="A585" s="5"/>
      <c s="5"/>
      <c s="5"/>
      <c s="5"/>
      <c s="5"/>
      <c s="5"/>
      <c s="5"/>
      <c s="5"/>
      <c s="5"/>
      <c s="5"/>
      <c s="5"/>
      <c s="5"/>
      <c s="5"/>
      <c s="5"/>
      <c s="5"/>
      <c s="5"/>
      <c s="5"/>
      <c s="5"/>
      <c s="5"/>
      <c s="5"/>
      <c s="5"/>
      <c s="5"/>
      <c s="5"/>
      <c s="5"/>
      <c s="5"/>
      <c s="5"/>
    </row>
    <row r="586" spans="1:26" ht="15.75">
      <c r="A586" s="5"/>
      <c s="5"/>
      <c s="5"/>
      <c s="5"/>
      <c s="5"/>
      <c s="5"/>
      <c s="5"/>
      <c s="5"/>
      <c s="5"/>
      <c s="5"/>
      <c s="5"/>
      <c s="5"/>
      <c s="5"/>
      <c s="5"/>
      <c s="5"/>
      <c s="5"/>
      <c s="5"/>
      <c s="5"/>
      <c s="5"/>
      <c s="5"/>
      <c s="5"/>
      <c s="5"/>
      <c s="5"/>
      <c s="5"/>
      <c s="5"/>
      <c s="5"/>
    </row>
    <row r="587" spans="1:26" ht="15.75">
      <c r="A587" s="5"/>
      <c s="5"/>
      <c s="5"/>
      <c s="5"/>
      <c s="5"/>
      <c s="5"/>
      <c s="5"/>
      <c s="5"/>
      <c s="5"/>
      <c s="5"/>
      <c s="5"/>
      <c s="5"/>
      <c s="5"/>
      <c s="5"/>
      <c s="5"/>
      <c s="5"/>
      <c s="5"/>
      <c s="5"/>
      <c s="5"/>
      <c s="5"/>
      <c s="5"/>
      <c s="5"/>
      <c s="5"/>
      <c s="5"/>
      <c s="5"/>
      <c s="5"/>
    </row>
    <row r="588" spans="1:26" ht="15.75">
      <c r="A588" s="5"/>
      <c s="5"/>
      <c s="5"/>
      <c s="5"/>
      <c s="5"/>
      <c s="5"/>
      <c s="5"/>
      <c s="5"/>
      <c s="5"/>
      <c s="5"/>
      <c s="5"/>
      <c s="5"/>
      <c s="5"/>
      <c s="5"/>
      <c s="5"/>
      <c s="5"/>
      <c s="5"/>
      <c s="5"/>
      <c s="5"/>
      <c s="5"/>
      <c s="5"/>
      <c s="5"/>
      <c s="5"/>
      <c s="5"/>
      <c s="5"/>
      <c s="5"/>
    </row>
    <row r="589" spans="1:26" ht="15.75">
      <c r="A589" s="5"/>
      <c s="5"/>
      <c s="5"/>
      <c s="5"/>
      <c s="5"/>
      <c s="5"/>
      <c s="5"/>
      <c s="5"/>
      <c s="5"/>
      <c s="5"/>
      <c s="5"/>
      <c s="5"/>
      <c s="5"/>
      <c s="5"/>
      <c s="5"/>
      <c s="5"/>
      <c s="5"/>
      <c s="5"/>
      <c s="5"/>
      <c s="5"/>
      <c s="5"/>
      <c s="5"/>
      <c s="5"/>
      <c s="5"/>
      <c s="5"/>
      <c s="5"/>
    </row>
    <row r="590" spans="1:26" ht="15.75">
      <c r="A590" s="5"/>
      <c s="5"/>
      <c s="5"/>
      <c s="5"/>
      <c s="5"/>
      <c s="5"/>
      <c s="5"/>
      <c s="5"/>
      <c s="5"/>
      <c s="5"/>
      <c s="5"/>
      <c s="5"/>
      <c s="5"/>
      <c s="5"/>
      <c s="5"/>
      <c s="5"/>
      <c s="5"/>
      <c s="5"/>
      <c s="5"/>
      <c s="5"/>
      <c s="5"/>
      <c s="5"/>
      <c s="5"/>
      <c s="5"/>
      <c s="5"/>
      <c s="5"/>
    </row>
    <row r="591" spans="1:26" ht="15.75">
      <c r="A591" s="5"/>
      <c s="5"/>
      <c s="5"/>
      <c s="5"/>
      <c s="5"/>
      <c s="5"/>
      <c s="5"/>
      <c s="5"/>
      <c s="5"/>
      <c s="5"/>
      <c s="5"/>
      <c s="5"/>
      <c s="5"/>
      <c s="5"/>
      <c s="5"/>
      <c s="5"/>
      <c s="5"/>
      <c s="5"/>
      <c s="5"/>
      <c s="5"/>
      <c s="5"/>
      <c s="5"/>
      <c s="5"/>
      <c s="5"/>
      <c s="5"/>
      <c s="5"/>
    </row>
    <row r="592" spans="1:26" ht="15.75">
      <c r="A592" s="5"/>
      <c s="5"/>
      <c s="5"/>
      <c s="5"/>
      <c s="5"/>
      <c s="5"/>
      <c s="5"/>
      <c s="5"/>
      <c s="5"/>
      <c s="5"/>
      <c s="5"/>
      <c s="5"/>
      <c s="5"/>
      <c s="5"/>
      <c s="5"/>
      <c s="5"/>
      <c s="5"/>
      <c s="5"/>
      <c s="5"/>
      <c s="5"/>
      <c s="5"/>
      <c s="5"/>
      <c s="5"/>
      <c s="5"/>
      <c s="5"/>
      <c s="5"/>
    </row>
    <row r="593" spans="1:26" ht="15.75">
      <c r="A593" s="5"/>
      <c s="5"/>
      <c s="5"/>
      <c s="5"/>
      <c s="5"/>
      <c s="5"/>
      <c s="5"/>
      <c s="5"/>
      <c s="5"/>
      <c s="5"/>
      <c s="5"/>
      <c s="5"/>
      <c s="5"/>
      <c s="5"/>
      <c s="5"/>
      <c s="5"/>
      <c s="5"/>
      <c s="5"/>
      <c s="5"/>
      <c s="5"/>
      <c s="5"/>
      <c s="5"/>
      <c s="5"/>
      <c s="5"/>
      <c s="5"/>
      <c s="5"/>
    </row>
    <row r="594" spans="1:26" ht="15.75">
      <c r="A594" s="5"/>
      <c s="5"/>
      <c s="5"/>
      <c s="5"/>
      <c s="5"/>
      <c s="5"/>
      <c s="5"/>
      <c s="5"/>
      <c s="5"/>
      <c s="5"/>
      <c s="5"/>
      <c s="5"/>
      <c s="5"/>
      <c s="5"/>
      <c s="5"/>
      <c s="5"/>
      <c s="5"/>
      <c s="5"/>
      <c s="5"/>
      <c s="5"/>
      <c s="5"/>
      <c s="5"/>
      <c s="5"/>
      <c s="5"/>
      <c s="5"/>
      <c s="5"/>
    </row>
    <row r="595" spans="1:26" ht="15.75">
      <c r="A595" s="5"/>
      <c s="5"/>
      <c s="5"/>
      <c s="5"/>
      <c s="5"/>
      <c s="5"/>
      <c s="5"/>
      <c s="5"/>
      <c s="5"/>
      <c s="5"/>
      <c s="5"/>
      <c s="5"/>
      <c s="5"/>
      <c s="5"/>
      <c s="5"/>
      <c s="5"/>
      <c s="5"/>
      <c s="5"/>
      <c s="5"/>
      <c s="5"/>
      <c s="5"/>
      <c s="5"/>
      <c s="5"/>
      <c s="5"/>
      <c s="5"/>
      <c s="5"/>
    </row>
    <row r="596" spans="1:26" ht="15.75">
      <c r="A596" s="5"/>
      <c s="5"/>
      <c s="5"/>
      <c s="5"/>
      <c s="5"/>
      <c s="5"/>
      <c s="5"/>
      <c s="5"/>
      <c s="5"/>
      <c s="5"/>
      <c s="5"/>
      <c s="5"/>
      <c s="5"/>
      <c s="5"/>
      <c s="5"/>
      <c s="5"/>
      <c s="5"/>
      <c s="5"/>
      <c s="5"/>
      <c s="5"/>
      <c s="5"/>
      <c s="5"/>
      <c s="5"/>
      <c s="5"/>
      <c s="5"/>
      <c s="5"/>
    </row>
    <row r="597" spans="1:26" ht="15.75">
      <c r="A597" s="5"/>
      <c s="5"/>
      <c s="5"/>
      <c s="5"/>
      <c s="5"/>
      <c s="5"/>
      <c s="5"/>
      <c s="5"/>
      <c s="5"/>
      <c s="5"/>
      <c s="5"/>
      <c s="5"/>
      <c s="5"/>
      <c s="5"/>
      <c s="5"/>
      <c s="5"/>
      <c s="5"/>
      <c s="5"/>
      <c s="5"/>
      <c s="5"/>
      <c s="5"/>
      <c s="5"/>
      <c s="5"/>
      <c s="5"/>
      <c s="5"/>
      <c s="5"/>
    </row>
    <row r="598" spans="1:26" ht="15.75">
      <c r="A598" s="5"/>
      <c s="5"/>
      <c s="5"/>
      <c s="5"/>
      <c s="5"/>
      <c s="5"/>
      <c s="5"/>
      <c s="5"/>
      <c s="5"/>
      <c s="5"/>
      <c s="5"/>
      <c s="5"/>
      <c s="5"/>
      <c s="5"/>
      <c s="5"/>
      <c s="5"/>
      <c s="5"/>
      <c s="5"/>
      <c s="5"/>
      <c s="5"/>
      <c s="5"/>
      <c s="5"/>
      <c s="5"/>
      <c s="5"/>
      <c s="5"/>
      <c s="5"/>
    </row>
    <row r="599" spans="1:26" ht="15.75">
      <c r="A599" s="5"/>
      <c s="5"/>
      <c s="5"/>
      <c s="5"/>
      <c s="5"/>
      <c s="5"/>
      <c s="5"/>
      <c s="5"/>
      <c s="5"/>
      <c s="5"/>
      <c s="5"/>
      <c s="5"/>
      <c s="5"/>
      <c s="5"/>
      <c s="5"/>
      <c s="5"/>
      <c s="5"/>
      <c s="5"/>
      <c s="5"/>
      <c s="5"/>
      <c s="5"/>
      <c s="5"/>
      <c s="5"/>
      <c s="5"/>
      <c s="5"/>
      <c s="5"/>
    </row>
    <row r="600" spans="1:26" ht="15.75">
      <c r="A600" s="5"/>
      <c s="5"/>
      <c s="5"/>
      <c s="5"/>
      <c s="5"/>
      <c s="5"/>
      <c s="5"/>
      <c s="5"/>
      <c s="5"/>
      <c s="5"/>
      <c s="5"/>
      <c s="5"/>
      <c s="5"/>
      <c s="5"/>
      <c s="5"/>
      <c s="5"/>
      <c s="5"/>
      <c s="5"/>
      <c s="5"/>
      <c s="5"/>
      <c s="5"/>
      <c s="5"/>
      <c s="5"/>
      <c s="5"/>
      <c s="5"/>
      <c s="5"/>
    </row>
    <row r="601" spans="1:26" ht="15.75">
      <c r="A601" s="5"/>
      <c s="5"/>
      <c s="5"/>
      <c s="5"/>
      <c s="5"/>
      <c s="5"/>
      <c s="5"/>
      <c s="5"/>
      <c s="5"/>
      <c s="5"/>
      <c s="5"/>
      <c s="5"/>
      <c s="5"/>
      <c s="5"/>
      <c s="5"/>
      <c s="5"/>
      <c s="5"/>
      <c s="5"/>
      <c s="5"/>
      <c s="5"/>
      <c s="5"/>
      <c s="5"/>
      <c s="5"/>
      <c s="5"/>
      <c s="5"/>
      <c s="5"/>
    </row>
    <row r="602" spans="1:26" ht="15.75">
      <c r="A602" s="5"/>
      <c s="5"/>
      <c s="5"/>
      <c s="5"/>
      <c s="5"/>
      <c s="5"/>
      <c s="5"/>
      <c s="5"/>
      <c s="5"/>
      <c s="5"/>
      <c s="5"/>
      <c s="5"/>
      <c s="5"/>
      <c s="5"/>
      <c s="5"/>
      <c s="5"/>
      <c s="5"/>
      <c s="5"/>
      <c s="5"/>
      <c s="5"/>
      <c s="5"/>
      <c s="5"/>
      <c s="5"/>
      <c s="5"/>
      <c s="5"/>
      <c s="5"/>
    </row>
    <row r="603" spans="1:26" ht="15.75">
      <c r="A603" s="5"/>
      <c s="5"/>
      <c s="5"/>
      <c s="5"/>
      <c s="5"/>
      <c s="5"/>
      <c s="5"/>
      <c s="5"/>
      <c s="5"/>
      <c s="5"/>
      <c s="5"/>
      <c s="5"/>
      <c s="5"/>
      <c s="5"/>
      <c s="5"/>
      <c s="5"/>
      <c s="5"/>
      <c s="5"/>
      <c s="5"/>
      <c s="5"/>
      <c s="5"/>
      <c s="5"/>
      <c s="5"/>
      <c s="5"/>
      <c s="5"/>
      <c s="5"/>
    </row>
    <row r="604" spans="1:26" ht="15.75">
      <c r="A604" s="5"/>
      <c s="5"/>
      <c s="5"/>
      <c s="5"/>
      <c s="5"/>
      <c s="5"/>
      <c s="5"/>
      <c s="5"/>
      <c s="5"/>
      <c s="5"/>
      <c s="5"/>
      <c s="5"/>
      <c s="5"/>
      <c s="5"/>
      <c s="5"/>
      <c s="5"/>
      <c s="5"/>
      <c s="5"/>
      <c s="5"/>
      <c s="5"/>
      <c s="5"/>
      <c s="5"/>
      <c s="5"/>
      <c s="5"/>
      <c s="5"/>
      <c s="5"/>
    </row>
    <row r="605" spans="1:26" ht="15.75">
      <c r="A605" s="5"/>
      <c s="5"/>
      <c s="5"/>
      <c s="5"/>
      <c s="5"/>
      <c s="5"/>
      <c s="5"/>
      <c s="5"/>
      <c s="5"/>
      <c s="5"/>
      <c s="5"/>
      <c s="5"/>
      <c s="5"/>
      <c s="5"/>
      <c s="5"/>
      <c s="5"/>
      <c s="5"/>
      <c s="5"/>
      <c s="5"/>
      <c s="5"/>
      <c s="5"/>
      <c s="5"/>
      <c s="5"/>
      <c s="5"/>
      <c s="5"/>
      <c s="5"/>
    </row>
    <row r="606" spans="1:26" ht="15.75">
      <c r="A606" s="5"/>
      <c s="5"/>
      <c s="5"/>
      <c s="5"/>
      <c s="5"/>
      <c s="5"/>
      <c s="5"/>
      <c s="5"/>
      <c s="5"/>
      <c s="5"/>
      <c s="5"/>
      <c s="5"/>
      <c s="5"/>
      <c s="5"/>
      <c s="5"/>
      <c s="5"/>
      <c s="5"/>
      <c s="5"/>
      <c s="5"/>
      <c s="5"/>
      <c s="5"/>
      <c s="5"/>
      <c s="5"/>
      <c s="5"/>
      <c s="5"/>
      <c s="5"/>
    </row>
    <row r="607" spans="1:26" ht="15.75">
      <c r="A607" s="5"/>
      <c s="5"/>
      <c s="5"/>
      <c s="5"/>
      <c s="5"/>
      <c s="5"/>
      <c s="5"/>
      <c s="5"/>
      <c s="5"/>
      <c s="5"/>
      <c s="5"/>
      <c s="5"/>
      <c s="5"/>
      <c s="5"/>
      <c s="5"/>
      <c s="5"/>
      <c s="5"/>
      <c s="5"/>
      <c s="5"/>
      <c s="5"/>
      <c s="5"/>
      <c s="5"/>
      <c s="5"/>
      <c s="5"/>
      <c s="5"/>
      <c s="5"/>
    </row>
    <row r="608" spans="1:26" ht="15.75">
      <c r="A608" s="5"/>
      <c s="5"/>
      <c s="5"/>
      <c s="5"/>
      <c s="5"/>
      <c s="5"/>
      <c s="5"/>
      <c s="5"/>
      <c s="5"/>
      <c s="5"/>
      <c s="5"/>
      <c s="5"/>
      <c s="5"/>
      <c s="5"/>
      <c s="5"/>
      <c s="5"/>
      <c s="5"/>
      <c s="5"/>
      <c s="5"/>
      <c s="5"/>
      <c s="5"/>
      <c s="5"/>
      <c s="5"/>
      <c s="5"/>
      <c s="5"/>
      <c s="5"/>
    </row>
    <row r="609" spans="1:26" ht="15.75">
      <c r="A609" s="5"/>
      <c s="5"/>
      <c s="5"/>
      <c s="5"/>
      <c s="5"/>
      <c s="5"/>
      <c s="5"/>
      <c s="5"/>
      <c s="5"/>
      <c s="5"/>
      <c s="5"/>
      <c s="5"/>
      <c s="5"/>
      <c s="5"/>
      <c s="5"/>
      <c s="5"/>
      <c s="5"/>
      <c s="5"/>
      <c s="5"/>
      <c s="5"/>
      <c s="5"/>
      <c s="5"/>
      <c s="5"/>
      <c s="5"/>
      <c s="5"/>
      <c s="5"/>
    </row>
    <row r="610" spans="1:26" ht="15.75">
      <c r="A610" s="5"/>
      <c s="5"/>
      <c s="5"/>
      <c s="5"/>
      <c s="5"/>
      <c s="5"/>
      <c s="5"/>
      <c s="5"/>
      <c s="5"/>
      <c s="5"/>
      <c s="5"/>
      <c s="5"/>
      <c s="5"/>
      <c s="5"/>
      <c s="5"/>
      <c s="5"/>
      <c s="5"/>
      <c s="5"/>
      <c s="5"/>
      <c s="5"/>
      <c s="5"/>
      <c s="5"/>
      <c s="5"/>
      <c s="5"/>
      <c s="5"/>
      <c s="5"/>
    </row>
    <row r="611" spans="1:26" ht="15.75">
      <c r="A611" s="5"/>
      <c s="5"/>
      <c s="5"/>
      <c s="5"/>
      <c s="5"/>
      <c s="5"/>
      <c s="5"/>
      <c s="5"/>
      <c s="5"/>
      <c s="5"/>
      <c s="5"/>
      <c s="5"/>
      <c s="5"/>
      <c s="5"/>
      <c s="5"/>
      <c s="5"/>
      <c s="5"/>
      <c s="5"/>
      <c s="5"/>
      <c s="5"/>
      <c s="5"/>
      <c s="5"/>
      <c s="5"/>
      <c s="5"/>
      <c s="5"/>
      <c s="5"/>
    </row>
    <row r="612" spans="1:26" ht="15.75">
      <c r="A612" s="5"/>
      <c s="5"/>
      <c s="5"/>
      <c s="5"/>
      <c s="5"/>
      <c s="5"/>
      <c s="5"/>
      <c s="5"/>
      <c s="5"/>
      <c s="5"/>
      <c s="5"/>
      <c s="5"/>
      <c s="5"/>
      <c s="5"/>
      <c s="5"/>
      <c s="5"/>
      <c s="5"/>
      <c s="5"/>
      <c s="5"/>
      <c s="5"/>
      <c s="5"/>
      <c s="5"/>
      <c s="5"/>
      <c s="5"/>
      <c s="5"/>
      <c s="5"/>
    </row>
    <row r="613" spans="1:26" ht="15.75">
      <c r="A613" s="5"/>
      <c s="5"/>
      <c s="5"/>
      <c s="5"/>
      <c s="5"/>
      <c s="5"/>
      <c s="5"/>
      <c s="5"/>
      <c s="5"/>
      <c s="5"/>
      <c s="5"/>
      <c s="5"/>
      <c s="5"/>
      <c s="5"/>
      <c s="5"/>
      <c s="5"/>
      <c s="5"/>
      <c s="5"/>
      <c s="5"/>
      <c s="5"/>
      <c s="5"/>
      <c s="5"/>
      <c s="5"/>
      <c s="5"/>
      <c s="5"/>
      <c s="5"/>
    </row>
    <row r="614" spans="1:26" ht="15.75">
      <c r="A614" s="5"/>
      <c s="5"/>
      <c s="5"/>
      <c s="5"/>
      <c s="5"/>
      <c s="5"/>
      <c s="5"/>
      <c s="5"/>
      <c s="5"/>
      <c s="5"/>
      <c s="5"/>
      <c s="5"/>
      <c s="5"/>
      <c s="5"/>
      <c s="5"/>
      <c s="5"/>
      <c s="5"/>
      <c s="5"/>
      <c s="5"/>
      <c s="5"/>
      <c s="5"/>
      <c s="5"/>
      <c s="5"/>
      <c s="5"/>
      <c s="5"/>
      <c s="5"/>
    </row>
    <row r="615" spans="1:26" ht="15.75">
      <c r="A615" s="5"/>
      <c s="5"/>
      <c s="5"/>
      <c s="5"/>
      <c s="5"/>
      <c s="5"/>
      <c s="5"/>
      <c s="5"/>
      <c s="5"/>
      <c s="5"/>
      <c s="5"/>
      <c s="5"/>
      <c s="5"/>
      <c s="5"/>
      <c s="5"/>
      <c s="5"/>
      <c s="5"/>
      <c s="5"/>
      <c s="5"/>
      <c s="5"/>
      <c s="5"/>
      <c s="5"/>
      <c s="5"/>
      <c s="5"/>
      <c s="5"/>
      <c s="5"/>
    </row>
    <row r="616" spans="1:26" ht="15.75">
      <c r="A616" s="5"/>
      <c s="5"/>
      <c s="5"/>
      <c s="5"/>
      <c s="5"/>
      <c s="5"/>
      <c s="5"/>
      <c s="5"/>
      <c s="5"/>
      <c s="5"/>
      <c s="5"/>
      <c s="5"/>
      <c s="5"/>
      <c s="5"/>
      <c s="5"/>
      <c s="5"/>
      <c s="5"/>
      <c s="5"/>
      <c s="5"/>
      <c s="5"/>
      <c s="5"/>
      <c s="5"/>
      <c s="5"/>
      <c s="5"/>
      <c s="5"/>
      <c s="5"/>
    </row>
    <row r="617" spans="1:26" ht="15.75">
      <c r="A617" s="5"/>
      <c s="5"/>
      <c s="5"/>
      <c s="5"/>
      <c s="5"/>
      <c s="5"/>
      <c s="5"/>
      <c s="5"/>
      <c s="5"/>
      <c s="5"/>
      <c s="5"/>
      <c s="5"/>
      <c s="5"/>
      <c s="5"/>
      <c s="5"/>
      <c s="5"/>
      <c s="5"/>
      <c s="5"/>
      <c s="5"/>
      <c s="5"/>
      <c s="5"/>
      <c s="5"/>
      <c s="5"/>
      <c s="5"/>
      <c s="5"/>
      <c s="5"/>
    </row>
    <row r="618" spans="1:26" ht="15.75">
      <c r="A618" s="5"/>
      <c s="5"/>
      <c s="5"/>
      <c s="5"/>
      <c s="5"/>
      <c s="5"/>
      <c s="5"/>
      <c s="5"/>
      <c s="5"/>
      <c s="5"/>
      <c s="5"/>
      <c s="5"/>
      <c s="5"/>
      <c s="5"/>
      <c s="5"/>
      <c s="5"/>
      <c s="5"/>
      <c s="5"/>
      <c s="5"/>
      <c s="5"/>
      <c s="5"/>
      <c s="5"/>
      <c s="5"/>
      <c s="5"/>
      <c s="5"/>
      <c s="5"/>
    </row>
    <row r="619" spans="1:26" ht="15.75">
      <c r="A619" s="5"/>
      <c s="5"/>
      <c s="5"/>
      <c s="5"/>
      <c s="5"/>
      <c s="5"/>
      <c s="5"/>
      <c s="5"/>
      <c s="5"/>
      <c s="5"/>
      <c s="5"/>
      <c s="5"/>
      <c s="5"/>
      <c s="5"/>
      <c s="5"/>
      <c s="5"/>
      <c s="5"/>
      <c s="5"/>
      <c s="5"/>
      <c s="5"/>
      <c s="5"/>
      <c s="5"/>
      <c s="5"/>
      <c s="5"/>
      <c s="5"/>
      <c s="5"/>
    </row>
    <row r="620" spans="1:26" ht="15.75">
      <c r="A620" s="5"/>
      <c s="5"/>
      <c s="5"/>
      <c s="5"/>
      <c s="5"/>
      <c s="5"/>
      <c s="5"/>
      <c s="5"/>
      <c s="5"/>
      <c s="5"/>
      <c s="5"/>
      <c s="5"/>
      <c s="5"/>
      <c s="5"/>
      <c s="5"/>
      <c s="5"/>
      <c s="5"/>
      <c s="5"/>
      <c s="5"/>
      <c s="5"/>
      <c s="5"/>
      <c s="5"/>
      <c s="5"/>
      <c s="5"/>
      <c s="5"/>
      <c s="5"/>
    </row>
    <row r="621" spans="1:26" ht="15.75">
      <c r="A621" s="5"/>
      <c s="5"/>
      <c s="5"/>
      <c s="5"/>
      <c s="5"/>
      <c s="5"/>
      <c s="5"/>
      <c s="5"/>
      <c s="5"/>
      <c s="5"/>
      <c s="5"/>
      <c s="5"/>
      <c s="5"/>
      <c s="5"/>
      <c s="5"/>
      <c s="5"/>
      <c s="5"/>
      <c s="5"/>
      <c s="5"/>
      <c s="5"/>
      <c s="5"/>
      <c s="5"/>
      <c s="5"/>
      <c s="5"/>
      <c s="5"/>
      <c s="5"/>
    </row>
    <row r="622" spans="1:26" ht="15.75">
      <c r="A622" s="5"/>
      <c s="5"/>
      <c s="5"/>
      <c s="5"/>
      <c s="5"/>
      <c s="5"/>
      <c s="5"/>
      <c s="5"/>
      <c s="5"/>
      <c s="5"/>
      <c s="5"/>
      <c s="5"/>
      <c s="5"/>
      <c s="5"/>
      <c s="5"/>
      <c s="5"/>
      <c s="5"/>
      <c s="5"/>
      <c s="5"/>
      <c s="5"/>
      <c s="5"/>
      <c s="5"/>
      <c s="5"/>
      <c s="5"/>
      <c s="5"/>
      <c s="5"/>
    </row>
    <row r="623" spans="1:26" ht="15.75">
      <c r="A623" s="5"/>
      <c s="5"/>
      <c s="5"/>
      <c s="5"/>
      <c s="5"/>
      <c s="5"/>
      <c s="5"/>
      <c s="5"/>
      <c s="5"/>
      <c s="5"/>
      <c s="5"/>
      <c s="5"/>
      <c s="5"/>
      <c s="5"/>
      <c s="5"/>
      <c s="5"/>
      <c s="5"/>
      <c s="5"/>
      <c s="5"/>
      <c s="5"/>
      <c s="5"/>
      <c s="5"/>
      <c s="5"/>
      <c s="5"/>
      <c s="5"/>
      <c s="5"/>
    </row>
    <row r="624" spans="1:26" ht="15.75">
      <c r="A624" s="5"/>
      <c s="5"/>
      <c s="5"/>
      <c s="5"/>
      <c s="5"/>
      <c s="5"/>
      <c s="5"/>
      <c s="5"/>
      <c s="5"/>
      <c s="5"/>
      <c s="5"/>
      <c s="5"/>
      <c s="5"/>
      <c s="5"/>
      <c s="5"/>
      <c s="5"/>
      <c s="5"/>
      <c s="5"/>
      <c s="5"/>
      <c s="5"/>
      <c s="5"/>
      <c s="5"/>
      <c s="5"/>
      <c s="5"/>
      <c s="5"/>
      <c s="5"/>
    </row>
    <row r="625" spans="1:26" ht="15.75">
      <c r="A625" s="5"/>
      <c s="5"/>
      <c s="5"/>
      <c s="5"/>
      <c s="5"/>
      <c s="5"/>
      <c s="5"/>
      <c s="5"/>
      <c s="5"/>
      <c s="5"/>
      <c s="5"/>
      <c s="5"/>
      <c s="5"/>
      <c s="5"/>
      <c s="5"/>
      <c s="5"/>
      <c s="5"/>
      <c s="5"/>
      <c s="5"/>
      <c s="5"/>
      <c s="5"/>
      <c s="5"/>
      <c s="5"/>
      <c s="5"/>
      <c s="5"/>
      <c s="5"/>
    </row>
    <row r="626" spans="1:26" ht="15.75">
      <c r="A626" s="5"/>
      <c s="5"/>
      <c s="5"/>
      <c s="5"/>
      <c s="5"/>
      <c s="5"/>
      <c s="5"/>
      <c s="5"/>
      <c s="5"/>
      <c s="5"/>
      <c s="5"/>
      <c s="5"/>
      <c s="5"/>
      <c s="5"/>
      <c s="5"/>
      <c s="5"/>
      <c s="5"/>
      <c s="5"/>
      <c s="5"/>
      <c s="5"/>
      <c s="5"/>
      <c s="5"/>
      <c s="5"/>
      <c s="5"/>
      <c s="5"/>
      <c s="5"/>
    </row>
    <row r="627" spans="1:26" ht="15.75">
      <c r="A627" s="5"/>
      <c s="5"/>
      <c s="5"/>
      <c s="5"/>
      <c s="5"/>
      <c s="5"/>
      <c s="5"/>
      <c s="5"/>
      <c s="5"/>
      <c s="5"/>
      <c s="5"/>
      <c s="5"/>
      <c s="5"/>
      <c s="5"/>
      <c s="5"/>
      <c s="5"/>
      <c s="5"/>
      <c s="5"/>
      <c s="5"/>
      <c s="5"/>
      <c s="5"/>
      <c s="5"/>
      <c s="5"/>
      <c s="5"/>
      <c s="5"/>
      <c s="5"/>
    </row>
    <row r="628" spans="1:26" ht="15.75">
      <c r="A628" s="5"/>
      <c s="5"/>
      <c s="5"/>
      <c s="5"/>
      <c s="5"/>
      <c s="5"/>
      <c s="5"/>
      <c s="5"/>
      <c s="5"/>
      <c s="5"/>
      <c s="5"/>
      <c s="5"/>
      <c s="5"/>
      <c s="5"/>
      <c s="5"/>
      <c s="5"/>
      <c s="5"/>
      <c s="5"/>
      <c s="5"/>
      <c s="5"/>
      <c s="5"/>
      <c s="5"/>
      <c s="5"/>
      <c s="5"/>
      <c s="5"/>
      <c s="5"/>
    </row>
    <row r="629" spans="1:26" ht="15.75">
      <c r="A629" s="5"/>
      <c s="5"/>
      <c s="5"/>
      <c s="5"/>
      <c s="5"/>
      <c s="5"/>
      <c s="5"/>
      <c s="5"/>
      <c s="5"/>
      <c s="5"/>
      <c s="5"/>
      <c s="5"/>
      <c s="5"/>
      <c s="5"/>
      <c s="5"/>
      <c s="5"/>
      <c s="5"/>
      <c s="5"/>
      <c s="5"/>
      <c s="5"/>
      <c s="5"/>
      <c s="5"/>
      <c s="5"/>
      <c s="5"/>
      <c s="5"/>
      <c s="5"/>
    </row>
    <row r="630" spans="1:26" ht="15.75">
      <c r="A630" s="5"/>
      <c s="5"/>
      <c s="5"/>
      <c s="5"/>
      <c s="5"/>
      <c s="5"/>
      <c s="5"/>
      <c s="5"/>
      <c s="5"/>
      <c s="5"/>
      <c s="5"/>
      <c s="5"/>
      <c s="5"/>
      <c s="5"/>
      <c s="5"/>
      <c s="5"/>
      <c s="5"/>
      <c s="5"/>
      <c s="5"/>
      <c s="5"/>
      <c s="5"/>
      <c s="5"/>
      <c s="5"/>
      <c s="5"/>
      <c s="5"/>
      <c s="5"/>
    </row>
    <row r="631" spans="1:26" ht="15.75">
      <c r="A631" s="5"/>
      <c s="5"/>
      <c s="5"/>
      <c s="5"/>
      <c s="5"/>
      <c s="5"/>
      <c s="5"/>
      <c s="5"/>
      <c s="5"/>
      <c s="5"/>
      <c s="5"/>
      <c s="5"/>
      <c s="5"/>
      <c s="5"/>
      <c s="5"/>
      <c s="5"/>
      <c s="5"/>
      <c s="5"/>
      <c s="5"/>
      <c s="5"/>
      <c s="5"/>
      <c s="5"/>
      <c s="5"/>
      <c s="5"/>
      <c s="5"/>
      <c s="5"/>
    </row>
    <row r="632" spans="1:26" ht="15.75">
      <c r="A632" s="5"/>
      <c s="5"/>
      <c s="5"/>
      <c s="5"/>
      <c s="5"/>
      <c s="5"/>
      <c s="5"/>
      <c s="5"/>
      <c s="5"/>
      <c s="5"/>
      <c s="5"/>
      <c s="5"/>
      <c s="5"/>
      <c s="5"/>
      <c s="5"/>
      <c s="5"/>
      <c s="5"/>
      <c s="5"/>
      <c s="5"/>
      <c s="5"/>
      <c s="5"/>
      <c s="5"/>
      <c s="5"/>
      <c s="5"/>
      <c s="5"/>
      <c s="5"/>
    </row>
    <row r="633" spans="1:26" ht="15.75">
      <c r="A633" s="5"/>
      <c s="5"/>
      <c s="5"/>
      <c s="5"/>
      <c s="5"/>
      <c s="5"/>
      <c s="5"/>
      <c s="5"/>
      <c s="5"/>
      <c s="5"/>
      <c s="5"/>
      <c s="5"/>
      <c s="5"/>
      <c s="5"/>
      <c s="5"/>
      <c s="5"/>
      <c s="5"/>
      <c s="5"/>
      <c s="5"/>
      <c s="5"/>
      <c s="5"/>
      <c s="5"/>
      <c s="5"/>
      <c s="5"/>
      <c s="5"/>
      <c s="5"/>
    </row>
    <row r="634" spans="1:26" ht="15.75">
      <c r="A634" s="5"/>
      <c s="5"/>
      <c s="5"/>
      <c s="5"/>
      <c s="5"/>
      <c s="5"/>
      <c s="5"/>
      <c s="5"/>
      <c s="5"/>
      <c s="5"/>
      <c s="5"/>
      <c s="5"/>
      <c s="5"/>
      <c s="5"/>
      <c s="5"/>
      <c s="5"/>
      <c s="5"/>
      <c s="5"/>
      <c s="5"/>
      <c s="5"/>
      <c s="5"/>
      <c s="5"/>
      <c s="5"/>
      <c s="5"/>
      <c s="5"/>
      <c s="5"/>
    </row>
    <row r="635" spans="1:26" ht="15.75">
      <c r="A635" s="5"/>
      <c s="5"/>
      <c s="5"/>
      <c s="5"/>
      <c s="5"/>
      <c s="5"/>
      <c s="5"/>
      <c s="5"/>
      <c s="5"/>
      <c s="5"/>
      <c s="5"/>
      <c s="5"/>
      <c s="5"/>
      <c s="5"/>
      <c s="5"/>
      <c s="5"/>
      <c s="5"/>
      <c s="5"/>
      <c s="5"/>
      <c s="5"/>
      <c s="5"/>
      <c s="5"/>
      <c s="5"/>
      <c s="5"/>
      <c s="5"/>
      <c s="5"/>
    </row>
    <row r="636" spans="1:26" ht="15.75">
      <c r="A636" s="5"/>
      <c s="5"/>
      <c s="5"/>
      <c s="5"/>
      <c s="5"/>
      <c s="5"/>
      <c s="5"/>
      <c s="5"/>
      <c s="5"/>
      <c s="5"/>
      <c s="5"/>
      <c s="5"/>
      <c s="5"/>
      <c s="5"/>
      <c s="5"/>
      <c s="5"/>
      <c s="5"/>
      <c s="5"/>
      <c s="5"/>
      <c s="5"/>
      <c s="5"/>
      <c s="5"/>
      <c s="5"/>
      <c s="5"/>
      <c s="5"/>
      <c s="5"/>
    </row>
    <row r="637" spans="1:26" ht="15.75">
      <c r="A637" s="5"/>
      <c s="5"/>
      <c s="5"/>
      <c s="5"/>
      <c s="5"/>
      <c s="5"/>
      <c s="5"/>
      <c s="5"/>
      <c s="5"/>
      <c s="5"/>
      <c s="5"/>
      <c s="5"/>
      <c s="5"/>
      <c s="5"/>
      <c s="5"/>
      <c s="5"/>
      <c s="5"/>
      <c s="5"/>
      <c s="5"/>
      <c s="5"/>
      <c s="5"/>
      <c s="5"/>
      <c s="5"/>
      <c s="5"/>
      <c s="5"/>
      <c s="5"/>
    </row>
    <row r="638" spans="1:26" ht="15.75">
      <c r="A638" s="5"/>
      <c s="5"/>
      <c s="5"/>
      <c s="5"/>
      <c s="5"/>
      <c s="5"/>
      <c s="5"/>
      <c s="5"/>
      <c s="5"/>
      <c s="5"/>
      <c s="5"/>
      <c s="5"/>
      <c s="5"/>
      <c s="5"/>
      <c s="5"/>
      <c s="5"/>
      <c s="5"/>
      <c s="5"/>
      <c s="5"/>
      <c s="5"/>
      <c s="5"/>
      <c s="5"/>
      <c s="5"/>
      <c s="5"/>
      <c s="5"/>
      <c s="5"/>
    </row>
    <row r="639" spans="1:26" ht="15.75">
      <c r="A639" s="5"/>
      <c s="5"/>
      <c s="5"/>
      <c s="5"/>
      <c s="5"/>
      <c s="5"/>
      <c s="5"/>
      <c s="5"/>
      <c s="5"/>
      <c s="5"/>
      <c s="5"/>
      <c s="5"/>
      <c s="5"/>
      <c s="5"/>
      <c s="5"/>
      <c s="5"/>
      <c s="5"/>
      <c s="5"/>
      <c s="5"/>
      <c s="5"/>
      <c s="5"/>
      <c s="5"/>
      <c s="5"/>
      <c s="5"/>
      <c s="5"/>
      <c s="5"/>
    </row>
    <row r="640" spans="1:26" ht="15.75">
      <c r="A640" s="5"/>
      <c s="5"/>
      <c s="5"/>
      <c s="5"/>
      <c s="5"/>
      <c s="5"/>
      <c s="5"/>
      <c s="5"/>
      <c s="5"/>
      <c s="5"/>
      <c s="5"/>
      <c s="5"/>
      <c s="5"/>
      <c s="5"/>
      <c s="5"/>
      <c s="5"/>
      <c s="5"/>
      <c s="5"/>
      <c s="5"/>
      <c s="5"/>
      <c s="5"/>
      <c s="5"/>
      <c s="5"/>
      <c s="5"/>
      <c s="5"/>
      <c s="5"/>
    </row>
    <row r="641" spans="1:26" ht="15.75">
      <c r="A641" s="5"/>
      <c s="5"/>
      <c s="5"/>
      <c s="5"/>
      <c s="5"/>
      <c s="5"/>
      <c s="5"/>
      <c s="5"/>
      <c s="5"/>
      <c s="5"/>
      <c s="5"/>
      <c s="5"/>
      <c s="5"/>
      <c s="5"/>
      <c s="5"/>
      <c s="5"/>
      <c s="5"/>
      <c s="5"/>
      <c s="5"/>
      <c s="5"/>
      <c s="5"/>
      <c s="5"/>
      <c s="5"/>
      <c s="5"/>
      <c s="5"/>
      <c s="5"/>
    </row>
    <row r="642" spans="1:26" ht="15.75">
      <c r="A642" s="5"/>
      <c s="5"/>
      <c s="5"/>
      <c s="5"/>
      <c s="5"/>
      <c s="5"/>
      <c s="5"/>
      <c s="5"/>
      <c s="5"/>
      <c s="5"/>
      <c s="5"/>
      <c s="5"/>
      <c s="5"/>
      <c s="5"/>
      <c s="5"/>
      <c s="5"/>
      <c s="5"/>
      <c s="5"/>
      <c s="5"/>
      <c s="5"/>
      <c s="5"/>
      <c s="5"/>
      <c s="5"/>
      <c s="5"/>
      <c s="5"/>
      <c s="5"/>
    </row>
    <row r="643" spans="1:26" ht="15.75">
      <c r="A643" s="5"/>
      <c s="5"/>
      <c s="5"/>
      <c s="5"/>
      <c s="5"/>
      <c s="5"/>
      <c s="5"/>
      <c s="5"/>
      <c s="5"/>
      <c s="5"/>
      <c s="5"/>
      <c s="5"/>
      <c s="5"/>
      <c s="5"/>
      <c s="5"/>
      <c s="5"/>
      <c s="5"/>
      <c s="5"/>
      <c s="5"/>
      <c s="5"/>
      <c s="5"/>
      <c s="5"/>
      <c s="5"/>
      <c s="5"/>
      <c s="5"/>
      <c s="5"/>
    </row>
    <row r="644" spans="1:26" ht="15.75">
      <c r="A644" s="5"/>
      <c s="5"/>
      <c s="5"/>
      <c s="5"/>
      <c s="5"/>
      <c s="5"/>
      <c s="5"/>
      <c s="5"/>
      <c s="5"/>
      <c s="5"/>
      <c s="5"/>
      <c s="5"/>
      <c s="5"/>
      <c s="5"/>
      <c s="5"/>
      <c s="5"/>
      <c s="5"/>
      <c s="5"/>
      <c s="5"/>
      <c s="5"/>
      <c s="5"/>
      <c s="5"/>
      <c s="5"/>
      <c s="5"/>
      <c s="5"/>
      <c s="5"/>
    </row>
    <row r="645" spans="1:26" ht="15.75">
      <c r="A645" s="5"/>
      <c s="5"/>
      <c s="5"/>
      <c s="5"/>
      <c s="5"/>
      <c s="5"/>
      <c s="5"/>
      <c s="5"/>
      <c s="5"/>
      <c s="5"/>
      <c s="5"/>
      <c s="5"/>
      <c s="5"/>
      <c s="5"/>
      <c s="5"/>
      <c s="5"/>
      <c s="5"/>
      <c s="5"/>
      <c s="5"/>
      <c s="5"/>
      <c s="5"/>
      <c s="5"/>
      <c s="5"/>
      <c s="5"/>
      <c s="5"/>
      <c s="5"/>
    </row>
    <row r="646" spans="1:26" ht="15.75">
      <c r="A646" s="5"/>
      <c s="5"/>
      <c s="5"/>
      <c s="5"/>
      <c s="5"/>
      <c s="5"/>
      <c s="5"/>
      <c s="5"/>
      <c s="5"/>
      <c s="5"/>
      <c s="5"/>
      <c s="5"/>
      <c s="5"/>
      <c s="5"/>
      <c s="5"/>
      <c s="5"/>
      <c s="5"/>
      <c s="5"/>
      <c s="5"/>
      <c s="5"/>
      <c s="5"/>
      <c s="5"/>
      <c s="5"/>
      <c s="5"/>
      <c s="5"/>
      <c s="5"/>
    </row>
    <row r="647" spans="1:26" ht="15.75">
      <c r="A647" s="5"/>
      <c s="5"/>
      <c s="5"/>
      <c s="5"/>
      <c s="5"/>
      <c s="5"/>
      <c s="5"/>
      <c s="5"/>
      <c s="5"/>
      <c s="5"/>
      <c s="5"/>
      <c s="5"/>
      <c s="5"/>
      <c s="5"/>
      <c s="5"/>
      <c s="5"/>
      <c s="5"/>
      <c s="5"/>
      <c s="5"/>
      <c s="5"/>
      <c s="5"/>
      <c s="5"/>
      <c s="5"/>
      <c s="5"/>
      <c s="5"/>
      <c s="5"/>
    </row>
    <row r="648" spans="1:26" ht="15.75">
      <c r="A648" s="5"/>
      <c s="5"/>
      <c s="5"/>
      <c s="5"/>
      <c s="5"/>
      <c s="5"/>
      <c s="5"/>
      <c s="5"/>
      <c s="5"/>
      <c s="5"/>
      <c s="5"/>
      <c s="5"/>
      <c s="5"/>
      <c s="5"/>
      <c s="5"/>
      <c s="5"/>
      <c s="5"/>
      <c s="5"/>
      <c s="5"/>
      <c s="5"/>
      <c s="5"/>
      <c s="5"/>
      <c s="5"/>
      <c s="5"/>
      <c s="5"/>
      <c s="5"/>
    </row>
    <row r="649" spans="1:26" ht="15.75">
      <c r="A649" s="5"/>
      <c s="5"/>
      <c s="5"/>
      <c s="5"/>
      <c s="5"/>
      <c s="5"/>
      <c s="5"/>
      <c s="5"/>
      <c s="5"/>
      <c s="5"/>
      <c s="5"/>
      <c s="5"/>
      <c s="5"/>
      <c s="5"/>
      <c s="5"/>
      <c s="5"/>
      <c s="5"/>
      <c s="5"/>
      <c s="5"/>
      <c s="5"/>
      <c s="5"/>
      <c s="5"/>
      <c s="5"/>
      <c s="5"/>
      <c s="5"/>
      <c s="5"/>
    </row>
    <row r="650" spans="1:26" ht="15.75">
      <c r="A650" s="5"/>
      <c s="5"/>
      <c s="5"/>
      <c s="5"/>
      <c s="5"/>
      <c s="5"/>
      <c s="5"/>
      <c s="5"/>
      <c s="5"/>
      <c s="5"/>
      <c s="5"/>
      <c s="5"/>
      <c s="5"/>
      <c s="5"/>
      <c s="5"/>
      <c s="5"/>
      <c s="5"/>
      <c s="5"/>
      <c s="5"/>
      <c s="5"/>
      <c s="5"/>
      <c s="5"/>
      <c s="5"/>
      <c s="5"/>
      <c s="5"/>
      <c s="5"/>
    </row>
    <row r="651" spans="1:26" ht="15.75">
      <c r="A651" s="5"/>
      <c s="5"/>
      <c s="5"/>
      <c s="5"/>
      <c s="5"/>
      <c s="5"/>
      <c s="5"/>
      <c s="5"/>
      <c s="5"/>
      <c s="5"/>
      <c s="5"/>
      <c s="5"/>
      <c s="5"/>
      <c s="5"/>
      <c s="5"/>
      <c s="5"/>
      <c s="5"/>
      <c s="5"/>
      <c s="5"/>
      <c s="5"/>
      <c s="5"/>
      <c s="5"/>
      <c s="5"/>
      <c s="5"/>
      <c s="5"/>
      <c s="5"/>
    </row>
    <row r="652" spans="1:26" ht="15.75">
      <c r="A652" s="5"/>
      <c s="5"/>
      <c s="5"/>
      <c s="5"/>
      <c s="5"/>
      <c s="5"/>
      <c s="5"/>
      <c s="5"/>
      <c s="5"/>
      <c s="5"/>
      <c s="5"/>
      <c s="5"/>
      <c s="5"/>
      <c s="5"/>
      <c s="5"/>
      <c s="5"/>
      <c s="5"/>
      <c s="5"/>
      <c s="5"/>
      <c s="5"/>
      <c s="5"/>
      <c s="5"/>
      <c s="5"/>
      <c s="5"/>
      <c s="5"/>
      <c s="5"/>
    </row>
    <row r="653" spans="1:26" ht="15.75">
      <c r="A653" s="5"/>
      <c s="5"/>
      <c s="5"/>
      <c s="5"/>
      <c s="5"/>
      <c s="5"/>
      <c s="5"/>
      <c s="5"/>
      <c s="5"/>
      <c s="5"/>
      <c s="5"/>
      <c s="5"/>
      <c s="5"/>
      <c s="5"/>
      <c s="5"/>
      <c s="5"/>
      <c s="5"/>
      <c s="5"/>
      <c s="5"/>
      <c s="5"/>
      <c s="5"/>
      <c s="5"/>
      <c s="5"/>
      <c s="5"/>
      <c s="5"/>
      <c s="5"/>
    </row>
    <row r="654" spans="1:26" ht="15.75">
      <c r="A654" s="5"/>
      <c s="5"/>
      <c s="5"/>
      <c s="5"/>
      <c s="5"/>
      <c s="5"/>
      <c s="5"/>
      <c s="5"/>
      <c s="5"/>
      <c s="5"/>
      <c s="5"/>
      <c s="5"/>
      <c s="5"/>
      <c s="5"/>
      <c s="5"/>
      <c s="5"/>
      <c s="5"/>
      <c s="5"/>
      <c s="5"/>
      <c s="5"/>
      <c s="5"/>
      <c s="5"/>
      <c s="5"/>
      <c s="5"/>
      <c s="5"/>
      <c s="5"/>
    </row>
    <row r="655" spans="1:26" ht="15.75">
      <c r="A655" s="5"/>
      <c s="5"/>
      <c s="5"/>
      <c s="5"/>
      <c s="5"/>
      <c s="5"/>
      <c s="5"/>
      <c s="5"/>
      <c s="5"/>
      <c s="5"/>
      <c s="5"/>
      <c s="5"/>
      <c s="5"/>
      <c s="5"/>
      <c s="5"/>
      <c s="5"/>
      <c s="5"/>
      <c s="5"/>
      <c s="5"/>
      <c s="5"/>
      <c s="5"/>
      <c s="5"/>
      <c s="5"/>
      <c s="5"/>
      <c s="5"/>
      <c s="5"/>
    </row>
    <row r="656" spans="1:26" ht="15.75">
      <c r="A656" s="5"/>
      <c s="5"/>
      <c s="5"/>
      <c s="5"/>
      <c s="5"/>
      <c s="5"/>
      <c s="5"/>
      <c s="5"/>
      <c s="5"/>
      <c s="5"/>
      <c s="5"/>
      <c s="5"/>
      <c s="5"/>
      <c s="5"/>
      <c s="5"/>
      <c s="5"/>
      <c s="5"/>
      <c s="5"/>
      <c s="5"/>
      <c s="5"/>
      <c s="5"/>
      <c s="5"/>
      <c s="5"/>
      <c s="5"/>
      <c s="5"/>
      <c s="5"/>
    </row>
    <row r="657" spans="1:26" ht="15.75">
      <c r="A657" s="5"/>
      <c s="5"/>
      <c s="5"/>
      <c s="5"/>
      <c s="5"/>
      <c s="5"/>
      <c s="5"/>
      <c s="5"/>
      <c s="5"/>
      <c s="5"/>
      <c s="5"/>
      <c s="5"/>
      <c s="5"/>
      <c s="5"/>
      <c s="5"/>
      <c s="5"/>
      <c s="5"/>
      <c s="5"/>
      <c s="5"/>
      <c s="5"/>
      <c s="5"/>
      <c s="5"/>
      <c s="5"/>
      <c s="5"/>
      <c s="5"/>
      <c s="5"/>
    </row>
    <row r="658" spans="1:26" ht="15.75">
      <c r="A658" s="5"/>
      <c s="5"/>
      <c s="5"/>
      <c s="5"/>
      <c s="5"/>
      <c s="5"/>
      <c s="5"/>
      <c s="5"/>
      <c s="5"/>
      <c s="5"/>
      <c s="5"/>
      <c s="5"/>
      <c s="5"/>
      <c s="5"/>
      <c s="5"/>
      <c s="5"/>
      <c s="5"/>
      <c s="5"/>
      <c s="5"/>
      <c s="5"/>
      <c s="5"/>
      <c s="5"/>
      <c s="5"/>
      <c s="5"/>
      <c s="5"/>
      <c s="5"/>
    </row>
    <row r="659" spans="1:26" ht="15.75">
      <c r="A659" s="5"/>
      <c s="5"/>
      <c s="5"/>
      <c s="5"/>
      <c s="5"/>
      <c s="5"/>
      <c s="5"/>
      <c s="5"/>
      <c s="5"/>
      <c s="5"/>
      <c s="5"/>
      <c s="5"/>
      <c s="5"/>
      <c s="5"/>
      <c s="5"/>
      <c s="5"/>
      <c s="5"/>
      <c s="5"/>
      <c s="5"/>
      <c s="5"/>
      <c s="5"/>
      <c s="5"/>
      <c s="5"/>
      <c s="5"/>
      <c s="5"/>
      <c s="5"/>
    </row>
    <row r="660" spans="1:26" ht="15.75">
      <c r="A660" s="5"/>
      <c s="5"/>
      <c s="5"/>
      <c s="5"/>
      <c s="5"/>
      <c s="5"/>
      <c s="5"/>
      <c s="5"/>
      <c s="5"/>
      <c s="5"/>
      <c s="5"/>
      <c s="5"/>
      <c s="5"/>
      <c s="5"/>
      <c s="5"/>
      <c s="5"/>
      <c s="5"/>
      <c s="5"/>
      <c s="5"/>
      <c s="5"/>
      <c s="5"/>
      <c s="5"/>
      <c s="5"/>
      <c s="5"/>
      <c s="5"/>
      <c s="5"/>
    </row>
    <row r="661" spans="1:26" ht="15.75">
      <c r="A661" s="5"/>
      <c s="5"/>
      <c s="5"/>
      <c s="5"/>
      <c s="5"/>
      <c s="5"/>
      <c s="5"/>
      <c s="5"/>
      <c s="5"/>
      <c s="5"/>
      <c s="5"/>
      <c s="5"/>
      <c s="5"/>
      <c s="5"/>
      <c s="5"/>
      <c s="5"/>
      <c s="5"/>
      <c s="5"/>
      <c s="5"/>
      <c s="5"/>
      <c s="5"/>
      <c s="5"/>
      <c s="5"/>
      <c s="5"/>
      <c s="5"/>
      <c s="5"/>
    </row>
    <row r="662" spans="1:26" ht="15.75">
      <c r="A662" s="5"/>
      <c s="5"/>
      <c s="5"/>
      <c s="5"/>
      <c s="5"/>
      <c s="5"/>
      <c s="5"/>
      <c s="5"/>
      <c s="5"/>
      <c s="5"/>
      <c s="5"/>
      <c s="5"/>
      <c s="5"/>
      <c s="5"/>
      <c s="5"/>
      <c s="5"/>
      <c s="5"/>
      <c s="5"/>
      <c s="5"/>
      <c s="5"/>
      <c s="5"/>
      <c s="5"/>
      <c s="5"/>
      <c s="5"/>
      <c s="5"/>
      <c s="5"/>
    </row>
    <row r="663" spans="1:26" ht="15.75">
      <c r="A663" s="5"/>
      <c s="5"/>
      <c s="5"/>
      <c s="5"/>
      <c s="5"/>
      <c s="5"/>
      <c s="5"/>
      <c s="5"/>
      <c s="5"/>
      <c s="5"/>
      <c s="5"/>
      <c s="5"/>
      <c s="5"/>
      <c s="5"/>
      <c s="5"/>
      <c s="5"/>
      <c s="5"/>
      <c s="5"/>
      <c s="5"/>
      <c s="5"/>
      <c s="5"/>
      <c s="5"/>
      <c s="5"/>
      <c s="5"/>
      <c s="5"/>
      <c s="5"/>
    </row>
    <row r="664" spans="1:26" ht="15.75">
      <c r="A664" s="5"/>
      <c s="5"/>
      <c s="5"/>
      <c s="5"/>
      <c s="5"/>
      <c s="5"/>
      <c s="5"/>
      <c s="5"/>
      <c s="5"/>
      <c s="5"/>
      <c s="5"/>
      <c s="5"/>
      <c s="5"/>
      <c s="5"/>
      <c s="5"/>
      <c s="5"/>
      <c s="5"/>
      <c s="5"/>
      <c s="5"/>
      <c s="5"/>
      <c s="5"/>
      <c s="5"/>
      <c s="5"/>
      <c s="5"/>
      <c s="5"/>
      <c s="5"/>
    </row>
    <row r="665" spans="1:26" ht="15.75">
      <c r="A665" s="5"/>
      <c s="5"/>
      <c s="5"/>
      <c s="5"/>
      <c s="5"/>
      <c s="5"/>
      <c s="5"/>
      <c s="5"/>
      <c s="5"/>
      <c s="5"/>
      <c s="5"/>
      <c s="5"/>
      <c s="5"/>
      <c s="5"/>
      <c s="5"/>
      <c s="5"/>
      <c s="5"/>
      <c s="5"/>
      <c s="5"/>
      <c s="5"/>
      <c s="5"/>
      <c s="5"/>
      <c s="5"/>
      <c s="5"/>
      <c s="5"/>
      <c s="5"/>
    </row>
    <row r="666" spans="1:26" ht="15.75">
      <c r="A666" s="5"/>
      <c s="5"/>
      <c s="5"/>
      <c s="5"/>
      <c s="5"/>
      <c s="5"/>
      <c s="5"/>
      <c s="5"/>
      <c s="5"/>
      <c s="5"/>
      <c s="5"/>
      <c s="5"/>
      <c s="5"/>
      <c s="5"/>
      <c s="5"/>
      <c s="5"/>
      <c s="5"/>
      <c s="5"/>
      <c s="5"/>
      <c s="5"/>
      <c s="5"/>
      <c s="5"/>
      <c s="5"/>
      <c s="5"/>
      <c s="5"/>
      <c s="5"/>
    </row>
    <row r="667" spans="1:26" ht="15.75">
      <c r="A667" s="5"/>
      <c s="5"/>
      <c s="5"/>
      <c s="5"/>
      <c s="5"/>
      <c s="5"/>
      <c s="5"/>
      <c s="5"/>
      <c s="5"/>
      <c s="5"/>
      <c s="5"/>
      <c s="5"/>
      <c s="5"/>
      <c s="5"/>
      <c s="5"/>
      <c s="5"/>
      <c s="5"/>
      <c s="5"/>
      <c s="5"/>
      <c s="5"/>
      <c s="5"/>
      <c s="5"/>
      <c s="5"/>
      <c s="5"/>
      <c s="5"/>
      <c s="5"/>
    </row>
    <row r="668" spans="1:26" ht="15.75">
      <c r="A668" s="5"/>
      <c s="5"/>
      <c s="5"/>
      <c s="5"/>
      <c s="5"/>
      <c s="5"/>
      <c s="5"/>
      <c s="5"/>
      <c s="5"/>
      <c s="5"/>
      <c s="5"/>
      <c s="5"/>
      <c s="5"/>
      <c s="5"/>
      <c s="5"/>
      <c s="5"/>
      <c s="5"/>
      <c s="5"/>
      <c s="5"/>
      <c s="5"/>
      <c s="5"/>
      <c s="5"/>
      <c s="5"/>
      <c s="5"/>
      <c s="5"/>
      <c s="5"/>
    </row>
    <row r="669" spans="1:26" ht="15.75">
      <c r="A669" s="5"/>
      <c s="5"/>
      <c s="5"/>
      <c s="5"/>
      <c s="5"/>
      <c s="5"/>
      <c s="5"/>
      <c s="5"/>
      <c s="5"/>
      <c s="5"/>
      <c s="5"/>
      <c s="5"/>
      <c s="5"/>
      <c s="5"/>
      <c s="5"/>
      <c s="5"/>
      <c s="5"/>
      <c s="5"/>
      <c s="5"/>
      <c s="5"/>
      <c s="5"/>
      <c s="5"/>
      <c s="5"/>
      <c s="5"/>
      <c s="5"/>
      <c s="5"/>
    </row>
    <row r="670" spans="1:26" ht="15.75">
      <c r="A670" s="5"/>
      <c s="5"/>
      <c s="5"/>
      <c s="5"/>
      <c s="5"/>
      <c s="5"/>
      <c s="5"/>
      <c s="5"/>
      <c s="5"/>
      <c s="5"/>
      <c s="5"/>
      <c s="5"/>
      <c s="5"/>
      <c s="5"/>
      <c s="5"/>
      <c s="5"/>
      <c s="5"/>
      <c s="5"/>
      <c s="5"/>
      <c s="5"/>
      <c s="5"/>
      <c s="5"/>
      <c s="5"/>
      <c s="5"/>
      <c s="5"/>
      <c s="5"/>
    </row>
    <row r="671" spans="1:26" ht="15.75">
      <c r="A671" s="5"/>
      <c s="5"/>
      <c s="5"/>
      <c s="5"/>
      <c s="5"/>
      <c s="5"/>
      <c s="5"/>
      <c s="5"/>
      <c s="5"/>
      <c s="5"/>
      <c s="5"/>
      <c s="5"/>
      <c s="5"/>
      <c s="5"/>
      <c s="5"/>
      <c s="5"/>
      <c s="5"/>
      <c s="5"/>
      <c s="5"/>
      <c s="5"/>
      <c s="5"/>
      <c s="5"/>
      <c s="5"/>
      <c s="5"/>
      <c s="5"/>
      <c s="5"/>
    </row>
    <row r="672" spans="1:26" ht="15.75">
      <c r="A672" s="5"/>
      <c s="5"/>
      <c s="5"/>
      <c s="5"/>
      <c s="5"/>
      <c s="5"/>
      <c s="5"/>
      <c s="5"/>
      <c s="5"/>
      <c s="5"/>
      <c s="5"/>
      <c s="5"/>
      <c s="5"/>
      <c s="5"/>
      <c s="5"/>
      <c s="5"/>
      <c s="5"/>
      <c s="5"/>
      <c s="5"/>
      <c s="5"/>
      <c s="5"/>
      <c s="5"/>
      <c s="5"/>
      <c s="5"/>
      <c s="5"/>
      <c s="5"/>
    </row>
    <row r="673" spans="1:26" ht="15.75">
      <c r="A673" s="5"/>
      <c s="5"/>
      <c s="5"/>
      <c s="5"/>
      <c s="5"/>
      <c s="5"/>
      <c s="5"/>
      <c s="5"/>
      <c s="5"/>
      <c s="5"/>
      <c s="5"/>
      <c s="5"/>
      <c s="5"/>
      <c s="5"/>
      <c s="5"/>
      <c s="5"/>
      <c s="5"/>
      <c s="5"/>
      <c s="5"/>
      <c s="5"/>
      <c s="5"/>
      <c s="5"/>
      <c s="5"/>
      <c s="5"/>
      <c s="5"/>
      <c s="5"/>
    </row>
    <row r="674" spans="1:26" ht="15.75">
      <c r="A674" s="5"/>
      <c s="5"/>
      <c s="5"/>
      <c s="5"/>
      <c s="5"/>
      <c s="5"/>
      <c s="5"/>
      <c s="5"/>
      <c s="5"/>
      <c s="5"/>
      <c s="5"/>
      <c s="5"/>
      <c s="5"/>
      <c s="5"/>
      <c s="5"/>
      <c s="5"/>
      <c s="5"/>
      <c s="5"/>
      <c s="5"/>
      <c s="5"/>
      <c s="5"/>
      <c s="5"/>
      <c s="5"/>
      <c s="5"/>
      <c s="5"/>
      <c s="5"/>
    </row>
    <row r="675" spans="1:26" ht="15.75">
      <c r="A675" s="5"/>
      <c s="5"/>
      <c s="5"/>
      <c s="5"/>
      <c s="5"/>
      <c s="5"/>
      <c s="5"/>
      <c s="5"/>
      <c s="5"/>
      <c s="5"/>
      <c s="5"/>
      <c s="5"/>
      <c s="5"/>
      <c s="5"/>
      <c s="5"/>
      <c s="5"/>
      <c s="5"/>
      <c s="5"/>
      <c s="5"/>
      <c s="5"/>
      <c s="5"/>
      <c s="5"/>
      <c s="5"/>
      <c s="5"/>
      <c s="5"/>
      <c s="5"/>
    </row>
    <row r="676" spans="1:26" ht="15.75">
      <c r="A676" s="5"/>
      <c s="5"/>
      <c s="5"/>
      <c s="5"/>
      <c s="5"/>
      <c s="5"/>
      <c s="5"/>
      <c s="5"/>
      <c s="5"/>
      <c s="5"/>
      <c s="5"/>
      <c s="5"/>
      <c s="5"/>
      <c s="5"/>
      <c s="5"/>
      <c s="5"/>
      <c s="5"/>
      <c s="5"/>
      <c s="5"/>
      <c s="5"/>
      <c s="5"/>
      <c s="5"/>
      <c s="5"/>
      <c s="5"/>
      <c s="5"/>
      <c s="5"/>
    </row>
    <row r="677" spans="1:26" ht="15.75">
      <c r="A677" s="5"/>
      <c s="5"/>
      <c s="5"/>
      <c s="5"/>
      <c s="5"/>
      <c s="5"/>
      <c s="5"/>
      <c s="5"/>
      <c s="5"/>
      <c s="5"/>
      <c s="5"/>
      <c s="5"/>
      <c s="5"/>
      <c s="5"/>
      <c s="5"/>
      <c s="5"/>
      <c s="5"/>
      <c s="5"/>
      <c s="5"/>
      <c s="5"/>
      <c s="5"/>
      <c s="5"/>
      <c s="5"/>
      <c s="5"/>
      <c s="5"/>
      <c s="5"/>
    </row>
    <row r="678" spans="1:26" ht="15.75">
      <c r="A678" s="5"/>
      <c s="5"/>
      <c s="5"/>
      <c s="5"/>
      <c s="5"/>
      <c s="5"/>
      <c s="5"/>
      <c s="5"/>
      <c s="5"/>
      <c s="5"/>
      <c s="5"/>
      <c s="5"/>
      <c s="5"/>
      <c s="5"/>
      <c s="5"/>
      <c s="5"/>
      <c s="5"/>
      <c s="5"/>
      <c s="5"/>
      <c s="5"/>
      <c s="5"/>
      <c s="5"/>
      <c s="5"/>
      <c s="5"/>
      <c s="5"/>
      <c s="5"/>
    </row>
    <row r="679" spans="1:26" ht="15.75">
      <c r="A679" s="5"/>
      <c s="5"/>
      <c s="5"/>
      <c s="5"/>
      <c s="5"/>
      <c s="5"/>
      <c s="5"/>
      <c s="5"/>
      <c s="5"/>
      <c s="5"/>
      <c s="5"/>
      <c s="5"/>
      <c s="5"/>
      <c s="5"/>
      <c s="5"/>
      <c s="5"/>
      <c s="5"/>
      <c s="5"/>
      <c s="5"/>
      <c s="5"/>
      <c s="5"/>
      <c s="5"/>
      <c s="5"/>
      <c s="5"/>
      <c s="5"/>
      <c s="5"/>
    </row>
    <row r="680" spans="1:26" ht="15.75">
      <c r="A680" s="5"/>
      <c s="5"/>
      <c s="5"/>
      <c s="5"/>
      <c s="5"/>
      <c s="5"/>
      <c s="5"/>
      <c s="5"/>
      <c s="5"/>
      <c s="5"/>
      <c s="5"/>
      <c s="5"/>
      <c s="5"/>
      <c s="5"/>
      <c s="5"/>
      <c s="5"/>
      <c s="5"/>
      <c s="5"/>
      <c s="5"/>
      <c s="5"/>
      <c s="5"/>
      <c s="5"/>
      <c s="5"/>
      <c s="5"/>
      <c s="5"/>
      <c s="5"/>
    </row>
    <row r="681" spans="1:26" ht="15.75">
      <c r="A681" s="5"/>
      <c s="5"/>
      <c s="5"/>
      <c s="5"/>
      <c s="5"/>
      <c s="5"/>
      <c s="5"/>
      <c s="5"/>
      <c s="5"/>
      <c s="5"/>
      <c s="5"/>
      <c s="5"/>
      <c s="5"/>
      <c s="5"/>
      <c s="5"/>
      <c s="5"/>
      <c s="5"/>
      <c s="5"/>
      <c s="5"/>
      <c s="5"/>
      <c s="5"/>
      <c s="5"/>
      <c s="5"/>
      <c s="5"/>
      <c s="5"/>
      <c s="5"/>
    </row>
    <row r="682" spans="1:26" ht="15.75">
      <c r="A682" s="5"/>
      <c s="5"/>
      <c s="5"/>
      <c s="5"/>
      <c s="5"/>
      <c s="5"/>
      <c s="5"/>
      <c s="5"/>
      <c s="5"/>
      <c s="5"/>
      <c s="5"/>
      <c s="5"/>
      <c s="5"/>
      <c s="5"/>
      <c s="5"/>
      <c s="5"/>
      <c s="5"/>
      <c s="5"/>
      <c s="5"/>
      <c s="5"/>
      <c s="5"/>
      <c s="5"/>
      <c s="5"/>
      <c s="5"/>
      <c s="5"/>
      <c s="5"/>
    </row>
    <row r="683" spans="1:26" ht="15.75">
      <c r="A683" s="5"/>
      <c s="5"/>
      <c s="5"/>
      <c s="5"/>
      <c s="5"/>
      <c s="5"/>
      <c s="5"/>
      <c s="5"/>
      <c s="5"/>
      <c s="5"/>
      <c s="5"/>
      <c s="5"/>
      <c s="5"/>
      <c s="5"/>
      <c s="5"/>
      <c s="5"/>
      <c s="5"/>
      <c s="5"/>
      <c s="5"/>
      <c s="5"/>
      <c s="5"/>
      <c s="5"/>
      <c s="5"/>
      <c s="5"/>
      <c s="5"/>
      <c s="5"/>
    </row>
    <row r="684" spans="1:26" ht="15.75">
      <c r="A684" s="5"/>
      <c s="5"/>
      <c s="5"/>
      <c s="5"/>
      <c s="5"/>
      <c s="5"/>
      <c s="5"/>
      <c s="5"/>
      <c s="5"/>
      <c s="5"/>
      <c s="5"/>
      <c s="5"/>
      <c s="5"/>
      <c s="5"/>
      <c s="5"/>
      <c s="5"/>
      <c s="5"/>
      <c s="5"/>
      <c s="5"/>
      <c s="5"/>
      <c s="5"/>
      <c s="5"/>
      <c s="5"/>
      <c s="5"/>
      <c s="5"/>
      <c s="5"/>
    </row>
    <row r="685" spans="1:26" ht="15.75">
      <c r="A685" s="5"/>
      <c s="5"/>
      <c s="5"/>
      <c s="5"/>
      <c s="5"/>
      <c s="5"/>
      <c s="5"/>
      <c s="5"/>
      <c s="5"/>
      <c s="5"/>
      <c s="5"/>
      <c s="5"/>
      <c s="5"/>
      <c s="5"/>
      <c s="5"/>
      <c s="5"/>
      <c s="5"/>
      <c s="5"/>
      <c s="5"/>
      <c s="5"/>
      <c s="5"/>
      <c s="5"/>
      <c s="5"/>
      <c s="5"/>
      <c s="5"/>
      <c s="5"/>
    </row>
    <row r="686" spans="1:26" ht="15.75">
      <c r="A686" s="5"/>
      <c s="5"/>
      <c s="5"/>
      <c s="5"/>
      <c s="5"/>
      <c s="5"/>
      <c s="5"/>
      <c s="5"/>
      <c s="5"/>
      <c s="5"/>
      <c s="5"/>
      <c s="5"/>
      <c s="5"/>
      <c s="5"/>
      <c s="5"/>
      <c s="5"/>
      <c s="5"/>
      <c s="5"/>
      <c s="5"/>
      <c s="5"/>
      <c s="5"/>
      <c s="5"/>
      <c s="5"/>
      <c s="5"/>
      <c s="5"/>
      <c s="5"/>
    </row>
    <row r="687" spans="1:26" ht="15.75">
      <c r="A687" s="5"/>
      <c s="5"/>
      <c s="5"/>
      <c s="5"/>
      <c s="5"/>
      <c s="5"/>
      <c s="5"/>
      <c s="5"/>
      <c s="5"/>
      <c s="5"/>
      <c s="5"/>
      <c s="5"/>
      <c s="5"/>
      <c s="5"/>
      <c s="5"/>
      <c s="5"/>
      <c s="5"/>
      <c s="5"/>
      <c s="5"/>
      <c s="5"/>
      <c s="5"/>
      <c s="5"/>
      <c s="5"/>
      <c s="5"/>
      <c s="5"/>
      <c s="5"/>
    </row>
    <row r="688" spans="1:26" ht="15.75">
      <c r="A688" s="5"/>
      <c s="5"/>
      <c s="5"/>
      <c s="5"/>
      <c s="5"/>
      <c s="5"/>
      <c s="5"/>
      <c s="5"/>
      <c s="5"/>
      <c s="5"/>
      <c s="5"/>
      <c s="5"/>
      <c s="5"/>
      <c s="5"/>
      <c s="5"/>
      <c s="5"/>
      <c s="5"/>
      <c s="5"/>
      <c s="5"/>
      <c s="5"/>
      <c s="5"/>
      <c s="5"/>
      <c s="5"/>
      <c s="5"/>
      <c s="5"/>
      <c s="5"/>
    </row>
    <row r="689" spans="1:26" ht="15.75">
      <c r="A689" s="5"/>
      <c s="5"/>
      <c s="5"/>
      <c s="5"/>
      <c s="5"/>
      <c s="5"/>
      <c s="5"/>
      <c s="5"/>
      <c s="5"/>
      <c s="5"/>
      <c s="5"/>
      <c s="5"/>
      <c s="5"/>
      <c s="5"/>
      <c s="5"/>
      <c s="5"/>
      <c s="5"/>
      <c s="5"/>
      <c s="5"/>
      <c s="5"/>
      <c s="5"/>
      <c s="5"/>
      <c s="5"/>
      <c s="5"/>
      <c s="5"/>
      <c s="5"/>
    </row>
    <row r="690" spans="1:26" ht="15.75">
      <c r="A690" s="5"/>
      <c s="5"/>
      <c s="5"/>
      <c s="5"/>
      <c s="5"/>
      <c s="5"/>
      <c s="5"/>
      <c s="5"/>
      <c s="5"/>
      <c s="5"/>
      <c s="5"/>
      <c s="5"/>
      <c s="5"/>
      <c s="5"/>
      <c s="5"/>
      <c s="5"/>
      <c s="5"/>
      <c s="5"/>
      <c s="5"/>
      <c s="5"/>
      <c s="5"/>
      <c s="5"/>
      <c s="5"/>
      <c s="5"/>
      <c s="5"/>
      <c s="5"/>
    </row>
    <row r="691" spans="1:26" ht="15.75">
      <c r="A691" s="5"/>
      <c s="5"/>
      <c s="5"/>
      <c s="5"/>
      <c s="5"/>
      <c s="5"/>
      <c s="5"/>
      <c s="5"/>
      <c s="5"/>
      <c s="5"/>
      <c s="5"/>
      <c s="5"/>
      <c s="5"/>
      <c s="5"/>
      <c s="5"/>
      <c s="5"/>
      <c s="5"/>
      <c s="5"/>
      <c s="5"/>
      <c s="5"/>
      <c s="5"/>
      <c s="5"/>
      <c s="5"/>
      <c s="5"/>
      <c s="5"/>
      <c s="5"/>
    </row>
    <row r="692" spans="1:26" ht="15.75">
      <c r="A692" s="5"/>
      <c s="5"/>
      <c s="5"/>
      <c s="5"/>
      <c s="5"/>
      <c s="5"/>
      <c s="5"/>
      <c s="5"/>
      <c s="5"/>
      <c s="5"/>
      <c s="5"/>
      <c s="5"/>
      <c s="5"/>
      <c s="5"/>
      <c s="5"/>
      <c s="5"/>
      <c s="5"/>
      <c s="5"/>
      <c s="5"/>
      <c s="5"/>
      <c s="5"/>
      <c s="5"/>
      <c s="5"/>
      <c s="5"/>
      <c s="5"/>
      <c s="5"/>
    </row>
    <row r="693" spans="1:26" ht="15.75">
      <c r="A693" s="5"/>
      <c s="5"/>
      <c s="5"/>
      <c s="5"/>
      <c s="5"/>
      <c s="5"/>
      <c s="5"/>
      <c s="5"/>
      <c s="5"/>
      <c s="5"/>
      <c s="5"/>
      <c s="5"/>
      <c s="5"/>
      <c s="5"/>
      <c s="5"/>
      <c s="5"/>
      <c s="5"/>
      <c s="5"/>
      <c s="5"/>
      <c s="5"/>
      <c s="5"/>
      <c s="5"/>
      <c s="5"/>
      <c s="5"/>
      <c s="5"/>
      <c s="5"/>
    </row>
    <row r="694" spans="1:26" ht="15.75">
      <c r="A694" s="5"/>
      <c s="5"/>
      <c s="5"/>
      <c s="5"/>
      <c s="5"/>
      <c s="5"/>
      <c s="5"/>
      <c s="5"/>
      <c s="5"/>
      <c s="5"/>
      <c s="5"/>
      <c s="5"/>
      <c s="5"/>
      <c s="5"/>
      <c s="5"/>
      <c s="5"/>
      <c s="5"/>
      <c s="5"/>
      <c s="5"/>
      <c s="5"/>
      <c s="5"/>
      <c s="5"/>
      <c s="5"/>
      <c s="5"/>
      <c s="5"/>
      <c s="5"/>
    </row>
    <row r="695" spans="1:26" ht="15.75">
      <c r="A695" s="5"/>
      <c s="5"/>
      <c s="5"/>
      <c s="5"/>
      <c s="5"/>
      <c s="5"/>
      <c s="5"/>
      <c s="5"/>
      <c s="5"/>
      <c s="5"/>
      <c s="5"/>
      <c s="5"/>
      <c s="5"/>
      <c s="5"/>
      <c s="5"/>
      <c s="5"/>
      <c s="5"/>
      <c s="5"/>
      <c s="5"/>
      <c s="5"/>
      <c s="5"/>
      <c s="5"/>
      <c s="5"/>
      <c s="5"/>
      <c s="5"/>
      <c s="5"/>
    </row>
    <row r="696" spans="1:26" ht="15.75">
      <c r="A696" s="5"/>
      <c s="5"/>
      <c s="5"/>
      <c s="5"/>
      <c s="5"/>
      <c s="5"/>
      <c s="5"/>
      <c s="5"/>
      <c s="5"/>
      <c s="5"/>
      <c s="5"/>
      <c s="5"/>
      <c s="5"/>
      <c s="5"/>
      <c s="5"/>
      <c s="5"/>
      <c s="5"/>
      <c s="5"/>
      <c s="5"/>
      <c s="5"/>
      <c s="5"/>
      <c s="5"/>
      <c s="5"/>
      <c s="5"/>
      <c s="5"/>
      <c s="5"/>
    </row>
    <row r="697" spans="1:26" ht="15.75">
      <c r="A697" s="5"/>
      <c s="5"/>
      <c s="5"/>
      <c s="5"/>
      <c s="5"/>
      <c s="5"/>
      <c s="5"/>
      <c s="5"/>
      <c s="5"/>
      <c s="5"/>
      <c s="5"/>
      <c s="5"/>
      <c s="5"/>
      <c s="5"/>
      <c s="5"/>
      <c s="5"/>
      <c s="5"/>
      <c s="5"/>
      <c s="5"/>
      <c s="5"/>
      <c s="5"/>
      <c s="5"/>
      <c s="5"/>
      <c s="5"/>
      <c s="5"/>
      <c s="5"/>
    </row>
    <row r="698" spans="1:26" ht="15.75">
      <c r="A698" s="5"/>
      <c s="5"/>
      <c s="5"/>
      <c s="5"/>
      <c s="5"/>
      <c s="5"/>
      <c s="5"/>
      <c s="5"/>
      <c s="5"/>
      <c s="5"/>
      <c s="5"/>
      <c s="5"/>
      <c s="5"/>
      <c s="5"/>
      <c s="5"/>
      <c s="5"/>
      <c s="5"/>
      <c s="5"/>
      <c s="5"/>
      <c s="5"/>
      <c s="5"/>
      <c s="5"/>
      <c s="5"/>
      <c s="5"/>
      <c s="5"/>
      <c s="5"/>
    </row>
    <row r="699" spans="1:26" ht="15.75">
      <c r="A699" s="5"/>
      <c s="5"/>
      <c s="5"/>
      <c s="5"/>
      <c s="5"/>
      <c s="5"/>
      <c s="5"/>
      <c s="5"/>
      <c s="5"/>
      <c s="5"/>
      <c s="5"/>
      <c s="5"/>
      <c s="5"/>
      <c s="5"/>
      <c s="5"/>
      <c s="5"/>
      <c s="5"/>
      <c s="5"/>
      <c s="5"/>
      <c s="5"/>
      <c s="5"/>
      <c s="5"/>
      <c s="5"/>
      <c s="5"/>
      <c s="5"/>
      <c s="5"/>
    </row>
    <row r="700" spans="1:26" ht="15.75">
      <c r="A700" s="5"/>
      <c s="5"/>
      <c s="5"/>
      <c s="5"/>
      <c s="5"/>
      <c s="5"/>
      <c s="5"/>
      <c s="5"/>
      <c s="5"/>
      <c s="5"/>
      <c s="5"/>
      <c s="5"/>
      <c s="5"/>
      <c s="5"/>
      <c s="5"/>
      <c s="5"/>
      <c s="5"/>
      <c s="5"/>
      <c s="5"/>
      <c s="5"/>
      <c s="5"/>
      <c s="5"/>
      <c s="5"/>
      <c s="5"/>
      <c s="5"/>
      <c s="5"/>
    </row>
    <row r="701" spans="1:26" ht="15.75">
      <c r="A701" s="5"/>
      <c s="5"/>
      <c s="5"/>
      <c s="5"/>
      <c s="5"/>
      <c s="5"/>
      <c s="5"/>
      <c s="5"/>
      <c s="5"/>
      <c s="5"/>
      <c s="5"/>
      <c s="5"/>
      <c s="5"/>
      <c s="5"/>
      <c s="5"/>
      <c s="5"/>
      <c s="5"/>
      <c s="5"/>
      <c s="5"/>
      <c s="5"/>
      <c s="5"/>
      <c s="5"/>
      <c s="5"/>
      <c s="5"/>
      <c s="5"/>
      <c s="5"/>
    </row>
    <row r="702" spans="1:26" ht="15.75">
      <c r="A702" s="5"/>
      <c s="5"/>
      <c s="5"/>
      <c s="5"/>
      <c s="5"/>
      <c s="5"/>
      <c s="5"/>
      <c s="5"/>
      <c s="5"/>
      <c s="5"/>
      <c s="5"/>
      <c s="5"/>
      <c s="5"/>
      <c s="5"/>
      <c s="5"/>
      <c s="5"/>
      <c s="5"/>
      <c s="5"/>
      <c s="5"/>
      <c s="5"/>
      <c s="5"/>
      <c s="5"/>
      <c s="5"/>
      <c s="5"/>
      <c s="5"/>
      <c s="5"/>
    </row>
    <row r="703" spans="1:26" ht="15.75">
      <c r="A703" s="5"/>
      <c s="5"/>
      <c s="5"/>
      <c s="5"/>
      <c s="5"/>
      <c s="5"/>
      <c s="5"/>
      <c s="5"/>
      <c s="5"/>
      <c s="5"/>
      <c s="5"/>
      <c s="5"/>
      <c s="5"/>
      <c s="5"/>
      <c s="5"/>
      <c s="5"/>
      <c s="5"/>
      <c s="5"/>
      <c s="5"/>
      <c s="5"/>
      <c s="5"/>
      <c s="5"/>
      <c s="5"/>
      <c s="5"/>
      <c s="5"/>
      <c s="5"/>
    </row>
    <row r="704" spans="1:26" ht="15.75">
      <c r="A704" s="5"/>
      <c s="5"/>
      <c s="5"/>
      <c s="5"/>
      <c s="5"/>
      <c s="5"/>
      <c s="5"/>
      <c s="5"/>
      <c s="5"/>
      <c s="5"/>
      <c s="5"/>
      <c s="5"/>
      <c s="5"/>
      <c s="5"/>
      <c s="5"/>
      <c s="5"/>
      <c s="5"/>
      <c s="5"/>
      <c s="5"/>
      <c s="5"/>
      <c s="5"/>
      <c s="5"/>
      <c s="5"/>
      <c s="5"/>
      <c s="5"/>
      <c s="5"/>
    </row>
    <row r="705" spans="1:26" ht="15.75">
      <c r="A705" s="5"/>
      <c s="5"/>
      <c s="5"/>
      <c s="5"/>
      <c s="5"/>
      <c s="5"/>
      <c s="5"/>
      <c s="5"/>
      <c s="5"/>
      <c s="5"/>
      <c s="5"/>
      <c s="5"/>
      <c s="5"/>
      <c s="5"/>
      <c s="5"/>
      <c s="5"/>
      <c s="5"/>
      <c s="5"/>
      <c s="5"/>
      <c s="5"/>
      <c s="5"/>
      <c s="5"/>
      <c s="5"/>
      <c s="5"/>
      <c s="5"/>
      <c s="5"/>
    </row>
    <row r="706" spans="1:26" ht="15.75">
      <c r="A706" s="5"/>
      <c s="5"/>
      <c s="5"/>
      <c s="5"/>
      <c s="5"/>
      <c s="5"/>
      <c s="5"/>
      <c s="5"/>
      <c s="5"/>
      <c s="5"/>
      <c s="5"/>
      <c s="5"/>
      <c s="5"/>
      <c s="5"/>
      <c s="5"/>
      <c s="5"/>
      <c s="5"/>
      <c s="5"/>
      <c s="5"/>
      <c s="5"/>
      <c s="5"/>
      <c s="5"/>
      <c s="5"/>
      <c s="5"/>
      <c s="5"/>
      <c s="5"/>
    </row>
    <row r="707" spans="1:26" ht="15.75">
      <c r="A707" s="5"/>
      <c s="5"/>
      <c s="5"/>
      <c s="5"/>
      <c s="5"/>
      <c s="5"/>
      <c s="5"/>
      <c s="5"/>
      <c s="5"/>
      <c s="5"/>
      <c s="5"/>
      <c s="5"/>
      <c s="5"/>
      <c s="5"/>
      <c s="5"/>
      <c s="5"/>
      <c s="5"/>
      <c s="5"/>
      <c s="5"/>
      <c s="5"/>
      <c s="5"/>
      <c s="5"/>
      <c s="5"/>
      <c s="5"/>
      <c s="5"/>
      <c s="5"/>
    </row>
    <row r="708" spans="1:26" ht="15.75">
      <c r="A708" s="5"/>
      <c s="5"/>
      <c s="5"/>
      <c s="5"/>
      <c s="5"/>
      <c s="5"/>
      <c s="5"/>
      <c s="5"/>
      <c s="5"/>
      <c s="5"/>
      <c s="5"/>
      <c s="5"/>
      <c s="5"/>
      <c s="5"/>
      <c s="5"/>
      <c s="5"/>
      <c s="5"/>
      <c s="5"/>
      <c s="5"/>
      <c s="5"/>
      <c s="5"/>
      <c s="5"/>
      <c s="5"/>
      <c s="5"/>
      <c s="5"/>
      <c s="5"/>
    </row>
    <row r="709" spans="1:26" ht="15.75">
      <c r="A709" s="5"/>
      <c s="5"/>
      <c s="5"/>
      <c s="5"/>
      <c s="5"/>
      <c s="5"/>
      <c s="5"/>
      <c s="5"/>
      <c s="5"/>
      <c s="5"/>
      <c s="5"/>
      <c s="5"/>
      <c s="5"/>
      <c s="5"/>
      <c s="5"/>
      <c s="5"/>
      <c s="5"/>
      <c s="5"/>
      <c s="5"/>
      <c s="5"/>
      <c s="5"/>
      <c s="5"/>
      <c s="5"/>
      <c s="5"/>
      <c s="5"/>
      <c s="5"/>
    </row>
    <row r="710" spans="1:26" ht="15.75">
      <c r="A710" s="5"/>
      <c s="5"/>
      <c s="5"/>
      <c s="5"/>
      <c s="5"/>
      <c s="5"/>
      <c s="5"/>
      <c s="5"/>
      <c s="5"/>
      <c s="5"/>
      <c s="5"/>
      <c s="5"/>
      <c s="5"/>
      <c s="5"/>
      <c s="5"/>
      <c s="5"/>
      <c s="5"/>
      <c s="5"/>
      <c s="5"/>
      <c s="5"/>
      <c s="5"/>
      <c s="5"/>
      <c s="5"/>
      <c s="5"/>
      <c s="5"/>
      <c s="5"/>
    </row>
    <row r="711" spans="1:26" ht="15.75">
      <c r="A711" s="5"/>
      <c s="5"/>
      <c s="5"/>
      <c s="5"/>
      <c s="5"/>
      <c s="5"/>
      <c s="5"/>
      <c s="5"/>
      <c s="5"/>
      <c s="5"/>
      <c s="5"/>
      <c s="5"/>
      <c s="5"/>
      <c s="5"/>
      <c s="5"/>
      <c s="5"/>
      <c s="5"/>
      <c s="5"/>
      <c s="5"/>
      <c s="5"/>
      <c s="5"/>
      <c s="5"/>
      <c s="5"/>
      <c s="5"/>
      <c s="5"/>
      <c s="5"/>
    </row>
    <row r="712" spans="1:26" ht="15.75">
      <c r="A712" s="5"/>
      <c s="5"/>
      <c s="5"/>
      <c s="5"/>
      <c s="5"/>
      <c s="5"/>
      <c s="5"/>
      <c s="5"/>
      <c s="5"/>
      <c s="5"/>
      <c s="5"/>
      <c s="5"/>
      <c s="5"/>
      <c s="5"/>
      <c s="5"/>
      <c s="5"/>
      <c s="5"/>
      <c s="5"/>
      <c s="5"/>
      <c s="5"/>
      <c s="5"/>
      <c s="5"/>
      <c s="5"/>
      <c s="5"/>
      <c s="5"/>
      <c s="5"/>
    </row>
    <row r="713" spans="1:26" ht="15.75">
      <c r="A713" s="5"/>
      <c s="5"/>
      <c s="5"/>
      <c s="5"/>
      <c s="5"/>
      <c s="5"/>
      <c s="5"/>
      <c s="5"/>
      <c s="5"/>
      <c s="5"/>
      <c s="5"/>
      <c s="5"/>
      <c s="5"/>
      <c s="5"/>
      <c s="5"/>
      <c s="5"/>
      <c s="5"/>
      <c s="5"/>
      <c s="5"/>
      <c s="5"/>
      <c s="5"/>
      <c s="5"/>
      <c s="5"/>
      <c s="5"/>
      <c s="5"/>
      <c s="5"/>
    </row>
    <row r="714" spans="1:26" ht="15.75">
      <c r="A714" s="5"/>
      <c s="5"/>
      <c s="5"/>
      <c s="5"/>
      <c s="5"/>
      <c s="5"/>
      <c s="5"/>
      <c s="5"/>
      <c s="5"/>
      <c s="5"/>
      <c s="5"/>
      <c s="5"/>
      <c s="5"/>
      <c s="5"/>
      <c s="5"/>
      <c s="5"/>
      <c s="5"/>
      <c s="5"/>
      <c s="5"/>
      <c s="5"/>
      <c s="5"/>
      <c s="5"/>
      <c s="5"/>
      <c s="5"/>
      <c s="5"/>
      <c s="5"/>
    </row>
    <row r="715" spans="1:26" ht="15.75">
      <c r="A715" s="5"/>
      <c s="5"/>
      <c s="5"/>
      <c s="5"/>
      <c s="5"/>
      <c s="5"/>
      <c s="5"/>
      <c s="5"/>
      <c s="5"/>
      <c s="5"/>
      <c s="5"/>
      <c s="5"/>
      <c s="5"/>
      <c s="5"/>
      <c s="5"/>
      <c s="5"/>
      <c s="5"/>
      <c s="5"/>
      <c s="5"/>
      <c s="5"/>
      <c s="5"/>
      <c s="5"/>
      <c s="5"/>
      <c s="5"/>
      <c s="5"/>
      <c s="5"/>
    </row>
    <row r="716" spans="1:26" ht="15.75">
      <c r="A716" s="5"/>
      <c s="5"/>
      <c s="5"/>
      <c s="5"/>
      <c s="5"/>
      <c s="5"/>
      <c s="5"/>
      <c s="5"/>
      <c s="5"/>
      <c s="5"/>
      <c s="5"/>
      <c s="5"/>
      <c s="5"/>
      <c s="5"/>
      <c s="5"/>
      <c s="5"/>
      <c s="5"/>
      <c s="5"/>
      <c s="5"/>
      <c s="5"/>
      <c s="5"/>
      <c s="5"/>
      <c s="5"/>
      <c s="5"/>
      <c s="5"/>
      <c s="5"/>
    </row>
    <row r="717" spans="1:26" ht="15.75">
      <c r="A717" s="5"/>
      <c s="5"/>
      <c s="5"/>
      <c s="5"/>
      <c s="5"/>
      <c s="5"/>
      <c s="5"/>
      <c s="5"/>
      <c s="5"/>
      <c s="5"/>
      <c s="5"/>
      <c s="5"/>
      <c s="5"/>
      <c s="5"/>
      <c s="5"/>
      <c s="5"/>
      <c s="5"/>
      <c s="5"/>
      <c s="5"/>
      <c s="5"/>
      <c s="5"/>
      <c s="5"/>
      <c s="5"/>
      <c s="5"/>
      <c s="5"/>
      <c s="5"/>
    </row>
    <row r="718" spans="1:26" ht="15.75">
      <c r="A718" s="5"/>
      <c s="5"/>
      <c s="5"/>
      <c s="5"/>
      <c s="5"/>
      <c s="5"/>
      <c s="5"/>
      <c s="5"/>
      <c s="5"/>
      <c s="5"/>
      <c s="5"/>
      <c s="5"/>
      <c s="5"/>
      <c s="5"/>
      <c s="5"/>
      <c s="5"/>
      <c s="5"/>
      <c s="5"/>
      <c s="5"/>
      <c s="5"/>
      <c s="5"/>
      <c s="5"/>
      <c s="5"/>
      <c s="5"/>
      <c s="5"/>
      <c s="5"/>
    </row>
    <row r="719" spans="1:26" ht="15.75">
      <c r="A719" s="5"/>
      <c s="5"/>
      <c s="5"/>
      <c s="5"/>
      <c s="5"/>
      <c s="5"/>
      <c s="5"/>
      <c s="5"/>
      <c s="5"/>
      <c s="5"/>
      <c s="5"/>
      <c s="5"/>
      <c s="5"/>
      <c s="5"/>
      <c s="5"/>
      <c s="5"/>
      <c s="5"/>
      <c s="5"/>
      <c s="5"/>
      <c s="5"/>
      <c s="5"/>
      <c s="5"/>
      <c s="5"/>
      <c s="5"/>
      <c s="5"/>
      <c s="5"/>
    </row>
    <row r="720" spans="1:26" ht="15.75">
      <c r="A720" s="5"/>
      <c s="5"/>
      <c s="5"/>
      <c s="5"/>
      <c s="5"/>
      <c s="5"/>
      <c s="5"/>
      <c s="5"/>
      <c s="5"/>
      <c s="5"/>
      <c s="5"/>
      <c s="5"/>
      <c s="5"/>
      <c s="5"/>
      <c s="5"/>
      <c s="5"/>
      <c s="5"/>
      <c s="5"/>
      <c s="5"/>
      <c s="5"/>
      <c s="5"/>
      <c s="5"/>
      <c s="5"/>
      <c s="5"/>
      <c s="5"/>
      <c s="5"/>
    </row>
    <row r="721" spans="1:26" ht="15.75">
      <c r="A721" s="5"/>
      <c s="5"/>
      <c s="5"/>
      <c s="5"/>
      <c s="5"/>
      <c s="5"/>
      <c s="5"/>
      <c s="5"/>
      <c s="5"/>
      <c s="5"/>
      <c s="5"/>
      <c s="5"/>
      <c s="5"/>
      <c s="5"/>
      <c s="5"/>
      <c s="5"/>
      <c s="5"/>
      <c s="5"/>
      <c s="5"/>
      <c s="5"/>
      <c s="5"/>
      <c s="5"/>
      <c s="5"/>
      <c s="5"/>
      <c s="5"/>
      <c s="5"/>
    </row>
    <row r="722" spans="1:26" ht="15.75">
      <c r="A722" s="5"/>
      <c s="5"/>
      <c s="5"/>
      <c s="5"/>
      <c s="5"/>
      <c s="5"/>
      <c s="5"/>
      <c s="5"/>
      <c s="5"/>
      <c s="5"/>
      <c s="5"/>
      <c s="5"/>
      <c s="5"/>
      <c s="5"/>
      <c s="5"/>
      <c s="5"/>
      <c s="5"/>
      <c s="5"/>
      <c s="5"/>
      <c s="5"/>
      <c s="5"/>
      <c s="5"/>
      <c s="5"/>
      <c s="5"/>
      <c s="5"/>
      <c s="5"/>
    </row>
    <row r="723" spans="1:26" ht="15.75">
      <c r="A723" s="5"/>
      <c s="5"/>
      <c s="5"/>
      <c s="5"/>
      <c s="5"/>
      <c s="5"/>
      <c s="5"/>
      <c s="5"/>
      <c s="5"/>
      <c s="5"/>
      <c s="5"/>
      <c s="5"/>
      <c s="5"/>
      <c s="5"/>
      <c s="5"/>
      <c s="5"/>
      <c s="5"/>
      <c s="5"/>
      <c s="5"/>
      <c s="5"/>
      <c s="5"/>
      <c s="5"/>
      <c s="5"/>
      <c s="5"/>
      <c s="5"/>
      <c s="5"/>
    </row>
    <row r="724" spans="1:26" ht="15.75">
      <c r="A724" s="5"/>
      <c s="5"/>
      <c s="5"/>
      <c s="5"/>
      <c s="5"/>
      <c s="5"/>
      <c s="5"/>
      <c s="5"/>
      <c s="5"/>
      <c s="5"/>
      <c s="5"/>
      <c s="5"/>
      <c s="5"/>
      <c s="5"/>
      <c s="5"/>
      <c s="5"/>
      <c s="5"/>
      <c s="5"/>
      <c s="5"/>
      <c s="5"/>
      <c s="5"/>
      <c s="5"/>
      <c s="5"/>
      <c s="5"/>
      <c s="5"/>
      <c s="5"/>
    </row>
    <row r="725" spans="1:26" ht="15.75">
      <c r="A725" s="5"/>
      <c s="5"/>
      <c s="5"/>
      <c s="5"/>
      <c s="5"/>
      <c s="5"/>
      <c s="5"/>
      <c s="5"/>
      <c s="5"/>
      <c s="5"/>
      <c s="5"/>
      <c s="5"/>
      <c s="5"/>
      <c s="5"/>
      <c s="5"/>
      <c s="5"/>
      <c s="5"/>
      <c s="5"/>
      <c s="5"/>
      <c s="5"/>
      <c s="5"/>
      <c s="5"/>
      <c s="5"/>
      <c s="5"/>
      <c s="5"/>
      <c s="5"/>
    </row>
    <row r="726" spans="1:26" ht="15.75">
      <c r="A726" s="5"/>
      <c s="5"/>
      <c s="5"/>
      <c s="5"/>
      <c s="5"/>
      <c s="5"/>
      <c s="5"/>
      <c s="5"/>
      <c s="5"/>
      <c s="5"/>
      <c s="5"/>
      <c s="5"/>
      <c s="5"/>
      <c s="5"/>
      <c s="5"/>
      <c s="5"/>
      <c s="5"/>
      <c s="5"/>
      <c s="5"/>
      <c s="5"/>
      <c s="5"/>
      <c s="5"/>
      <c s="5"/>
      <c s="5"/>
      <c s="5"/>
      <c s="5"/>
    </row>
    <row r="727" spans="1:26" ht="15.75">
      <c r="A727" s="5"/>
      <c s="5"/>
      <c s="5"/>
      <c s="5"/>
      <c s="5"/>
      <c s="5"/>
      <c s="5"/>
      <c s="5"/>
      <c s="5"/>
      <c s="5"/>
      <c s="5"/>
      <c s="5"/>
      <c s="5"/>
      <c s="5"/>
      <c s="5"/>
      <c s="5"/>
      <c s="5"/>
      <c s="5"/>
      <c s="5"/>
      <c s="5"/>
      <c s="5"/>
      <c s="5"/>
      <c s="5"/>
      <c s="5"/>
      <c s="5"/>
      <c s="5"/>
    </row>
    <row r="728" spans="1:26" ht="15.75">
      <c r="A728" s="5"/>
      <c s="5"/>
      <c s="5"/>
      <c s="5"/>
      <c s="5"/>
      <c s="5"/>
      <c s="5"/>
      <c s="5"/>
      <c s="5"/>
      <c s="5"/>
      <c s="5"/>
      <c s="5"/>
      <c s="5"/>
      <c s="5"/>
      <c s="5"/>
      <c s="5"/>
      <c s="5"/>
      <c s="5"/>
      <c s="5"/>
      <c s="5"/>
      <c s="5"/>
      <c s="5"/>
      <c s="5"/>
      <c s="5"/>
      <c s="5"/>
      <c s="5"/>
    </row>
    <row r="729" spans="1:26" ht="15.75">
      <c r="A729" s="5"/>
      <c s="5"/>
      <c s="5"/>
      <c s="5"/>
      <c s="5"/>
      <c s="5"/>
      <c s="5"/>
      <c s="5"/>
      <c s="5"/>
      <c s="5"/>
      <c s="5"/>
      <c s="5"/>
      <c s="5"/>
      <c s="5"/>
      <c s="5"/>
      <c s="5"/>
      <c s="5"/>
      <c s="5"/>
      <c s="5"/>
      <c s="5"/>
      <c s="5"/>
      <c s="5"/>
      <c s="5"/>
      <c s="5"/>
      <c s="5"/>
      <c s="5"/>
    </row>
    <row r="730" spans="1:26" ht="15.75">
      <c r="A730" s="5"/>
      <c s="5"/>
      <c s="5"/>
      <c s="5"/>
      <c s="5"/>
      <c s="5"/>
      <c s="5"/>
      <c s="5"/>
      <c s="5"/>
      <c s="5"/>
      <c s="5"/>
      <c s="5"/>
      <c s="5"/>
      <c s="5"/>
      <c s="5"/>
      <c s="5"/>
      <c s="5"/>
      <c s="5"/>
      <c s="5"/>
      <c s="5"/>
      <c s="5"/>
      <c s="5"/>
      <c s="5"/>
      <c s="5"/>
      <c s="5"/>
      <c s="5"/>
    </row>
    <row r="731" spans="1:26" ht="15.75">
      <c r="A731" s="5"/>
      <c s="5"/>
      <c s="5"/>
      <c s="5"/>
      <c s="5"/>
      <c s="5"/>
      <c s="5"/>
      <c s="5"/>
      <c s="5"/>
      <c s="5"/>
      <c s="5"/>
      <c s="5"/>
      <c s="5"/>
      <c s="5"/>
      <c s="5"/>
      <c s="5"/>
      <c s="5"/>
      <c s="5"/>
      <c s="5"/>
      <c s="5"/>
      <c s="5"/>
      <c s="5"/>
      <c s="5"/>
      <c s="5"/>
      <c s="5"/>
      <c s="5"/>
    </row>
    <row r="732" spans="1:26" ht="15.75">
      <c r="A732" s="5"/>
      <c s="5"/>
      <c s="5"/>
      <c s="5"/>
      <c s="5"/>
      <c s="5"/>
      <c s="5"/>
      <c s="5"/>
      <c s="5"/>
      <c s="5"/>
      <c s="5"/>
      <c s="5"/>
      <c s="5"/>
      <c s="5"/>
      <c s="5"/>
      <c s="5"/>
      <c s="5"/>
      <c s="5"/>
      <c s="5"/>
      <c s="5"/>
      <c s="5"/>
      <c s="5"/>
      <c s="5"/>
      <c s="5"/>
      <c s="5"/>
      <c s="5"/>
    </row>
    <row r="733" spans="1:26" ht="15.75">
      <c r="A733" s="5"/>
      <c s="5"/>
      <c s="5"/>
      <c s="5"/>
      <c s="5"/>
      <c s="5"/>
      <c s="5"/>
      <c s="5"/>
      <c s="5"/>
      <c s="5"/>
      <c s="5"/>
      <c s="5"/>
      <c s="5"/>
      <c s="5"/>
      <c s="5"/>
      <c s="5"/>
      <c s="5"/>
      <c s="5"/>
      <c s="5"/>
      <c s="5"/>
      <c s="5"/>
      <c s="5"/>
      <c s="5"/>
      <c s="5"/>
      <c s="5"/>
      <c s="5"/>
    </row>
    <row r="734" spans="1:26" ht="15.75">
      <c r="A734" s="5"/>
      <c s="5"/>
      <c s="5"/>
      <c s="5"/>
      <c s="5"/>
      <c s="5"/>
      <c s="5"/>
      <c s="5"/>
      <c s="5"/>
      <c s="5"/>
      <c s="5"/>
      <c s="5"/>
      <c s="5"/>
      <c s="5"/>
      <c s="5"/>
      <c s="5"/>
      <c s="5"/>
      <c s="5"/>
      <c s="5"/>
      <c s="5"/>
      <c s="5"/>
      <c s="5"/>
      <c s="5"/>
      <c s="5"/>
      <c s="5"/>
      <c s="5"/>
    </row>
    <row r="735" spans="1:26" ht="15.75">
      <c r="A735" s="5"/>
      <c s="5"/>
      <c s="5"/>
      <c s="5"/>
      <c s="5"/>
      <c s="5"/>
      <c s="5"/>
      <c s="5"/>
      <c s="5"/>
      <c s="5"/>
      <c s="5"/>
      <c s="5"/>
      <c s="5"/>
      <c s="5"/>
      <c s="5"/>
      <c s="5"/>
      <c s="5"/>
      <c s="5"/>
      <c s="5"/>
      <c s="5"/>
      <c s="5"/>
      <c s="5"/>
      <c s="5"/>
      <c s="5"/>
      <c s="5"/>
      <c s="5"/>
    </row>
    <row r="736" spans="1:26" ht="15.75">
      <c r="A736" s="5"/>
      <c s="5"/>
      <c s="5"/>
      <c s="5"/>
      <c s="5"/>
      <c s="5"/>
      <c s="5"/>
      <c s="5"/>
      <c s="5"/>
      <c s="5"/>
      <c s="5"/>
      <c s="5"/>
      <c s="5"/>
      <c s="5"/>
      <c s="5"/>
      <c s="5"/>
      <c s="5"/>
      <c s="5"/>
      <c s="5"/>
      <c s="5"/>
      <c s="5"/>
      <c s="5"/>
      <c s="5"/>
      <c s="5"/>
      <c s="5"/>
      <c s="5"/>
    </row>
    <row r="737" spans="1:26" ht="15.75">
      <c r="A737" s="5"/>
      <c s="5"/>
      <c s="5"/>
      <c s="5"/>
      <c s="5"/>
      <c s="5"/>
      <c s="5"/>
      <c s="5"/>
      <c s="5"/>
      <c s="5"/>
      <c s="5"/>
      <c s="5"/>
      <c s="5"/>
      <c s="5"/>
      <c s="5"/>
      <c s="5"/>
      <c s="5"/>
      <c s="5"/>
      <c s="5"/>
      <c s="5"/>
      <c s="5"/>
      <c s="5"/>
      <c s="5"/>
      <c s="5"/>
      <c s="5"/>
      <c s="5"/>
    </row>
    <row r="738" spans="1:26" ht="15.75">
      <c r="A738" s="5"/>
      <c s="5"/>
      <c s="5"/>
      <c s="5"/>
      <c s="5"/>
      <c s="5"/>
      <c s="5"/>
      <c s="5"/>
      <c s="5"/>
      <c s="5"/>
      <c s="5"/>
      <c s="5"/>
      <c s="5"/>
      <c s="5"/>
      <c s="5"/>
      <c s="5"/>
      <c s="5"/>
      <c s="5"/>
      <c s="5"/>
      <c s="5"/>
      <c s="5"/>
      <c s="5"/>
      <c s="5"/>
      <c s="5"/>
      <c s="5"/>
      <c s="5"/>
    </row>
    <row r="739" spans="1:26" ht="15.75">
      <c r="A739" s="5"/>
      <c s="5"/>
      <c s="5"/>
      <c s="5"/>
      <c s="5"/>
      <c s="5"/>
      <c s="5"/>
      <c s="5"/>
      <c s="5"/>
      <c s="5"/>
      <c s="5"/>
      <c s="5"/>
      <c s="5"/>
      <c s="5"/>
      <c s="5"/>
      <c s="5"/>
      <c s="5"/>
      <c s="5"/>
      <c s="5"/>
      <c s="5"/>
      <c s="5"/>
      <c s="5"/>
      <c s="5"/>
      <c s="5"/>
      <c s="5"/>
      <c s="5"/>
    </row>
    <row r="740" spans="1:26" ht="15.75">
      <c r="A740" s="5"/>
      <c s="5"/>
      <c s="5"/>
      <c s="5"/>
      <c s="5"/>
      <c s="5"/>
      <c s="5"/>
      <c s="5"/>
      <c s="5"/>
      <c s="5"/>
      <c s="5"/>
      <c s="5"/>
      <c s="5"/>
      <c s="5"/>
      <c s="5"/>
      <c s="5"/>
      <c s="5"/>
      <c s="5"/>
      <c s="5"/>
      <c s="5"/>
      <c s="5"/>
      <c s="5"/>
      <c s="5"/>
      <c s="5"/>
      <c s="5"/>
      <c s="5"/>
    </row>
    <row r="741" spans="1:26" ht="15.75">
      <c r="A741" s="5"/>
      <c s="5"/>
      <c s="5"/>
      <c s="5"/>
      <c s="5"/>
      <c s="5"/>
      <c s="5"/>
      <c s="5"/>
      <c s="5"/>
      <c s="5"/>
      <c s="5"/>
      <c s="5"/>
      <c s="5"/>
      <c s="5"/>
      <c s="5"/>
      <c s="5"/>
      <c s="5"/>
      <c s="5"/>
      <c s="5"/>
      <c s="5"/>
      <c s="5"/>
      <c s="5"/>
      <c s="5"/>
      <c s="5"/>
      <c s="5"/>
      <c s="5"/>
    </row>
    <row r="742" spans="1:26" ht="15.75">
      <c r="A742" s="5"/>
      <c s="5"/>
      <c s="5"/>
      <c s="5"/>
      <c s="5"/>
      <c s="5"/>
      <c s="5"/>
      <c s="5"/>
      <c s="5"/>
      <c s="5"/>
      <c s="5"/>
      <c s="5"/>
      <c s="5"/>
      <c s="5"/>
      <c s="5"/>
      <c s="5"/>
      <c s="5"/>
      <c s="5"/>
      <c s="5"/>
      <c s="5"/>
      <c s="5"/>
      <c s="5"/>
      <c s="5"/>
      <c s="5"/>
      <c s="5"/>
      <c s="5"/>
    </row>
    <row r="743" spans="1:26" ht="15.75">
      <c r="A743" s="5"/>
      <c s="5"/>
      <c s="5"/>
      <c s="5"/>
      <c s="5"/>
      <c s="5"/>
      <c s="5"/>
      <c s="5"/>
      <c s="5"/>
      <c s="5"/>
      <c s="5"/>
      <c s="5"/>
      <c s="5"/>
      <c s="5"/>
      <c s="5"/>
      <c s="5"/>
      <c s="5"/>
      <c s="5"/>
      <c s="5"/>
      <c s="5"/>
      <c s="5"/>
      <c s="5"/>
      <c s="5"/>
      <c s="5"/>
      <c s="5"/>
      <c s="5"/>
    </row>
    <row r="744" spans="1:26" ht="15.75">
      <c r="A744" s="5"/>
      <c s="5"/>
      <c s="5"/>
      <c s="5"/>
      <c s="5"/>
      <c s="5"/>
      <c s="5"/>
      <c s="5"/>
      <c s="5"/>
      <c s="5"/>
      <c s="5"/>
      <c s="5"/>
      <c s="5"/>
      <c s="5"/>
      <c s="5"/>
      <c s="5"/>
      <c s="5"/>
      <c s="5"/>
      <c s="5"/>
      <c s="5"/>
      <c s="5"/>
      <c s="5"/>
      <c s="5"/>
      <c s="5"/>
      <c s="5"/>
      <c s="5"/>
    </row>
    <row r="745" spans="1:26" ht="15.75">
      <c r="A745" s="5"/>
      <c s="5"/>
      <c s="5"/>
      <c s="5"/>
      <c s="5"/>
      <c s="5"/>
      <c s="5"/>
      <c s="5"/>
      <c s="5"/>
      <c s="5"/>
      <c s="5"/>
      <c s="5"/>
      <c s="5"/>
      <c s="5"/>
      <c s="5"/>
      <c s="5"/>
      <c s="5"/>
      <c s="5"/>
      <c s="5"/>
      <c s="5"/>
      <c s="5"/>
      <c s="5"/>
      <c s="5"/>
      <c s="5"/>
      <c s="5"/>
      <c s="5"/>
    </row>
    <row r="746" spans="1:26" ht="15.75">
      <c r="A746" s="5"/>
      <c s="5"/>
      <c s="5"/>
      <c s="5"/>
      <c s="5"/>
      <c s="5"/>
      <c s="5"/>
      <c s="5"/>
      <c s="5"/>
      <c s="5"/>
      <c s="5"/>
      <c s="5"/>
      <c s="5"/>
      <c s="5"/>
      <c s="5"/>
      <c s="5"/>
      <c s="5"/>
      <c s="5"/>
      <c s="5"/>
      <c s="5"/>
      <c s="5"/>
      <c s="5"/>
      <c s="5"/>
      <c s="5"/>
      <c s="5"/>
      <c s="5"/>
    </row>
    <row r="747" spans="1:26" ht="15.75">
      <c r="A747" s="5"/>
      <c s="5"/>
      <c s="5"/>
      <c s="5"/>
      <c s="5"/>
      <c s="5"/>
      <c s="5"/>
      <c s="5"/>
      <c s="5"/>
      <c s="5"/>
      <c s="5"/>
      <c s="5"/>
      <c s="5"/>
      <c s="5"/>
      <c s="5"/>
      <c s="5"/>
      <c s="5"/>
      <c s="5"/>
      <c s="5"/>
      <c s="5"/>
      <c s="5"/>
      <c s="5"/>
      <c s="5"/>
      <c s="5"/>
      <c s="5"/>
      <c s="5"/>
    </row>
    <row r="748" spans="1:26" ht="15.75">
      <c r="A748" s="5"/>
      <c s="5"/>
      <c s="5"/>
      <c s="5"/>
      <c s="5"/>
      <c s="5"/>
      <c s="5"/>
      <c s="5"/>
      <c s="5"/>
      <c s="5"/>
      <c s="5"/>
      <c s="5"/>
      <c s="5"/>
      <c s="5"/>
      <c s="5"/>
      <c s="5"/>
      <c s="5"/>
      <c s="5"/>
      <c s="5"/>
      <c s="5"/>
      <c s="5"/>
      <c s="5"/>
      <c s="5"/>
      <c s="5"/>
      <c s="5"/>
      <c s="5"/>
    </row>
    <row r="749" spans="1:26" ht="15.75">
      <c r="A749" s="5"/>
      <c s="5"/>
      <c s="5"/>
      <c s="5"/>
      <c s="5"/>
      <c s="5"/>
      <c s="5"/>
      <c s="5"/>
      <c s="5"/>
      <c s="5"/>
      <c s="5"/>
      <c s="5"/>
      <c s="5"/>
      <c s="5"/>
      <c s="5"/>
      <c s="5"/>
      <c s="5"/>
      <c s="5"/>
      <c s="5"/>
      <c s="5"/>
      <c s="5"/>
      <c s="5"/>
      <c s="5"/>
      <c s="5"/>
      <c s="5"/>
      <c s="5"/>
    </row>
    <row r="750" spans="1:26" ht="15.75">
      <c r="A750" s="5"/>
      <c s="5"/>
      <c s="5"/>
      <c s="5"/>
      <c s="5"/>
      <c s="5"/>
      <c s="5"/>
      <c s="5"/>
      <c s="5"/>
      <c s="5"/>
      <c s="5"/>
      <c s="5"/>
      <c s="5"/>
      <c s="5"/>
      <c s="5"/>
      <c s="5"/>
      <c s="5"/>
      <c s="5"/>
      <c s="5"/>
      <c s="5"/>
      <c s="5"/>
      <c s="5"/>
      <c s="5"/>
      <c s="5"/>
      <c s="5"/>
      <c s="5"/>
    </row>
    <row r="751" spans="1:26" ht="15.75">
      <c r="A751" s="5"/>
      <c s="5"/>
      <c s="5"/>
      <c s="5"/>
      <c s="5"/>
      <c s="5"/>
      <c s="5"/>
      <c s="5"/>
      <c s="5"/>
      <c s="5"/>
      <c s="5"/>
      <c s="5"/>
      <c s="5"/>
      <c s="5"/>
      <c s="5"/>
      <c s="5"/>
      <c s="5"/>
      <c s="5"/>
      <c s="5"/>
      <c s="5"/>
      <c s="5"/>
      <c s="5"/>
      <c s="5"/>
      <c s="5"/>
      <c s="5"/>
      <c s="5"/>
    </row>
    <row r="752" spans="1:26" ht="15.75">
      <c r="A752" s="5"/>
      <c s="5"/>
      <c s="5"/>
      <c s="5"/>
      <c s="5"/>
      <c s="5"/>
      <c s="5"/>
      <c s="5"/>
      <c s="5"/>
      <c s="5"/>
      <c s="5"/>
      <c s="5"/>
      <c s="5"/>
      <c s="5"/>
      <c s="5"/>
      <c s="5"/>
      <c s="5"/>
      <c s="5"/>
      <c s="5"/>
      <c s="5"/>
      <c s="5"/>
      <c s="5"/>
      <c s="5"/>
      <c s="5"/>
      <c s="5"/>
      <c s="5"/>
    </row>
    <row r="753" spans="1:26" ht="15.75">
      <c r="A753" s="5"/>
      <c s="5"/>
      <c s="5"/>
      <c s="5"/>
      <c s="5"/>
      <c s="5"/>
      <c s="5"/>
      <c s="5"/>
      <c s="5"/>
      <c s="5"/>
      <c s="5"/>
      <c s="5"/>
      <c s="5"/>
      <c s="5"/>
      <c s="5"/>
      <c s="5"/>
      <c s="5"/>
      <c s="5"/>
      <c s="5"/>
      <c s="5"/>
      <c s="5"/>
      <c s="5"/>
      <c s="5"/>
      <c s="5"/>
      <c s="5"/>
      <c s="5"/>
    </row>
    <row r="754" spans="1:26" ht="15.75">
      <c r="A754" s="5"/>
      <c s="5"/>
      <c s="5"/>
      <c s="5"/>
      <c s="5"/>
      <c s="5"/>
      <c s="5"/>
      <c s="5"/>
      <c s="5"/>
      <c s="5"/>
      <c s="5"/>
      <c s="5"/>
      <c s="5"/>
      <c s="5"/>
      <c s="5"/>
      <c s="5"/>
      <c s="5"/>
      <c s="5"/>
      <c s="5"/>
      <c s="5"/>
      <c s="5"/>
      <c s="5"/>
      <c s="5"/>
      <c s="5"/>
      <c s="5"/>
      <c s="5"/>
    </row>
    <row r="755" spans="1:26" ht="15.75">
      <c r="A755" s="5"/>
      <c s="5"/>
      <c s="5"/>
      <c s="5"/>
      <c s="5"/>
      <c s="5"/>
      <c s="5"/>
      <c s="5"/>
      <c s="5"/>
      <c s="5"/>
      <c s="5"/>
      <c s="5"/>
      <c s="5"/>
      <c s="5"/>
      <c s="5"/>
      <c s="5"/>
      <c s="5"/>
      <c s="5"/>
      <c s="5"/>
      <c s="5"/>
      <c s="5"/>
      <c s="5"/>
      <c s="5"/>
      <c s="5"/>
      <c s="5"/>
      <c s="5"/>
    </row>
    <row r="756" spans="1:26" ht="15.75">
      <c r="A756" s="5"/>
      <c s="5"/>
      <c s="5"/>
      <c s="5"/>
      <c s="5"/>
      <c s="5"/>
      <c s="5"/>
      <c s="5"/>
      <c s="5"/>
      <c s="5"/>
      <c s="5"/>
      <c s="5"/>
      <c s="5"/>
      <c s="5"/>
      <c s="5"/>
      <c s="5"/>
      <c s="5"/>
      <c s="5"/>
      <c s="5"/>
      <c s="5"/>
      <c s="5"/>
      <c s="5"/>
      <c s="5"/>
      <c s="5"/>
      <c s="5"/>
      <c s="5"/>
    </row>
    <row r="757" spans="1:26" ht="15.75">
      <c r="A757" s="5"/>
      <c s="5"/>
      <c s="5"/>
      <c s="5"/>
      <c s="5"/>
      <c s="5"/>
      <c s="5"/>
      <c s="5"/>
      <c s="5"/>
      <c s="5"/>
      <c s="5"/>
      <c s="5"/>
      <c s="5"/>
      <c s="5"/>
      <c s="5"/>
      <c s="5"/>
      <c s="5"/>
      <c s="5"/>
      <c s="5"/>
      <c s="5"/>
      <c s="5"/>
      <c s="5"/>
      <c s="5"/>
      <c s="5"/>
      <c s="5"/>
      <c s="5"/>
    </row>
    <row r="758" spans="1:26" ht="15.75">
      <c r="A758" s="5"/>
      <c s="5"/>
      <c s="5"/>
      <c s="5"/>
      <c s="5"/>
      <c s="5"/>
      <c s="5"/>
      <c s="5"/>
      <c s="5"/>
      <c s="5"/>
      <c s="5"/>
      <c s="5"/>
      <c s="5"/>
      <c s="5"/>
      <c s="5"/>
      <c s="5"/>
      <c s="5"/>
      <c s="5"/>
      <c s="5"/>
      <c s="5"/>
      <c s="5"/>
      <c s="5"/>
      <c s="5"/>
      <c s="5"/>
      <c s="5"/>
      <c s="5"/>
    </row>
    <row r="759" spans="1:26" ht="15.75">
      <c r="A759" s="5"/>
      <c s="5"/>
      <c s="5"/>
      <c s="5"/>
      <c s="5"/>
      <c s="5"/>
      <c s="5"/>
      <c s="5"/>
      <c s="5"/>
      <c s="5"/>
      <c s="5"/>
      <c s="5"/>
      <c s="5"/>
      <c s="5"/>
      <c s="5"/>
      <c s="5"/>
      <c s="5"/>
      <c s="5"/>
      <c s="5"/>
      <c s="5"/>
      <c s="5"/>
      <c s="5"/>
      <c s="5"/>
      <c s="5"/>
      <c s="5"/>
      <c s="5"/>
    </row>
    <row r="760" spans="1:26" ht="15.75">
      <c r="A760" s="5"/>
      <c s="5"/>
      <c s="5"/>
      <c s="5"/>
      <c s="5"/>
      <c s="5"/>
      <c s="5"/>
      <c s="5"/>
      <c s="5"/>
      <c s="5"/>
      <c s="5"/>
      <c s="5"/>
      <c s="5"/>
      <c s="5"/>
      <c s="5"/>
      <c s="5"/>
      <c s="5"/>
      <c s="5"/>
      <c s="5"/>
      <c s="5"/>
      <c s="5"/>
      <c s="5"/>
      <c s="5"/>
      <c s="5"/>
      <c s="5"/>
      <c s="5"/>
    </row>
    <row r="761" spans="1:26" ht="15.75">
      <c r="A761" s="5"/>
      <c s="5"/>
      <c s="5"/>
      <c s="5"/>
      <c s="5"/>
      <c s="5"/>
      <c s="5"/>
      <c s="5"/>
      <c s="5"/>
      <c s="5"/>
      <c s="5"/>
      <c s="5"/>
      <c s="5"/>
      <c s="5"/>
      <c s="5"/>
      <c s="5"/>
      <c s="5"/>
      <c s="5"/>
      <c s="5"/>
      <c s="5"/>
      <c s="5"/>
      <c s="5"/>
      <c s="5"/>
      <c s="5"/>
      <c s="5"/>
      <c s="5"/>
    </row>
    <row r="762" spans="1:26" ht="15.75">
      <c r="A762" s="5"/>
      <c s="5"/>
      <c s="5"/>
      <c s="5"/>
      <c s="5"/>
      <c s="5"/>
      <c s="5"/>
      <c s="5"/>
      <c s="5"/>
      <c s="5"/>
      <c s="5"/>
      <c s="5"/>
      <c s="5"/>
      <c s="5"/>
      <c s="5"/>
      <c s="5"/>
      <c s="5"/>
      <c s="5"/>
      <c s="5"/>
      <c s="5"/>
      <c s="5"/>
      <c s="5"/>
      <c s="5"/>
      <c s="5"/>
      <c s="5"/>
      <c s="5"/>
    </row>
    <row r="763" spans="1:26" ht="15.75">
      <c r="A763" s="5"/>
      <c s="5"/>
      <c s="5"/>
      <c s="5"/>
      <c s="5"/>
      <c s="5"/>
      <c s="5"/>
      <c s="5"/>
      <c s="5"/>
      <c s="5"/>
      <c s="5"/>
      <c s="5"/>
      <c s="5"/>
      <c s="5"/>
      <c s="5"/>
      <c s="5"/>
      <c s="5"/>
      <c s="5"/>
      <c s="5"/>
      <c s="5"/>
      <c s="5"/>
      <c s="5"/>
      <c s="5"/>
      <c s="5"/>
      <c s="5"/>
      <c s="5"/>
    </row>
    <row r="764" spans="1:26" ht="15.75">
      <c r="A764" s="5"/>
      <c s="5"/>
      <c s="5"/>
      <c s="5"/>
      <c s="5"/>
      <c s="5"/>
      <c s="5"/>
      <c s="5"/>
      <c s="5"/>
      <c s="5"/>
      <c s="5"/>
      <c s="5"/>
      <c s="5"/>
      <c s="5"/>
      <c s="5"/>
      <c s="5"/>
      <c s="5"/>
      <c s="5"/>
      <c s="5"/>
      <c s="5"/>
      <c s="5"/>
      <c s="5"/>
      <c s="5"/>
      <c s="5"/>
      <c s="5"/>
      <c s="5"/>
    </row>
    <row r="765" spans="1:26" ht="15.75">
      <c r="A765" s="5"/>
      <c s="5"/>
      <c s="5"/>
      <c s="5"/>
      <c s="5"/>
      <c s="5"/>
      <c s="5"/>
      <c s="5"/>
      <c s="5"/>
      <c s="5"/>
      <c s="5"/>
      <c s="5"/>
      <c s="5"/>
      <c s="5"/>
      <c s="5"/>
      <c s="5"/>
      <c s="5"/>
      <c s="5"/>
      <c s="5"/>
      <c s="5"/>
      <c s="5"/>
      <c s="5"/>
      <c s="5"/>
      <c s="5"/>
      <c s="5"/>
      <c s="5"/>
    </row>
    <row r="766" spans="1:26" ht="15.75">
      <c r="A766" s="5"/>
      <c s="5"/>
      <c s="5"/>
      <c s="5"/>
      <c s="5"/>
      <c s="5"/>
      <c s="5"/>
      <c s="5"/>
      <c s="5"/>
      <c s="5"/>
      <c s="5"/>
      <c s="5"/>
      <c s="5"/>
      <c s="5"/>
      <c s="5"/>
      <c s="5"/>
      <c s="5"/>
      <c s="5"/>
      <c s="5"/>
      <c s="5"/>
      <c s="5"/>
      <c s="5"/>
      <c s="5"/>
      <c s="5"/>
      <c s="5"/>
      <c s="5"/>
    </row>
    <row r="767" spans="1:26" ht="15.75">
      <c r="A767" s="5"/>
      <c s="5"/>
      <c s="5"/>
      <c s="5"/>
      <c s="5"/>
      <c s="5"/>
      <c s="5"/>
      <c s="5"/>
      <c s="5"/>
      <c s="5"/>
      <c s="5"/>
      <c s="5"/>
      <c s="5"/>
      <c s="5"/>
      <c s="5"/>
      <c s="5"/>
      <c s="5"/>
      <c s="5"/>
      <c s="5"/>
      <c s="5"/>
      <c s="5"/>
      <c s="5"/>
      <c s="5"/>
      <c s="5"/>
      <c s="5"/>
      <c s="5"/>
    </row>
    <row r="768" spans="1:26" ht="15.75">
      <c r="A768" s="5"/>
      <c s="5"/>
      <c s="5"/>
      <c s="5"/>
      <c s="5"/>
      <c s="5"/>
      <c s="5"/>
      <c s="5"/>
      <c s="5"/>
      <c s="5"/>
      <c s="5"/>
      <c s="5"/>
      <c s="5"/>
      <c s="5"/>
      <c s="5"/>
      <c s="5"/>
      <c s="5"/>
      <c s="5"/>
      <c s="5"/>
      <c s="5"/>
      <c s="5"/>
      <c s="5"/>
      <c s="5"/>
      <c s="5"/>
      <c s="5"/>
      <c s="5"/>
    </row>
    <row r="769" spans="1:26" ht="15.75">
      <c r="A769" s="5"/>
      <c s="5"/>
      <c s="5"/>
      <c s="5"/>
      <c s="5"/>
      <c s="5"/>
      <c s="5"/>
      <c s="5"/>
      <c s="5"/>
      <c s="5"/>
      <c s="5"/>
      <c s="5"/>
      <c s="5"/>
      <c s="5"/>
      <c s="5"/>
      <c s="5"/>
      <c s="5"/>
      <c s="5"/>
      <c s="5"/>
      <c s="5"/>
      <c s="5"/>
      <c s="5"/>
      <c s="5"/>
      <c s="5"/>
      <c s="5"/>
      <c s="5"/>
    </row>
    <row r="770" spans="1:26" ht="15.75">
      <c r="A770" s="5"/>
      <c s="5"/>
      <c s="5"/>
      <c s="5"/>
      <c s="5"/>
      <c s="5"/>
      <c s="5"/>
      <c s="5"/>
      <c s="5"/>
      <c s="5"/>
      <c s="5"/>
      <c s="5"/>
      <c s="5"/>
      <c s="5"/>
      <c s="5"/>
      <c s="5"/>
      <c s="5"/>
      <c s="5"/>
      <c s="5"/>
      <c s="5"/>
      <c s="5"/>
      <c s="5"/>
      <c s="5"/>
      <c s="5"/>
      <c s="5"/>
      <c s="5"/>
    </row>
    <row r="771" spans="1:26" ht="15.75">
      <c r="A771" s="5"/>
      <c s="5"/>
      <c s="5"/>
      <c s="5"/>
      <c s="5"/>
      <c s="5"/>
      <c s="5"/>
      <c s="5"/>
      <c s="5"/>
      <c s="5"/>
      <c s="5"/>
      <c s="5"/>
      <c s="5"/>
      <c s="5"/>
      <c s="5"/>
      <c s="5"/>
      <c s="5"/>
      <c s="5"/>
      <c s="5"/>
      <c s="5"/>
      <c s="5"/>
      <c s="5"/>
      <c s="5"/>
      <c s="5"/>
      <c s="5"/>
      <c s="5"/>
    </row>
    <row r="772" spans="1:26" ht="15.75">
      <c r="A772" s="5"/>
      <c s="5"/>
      <c s="5"/>
      <c s="5"/>
      <c s="5"/>
      <c s="5"/>
      <c s="5"/>
      <c s="5"/>
      <c s="5"/>
      <c s="5"/>
      <c s="5"/>
      <c s="5"/>
      <c s="5"/>
      <c s="5"/>
      <c s="5"/>
      <c s="5"/>
      <c s="5"/>
      <c s="5"/>
      <c s="5"/>
      <c s="5"/>
      <c s="5"/>
      <c s="5"/>
      <c s="5"/>
      <c s="5"/>
      <c s="5"/>
      <c s="5"/>
    </row>
    <row r="773" spans="1:26" ht="15.75">
      <c r="A773" s="5"/>
      <c s="5"/>
      <c s="5"/>
      <c s="5"/>
      <c s="5"/>
      <c s="5"/>
      <c s="5"/>
      <c s="5"/>
      <c s="5"/>
      <c s="5"/>
      <c s="5"/>
      <c s="5"/>
      <c s="5"/>
      <c s="5"/>
      <c s="5"/>
      <c s="5"/>
      <c s="5"/>
      <c s="5"/>
      <c s="5"/>
      <c s="5"/>
      <c s="5"/>
      <c s="5"/>
      <c s="5"/>
      <c s="5"/>
      <c s="5"/>
      <c s="5"/>
    </row>
    <row r="774" spans="1:26" ht="15.75">
      <c r="A774" s="5"/>
      <c s="5"/>
      <c s="5"/>
      <c s="5"/>
      <c s="5"/>
      <c s="5"/>
      <c s="5"/>
      <c s="5"/>
      <c s="5"/>
      <c s="5"/>
      <c s="5"/>
      <c s="5"/>
      <c s="5"/>
      <c s="5"/>
      <c s="5"/>
      <c s="5"/>
      <c s="5"/>
      <c s="5"/>
      <c s="5"/>
      <c s="5"/>
      <c s="5"/>
      <c s="5"/>
      <c s="5"/>
      <c s="5"/>
      <c s="5"/>
      <c s="5"/>
    </row>
    <row r="775" spans="1:26" ht="15.75">
      <c r="A775" s="5"/>
      <c s="5"/>
      <c s="5"/>
      <c s="5"/>
      <c s="5"/>
      <c s="5"/>
      <c s="5"/>
      <c s="5"/>
      <c s="5"/>
      <c s="5"/>
      <c s="5"/>
      <c s="5"/>
      <c s="5"/>
      <c s="5"/>
      <c s="5"/>
      <c s="5"/>
      <c s="5"/>
      <c s="5"/>
      <c s="5"/>
      <c s="5"/>
      <c s="5"/>
      <c s="5"/>
      <c s="5"/>
      <c s="5"/>
      <c s="5"/>
      <c s="5"/>
    </row>
    <row r="776" spans="1:26" ht="15.75">
      <c r="A776" s="5"/>
      <c s="5"/>
      <c s="5"/>
      <c s="5"/>
      <c s="5"/>
      <c s="5"/>
      <c s="5"/>
      <c s="5"/>
      <c s="5"/>
      <c s="5"/>
      <c s="5"/>
      <c s="5"/>
      <c s="5"/>
      <c s="5"/>
      <c s="5"/>
      <c s="5"/>
      <c s="5"/>
      <c s="5"/>
      <c s="5"/>
      <c s="5"/>
      <c s="5"/>
      <c s="5"/>
      <c s="5"/>
      <c s="5"/>
      <c s="5"/>
      <c s="5"/>
    </row>
    <row r="777" spans="1:26" ht="15.75">
      <c r="A777" s="5"/>
      <c s="5"/>
      <c s="5"/>
      <c s="5"/>
      <c s="5"/>
      <c s="5"/>
      <c s="5"/>
      <c s="5"/>
      <c s="5"/>
      <c s="5"/>
      <c s="5"/>
      <c s="5"/>
      <c s="5"/>
      <c s="5"/>
      <c s="5"/>
      <c s="5"/>
      <c s="5"/>
      <c s="5"/>
      <c s="5"/>
      <c s="5"/>
      <c s="5"/>
      <c s="5"/>
      <c s="5"/>
      <c s="5"/>
      <c s="5"/>
      <c s="5"/>
    </row>
    <row r="778" spans="1:26" ht="15.75">
      <c r="A778" s="5"/>
      <c s="5"/>
      <c s="5"/>
      <c s="5"/>
      <c s="5"/>
      <c s="5"/>
      <c s="5"/>
      <c s="5"/>
      <c s="5"/>
      <c s="5"/>
      <c s="5"/>
      <c s="5"/>
      <c s="5"/>
      <c s="5"/>
      <c s="5"/>
      <c s="5"/>
      <c s="5"/>
      <c s="5"/>
      <c s="5"/>
      <c s="5"/>
      <c s="5"/>
      <c s="5"/>
      <c s="5"/>
      <c s="5"/>
      <c s="5"/>
      <c s="5"/>
    </row>
    <row r="779" spans="1:26" ht="15.75">
      <c r="A779" s="5"/>
      <c s="5"/>
      <c s="5"/>
      <c s="5"/>
      <c s="5"/>
      <c s="5"/>
      <c s="5"/>
      <c s="5"/>
      <c s="5"/>
      <c s="5"/>
      <c s="5"/>
      <c s="5"/>
      <c s="5"/>
      <c s="5"/>
      <c s="5"/>
      <c s="5"/>
      <c s="5"/>
      <c s="5"/>
      <c s="5"/>
      <c s="5"/>
      <c s="5"/>
      <c s="5"/>
      <c s="5"/>
      <c s="5"/>
      <c s="5"/>
      <c s="5"/>
    </row>
    <row r="780" spans="1:26" ht="15.75">
      <c r="A780" s="5"/>
      <c s="5"/>
      <c s="5"/>
      <c s="5"/>
      <c s="5"/>
      <c s="5"/>
      <c s="5"/>
      <c s="5"/>
      <c s="5"/>
      <c s="5"/>
      <c s="5"/>
      <c s="5"/>
      <c s="5"/>
      <c s="5"/>
      <c s="5"/>
      <c s="5"/>
      <c s="5"/>
      <c s="5"/>
      <c s="5"/>
      <c s="5"/>
      <c s="5"/>
      <c s="5"/>
      <c s="5"/>
      <c s="5"/>
      <c s="5"/>
      <c s="5"/>
    </row>
    <row r="781" spans="1:26" ht="15.75">
      <c r="A781" s="5"/>
      <c s="5"/>
      <c s="5"/>
      <c s="5"/>
      <c s="5"/>
      <c s="5"/>
      <c s="5"/>
      <c s="5"/>
      <c s="5"/>
      <c s="5"/>
      <c s="5"/>
      <c s="5"/>
      <c s="5"/>
      <c s="5"/>
      <c s="5"/>
      <c s="5"/>
      <c s="5"/>
      <c s="5"/>
      <c s="5"/>
      <c s="5"/>
      <c s="5"/>
      <c s="5"/>
      <c s="5"/>
      <c s="5"/>
      <c s="5"/>
      <c s="5"/>
    </row>
    <row r="782" spans="1:26" ht="15.75">
      <c r="A782" s="5"/>
      <c s="5"/>
      <c s="5"/>
      <c s="5"/>
      <c s="5"/>
      <c s="5"/>
      <c s="5"/>
      <c s="5"/>
      <c s="5"/>
      <c s="5"/>
      <c s="5"/>
      <c s="5"/>
      <c s="5"/>
      <c s="5"/>
      <c s="5"/>
      <c s="5"/>
      <c s="5"/>
      <c s="5"/>
      <c s="5"/>
      <c s="5"/>
      <c s="5"/>
      <c s="5"/>
      <c s="5"/>
      <c s="5"/>
      <c s="5"/>
      <c s="5"/>
    </row>
    <row r="783" spans="1:26" ht="15.75">
      <c r="A783" s="5"/>
      <c s="5"/>
      <c s="5"/>
      <c s="5"/>
      <c s="5"/>
      <c s="5"/>
      <c s="5"/>
      <c s="5"/>
      <c s="5"/>
      <c s="5"/>
      <c s="5"/>
      <c s="5"/>
      <c s="5"/>
      <c s="5"/>
      <c s="5"/>
      <c s="5"/>
      <c s="5"/>
      <c s="5"/>
      <c s="5"/>
      <c s="5"/>
      <c s="5"/>
      <c s="5"/>
      <c s="5"/>
      <c s="5"/>
      <c s="5"/>
      <c s="5"/>
    </row>
    <row r="784" spans="1:26" ht="15.75">
      <c r="A784" s="5"/>
      <c s="5"/>
      <c s="5"/>
      <c s="5"/>
      <c s="5"/>
      <c s="5"/>
      <c s="5"/>
      <c s="5"/>
      <c s="5"/>
      <c s="5"/>
      <c s="5"/>
      <c s="5"/>
      <c s="5"/>
      <c s="5"/>
      <c s="5"/>
      <c s="5"/>
      <c s="5"/>
      <c s="5"/>
      <c s="5"/>
      <c s="5"/>
      <c s="5"/>
      <c s="5"/>
      <c s="5"/>
      <c s="5"/>
      <c s="5"/>
      <c s="5"/>
    </row>
    <row r="785" spans="1:26" ht="15.75">
      <c r="A785" s="5"/>
      <c s="5"/>
      <c s="5"/>
      <c s="5"/>
      <c s="5"/>
      <c s="5"/>
      <c s="5"/>
      <c s="5"/>
      <c s="5"/>
      <c s="5"/>
      <c s="5"/>
      <c s="5"/>
      <c s="5"/>
      <c s="5"/>
      <c s="5"/>
      <c s="5"/>
      <c s="5"/>
      <c s="5"/>
      <c s="5"/>
      <c s="5"/>
      <c s="5"/>
      <c s="5"/>
      <c s="5"/>
      <c s="5"/>
      <c s="5"/>
      <c s="5"/>
    </row>
    <row r="786" spans="1:26" ht="15.75">
      <c r="A786" s="5"/>
      <c s="5"/>
      <c s="5"/>
      <c s="5"/>
      <c s="5"/>
      <c s="5"/>
      <c s="5"/>
      <c s="5"/>
      <c s="5"/>
      <c s="5"/>
      <c s="5"/>
      <c s="5"/>
      <c s="5"/>
      <c s="5"/>
      <c s="5"/>
      <c s="5"/>
      <c s="5"/>
      <c s="5"/>
      <c s="5"/>
      <c s="5"/>
      <c s="5"/>
      <c s="5"/>
      <c s="5"/>
      <c s="5"/>
      <c s="5"/>
      <c s="5"/>
    </row>
    <row r="787" spans="1:26" ht="15.75">
      <c r="A787" s="5"/>
      <c s="5"/>
      <c s="5"/>
      <c s="5"/>
      <c s="5"/>
      <c s="5"/>
      <c s="5"/>
      <c s="5"/>
      <c s="5"/>
      <c s="5"/>
      <c s="5"/>
      <c s="5"/>
      <c s="5"/>
      <c s="5"/>
      <c s="5"/>
      <c s="5"/>
      <c s="5"/>
      <c s="5"/>
      <c s="5"/>
      <c s="5"/>
      <c s="5"/>
      <c s="5"/>
      <c s="5"/>
      <c s="5"/>
      <c s="5"/>
      <c s="5"/>
    </row>
    <row r="788" spans="1:26" ht="15.75">
      <c r="A788" s="5"/>
      <c s="5"/>
      <c s="5"/>
      <c s="5"/>
      <c s="5"/>
      <c s="5"/>
      <c s="5"/>
      <c s="5"/>
      <c s="5"/>
      <c s="5"/>
      <c s="5"/>
      <c s="5"/>
      <c s="5"/>
      <c s="5"/>
      <c s="5"/>
      <c s="5"/>
      <c s="5"/>
      <c s="5"/>
      <c s="5"/>
      <c s="5"/>
      <c s="5"/>
      <c s="5"/>
      <c s="5"/>
      <c s="5"/>
      <c s="5"/>
      <c s="5"/>
    </row>
    <row r="789" spans="1:26" ht="15.75">
      <c r="A789" s="5"/>
      <c s="5"/>
      <c s="5"/>
      <c s="5"/>
      <c s="5"/>
      <c s="5"/>
      <c s="5"/>
      <c s="5"/>
      <c s="5"/>
      <c s="5"/>
      <c s="5"/>
      <c s="5"/>
      <c s="5"/>
      <c s="5"/>
      <c s="5"/>
      <c s="5"/>
      <c s="5"/>
      <c s="5"/>
      <c s="5"/>
      <c s="5"/>
      <c s="5"/>
      <c s="5"/>
      <c s="5"/>
      <c s="5"/>
      <c s="5"/>
      <c s="5"/>
    </row>
    <row r="790" spans="1:26" ht="15.75">
      <c r="A790" s="5"/>
      <c s="5"/>
      <c s="5"/>
      <c s="5"/>
      <c s="5"/>
      <c s="5"/>
      <c s="5"/>
      <c s="5"/>
      <c s="5"/>
      <c s="5"/>
      <c s="5"/>
      <c s="5"/>
      <c s="5"/>
      <c s="5"/>
      <c s="5"/>
      <c s="5"/>
      <c s="5"/>
      <c s="5"/>
      <c s="5"/>
      <c s="5"/>
      <c s="5"/>
      <c s="5"/>
      <c s="5"/>
      <c s="5"/>
      <c s="5"/>
      <c s="5"/>
    </row>
    <row r="791" spans="1:26" ht="15.75">
      <c r="A791" s="5"/>
      <c s="5"/>
      <c s="5"/>
      <c s="5"/>
      <c s="5"/>
      <c s="5"/>
      <c s="5"/>
      <c s="5"/>
      <c s="5"/>
      <c s="5"/>
      <c s="5"/>
      <c s="5"/>
      <c s="5"/>
      <c s="5"/>
      <c s="5"/>
      <c s="5"/>
      <c s="5"/>
      <c s="5"/>
      <c s="5"/>
      <c s="5"/>
      <c s="5"/>
      <c s="5"/>
      <c s="5"/>
      <c s="5"/>
      <c s="5"/>
      <c s="5"/>
    </row>
    <row r="792" spans="1:26" ht="15.75">
      <c r="A792" s="5"/>
      <c s="5"/>
      <c s="5"/>
      <c s="5"/>
      <c s="5"/>
      <c s="5"/>
      <c s="5"/>
      <c s="5"/>
      <c s="5"/>
      <c s="5"/>
      <c s="5"/>
      <c s="5"/>
      <c s="5"/>
      <c s="5"/>
      <c s="5"/>
      <c s="5"/>
      <c s="5"/>
      <c s="5"/>
      <c s="5"/>
      <c s="5"/>
      <c s="5"/>
      <c s="5"/>
      <c s="5"/>
      <c s="5"/>
      <c s="5"/>
      <c s="5"/>
    </row>
    <row r="793" spans="1:26" ht="15.75">
      <c r="A793" s="5"/>
      <c s="5"/>
      <c s="5"/>
      <c s="5"/>
      <c s="5"/>
      <c s="5"/>
      <c s="5"/>
      <c s="5"/>
      <c s="5"/>
      <c s="5"/>
      <c s="5"/>
      <c s="5"/>
      <c s="5"/>
      <c s="5"/>
      <c s="5"/>
      <c s="5"/>
      <c s="5"/>
      <c s="5"/>
      <c s="5"/>
      <c s="5"/>
      <c s="5"/>
      <c s="5"/>
      <c s="5"/>
      <c s="5"/>
      <c s="5"/>
      <c s="5"/>
    </row>
    <row r="794" spans="1:26" ht="15.75">
      <c r="A794" s="5"/>
      <c s="5"/>
      <c s="5"/>
      <c s="5"/>
      <c s="5"/>
      <c s="5"/>
      <c s="5"/>
      <c s="5"/>
      <c s="5"/>
      <c s="5"/>
      <c s="5"/>
      <c s="5"/>
      <c s="5"/>
      <c s="5"/>
      <c s="5"/>
      <c s="5"/>
      <c s="5"/>
      <c s="5"/>
      <c s="5"/>
      <c s="5"/>
      <c s="5"/>
      <c s="5"/>
      <c s="5"/>
      <c s="5"/>
      <c s="5"/>
      <c s="5"/>
    </row>
    <row r="795" spans="1:26" ht="15.75">
      <c r="A795" s="5"/>
      <c s="5"/>
      <c s="5"/>
      <c s="5"/>
      <c s="5"/>
      <c s="5"/>
      <c s="5"/>
      <c s="5"/>
      <c s="5"/>
      <c s="5"/>
      <c s="5"/>
      <c s="5"/>
      <c s="5"/>
      <c s="5"/>
      <c s="5"/>
      <c s="5"/>
      <c s="5"/>
      <c s="5"/>
      <c s="5"/>
      <c s="5"/>
      <c s="5"/>
      <c s="5"/>
      <c s="5"/>
      <c s="5"/>
      <c s="5"/>
      <c s="5"/>
    </row>
    <row r="796" spans="1:26" ht="15.75">
      <c r="A796" s="5"/>
      <c s="5"/>
      <c s="5"/>
      <c s="5"/>
      <c s="5"/>
      <c s="5"/>
      <c s="5"/>
      <c s="5"/>
      <c s="5"/>
      <c s="5"/>
      <c s="5"/>
      <c s="5"/>
      <c s="5"/>
      <c s="5"/>
      <c s="5"/>
      <c s="5"/>
      <c s="5"/>
      <c s="5"/>
      <c s="5"/>
      <c s="5"/>
      <c s="5"/>
      <c s="5"/>
      <c s="5"/>
      <c s="5"/>
      <c s="5"/>
      <c s="5"/>
    </row>
    <row r="797" spans="1:26" ht="15.75">
      <c r="A797" s="5"/>
      <c s="5"/>
      <c s="5"/>
      <c s="5"/>
      <c s="5"/>
      <c s="5"/>
      <c s="5"/>
      <c s="5"/>
      <c s="5"/>
      <c s="5"/>
      <c s="5"/>
      <c s="5"/>
      <c s="5"/>
      <c s="5"/>
      <c s="5"/>
      <c s="5"/>
      <c s="5"/>
      <c s="5"/>
      <c s="5"/>
      <c s="5"/>
      <c s="5"/>
      <c s="5"/>
      <c s="5"/>
      <c s="5"/>
      <c s="5"/>
      <c s="5"/>
    </row>
    <row r="798" spans="1:26" ht="15.75">
      <c r="A798" s="5"/>
      <c s="5"/>
      <c s="5"/>
      <c s="5"/>
      <c s="5"/>
      <c s="5"/>
      <c s="5"/>
      <c s="5"/>
      <c s="5"/>
      <c s="5"/>
      <c s="5"/>
      <c s="5"/>
      <c s="5"/>
      <c s="5"/>
      <c s="5"/>
      <c s="5"/>
      <c s="5"/>
      <c s="5"/>
      <c s="5"/>
      <c s="5"/>
      <c s="5"/>
      <c s="5"/>
      <c s="5"/>
      <c s="5"/>
      <c s="5"/>
      <c s="5"/>
    </row>
    <row r="799" spans="1:26" ht="15.75">
      <c r="A799" s="5"/>
      <c s="5"/>
      <c s="5"/>
      <c s="5"/>
      <c s="5"/>
      <c s="5"/>
      <c s="5"/>
      <c s="5"/>
      <c s="5"/>
      <c s="5"/>
      <c s="5"/>
      <c s="5"/>
      <c s="5"/>
      <c s="5"/>
      <c s="5"/>
      <c s="5"/>
      <c s="5"/>
      <c s="5"/>
      <c s="5"/>
      <c s="5"/>
      <c s="5"/>
      <c s="5"/>
      <c s="5"/>
      <c s="5"/>
      <c s="5"/>
      <c s="5"/>
    </row>
    <row r="800" spans="1:26" ht="15.75">
      <c r="A800" s="5"/>
      <c s="5"/>
      <c s="5"/>
      <c s="5"/>
      <c s="5"/>
      <c s="5"/>
      <c s="5"/>
      <c s="5"/>
      <c s="5"/>
      <c s="5"/>
      <c s="5"/>
      <c s="5"/>
      <c s="5"/>
      <c s="5"/>
      <c s="5"/>
      <c s="5"/>
      <c s="5"/>
      <c s="5"/>
      <c s="5"/>
      <c s="5"/>
      <c s="5"/>
      <c s="5"/>
      <c s="5"/>
      <c s="5"/>
      <c s="5"/>
      <c s="5"/>
    </row>
    <row r="801" spans="1:26" ht="15.75">
      <c r="A801" s="5"/>
      <c s="5"/>
      <c s="5"/>
      <c s="5"/>
      <c s="5"/>
      <c s="5"/>
      <c s="5"/>
      <c s="5"/>
      <c s="5"/>
      <c s="5"/>
      <c s="5"/>
      <c s="5"/>
      <c s="5"/>
      <c s="5"/>
      <c s="5"/>
      <c s="5"/>
      <c s="5"/>
      <c s="5"/>
      <c s="5"/>
      <c s="5"/>
      <c s="5"/>
      <c s="5"/>
      <c s="5"/>
      <c s="5"/>
      <c s="5"/>
      <c s="5"/>
    </row>
    <row r="802" spans="1:26" ht="15.75">
      <c r="A802" s="5"/>
      <c s="5"/>
      <c s="5"/>
      <c s="5"/>
      <c s="5"/>
      <c s="5"/>
      <c s="5"/>
      <c s="5"/>
      <c s="5"/>
      <c s="5"/>
      <c s="5"/>
      <c s="5"/>
      <c s="5"/>
      <c s="5"/>
      <c s="5"/>
      <c s="5"/>
      <c s="5"/>
      <c s="5"/>
      <c s="5"/>
      <c s="5"/>
      <c s="5"/>
      <c s="5"/>
      <c s="5"/>
      <c s="5"/>
      <c s="5"/>
      <c s="5"/>
    </row>
    <row r="803" spans="1:26" ht="15.75">
      <c r="A803" s="5"/>
      <c s="5"/>
      <c s="5"/>
      <c s="5"/>
      <c s="5"/>
      <c s="5"/>
      <c s="5"/>
      <c s="5"/>
      <c s="5"/>
      <c s="5"/>
      <c s="5"/>
      <c s="5"/>
      <c s="5"/>
      <c s="5"/>
      <c s="5"/>
      <c s="5"/>
      <c s="5"/>
      <c s="5"/>
      <c s="5"/>
      <c s="5"/>
      <c s="5"/>
      <c s="5"/>
      <c s="5"/>
      <c s="5"/>
      <c s="5"/>
      <c s="5"/>
    </row>
    <row r="804" spans="1:26" ht="15.75">
      <c r="A804" s="5"/>
      <c s="5"/>
      <c s="5"/>
      <c s="5"/>
      <c s="5"/>
      <c s="5"/>
      <c s="5"/>
      <c s="5"/>
      <c s="5"/>
      <c s="5"/>
      <c s="5"/>
      <c s="5"/>
      <c s="5"/>
      <c s="5"/>
      <c s="5"/>
      <c s="5"/>
      <c s="5"/>
      <c s="5"/>
      <c s="5"/>
      <c s="5"/>
      <c s="5"/>
      <c s="5"/>
      <c s="5"/>
      <c s="5"/>
      <c s="5"/>
      <c s="5"/>
    </row>
    <row r="805" spans="1:26" ht="15.75">
      <c r="A805" s="5"/>
      <c s="5"/>
      <c s="5"/>
      <c s="5"/>
      <c s="5"/>
      <c s="5"/>
      <c s="5"/>
      <c s="5"/>
      <c s="5"/>
      <c s="5"/>
      <c s="5"/>
      <c s="5"/>
      <c s="5"/>
      <c s="5"/>
      <c s="5"/>
      <c s="5"/>
      <c s="5"/>
      <c s="5"/>
      <c s="5"/>
      <c s="5"/>
      <c s="5"/>
      <c s="5"/>
      <c s="5"/>
      <c s="5"/>
      <c s="5"/>
      <c s="5"/>
    </row>
    <row r="806" spans="1:26" ht="15.75">
      <c r="A806" s="5"/>
      <c s="5"/>
      <c s="5"/>
      <c s="5"/>
      <c s="5"/>
      <c s="5"/>
      <c s="5"/>
      <c s="5"/>
      <c s="5"/>
      <c s="5"/>
      <c s="5"/>
      <c s="5"/>
      <c s="5"/>
      <c s="5"/>
      <c s="5"/>
      <c s="5"/>
      <c s="5"/>
      <c s="5"/>
      <c s="5"/>
      <c s="5"/>
      <c s="5"/>
      <c s="5"/>
      <c s="5"/>
      <c s="5"/>
      <c s="5"/>
      <c s="5"/>
    </row>
    <row r="807" spans="1:26" ht="15.75">
      <c r="A807" s="5"/>
      <c s="5"/>
      <c s="5"/>
      <c s="5"/>
      <c s="5"/>
      <c s="5"/>
      <c s="5"/>
      <c s="5"/>
      <c s="5"/>
      <c s="5"/>
      <c s="5"/>
      <c s="5"/>
      <c s="5"/>
      <c s="5"/>
      <c s="5"/>
      <c s="5"/>
      <c s="5"/>
      <c s="5"/>
      <c s="5"/>
      <c s="5"/>
      <c s="5"/>
      <c s="5"/>
      <c s="5"/>
      <c s="5"/>
      <c s="5"/>
      <c s="5"/>
    </row>
    <row r="808" spans="1:26" ht="15.75">
      <c r="A808" s="5"/>
      <c s="5"/>
      <c s="5"/>
      <c s="5"/>
      <c s="5"/>
      <c s="5"/>
      <c s="5"/>
      <c s="5"/>
      <c s="5"/>
      <c s="5"/>
      <c s="5"/>
      <c s="5"/>
      <c s="5"/>
      <c s="5"/>
      <c s="5"/>
      <c s="5"/>
      <c s="5"/>
      <c s="5"/>
      <c s="5"/>
      <c s="5"/>
      <c s="5"/>
      <c s="5"/>
      <c s="5"/>
      <c s="5"/>
      <c s="5"/>
      <c s="5"/>
    </row>
    <row r="809" spans="1:26" ht="15.75">
      <c r="A809" s="5"/>
      <c s="5"/>
      <c s="5"/>
      <c s="5"/>
      <c s="5"/>
      <c s="5"/>
      <c s="5"/>
      <c s="5"/>
      <c s="5"/>
      <c s="5"/>
      <c s="5"/>
      <c s="5"/>
      <c s="5"/>
      <c s="5"/>
      <c s="5"/>
      <c s="5"/>
      <c s="5"/>
      <c s="5"/>
      <c s="5"/>
      <c s="5"/>
      <c s="5"/>
      <c s="5"/>
      <c s="5"/>
      <c s="5"/>
      <c s="5"/>
      <c s="5"/>
    </row>
    <row r="810" spans="1:26" ht="15.75">
      <c r="A810" s="5"/>
      <c s="5"/>
      <c s="5"/>
      <c s="5"/>
      <c s="5"/>
      <c s="5"/>
      <c s="5"/>
      <c s="5"/>
      <c s="5"/>
      <c s="5"/>
      <c s="5"/>
      <c s="5"/>
      <c s="5"/>
      <c s="5"/>
      <c s="5"/>
      <c s="5"/>
      <c s="5"/>
      <c s="5"/>
      <c s="5"/>
      <c s="5"/>
      <c s="5"/>
      <c s="5"/>
      <c s="5"/>
      <c s="5"/>
      <c s="5"/>
      <c s="5"/>
    </row>
    <row r="811" spans="1:26" ht="15.75">
      <c r="A811" s="5"/>
      <c s="5"/>
      <c s="5"/>
      <c s="5"/>
      <c s="5"/>
      <c s="5"/>
      <c s="5"/>
      <c s="5"/>
      <c s="5"/>
      <c s="5"/>
      <c s="5"/>
      <c s="5"/>
      <c s="5"/>
      <c s="5"/>
      <c s="5"/>
      <c s="5"/>
      <c s="5"/>
      <c s="5"/>
      <c s="5"/>
      <c s="5"/>
      <c s="5"/>
      <c s="5"/>
      <c s="5"/>
      <c s="5"/>
      <c s="5"/>
      <c s="5"/>
    </row>
    <row r="812" spans="1:26" ht="15.75">
      <c r="A812" s="5"/>
      <c s="5"/>
      <c s="5"/>
      <c s="5"/>
      <c s="5"/>
      <c s="5"/>
      <c s="5"/>
      <c s="5"/>
      <c s="5"/>
      <c s="5"/>
      <c s="5"/>
      <c s="5"/>
      <c s="5"/>
      <c s="5"/>
      <c s="5"/>
      <c s="5"/>
      <c s="5"/>
      <c s="5"/>
      <c s="5"/>
      <c s="5"/>
      <c s="5"/>
      <c s="5"/>
      <c s="5"/>
      <c s="5"/>
      <c s="5"/>
      <c s="5"/>
    </row>
    <row r="813" spans="1:26" ht="15.75">
      <c r="A813" s="5"/>
      <c s="5"/>
      <c s="5"/>
      <c s="5"/>
      <c s="5"/>
      <c s="5"/>
      <c s="5"/>
      <c s="5"/>
      <c s="5"/>
      <c s="5"/>
      <c s="5"/>
      <c s="5"/>
      <c s="5"/>
      <c s="5"/>
      <c s="5"/>
      <c s="5"/>
      <c s="5"/>
      <c s="5"/>
      <c s="5"/>
      <c s="5"/>
      <c s="5"/>
      <c s="5"/>
      <c s="5"/>
      <c s="5"/>
      <c s="5"/>
      <c s="5"/>
    </row>
    <row r="814" spans="1:26" ht="15.75">
      <c r="A814" s="5"/>
      <c s="5"/>
      <c s="5"/>
      <c s="5"/>
      <c s="5"/>
      <c s="5"/>
      <c s="5"/>
      <c s="5"/>
      <c s="5"/>
      <c s="5"/>
      <c s="5"/>
      <c s="5"/>
      <c s="5"/>
      <c s="5"/>
      <c s="5"/>
      <c s="5"/>
      <c s="5"/>
      <c s="5"/>
      <c s="5"/>
      <c s="5"/>
      <c s="5"/>
      <c s="5"/>
      <c s="5"/>
      <c s="5"/>
      <c s="5"/>
      <c s="5"/>
    </row>
    <row r="815" spans="1:26" ht="15.75">
      <c r="A815" s="5"/>
      <c s="5"/>
      <c s="5"/>
      <c s="5"/>
      <c s="5"/>
      <c s="5"/>
      <c s="5"/>
      <c s="5"/>
      <c s="5"/>
      <c s="5"/>
      <c s="5"/>
      <c s="5"/>
      <c s="5"/>
      <c s="5"/>
      <c s="5"/>
      <c s="5"/>
      <c s="5"/>
      <c s="5"/>
      <c s="5"/>
      <c s="5"/>
      <c s="5"/>
      <c s="5"/>
      <c s="5"/>
      <c s="5"/>
      <c s="5"/>
      <c s="5"/>
    </row>
    <row r="816" spans="1:26" ht="15.75">
      <c r="A816" s="5"/>
      <c s="5"/>
      <c s="5"/>
      <c s="5"/>
      <c s="5"/>
      <c s="5"/>
      <c s="5"/>
      <c s="5"/>
      <c s="5"/>
      <c s="5"/>
      <c s="5"/>
      <c s="5"/>
      <c s="5"/>
      <c s="5"/>
      <c s="5"/>
      <c s="5"/>
      <c s="5"/>
      <c s="5"/>
      <c s="5"/>
      <c s="5"/>
      <c s="5"/>
      <c s="5"/>
      <c s="5"/>
      <c s="5"/>
      <c s="5"/>
      <c s="5"/>
    </row>
    <row r="817" spans="1:26" ht="15.75">
      <c r="A817" s="5"/>
      <c s="5"/>
      <c s="5"/>
      <c s="5"/>
      <c s="5"/>
      <c s="5"/>
      <c s="5"/>
      <c s="5"/>
      <c s="5"/>
      <c s="5"/>
      <c s="5"/>
      <c s="5"/>
      <c s="5"/>
      <c s="5"/>
      <c s="5"/>
      <c s="5"/>
      <c s="5"/>
      <c s="5"/>
      <c s="5"/>
      <c s="5"/>
      <c s="5"/>
      <c s="5"/>
      <c s="5"/>
      <c s="5"/>
      <c s="5"/>
      <c s="5"/>
    </row>
    <row r="818" spans="1:26" ht="15.75">
      <c r="A818" s="5"/>
      <c s="5"/>
      <c s="5"/>
      <c s="5"/>
      <c s="5"/>
      <c s="5"/>
      <c s="5"/>
      <c s="5"/>
      <c s="5"/>
      <c s="5"/>
      <c s="5"/>
      <c s="5"/>
      <c s="5"/>
      <c s="5"/>
      <c s="5"/>
      <c s="5"/>
      <c s="5"/>
      <c s="5"/>
      <c s="5"/>
      <c s="5"/>
      <c s="5"/>
      <c s="5"/>
      <c s="5"/>
      <c s="5"/>
      <c s="5"/>
      <c s="5"/>
    </row>
    <row r="819" spans="1:26" ht="15.75">
      <c r="A819" s="5"/>
      <c s="5"/>
      <c s="5"/>
      <c s="5"/>
      <c s="5"/>
      <c s="5"/>
      <c s="5"/>
      <c s="5"/>
      <c s="5"/>
      <c s="5"/>
      <c s="5"/>
      <c s="5"/>
      <c s="5"/>
      <c s="5"/>
      <c s="5"/>
      <c s="5"/>
      <c s="5"/>
      <c s="5"/>
      <c s="5"/>
      <c s="5"/>
      <c s="5"/>
      <c s="5"/>
      <c s="5"/>
      <c s="5"/>
      <c s="5"/>
      <c s="5"/>
    </row>
    <row r="820" spans="1:26" ht="15.75">
      <c r="A820" s="5"/>
      <c s="5"/>
      <c s="5"/>
      <c s="5"/>
      <c s="5"/>
      <c s="5"/>
      <c s="5"/>
      <c s="5"/>
      <c s="5"/>
      <c s="5"/>
      <c s="5"/>
      <c s="5"/>
      <c s="5"/>
      <c s="5"/>
      <c s="5"/>
      <c s="5"/>
      <c s="5"/>
      <c s="5"/>
      <c s="5"/>
      <c s="5"/>
      <c s="5"/>
      <c s="5"/>
      <c s="5"/>
      <c s="5"/>
      <c s="5"/>
      <c s="5"/>
    </row>
    <row r="821" spans="1:26" ht="15.75">
      <c r="A821" s="5"/>
      <c s="5"/>
      <c s="5"/>
      <c s="5"/>
      <c s="5"/>
      <c s="5"/>
      <c s="5"/>
      <c s="5"/>
      <c s="5"/>
      <c s="5"/>
      <c s="5"/>
      <c s="5"/>
      <c s="5"/>
      <c s="5"/>
      <c s="5"/>
      <c s="5"/>
      <c s="5"/>
      <c s="5"/>
      <c s="5"/>
      <c s="5"/>
      <c s="5"/>
      <c s="5"/>
      <c s="5"/>
      <c s="5"/>
      <c s="5"/>
      <c s="5"/>
    </row>
    <row r="822" spans="1:26" ht="15.75">
      <c r="A822" s="5"/>
      <c s="5"/>
      <c s="5"/>
      <c s="5"/>
      <c s="5"/>
      <c s="5"/>
      <c s="5"/>
      <c s="5"/>
      <c s="5"/>
      <c s="5"/>
      <c s="5"/>
      <c s="5"/>
      <c s="5"/>
      <c s="5"/>
      <c s="5"/>
      <c s="5"/>
      <c s="5"/>
      <c s="5"/>
      <c s="5"/>
      <c s="5"/>
      <c s="5"/>
      <c s="5"/>
      <c s="5"/>
      <c s="5"/>
      <c s="5"/>
      <c s="5"/>
    </row>
    <row r="823" spans="1:26" ht="15.75">
      <c r="A823" s="5"/>
      <c s="5"/>
      <c s="5"/>
      <c s="5"/>
      <c s="5"/>
      <c s="5"/>
      <c s="5"/>
      <c s="5"/>
      <c s="5"/>
      <c s="5"/>
      <c s="5"/>
      <c s="5"/>
      <c s="5"/>
      <c s="5"/>
      <c s="5"/>
      <c s="5"/>
      <c s="5"/>
      <c s="5"/>
      <c s="5"/>
      <c s="5"/>
      <c s="5"/>
      <c s="5"/>
      <c s="5"/>
      <c s="5"/>
      <c s="5"/>
      <c s="5"/>
    </row>
    <row r="824" spans="1:26" ht="15.75">
      <c r="A824" s="5"/>
      <c s="5"/>
      <c s="5"/>
      <c s="5"/>
      <c s="5"/>
      <c s="5"/>
      <c s="5"/>
      <c s="5"/>
      <c s="5"/>
      <c s="5"/>
      <c s="5"/>
      <c s="5"/>
      <c s="5"/>
      <c s="5"/>
      <c s="5"/>
      <c s="5"/>
      <c s="5"/>
      <c s="5"/>
      <c s="5"/>
      <c s="5"/>
      <c s="5"/>
      <c s="5"/>
      <c s="5"/>
      <c s="5"/>
      <c s="5"/>
      <c s="5"/>
    </row>
    <row r="825" spans="1:26" ht="15.75">
      <c r="A825" s="5"/>
      <c s="5"/>
      <c s="5"/>
      <c s="5"/>
      <c s="5"/>
      <c s="5"/>
      <c s="5"/>
      <c s="5"/>
      <c s="5"/>
      <c s="5"/>
      <c s="5"/>
      <c s="5"/>
      <c s="5"/>
      <c s="5"/>
      <c s="5"/>
      <c s="5"/>
      <c s="5"/>
      <c s="5"/>
      <c s="5"/>
      <c s="5"/>
      <c s="5"/>
      <c s="5"/>
      <c s="5"/>
      <c s="5"/>
      <c s="5"/>
      <c s="5"/>
    </row>
    <row r="826" spans="1:26" ht="15.75">
      <c r="A826" s="5"/>
      <c s="5"/>
      <c s="5"/>
      <c s="5"/>
      <c s="5"/>
      <c s="5"/>
      <c s="5"/>
      <c s="5"/>
      <c s="5"/>
      <c s="5"/>
      <c s="5"/>
      <c s="5"/>
      <c s="5"/>
      <c s="5"/>
      <c s="5"/>
      <c s="5"/>
      <c s="5"/>
      <c s="5"/>
      <c s="5"/>
      <c s="5"/>
      <c s="5"/>
      <c s="5"/>
      <c s="5"/>
      <c s="5"/>
      <c s="5"/>
      <c s="5"/>
    </row>
    <row r="827" spans="1:26" ht="15.75">
      <c r="A827" s="5"/>
      <c s="5"/>
      <c s="5"/>
      <c s="5"/>
      <c s="5"/>
      <c s="5"/>
      <c s="5"/>
      <c s="5"/>
      <c s="5"/>
      <c s="5"/>
      <c s="5"/>
      <c s="5"/>
      <c s="5"/>
      <c s="5"/>
      <c s="5"/>
      <c s="5"/>
      <c s="5"/>
      <c s="5"/>
      <c s="5"/>
      <c s="5"/>
      <c s="5"/>
      <c s="5"/>
      <c s="5"/>
      <c s="5"/>
      <c s="5"/>
      <c s="5"/>
    </row>
    <row r="828" spans="1:26" ht="15.75">
      <c r="A828" s="5"/>
      <c s="5"/>
      <c s="5"/>
      <c s="5"/>
      <c s="5"/>
      <c s="5"/>
      <c s="5"/>
      <c s="5"/>
      <c s="5"/>
      <c s="5"/>
      <c s="5"/>
      <c s="5"/>
      <c s="5"/>
      <c s="5"/>
      <c s="5"/>
      <c s="5"/>
      <c s="5"/>
      <c s="5"/>
      <c s="5"/>
      <c s="5"/>
      <c s="5"/>
      <c s="5"/>
      <c s="5"/>
      <c s="5"/>
      <c s="5"/>
      <c s="5"/>
    </row>
    <row r="829" spans="1:26" ht="15.75">
      <c r="A829" s="5"/>
      <c s="5"/>
      <c s="5"/>
      <c s="5"/>
      <c s="5"/>
      <c s="5"/>
      <c s="5"/>
      <c s="5"/>
      <c s="5"/>
      <c s="5"/>
      <c s="5"/>
      <c s="5"/>
      <c s="5"/>
      <c s="5"/>
      <c s="5"/>
      <c s="5"/>
      <c s="5"/>
      <c s="5"/>
      <c s="5"/>
      <c s="5"/>
      <c s="5"/>
      <c s="5"/>
      <c s="5"/>
      <c s="5"/>
      <c s="5"/>
      <c s="5"/>
    </row>
    <row r="830" spans="1:26" ht="15.75">
      <c r="A830" s="5"/>
      <c s="5"/>
      <c s="5"/>
      <c s="5"/>
      <c s="5"/>
      <c s="5"/>
      <c s="5"/>
      <c s="5"/>
      <c s="5"/>
      <c s="5"/>
      <c s="5"/>
      <c s="5"/>
      <c s="5"/>
      <c s="5"/>
      <c s="5"/>
      <c s="5"/>
      <c s="5"/>
      <c s="5"/>
      <c s="5"/>
      <c s="5"/>
      <c s="5"/>
      <c s="5"/>
      <c s="5"/>
      <c s="5"/>
      <c s="5"/>
      <c s="5"/>
    </row>
    <row r="831" spans="1:26" ht="15.75">
      <c r="A831" s="5"/>
      <c s="5"/>
      <c s="5"/>
      <c s="5"/>
      <c s="5"/>
      <c s="5"/>
      <c s="5"/>
      <c s="5"/>
      <c s="5"/>
      <c s="5"/>
      <c s="5"/>
      <c s="5"/>
      <c s="5"/>
      <c s="5"/>
      <c s="5"/>
      <c s="5"/>
      <c s="5"/>
      <c s="5"/>
      <c s="5"/>
      <c s="5"/>
      <c s="5"/>
      <c s="5"/>
      <c s="5"/>
      <c s="5"/>
      <c s="5"/>
      <c s="5"/>
    </row>
    <row r="832" spans="1:26" ht="15.75">
      <c r="A832" s="5"/>
      <c s="5"/>
      <c s="5"/>
      <c s="5"/>
      <c s="5"/>
      <c s="5"/>
      <c s="5"/>
      <c s="5"/>
      <c s="5"/>
      <c s="5"/>
      <c s="5"/>
      <c s="5"/>
      <c s="5"/>
      <c s="5"/>
      <c s="5"/>
      <c s="5"/>
      <c s="5"/>
      <c s="5"/>
      <c s="5"/>
      <c s="5"/>
      <c s="5"/>
      <c s="5"/>
      <c s="5"/>
      <c s="5"/>
      <c s="5"/>
      <c s="5"/>
    </row>
    <row r="833" spans="1:26" ht="15.75">
      <c r="A833" s="5"/>
      <c s="5"/>
      <c s="5"/>
      <c s="5"/>
      <c s="5"/>
      <c s="5"/>
      <c s="5"/>
      <c s="5"/>
      <c s="5"/>
      <c s="5"/>
      <c s="5"/>
      <c s="5"/>
      <c s="5"/>
      <c s="5"/>
      <c s="5"/>
      <c s="5"/>
      <c s="5"/>
      <c s="5"/>
      <c s="5"/>
      <c s="5"/>
      <c s="5"/>
      <c s="5"/>
      <c s="5"/>
      <c s="5"/>
      <c s="5"/>
      <c s="5"/>
    </row>
    <row r="834" spans="1:26" ht="15.75">
      <c r="A834" s="5"/>
      <c s="5"/>
      <c s="5"/>
      <c s="5"/>
      <c s="5"/>
      <c s="5"/>
      <c s="5"/>
      <c s="5"/>
      <c s="5"/>
      <c s="5"/>
      <c s="5"/>
      <c s="5"/>
      <c s="5"/>
      <c s="5"/>
      <c s="5"/>
      <c s="5"/>
      <c s="5"/>
      <c s="5"/>
      <c s="5"/>
      <c s="5"/>
      <c s="5"/>
      <c s="5"/>
      <c s="5"/>
      <c s="5"/>
      <c s="5"/>
      <c s="5"/>
    </row>
    <row r="835" spans="1:26" ht="15.75">
      <c r="A835" s="5"/>
      <c s="5"/>
      <c s="5"/>
      <c s="5"/>
      <c s="5"/>
      <c s="5"/>
      <c s="5"/>
      <c s="5"/>
      <c s="5"/>
      <c s="5"/>
      <c s="5"/>
      <c s="5"/>
      <c s="5"/>
      <c s="5"/>
      <c s="5"/>
      <c s="5"/>
      <c s="5"/>
      <c s="5"/>
      <c s="5"/>
      <c s="5"/>
      <c s="5"/>
      <c s="5"/>
      <c s="5"/>
      <c s="5"/>
      <c s="5"/>
      <c s="5"/>
    </row>
    <row r="836" spans="1:26" ht="15.75">
      <c r="A836" s="5"/>
      <c s="5"/>
      <c s="5"/>
      <c s="5"/>
      <c s="5"/>
      <c s="5"/>
      <c s="5"/>
      <c s="5"/>
      <c s="5"/>
      <c s="5"/>
      <c s="5"/>
      <c s="5"/>
      <c s="5"/>
      <c s="5"/>
      <c s="5"/>
      <c s="5"/>
      <c s="5"/>
      <c s="5"/>
      <c s="5"/>
      <c s="5"/>
      <c s="5"/>
      <c s="5"/>
      <c s="5"/>
      <c s="5"/>
      <c s="5"/>
      <c s="5"/>
    </row>
    <row r="837" spans="1:26" ht="15.75">
      <c r="A837" s="5"/>
      <c s="5"/>
      <c s="5"/>
      <c s="5"/>
      <c s="5"/>
      <c s="5"/>
      <c s="5"/>
      <c s="5"/>
      <c s="5"/>
      <c s="5"/>
      <c s="5"/>
      <c s="5"/>
      <c s="5"/>
      <c s="5"/>
      <c s="5"/>
      <c s="5"/>
      <c s="5"/>
      <c s="5"/>
      <c s="5"/>
      <c s="5"/>
      <c s="5"/>
      <c s="5"/>
      <c s="5"/>
      <c s="5"/>
      <c s="5"/>
      <c s="5"/>
    </row>
    <row r="838" spans="1:26" ht="15.75">
      <c r="A838" s="5"/>
      <c s="5"/>
      <c s="5"/>
      <c s="5"/>
      <c s="5"/>
      <c s="5"/>
      <c s="5"/>
      <c s="5"/>
      <c s="5"/>
      <c s="5"/>
      <c s="5"/>
      <c s="5"/>
      <c s="5"/>
      <c s="5"/>
      <c s="5"/>
      <c s="5"/>
      <c s="5"/>
      <c s="5"/>
      <c s="5"/>
      <c s="5"/>
      <c s="5"/>
      <c s="5"/>
      <c s="5"/>
      <c s="5"/>
      <c s="5"/>
      <c s="5"/>
    </row>
    <row r="839" spans="1:26" ht="15.75">
      <c r="A839" s="5"/>
      <c s="5"/>
      <c s="5"/>
      <c s="5"/>
      <c s="5"/>
      <c s="5"/>
      <c s="5"/>
      <c s="5"/>
      <c s="5"/>
      <c s="5"/>
      <c s="5"/>
      <c s="5"/>
      <c s="5"/>
      <c s="5"/>
      <c s="5"/>
      <c s="5"/>
      <c s="5"/>
      <c s="5"/>
      <c s="5"/>
      <c s="5"/>
      <c s="5"/>
      <c s="5"/>
      <c s="5"/>
      <c s="5"/>
      <c s="5"/>
      <c s="5"/>
    </row>
    <row r="840" spans="1:26" ht="15.75">
      <c r="A840" s="5"/>
      <c s="5"/>
      <c s="5"/>
      <c s="5"/>
      <c s="5"/>
      <c s="5"/>
      <c s="5"/>
      <c s="5"/>
      <c s="5"/>
      <c s="5"/>
      <c s="5"/>
      <c s="5"/>
      <c s="5"/>
      <c s="5"/>
      <c s="5"/>
      <c s="5"/>
      <c s="5"/>
      <c s="5"/>
      <c s="5"/>
      <c s="5"/>
      <c s="5"/>
      <c s="5"/>
      <c s="5"/>
      <c s="5"/>
      <c s="5"/>
      <c s="5"/>
    </row>
    <row r="841" spans="1:26" ht="15.75">
      <c r="A841" s="5"/>
      <c s="5"/>
      <c s="5"/>
      <c s="5"/>
      <c s="5"/>
      <c s="5"/>
      <c s="5"/>
      <c s="5"/>
      <c s="5"/>
      <c s="5"/>
      <c s="5"/>
      <c s="5"/>
      <c s="5"/>
      <c s="5"/>
      <c s="5"/>
      <c s="5"/>
      <c s="5"/>
      <c s="5"/>
      <c s="5"/>
      <c s="5"/>
      <c s="5"/>
      <c s="5"/>
      <c s="5"/>
      <c s="5"/>
      <c s="5"/>
      <c s="5"/>
    </row>
    <row r="842" spans="1:26" ht="15.75">
      <c r="A842" s="5"/>
      <c s="5"/>
      <c s="5"/>
      <c s="5"/>
      <c s="5"/>
      <c s="5"/>
      <c s="5"/>
      <c s="5"/>
      <c s="5"/>
      <c s="5"/>
      <c s="5"/>
      <c s="5"/>
      <c s="5"/>
      <c s="5"/>
      <c s="5"/>
      <c s="5"/>
      <c s="5"/>
      <c s="5"/>
      <c s="5"/>
      <c s="5"/>
      <c s="5"/>
      <c s="5"/>
      <c s="5"/>
      <c s="5"/>
      <c s="5"/>
      <c s="5"/>
    </row>
    <row r="843" spans="1:26" ht="15.75">
      <c r="A843" s="5"/>
      <c s="5"/>
      <c s="5"/>
      <c s="5"/>
      <c s="5"/>
      <c s="5"/>
      <c s="5"/>
      <c s="5"/>
      <c s="5"/>
      <c s="5"/>
      <c s="5"/>
      <c s="5"/>
      <c s="5"/>
      <c s="5"/>
      <c s="5"/>
      <c s="5"/>
      <c s="5"/>
      <c s="5"/>
      <c s="5"/>
      <c s="5"/>
      <c s="5"/>
      <c s="5"/>
      <c s="5"/>
      <c s="5"/>
      <c s="5"/>
      <c s="5"/>
    </row>
    <row r="844" spans="1:26" ht="15.75">
      <c r="A844" s="5"/>
      <c s="5"/>
      <c s="5"/>
      <c s="5"/>
      <c s="5"/>
      <c s="5"/>
      <c s="5"/>
      <c s="5"/>
      <c s="5"/>
      <c s="5"/>
      <c s="5"/>
      <c s="5"/>
      <c s="5"/>
      <c s="5"/>
      <c s="5"/>
      <c s="5"/>
      <c s="5"/>
      <c s="5"/>
      <c s="5"/>
      <c s="5"/>
      <c s="5"/>
      <c s="5"/>
      <c s="5"/>
      <c s="5"/>
      <c s="5"/>
      <c s="5"/>
    </row>
    <row r="845" spans="1:26" ht="15.75">
      <c r="A845" s="5"/>
      <c s="5"/>
      <c s="5"/>
      <c s="5"/>
      <c s="5"/>
      <c s="5"/>
      <c s="5"/>
      <c s="5"/>
      <c s="5"/>
      <c s="5"/>
      <c s="5"/>
      <c s="5"/>
      <c s="5"/>
      <c s="5"/>
      <c s="5"/>
      <c s="5"/>
      <c s="5"/>
      <c s="5"/>
      <c s="5"/>
      <c s="5"/>
      <c s="5"/>
      <c s="5"/>
      <c s="5"/>
      <c s="5"/>
      <c s="5"/>
      <c s="5"/>
    </row>
    <row r="846" spans="1:26" ht="15.75">
      <c r="A846" s="5"/>
      <c s="5"/>
      <c s="5"/>
      <c s="5"/>
      <c s="5"/>
      <c s="5"/>
      <c s="5"/>
      <c s="5"/>
      <c s="5"/>
      <c s="5"/>
      <c s="5"/>
      <c s="5"/>
      <c s="5"/>
      <c s="5"/>
      <c s="5"/>
      <c s="5"/>
      <c s="5"/>
      <c s="5"/>
      <c s="5"/>
      <c s="5"/>
      <c s="5"/>
      <c s="5"/>
      <c s="5"/>
      <c s="5"/>
      <c s="5"/>
      <c s="5"/>
    </row>
    <row r="847" spans="1:26" ht="15.75">
      <c r="A847" s="5"/>
      <c s="5"/>
      <c s="5"/>
      <c s="5"/>
      <c s="5"/>
      <c s="5"/>
      <c s="5"/>
      <c s="5"/>
      <c s="5"/>
      <c s="5"/>
      <c s="5"/>
      <c s="5"/>
      <c s="5"/>
      <c s="5"/>
      <c s="5"/>
      <c s="5"/>
      <c s="5"/>
      <c s="5"/>
      <c s="5"/>
      <c s="5"/>
      <c s="5"/>
      <c s="5"/>
      <c s="5"/>
      <c s="5"/>
      <c s="5"/>
      <c s="5"/>
    </row>
    <row r="848" spans="1:26" ht="15.75">
      <c r="A848" s="5"/>
      <c s="5"/>
      <c s="5"/>
      <c s="5"/>
      <c s="5"/>
      <c s="5"/>
      <c s="5"/>
      <c s="5"/>
      <c s="5"/>
      <c s="5"/>
      <c s="5"/>
      <c s="5"/>
      <c s="5"/>
      <c s="5"/>
      <c s="5"/>
      <c s="5"/>
      <c s="5"/>
      <c s="5"/>
      <c s="5"/>
      <c s="5"/>
      <c s="5"/>
      <c s="5"/>
      <c s="5"/>
      <c s="5"/>
      <c s="5"/>
      <c s="5"/>
    </row>
    <row r="849" spans="1:26" ht="15.75">
      <c r="A849" s="5"/>
      <c s="5"/>
      <c s="5"/>
      <c s="5"/>
      <c s="5"/>
      <c s="5"/>
      <c s="5"/>
      <c s="5"/>
      <c s="5"/>
      <c s="5"/>
      <c s="5"/>
      <c s="5"/>
      <c s="5"/>
      <c s="5"/>
      <c s="5"/>
      <c s="5"/>
      <c s="5"/>
      <c s="5"/>
      <c s="5"/>
      <c s="5"/>
      <c s="5"/>
      <c s="5"/>
      <c s="5"/>
      <c s="5"/>
      <c s="5"/>
      <c s="5"/>
    </row>
    <row r="850" spans="1:26" ht="15.75">
      <c r="A850" s="5"/>
      <c s="5"/>
      <c s="5"/>
      <c s="5"/>
      <c s="5"/>
      <c s="5"/>
      <c s="5"/>
      <c s="5"/>
      <c s="5"/>
      <c s="5"/>
      <c s="5"/>
      <c s="5"/>
      <c s="5"/>
      <c s="5"/>
      <c s="5"/>
      <c s="5"/>
      <c s="5"/>
      <c s="5"/>
      <c s="5"/>
      <c s="5"/>
      <c s="5"/>
      <c s="5"/>
      <c s="5"/>
      <c s="5"/>
      <c s="5"/>
      <c s="5"/>
    </row>
    <row r="851" spans="1:26" ht="15.75">
      <c r="A851" s="5"/>
      <c s="5"/>
      <c s="5"/>
      <c s="5"/>
      <c s="5"/>
      <c s="5"/>
      <c s="5"/>
      <c s="5"/>
      <c s="5"/>
      <c s="5"/>
      <c s="5"/>
      <c s="5"/>
      <c s="5"/>
      <c s="5"/>
      <c s="5"/>
      <c s="5"/>
      <c s="5"/>
      <c s="5"/>
      <c s="5"/>
      <c s="5"/>
      <c s="5"/>
      <c s="5"/>
      <c s="5"/>
      <c s="5"/>
      <c s="5"/>
      <c s="5"/>
    </row>
    <row r="852" spans="1:26" ht="15.75">
      <c r="A852" s="5"/>
      <c s="5"/>
      <c s="5"/>
      <c s="5"/>
      <c s="5"/>
      <c s="5"/>
      <c s="5"/>
      <c s="5"/>
      <c s="5"/>
      <c s="5"/>
      <c s="5"/>
      <c s="5"/>
      <c s="5"/>
      <c s="5"/>
      <c s="5"/>
      <c s="5"/>
      <c s="5"/>
      <c s="5"/>
      <c s="5"/>
      <c s="5"/>
      <c s="5"/>
      <c s="5"/>
      <c s="5"/>
      <c s="5"/>
      <c s="5"/>
      <c s="5"/>
    </row>
    <row r="853" spans="1:26" ht="15.75">
      <c r="A853" s="5"/>
      <c s="5"/>
      <c s="5"/>
      <c s="5"/>
      <c s="5"/>
      <c s="5"/>
      <c s="5"/>
      <c s="5"/>
      <c s="5"/>
      <c s="5"/>
      <c s="5"/>
      <c s="5"/>
      <c s="5"/>
      <c s="5"/>
      <c s="5"/>
      <c s="5"/>
      <c s="5"/>
      <c s="5"/>
      <c s="5"/>
      <c s="5"/>
      <c s="5"/>
      <c s="5"/>
      <c s="5"/>
      <c s="5"/>
      <c s="5"/>
      <c s="5"/>
    </row>
    <row r="854" spans="1:26" ht="15.75">
      <c r="A854" s="5"/>
      <c s="5"/>
      <c s="5"/>
      <c s="5"/>
      <c s="5"/>
      <c s="5"/>
      <c s="5"/>
      <c s="5"/>
      <c s="5"/>
      <c s="5"/>
      <c s="5"/>
      <c s="5"/>
      <c s="5"/>
      <c s="5"/>
      <c s="5"/>
      <c s="5"/>
      <c s="5"/>
      <c s="5"/>
      <c s="5"/>
      <c s="5"/>
      <c s="5"/>
      <c s="5"/>
      <c s="5"/>
      <c s="5"/>
      <c s="5"/>
      <c s="5"/>
    </row>
    <row r="855" spans="1:26" ht="15.75">
      <c r="A855" s="5"/>
      <c s="5"/>
      <c s="5"/>
      <c s="5"/>
      <c s="5"/>
      <c s="5"/>
      <c s="5"/>
      <c s="5"/>
      <c s="5"/>
      <c s="5"/>
      <c s="5"/>
      <c s="5"/>
      <c s="5"/>
      <c s="5"/>
      <c s="5"/>
      <c s="5"/>
      <c s="5"/>
      <c s="5"/>
      <c s="5"/>
      <c s="5"/>
      <c s="5"/>
      <c s="5"/>
      <c s="5"/>
      <c s="5"/>
      <c s="5"/>
      <c s="5"/>
    </row>
    <row r="856" spans="1:26" ht="15.75">
      <c r="A856" s="5"/>
      <c s="5"/>
      <c s="5"/>
      <c s="5"/>
      <c s="5"/>
      <c s="5"/>
      <c s="5"/>
      <c s="5"/>
      <c s="5"/>
      <c s="5"/>
      <c s="5"/>
      <c s="5"/>
      <c s="5"/>
      <c s="5"/>
      <c s="5"/>
      <c s="5"/>
      <c s="5"/>
      <c s="5"/>
      <c s="5"/>
      <c s="5"/>
      <c s="5"/>
      <c s="5"/>
      <c s="5"/>
      <c s="5"/>
      <c s="5"/>
      <c s="5"/>
    </row>
    <row r="857" spans="1:26" ht="15.75">
      <c r="A857" s="5"/>
      <c s="5"/>
      <c s="5"/>
      <c s="5"/>
      <c s="5"/>
      <c s="5"/>
      <c s="5"/>
      <c s="5"/>
      <c s="5"/>
      <c s="5"/>
      <c s="5"/>
      <c s="5"/>
      <c s="5"/>
      <c s="5"/>
      <c s="5"/>
      <c s="5"/>
      <c s="5"/>
      <c s="5"/>
      <c s="5"/>
      <c s="5"/>
      <c s="5"/>
      <c s="5"/>
      <c s="5"/>
      <c s="5"/>
      <c s="5"/>
      <c s="5"/>
    </row>
    <row r="858" spans="1:26" ht="15.75">
      <c r="A858" s="5"/>
      <c s="5"/>
      <c s="5"/>
      <c s="5"/>
      <c s="5"/>
      <c s="5"/>
      <c s="5"/>
      <c s="5"/>
      <c s="5"/>
      <c s="5"/>
      <c s="5"/>
      <c s="5"/>
      <c s="5"/>
      <c s="5"/>
      <c s="5"/>
      <c s="5"/>
      <c s="5"/>
      <c s="5"/>
      <c s="5"/>
      <c s="5"/>
      <c s="5"/>
      <c s="5"/>
      <c s="5"/>
      <c s="5"/>
      <c s="5"/>
      <c s="5"/>
    </row>
    <row r="859" spans="1:26" ht="15.75">
      <c r="A859" s="5"/>
      <c s="5"/>
      <c s="5"/>
      <c s="5"/>
      <c s="5"/>
      <c s="5"/>
      <c s="5"/>
      <c s="5"/>
      <c s="5"/>
      <c s="5"/>
      <c s="5"/>
      <c s="5"/>
      <c s="5"/>
      <c s="5"/>
      <c s="5"/>
      <c s="5"/>
      <c s="5"/>
      <c s="5"/>
      <c s="5"/>
      <c s="5"/>
      <c s="5"/>
      <c s="5"/>
      <c s="5"/>
      <c s="5"/>
      <c s="5"/>
      <c s="5"/>
    </row>
    <row r="860" spans="1:26" ht="15.75">
      <c r="A860" s="5"/>
      <c s="5"/>
      <c s="5"/>
      <c s="5"/>
      <c s="5"/>
      <c s="5"/>
      <c s="5"/>
      <c s="5"/>
      <c s="5"/>
      <c s="5"/>
      <c s="5"/>
      <c s="5"/>
      <c s="5"/>
      <c s="5"/>
      <c s="5"/>
      <c s="5"/>
      <c s="5"/>
      <c s="5"/>
      <c s="5"/>
      <c s="5"/>
      <c s="5"/>
      <c s="5"/>
      <c s="5"/>
      <c s="5"/>
      <c s="5"/>
      <c s="5"/>
    </row>
    <row r="861" spans="1:26" ht="15.75">
      <c r="A861" s="5"/>
      <c s="5"/>
      <c s="5"/>
      <c s="5"/>
      <c s="5"/>
      <c s="5"/>
      <c s="5"/>
      <c s="5"/>
      <c s="5"/>
      <c s="5"/>
      <c s="5"/>
      <c s="5"/>
      <c s="5"/>
      <c s="5"/>
      <c s="5"/>
      <c s="5"/>
      <c s="5"/>
      <c s="5"/>
      <c s="5"/>
      <c s="5"/>
      <c s="5"/>
      <c s="5"/>
      <c s="5"/>
      <c s="5"/>
      <c s="5"/>
      <c s="5"/>
    </row>
    <row r="862" spans="1:26" ht="15.75">
      <c r="A862" s="5"/>
      <c s="5"/>
      <c s="5"/>
      <c s="5"/>
      <c s="5"/>
      <c s="5"/>
      <c s="5"/>
      <c s="5"/>
      <c s="5"/>
      <c s="5"/>
      <c s="5"/>
      <c s="5"/>
      <c s="5"/>
      <c s="5"/>
      <c s="5"/>
      <c s="5"/>
      <c s="5"/>
      <c s="5"/>
      <c s="5"/>
      <c s="5"/>
      <c s="5"/>
      <c s="5"/>
      <c s="5"/>
      <c s="5"/>
      <c s="5"/>
      <c s="5"/>
    </row>
    <row r="863" spans="1:26" ht="15.75">
      <c r="A863" s="5"/>
      <c s="5"/>
      <c s="5"/>
      <c s="5"/>
      <c s="5"/>
      <c s="5"/>
      <c s="5"/>
      <c s="5"/>
      <c s="5"/>
      <c s="5"/>
      <c s="5"/>
      <c s="5"/>
      <c s="5"/>
      <c s="5"/>
      <c s="5"/>
      <c s="5"/>
      <c s="5"/>
      <c s="5"/>
      <c s="5"/>
      <c s="5"/>
      <c s="5"/>
      <c s="5"/>
      <c s="5"/>
      <c s="5"/>
      <c s="5"/>
      <c s="5"/>
    </row>
    <row r="864" spans="1:26" ht="15.75">
      <c r="A864" s="5"/>
      <c s="5"/>
      <c s="5"/>
      <c s="5"/>
      <c s="5"/>
      <c s="5"/>
      <c s="5"/>
      <c s="5"/>
      <c s="5"/>
      <c s="5"/>
      <c s="5"/>
      <c s="5"/>
      <c s="5"/>
      <c s="5"/>
      <c s="5"/>
      <c s="5"/>
      <c s="5"/>
      <c s="5"/>
      <c s="5"/>
      <c s="5"/>
      <c s="5"/>
      <c s="5"/>
      <c s="5"/>
      <c s="5"/>
      <c s="5"/>
      <c s="5"/>
    </row>
    <row r="865" spans="1:26" ht="15.75">
      <c r="A865" s="5"/>
      <c s="5"/>
      <c s="5"/>
      <c s="5"/>
      <c s="5"/>
      <c s="5"/>
      <c s="5"/>
      <c s="5"/>
      <c s="5"/>
      <c s="5"/>
      <c s="5"/>
      <c s="5"/>
      <c s="5"/>
      <c s="5"/>
      <c s="5"/>
      <c s="5"/>
      <c s="5"/>
      <c s="5"/>
      <c s="5"/>
      <c s="5"/>
      <c s="5"/>
      <c s="5"/>
      <c s="5"/>
      <c s="5"/>
      <c s="5"/>
      <c s="5"/>
    </row>
    <row r="866" spans="1:26" ht="15.75">
      <c r="A866" s="5"/>
      <c s="5"/>
      <c s="5"/>
      <c s="5"/>
      <c s="5"/>
      <c s="5"/>
      <c s="5"/>
      <c s="5"/>
      <c s="5"/>
      <c s="5"/>
      <c s="5"/>
      <c s="5"/>
      <c s="5"/>
      <c s="5"/>
      <c s="5"/>
      <c s="5"/>
      <c s="5"/>
      <c s="5"/>
      <c s="5"/>
      <c s="5"/>
      <c s="5"/>
      <c s="5"/>
      <c s="5"/>
      <c s="5"/>
      <c s="5"/>
      <c s="5"/>
    </row>
    <row r="867" spans="1:26" ht="15.75">
      <c r="A867" s="5"/>
      <c s="5"/>
      <c s="5"/>
      <c s="5"/>
      <c s="5"/>
      <c s="5"/>
      <c s="5"/>
      <c s="5"/>
      <c s="5"/>
      <c s="5"/>
      <c s="5"/>
      <c s="5"/>
      <c s="5"/>
      <c s="5"/>
      <c s="5"/>
      <c s="5"/>
      <c s="5"/>
      <c s="5"/>
      <c s="5"/>
      <c s="5"/>
      <c s="5"/>
      <c s="5"/>
      <c s="5"/>
      <c s="5"/>
      <c s="5"/>
      <c s="5"/>
    </row>
    <row r="868" spans="1:26" ht="15.75">
      <c r="A868" s="5"/>
      <c s="5"/>
      <c s="5"/>
      <c s="5"/>
      <c s="5"/>
      <c s="5"/>
      <c s="5"/>
      <c s="5"/>
      <c s="5"/>
      <c s="5"/>
      <c s="5"/>
      <c s="5"/>
      <c s="5"/>
      <c s="5"/>
      <c s="5"/>
      <c s="5"/>
      <c s="5"/>
      <c s="5"/>
      <c s="5"/>
      <c s="5"/>
      <c s="5"/>
      <c s="5"/>
      <c s="5"/>
      <c s="5"/>
      <c s="5"/>
      <c s="5"/>
    </row>
    <row r="869" spans="1:26" ht="15.75">
      <c r="A869" s="5"/>
      <c s="5"/>
      <c s="5"/>
      <c s="5"/>
      <c s="5"/>
      <c s="5"/>
      <c s="5"/>
      <c s="5"/>
      <c s="5"/>
      <c s="5"/>
      <c s="5"/>
      <c s="5"/>
      <c s="5"/>
      <c s="5"/>
      <c s="5"/>
      <c s="5"/>
      <c s="5"/>
      <c s="5"/>
      <c s="5"/>
      <c s="5"/>
      <c s="5"/>
      <c s="5"/>
      <c s="5"/>
      <c s="5"/>
      <c s="5"/>
      <c s="5"/>
    </row>
    <row r="870" spans="1:26" ht="15.75">
      <c r="A870" s="5"/>
      <c s="5"/>
      <c s="5"/>
      <c s="5"/>
      <c s="5"/>
      <c s="5"/>
      <c s="5"/>
      <c s="5"/>
      <c s="5"/>
      <c s="5"/>
      <c s="5"/>
      <c s="5"/>
      <c s="5"/>
      <c s="5"/>
      <c s="5"/>
      <c s="5"/>
      <c s="5"/>
      <c s="5"/>
      <c s="5"/>
      <c s="5"/>
      <c s="5"/>
      <c s="5"/>
      <c s="5"/>
      <c s="5"/>
      <c s="5"/>
      <c s="5"/>
    </row>
    <row r="871" spans="1:26" ht="15.75">
      <c r="A871" s="5"/>
      <c s="5"/>
      <c s="5"/>
      <c s="5"/>
      <c s="5"/>
      <c s="5"/>
      <c s="5"/>
      <c s="5"/>
      <c s="5"/>
      <c s="5"/>
      <c s="5"/>
      <c s="5"/>
      <c s="5"/>
      <c s="5"/>
      <c s="5"/>
      <c s="5"/>
      <c s="5"/>
      <c s="5"/>
      <c s="5"/>
      <c s="5"/>
      <c s="5"/>
      <c s="5"/>
      <c s="5"/>
      <c s="5"/>
      <c s="5"/>
      <c s="5"/>
    </row>
    <row r="872" spans="1:26" ht="15.75">
      <c r="A872" s="5"/>
      <c s="5"/>
      <c s="5"/>
      <c s="5"/>
      <c s="5"/>
      <c s="5"/>
      <c s="5"/>
      <c s="5"/>
      <c s="5"/>
      <c s="5"/>
      <c s="5"/>
      <c s="5"/>
      <c s="5"/>
      <c s="5"/>
      <c s="5"/>
      <c s="5"/>
      <c s="5"/>
      <c s="5"/>
      <c s="5"/>
      <c s="5"/>
      <c s="5"/>
      <c s="5"/>
      <c s="5"/>
      <c s="5"/>
      <c s="5"/>
      <c s="5"/>
    </row>
    <row r="873" spans="1:26" ht="15.75">
      <c r="A873" s="5"/>
      <c s="5"/>
      <c s="5"/>
      <c s="5"/>
      <c s="5"/>
      <c s="5"/>
      <c s="5"/>
      <c s="5"/>
      <c s="5"/>
      <c s="5"/>
      <c s="5"/>
      <c s="5"/>
      <c s="5"/>
      <c s="5"/>
      <c s="5"/>
      <c s="5"/>
      <c s="5"/>
      <c s="5"/>
      <c s="5"/>
      <c s="5"/>
      <c s="5"/>
      <c s="5"/>
      <c s="5"/>
      <c s="5"/>
      <c s="5"/>
      <c s="5"/>
    </row>
    <row r="874" spans="1:26" ht="15.75">
      <c r="A874" s="5"/>
      <c s="5"/>
      <c s="5"/>
      <c s="5"/>
      <c s="5"/>
      <c s="5"/>
      <c s="5"/>
      <c s="5"/>
      <c s="5"/>
      <c s="5"/>
      <c s="5"/>
      <c s="5"/>
      <c s="5"/>
      <c s="5"/>
      <c s="5"/>
      <c s="5"/>
      <c s="5"/>
      <c s="5"/>
      <c s="5"/>
      <c s="5"/>
      <c s="5"/>
      <c s="5"/>
      <c s="5"/>
      <c s="5"/>
      <c s="5"/>
      <c s="5"/>
    </row>
    <row r="875" spans="1:26" ht="15.75">
      <c r="A875" s="5"/>
      <c s="5"/>
      <c s="5"/>
      <c s="5"/>
      <c s="5"/>
      <c s="5"/>
      <c s="5"/>
      <c s="5"/>
      <c s="5"/>
      <c s="5"/>
      <c s="5"/>
      <c s="5"/>
      <c s="5"/>
      <c s="5"/>
      <c s="5"/>
      <c s="5"/>
      <c s="5"/>
      <c s="5"/>
      <c s="5"/>
      <c s="5"/>
      <c s="5"/>
      <c s="5"/>
      <c s="5"/>
      <c s="5"/>
      <c s="5"/>
      <c s="5"/>
    </row>
    <row r="876" spans="1:26" ht="15.75">
      <c r="A876" s="5"/>
      <c s="5"/>
      <c s="5"/>
      <c s="5"/>
      <c s="5"/>
      <c s="5"/>
      <c s="5"/>
      <c s="5"/>
      <c s="5"/>
      <c s="5"/>
      <c s="5"/>
      <c s="5"/>
      <c s="5"/>
      <c s="5"/>
      <c s="5"/>
      <c s="5"/>
      <c s="5"/>
      <c s="5"/>
      <c s="5"/>
      <c s="5"/>
      <c s="5"/>
      <c s="5"/>
      <c s="5"/>
      <c s="5"/>
      <c s="5"/>
      <c s="5"/>
    </row>
    <row r="877" spans="1:26" ht="15.75">
      <c r="A877" s="5"/>
      <c s="5"/>
      <c s="5"/>
      <c s="5"/>
      <c s="5"/>
      <c s="5"/>
      <c s="5"/>
      <c s="5"/>
      <c s="5"/>
      <c s="5"/>
      <c s="5"/>
      <c s="5"/>
      <c s="5"/>
      <c s="5"/>
      <c s="5"/>
      <c s="5"/>
      <c s="5"/>
      <c s="5"/>
      <c s="5"/>
      <c s="5"/>
      <c s="5"/>
      <c s="5"/>
      <c s="5"/>
      <c s="5"/>
      <c s="5"/>
      <c s="5"/>
    </row>
    <row r="878" spans="1:26" ht="15.75">
      <c r="A878" s="5"/>
      <c s="5"/>
      <c s="5"/>
      <c s="5"/>
      <c s="5"/>
      <c s="5"/>
      <c s="5"/>
      <c s="5"/>
      <c s="5"/>
      <c s="5"/>
      <c s="5"/>
      <c s="5"/>
      <c s="5"/>
      <c s="5"/>
      <c s="5"/>
      <c s="5"/>
      <c s="5"/>
      <c s="5"/>
      <c s="5"/>
      <c s="5"/>
      <c s="5"/>
      <c s="5"/>
      <c s="5"/>
      <c s="5"/>
      <c s="5"/>
      <c s="5"/>
    </row>
    <row r="879" spans="1:26" ht="15.75">
      <c r="A879" s="5"/>
      <c s="5"/>
      <c s="5"/>
      <c s="5"/>
      <c s="5"/>
      <c s="5"/>
      <c s="5"/>
      <c s="5"/>
      <c s="5"/>
      <c s="5"/>
      <c s="5"/>
      <c s="5"/>
      <c s="5"/>
      <c s="5"/>
      <c s="5"/>
      <c s="5"/>
      <c s="5"/>
      <c s="5"/>
      <c s="5"/>
      <c s="5"/>
      <c s="5"/>
      <c s="5"/>
      <c s="5"/>
      <c s="5"/>
      <c s="5"/>
      <c s="5"/>
    </row>
    <row r="880" spans="1:26" ht="15.75">
      <c r="A880" s="5"/>
      <c s="5"/>
      <c s="5"/>
      <c s="5"/>
      <c s="5"/>
      <c s="5"/>
      <c s="5"/>
      <c s="5"/>
      <c s="5"/>
      <c s="5"/>
      <c s="5"/>
      <c s="5"/>
      <c s="5"/>
      <c s="5"/>
      <c s="5"/>
      <c s="5"/>
      <c s="5"/>
      <c s="5"/>
      <c s="5"/>
      <c s="5"/>
      <c s="5"/>
      <c s="5"/>
      <c s="5"/>
      <c s="5"/>
      <c s="5"/>
      <c s="5"/>
    </row>
    <row r="881" spans="1:26" ht="15.75">
      <c r="A881" s="5"/>
      <c s="5"/>
      <c s="5"/>
      <c s="5"/>
      <c s="5"/>
      <c s="5"/>
      <c s="5"/>
      <c s="5"/>
      <c s="5"/>
      <c s="5"/>
      <c s="5"/>
      <c s="5"/>
      <c s="5"/>
      <c s="5"/>
      <c s="5"/>
      <c s="5"/>
      <c s="5"/>
      <c s="5"/>
      <c s="5"/>
      <c s="5"/>
      <c s="5"/>
      <c s="5"/>
      <c s="5"/>
      <c s="5"/>
      <c s="5"/>
      <c s="5"/>
    </row>
    <row r="882" spans="1:26" ht="15.75">
      <c r="A882" s="5"/>
      <c s="5"/>
      <c s="5"/>
      <c s="5"/>
      <c s="5"/>
      <c s="5"/>
      <c s="5"/>
      <c s="5"/>
      <c s="5"/>
      <c s="5"/>
      <c s="5"/>
      <c s="5"/>
      <c s="5"/>
      <c s="5"/>
      <c s="5"/>
      <c s="5"/>
      <c s="5"/>
      <c s="5"/>
      <c s="5"/>
      <c s="5"/>
      <c s="5"/>
      <c s="5"/>
      <c s="5"/>
      <c s="5"/>
      <c s="5"/>
      <c s="5"/>
    </row>
    <row r="883" spans="1:26" ht="15.75">
      <c r="A883" s="5"/>
      <c s="5"/>
      <c s="5"/>
      <c s="5"/>
      <c s="5"/>
      <c s="5"/>
      <c s="5"/>
      <c s="5"/>
      <c s="5"/>
      <c s="5"/>
      <c s="5"/>
      <c s="5"/>
      <c s="5"/>
      <c s="5"/>
      <c s="5"/>
      <c s="5"/>
      <c s="5"/>
      <c s="5"/>
      <c s="5"/>
      <c s="5"/>
      <c s="5"/>
      <c s="5"/>
      <c s="5"/>
      <c s="5"/>
      <c s="5"/>
      <c s="5"/>
    </row>
    <row r="884" spans="1:26" ht="15.75">
      <c r="A884" s="5"/>
      <c s="5"/>
      <c s="5"/>
      <c s="5"/>
      <c s="5"/>
      <c s="5"/>
      <c s="5"/>
      <c s="5"/>
      <c s="5"/>
      <c s="5"/>
      <c s="5"/>
      <c s="5"/>
      <c s="5"/>
      <c s="5"/>
      <c s="5"/>
      <c s="5"/>
      <c s="5"/>
      <c s="5"/>
      <c s="5"/>
      <c s="5"/>
      <c s="5"/>
      <c s="5"/>
      <c s="5"/>
      <c s="5"/>
      <c s="5"/>
      <c s="5"/>
    </row>
    <row r="885" spans="1:26" ht="15.75">
      <c r="A885" s="5"/>
      <c s="5"/>
      <c s="5"/>
      <c s="5"/>
      <c s="5"/>
      <c s="5"/>
      <c s="5"/>
      <c s="5"/>
      <c s="5"/>
      <c s="5"/>
      <c s="5"/>
      <c s="5"/>
      <c s="5"/>
      <c s="5"/>
      <c s="5"/>
      <c s="5"/>
      <c s="5"/>
      <c s="5"/>
      <c s="5"/>
      <c s="5"/>
      <c s="5"/>
      <c s="5"/>
      <c s="5"/>
      <c s="5"/>
      <c s="5"/>
      <c s="5"/>
    </row>
    <row r="886" spans="1:26" ht="15.75">
      <c r="A886" s="5"/>
      <c s="5"/>
      <c s="5"/>
      <c s="5"/>
      <c s="5"/>
      <c s="5"/>
      <c s="5"/>
      <c s="5"/>
      <c s="5"/>
      <c s="5"/>
      <c s="5"/>
      <c s="5"/>
      <c s="5"/>
      <c s="5"/>
      <c s="5"/>
      <c s="5"/>
      <c s="5"/>
      <c s="5"/>
      <c s="5"/>
      <c s="5"/>
      <c s="5"/>
      <c s="5"/>
      <c s="5"/>
      <c s="5"/>
      <c s="5"/>
      <c s="5"/>
    </row>
    <row r="887" spans="1:26" ht="15.75">
      <c r="A887" s="5"/>
      <c s="5"/>
      <c s="5"/>
      <c s="5"/>
      <c s="5"/>
      <c s="5"/>
      <c s="5"/>
      <c s="5"/>
      <c s="5"/>
      <c s="5"/>
      <c s="5"/>
      <c s="5"/>
      <c s="5"/>
      <c s="5"/>
      <c s="5"/>
      <c s="5"/>
      <c s="5"/>
      <c s="5"/>
      <c s="5"/>
      <c s="5"/>
      <c s="5"/>
      <c s="5"/>
      <c s="5"/>
      <c s="5"/>
      <c s="5"/>
      <c s="5"/>
    </row>
    <row r="888" spans="1:26" ht="15.75">
      <c r="A888" s="5"/>
      <c s="5"/>
      <c s="5"/>
      <c s="5"/>
      <c s="5"/>
      <c s="5"/>
      <c s="5"/>
      <c s="5"/>
      <c s="5"/>
      <c s="5"/>
      <c s="5"/>
      <c s="5"/>
      <c s="5"/>
      <c s="5"/>
      <c s="5"/>
      <c s="5"/>
      <c s="5"/>
      <c s="5"/>
      <c s="5"/>
      <c s="5"/>
      <c s="5"/>
      <c s="5"/>
      <c s="5"/>
      <c s="5"/>
      <c s="5"/>
      <c s="5"/>
    </row>
    <row r="889" spans="1:26" ht="15.75">
      <c r="A889" s="5"/>
      <c s="5"/>
      <c s="5"/>
      <c s="5"/>
      <c s="5"/>
      <c s="5"/>
      <c s="5"/>
      <c s="5"/>
      <c s="5"/>
      <c s="5"/>
      <c s="5"/>
      <c s="5"/>
      <c s="5"/>
      <c s="5"/>
      <c s="5"/>
      <c s="5"/>
      <c s="5"/>
      <c s="5"/>
      <c s="5"/>
      <c s="5"/>
      <c s="5"/>
      <c s="5"/>
      <c s="5"/>
      <c s="5"/>
      <c s="5"/>
      <c s="5"/>
    </row>
    <row r="890" spans="1:26" ht="15.75">
      <c r="A890" s="5"/>
      <c s="5"/>
      <c s="5"/>
      <c s="5"/>
      <c s="5"/>
      <c s="5"/>
      <c s="5"/>
      <c s="5"/>
      <c s="5"/>
      <c s="5"/>
      <c s="5"/>
      <c s="5"/>
      <c s="5"/>
      <c s="5"/>
      <c s="5"/>
      <c s="5"/>
      <c s="5"/>
      <c s="5"/>
      <c s="5"/>
      <c s="5"/>
      <c s="5"/>
      <c s="5"/>
      <c s="5"/>
      <c s="5"/>
      <c s="5"/>
      <c s="5"/>
    </row>
    <row r="891" spans="1:26" ht="15.75">
      <c r="A891" s="5"/>
      <c s="5"/>
      <c s="5"/>
      <c s="5"/>
      <c s="5"/>
      <c s="5"/>
      <c s="5"/>
      <c s="5"/>
      <c s="5"/>
      <c s="5"/>
      <c s="5"/>
      <c s="5"/>
      <c s="5"/>
      <c s="5"/>
      <c s="5"/>
      <c s="5"/>
      <c s="5"/>
      <c s="5"/>
      <c s="5"/>
      <c s="5"/>
      <c s="5"/>
      <c s="5"/>
      <c s="5"/>
      <c s="5"/>
      <c s="5"/>
      <c s="5"/>
    </row>
    <row r="892" spans="1:26" ht="15.75">
      <c r="A892" s="5"/>
      <c s="5"/>
      <c s="5"/>
      <c s="5"/>
      <c s="5"/>
      <c s="5"/>
      <c s="5"/>
      <c s="5"/>
      <c s="5"/>
      <c s="5"/>
      <c s="5"/>
      <c s="5"/>
      <c s="5"/>
      <c s="5"/>
      <c s="5"/>
      <c s="5"/>
      <c s="5"/>
      <c s="5"/>
      <c s="5"/>
      <c s="5"/>
      <c s="5"/>
      <c s="5"/>
      <c s="5"/>
      <c s="5"/>
      <c s="5"/>
      <c s="5"/>
    </row>
    <row r="893" spans="1:26" ht="15.75">
      <c r="A893" s="5"/>
      <c s="5"/>
      <c s="5"/>
      <c s="5"/>
      <c s="5"/>
      <c s="5"/>
      <c s="5"/>
      <c s="5"/>
      <c s="5"/>
      <c s="5"/>
      <c s="5"/>
      <c s="5"/>
      <c s="5"/>
      <c s="5"/>
      <c s="5"/>
      <c s="5"/>
      <c s="5"/>
      <c s="5"/>
      <c s="5"/>
      <c s="5"/>
      <c s="5"/>
      <c s="5"/>
      <c s="5"/>
      <c s="5"/>
      <c s="5"/>
      <c s="5"/>
    </row>
    <row r="894" spans="1:26" ht="15.75">
      <c r="A894" s="5"/>
      <c s="5"/>
      <c s="5"/>
      <c s="5"/>
      <c s="5"/>
      <c s="5"/>
      <c s="5"/>
      <c s="5"/>
      <c s="5"/>
      <c s="5"/>
      <c s="5"/>
      <c s="5"/>
      <c s="5"/>
      <c s="5"/>
      <c s="5"/>
      <c s="5"/>
      <c s="5"/>
      <c s="5"/>
      <c s="5"/>
      <c s="5"/>
      <c s="5"/>
      <c s="5"/>
      <c s="5"/>
      <c s="5"/>
      <c s="5"/>
      <c s="5"/>
    </row>
    <row r="895" spans="1:26" ht="15.75">
      <c r="A895" s="5"/>
      <c s="5"/>
      <c s="5"/>
      <c s="5"/>
      <c s="5"/>
      <c s="5"/>
      <c s="5"/>
      <c s="5"/>
      <c s="5"/>
      <c s="5"/>
      <c s="5"/>
      <c s="5"/>
      <c s="5"/>
      <c s="5"/>
      <c s="5"/>
      <c s="5"/>
      <c s="5"/>
      <c s="5"/>
      <c s="5"/>
      <c s="5"/>
      <c s="5"/>
      <c s="5"/>
      <c s="5"/>
      <c s="5"/>
      <c s="5"/>
      <c s="5"/>
    </row>
    <row r="896" spans="1:26" ht="15.75">
      <c r="A896" s="5"/>
      <c s="5"/>
      <c s="5"/>
      <c s="5"/>
      <c s="5"/>
      <c s="5"/>
      <c s="5"/>
      <c s="5"/>
      <c s="5"/>
      <c s="5"/>
      <c s="5"/>
      <c s="5"/>
      <c s="5"/>
      <c s="5"/>
      <c s="5"/>
      <c s="5"/>
      <c s="5"/>
      <c s="5"/>
      <c s="5"/>
      <c s="5"/>
      <c s="5"/>
      <c s="5"/>
      <c s="5"/>
      <c s="5"/>
      <c s="5"/>
      <c s="5"/>
    </row>
    <row r="897" spans="1:26" ht="15.75">
      <c r="A897" s="5"/>
      <c s="5"/>
      <c s="5"/>
      <c s="5"/>
      <c s="5"/>
      <c s="5"/>
      <c s="5"/>
      <c s="5"/>
      <c s="5"/>
      <c s="5"/>
      <c s="5"/>
      <c s="5"/>
      <c s="5"/>
      <c s="5"/>
      <c s="5"/>
      <c s="5"/>
      <c s="5"/>
      <c s="5"/>
      <c s="5"/>
      <c s="5"/>
      <c s="5"/>
      <c s="5"/>
      <c s="5"/>
      <c s="5"/>
      <c s="5"/>
      <c s="5"/>
    </row>
    <row r="898" spans="1:26" ht="15.75">
      <c r="A898" s="5"/>
      <c s="5"/>
      <c s="5"/>
      <c s="5"/>
      <c s="5"/>
      <c s="5"/>
      <c s="5"/>
      <c s="5"/>
      <c s="5"/>
      <c s="5"/>
      <c s="5"/>
      <c s="5"/>
      <c s="5"/>
      <c s="5"/>
      <c s="5"/>
      <c s="5"/>
      <c s="5"/>
      <c s="5"/>
      <c s="5"/>
      <c s="5"/>
      <c s="5"/>
      <c s="5"/>
      <c s="5"/>
      <c s="5"/>
      <c s="5"/>
      <c s="5"/>
    </row>
    <row r="899" spans="1:26" ht="15.75">
      <c r="A899" s="5"/>
      <c s="5"/>
      <c s="5"/>
      <c s="5"/>
      <c s="5"/>
      <c s="5"/>
      <c s="5"/>
      <c s="5"/>
      <c s="5"/>
      <c s="5"/>
      <c s="5"/>
      <c s="5"/>
      <c s="5"/>
      <c s="5"/>
      <c s="5"/>
      <c s="5"/>
      <c s="5"/>
      <c s="5"/>
      <c s="5"/>
      <c s="5"/>
      <c s="5"/>
      <c s="5"/>
      <c s="5"/>
      <c s="5"/>
      <c s="5"/>
      <c s="5"/>
    </row>
    <row r="900" spans="1:26" ht="15.75">
      <c r="A900" s="5"/>
      <c s="5"/>
      <c s="5"/>
      <c s="5"/>
      <c s="5"/>
      <c s="5"/>
      <c s="5"/>
      <c s="5"/>
      <c s="5"/>
      <c s="5"/>
      <c s="5"/>
      <c s="5"/>
      <c s="5"/>
      <c s="5"/>
      <c s="5"/>
      <c s="5"/>
      <c s="5"/>
      <c s="5"/>
      <c s="5"/>
      <c s="5"/>
      <c s="5"/>
      <c s="5"/>
      <c s="5"/>
      <c s="5"/>
      <c s="5"/>
      <c s="5"/>
    </row>
    <row r="901" spans="1:26" ht="15.75">
      <c r="A901" s="5"/>
      <c s="5"/>
      <c s="5"/>
      <c s="5"/>
      <c s="5"/>
      <c s="5"/>
      <c s="5"/>
      <c s="5"/>
      <c s="5"/>
      <c s="5"/>
      <c s="5"/>
      <c s="5"/>
      <c s="5"/>
      <c s="5"/>
      <c s="5"/>
      <c s="5"/>
      <c s="5"/>
      <c s="5"/>
      <c s="5"/>
      <c s="5"/>
      <c s="5"/>
      <c s="5"/>
      <c s="5"/>
      <c s="5"/>
      <c s="5"/>
      <c s="5"/>
    </row>
    <row r="902" spans="1:26" ht="15.75">
      <c r="A902" s="5"/>
      <c s="5"/>
      <c s="5"/>
      <c s="5"/>
      <c s="5"/>
      <c s="5"/>
      <c s="5"/>
      <c s="5"/>
      <c s="5"/>
      <c s="5"/>
      <c s="5"/>
      <c s="5"/>
      <c s="5"/>
      <c s="5"/>
      <c s="5"/>
      <c s="5"/>
      <c s="5"/>
      <c s="5"/>
      <c s="5"/>
      <c s="5"/>
      <c s="5"/>
      <c s="5"/>
      <c s="5"/>
      <c s="5"/>
      <c s="5"/>
      <c s="5"/>
    </row>
    <row r="903" spans="1:26" ht="15.75">
      <c r="A903" s="5"/>
      <c s="5"/>
      <c s="5"/>
      <c s="5"/>
      <c s="5"/>
      <c s="5"/>
      <c s="5"/>
      <c s="5"/>
      <c s="5"/>
      <c s="5"/>
      <c s="5"/>
      <c s="5"/>
      <c s="5"/>
      <c s="5"/>
      <c s="5"/>
      <c s="5"/>
      <c s="5"/>
      <c s="5"/>
      <c s="5"/>
      <c s="5"/>
      <c s="5"/>
      <c s="5"/>
      <c s="5"/>
      <c s="5"/>
      <c s="5"/>
      <c s="5"/>
    </row>
    <row r="904" spans="1:26" ht="15.75">
      <c r="A904" s="5"/>
      <c s="5"/>
      <c s="5"/>
      <c s="5"/>
      <c s="5"/>
      <c s="5"/>
      <c s="5"/>
      <c s="5"/>
      <c s="5"/>
      <c s="5"/>
      <c s="5"/>
      <c s="5"/>
      <c s="5"/>
      <c s="5"/>
      <c s="5"/>
      <c s="5"/>
      <c s="5"/>
      <c s="5"/>
      <c s="5"/>
      <c s="5"/>
      <c s="5"/>
      <c s="5"/>
      <c s="5"/>
      <c s="5"/>
      <c s="5"/>
      <c s="5"/>
    </row>
    <row r="905" spans="1:26" ht="15.75">
      <c r="A905" s="5"/>
      <c s="5"/>
      <c s="5"/>
      <c s="5"/>
      <c s="5"/>
      <c s="5"/>
      <c s="5"/>
      <c s="5"/>
      <c s="5"/>
      <c s="5"/>
      <c s="5"/>
      <c s="5"/>
      <c s="5"/>
      <c s="5"/>
      <c s="5"/>
      <c s="5"/>
      <c s="5"/>
      <c s="5"/>
      <c s="5"/>
      <c s="5"/>
      <c s="5"/>
      <c s="5"/>
      <c s="5"/>
      <c s="5"/>
      <c s="5"/>
      <c s="5"/>
    </row>
    <row r="906" spans="1:26" ht="15.75">
      <c r="A906" s="5"/>
      <c s="5"/>
      <c s="5"/>
      <c s="5"/>
      <c s="5"/>
      <c s="5"/>
      <c s="5"/>
      <c s="5"/>
      <c s="5"/>
      <c s="5"/>
      <c s="5"/>
      <c s="5"/>
      <c s="5"/>
      <c s="5"/>
      <c s="5"/>
      <c s="5"/>
      <c s="5"/>
      <c s="5"/>
      <c s="5"/>
      <c s="5"/>
      <c s="5"/>
      <c s="5"/>
      <c s="5"/>
      <c s="5"/>
      <c s="5"/>
      <c s="5"/>
    </row>
    <row r="907" spans="1:26" ht="15.75">
      <c r="A907" s="5"/>
      <c s="5"/>
      <c s="5"/>
      <c s="5"/>
      <c s="5"/>
      <c s="5"/>
      <c s="5"/>
      <c s="5"/>
      <c s="5"/>
      <c s="5"/>
      <c s="5"/>
      <c s="5"/>
      <c s="5"/>
      <c s="5"/>
      <c s="5"/>
      <c s="5"/>
      <c s="5"/>
      <c s="5"/>
      <c s="5"/>
      <c s="5"/>
      <c s="5"/>
      <c s="5"/>
      <c s="5"/>
      <c s="5"/>
      <c s="5"/>
      <c s="5"/>
    </row>
    <row r="908" spans="1:26" ht="15.75">
      <c r="A908" s="5"/>
      <c s="5"/>
      <c s="5"/>
      <c s="5"/>
      <c s="5"/>
      <c s="5"/>
      <c s="5"/>
      <c s="5"/>
      <c s="5"/>
      <c s="5"/>
      <c s="5"/>
      <c s="5"/>
      <c s="5"/>
      <c s="5"/>
      <c s="5"/>
      <c s="5"/>
      <c s="5"/>
      <c s="5"/>
      <c s="5"/>
      <c s="5"/>
      <c s="5"/>
      <c s="5"/>
      <c s="5"/>
      <c s="5"/>
      <c s="5"/>
      <c s="5"/>
    </row>
    <row r="909" spans="1:26" ht="15.75">
      <c r="A909" s="5"/>
      <c s="5"/>
      <c s="5"/>
      <c s="5"/>
      <c s="5"/>
      <c s="5"/>
      <c s="5"/>
      <c s="5"/>
      <c s="5"/>
      <c s="5"/>
      <c s="5"/>
      <c s="5"/>
      <c s="5"/>
      <c s="5"/>
      <c s="5"/>
      <c s="5"/>
      <c s="5"/>
      <c s="5"/>
      <c s="5"/>
      <c s="5"/>
      <c s="5"/>
      <c s="5"/>
      <c s="5"/>
      <c s="5"/>
      <c s="5"/>
      <c s="5"/>
    </row>
    <row r="910" spans="1:26" ht="15.75">
      <c r="A910" s="5"/>
      <c s="5"/>
      <c s="5"/>
      <c s="5"/>
      <c s="5"/>
      <c s="5"/>
      <c s="5"/>
      <c s="5"/>
      <c s="5"/>
      <c s="5"/>
      <c s="5"/>
      <c s="5"/>
      <c s="5"/>
      <c s="5"/>
      <c s="5"/>
      <c s="5"/>
      <c s="5"/>
      <c s="5"/>
      <c s="5"/>
      <c s="5"/>
      <c s="5"/>
      <c s="5"/>
      <c s="5"/>
      <c s="5"/>
      <c s="5"/>
      <c s="5"/>
    </row>
    <row r="911" spans="1:26" ht="15.75">
      <c r="A911" s="5"/>
      <c s="5"/>
      <c s="5"/>
      <c s="5"/>
      <c s="5"/>
      <c s="5"/>
      <c s="5"/>
      <c s="5"/>
      <c s="5"/>
      <c s="5"/>
      <c s="5"/>
      <c s="5"/>
      <c s="5"/>
      <c s="5"/>
      <c s="5"/>
      <c s="5"/>
      <c s="5"/>
      <c s="5"/>
      <c s="5"/>
      <c s="5"/>
      <c s="5"/>
      <c s="5"/>
      <c s="5"/>
      <c s="5"/>
      <c s="5"/>
      <c s="5"/>
    </row>
    <row r="912" spans="1:26" ht="15.75">
      <c r="A912" s="5"/>
      <c s="5"/>
      <c s="5"/>
      <c s="5"/>
      <c s="5"/>
      <c s="5"/>
      <c s="5"/>
      <c s="5"/>
      <c s="5"/>
      <c s="5"/>
      <c s="5"/>
      <c s="5"/>
      <c s="5"/>
      <c s="5"/>
      <c s="5"/>
      <c s="5"/>
      <c s="5"/>
      <c s="5"/>
      <c s="5"/>
      <c s="5"/>
      <c s="5"/>
      <c s="5"/>
      <c s="5"/>
      <c s="5"/>
      <c s="5"/>
      <c s="5"/>
    </row>
    <row r="913" spans="1:26" ht="15.75">
      <c r="A913" s="5"/>
      <c s="5"/>
      <c s="5"/>
      <c s="5"/>
      <c s="5"/>
      <c s="5"/>
      <c s="5"/>
      <c s="5"/>
      <c s="5"/>
      <c s="5"/>
      <c s="5"/>
      <c s="5"/>
      <c s="5"/>
      <c s="5"/>
      <c s="5"/>
      <c s="5"/>
      <c s="5"/>
      <c s="5"/>
      <c s="5"/>
      <c s="5"/>
      <c s="5"/>
      <c s="5"/>
      <c s="5"/>
      <c s="5"/>
      <c s="5"/>
      <c s="5"/>
    </row>
    <row r="914" spans="1:26" ht="15.75">
      <c r="A914" s="5"/>
      <c s="5"/>
      <c s="5"/>
      <c s="5"/>
      <c s="5"/>
      <c s="5"/>
      <c s="5"/>
      <c s="5"/>
      <c s="5"/>
      <c s="5"/>
      <c s="5"/>
      <c s="5"/>
      <c s="5"/>
      <c s="5"/>
      <c s="5"/>
      <c s="5"/>
      <c s="5"/>
      <c s="5"/>
      <c s="5"/>
      <c s="5"/>
      <c s="5"/>
      <c s="5"/>
      <c s="5"/>
      <c s="5"/>
      <c s="5"/>
      <c s="5"/>
    </row>
    <row r="915" spans="1:26" ht="15.75">
      <c r="A915" s="5"/>
      <c s="5"/>
      <c s="5"/>
      <c s="5"/>
      <c s="5"/>
      <c s="5"/>
      <c s="5"/>
      <c s="5"/>
      <c s="5"/>
      <c s="5"/>
      <c s="5"/>
      <c s="5"/>
      <c s="5"/>
      <c s="5"/>
      <c s="5"/>
      <c s="5"/>
      <c s="5"/>
      <c s="5"/>
      <c s="5"/>
      <c s="5"/>
      <c s="5"/>
      <c s="5"/>
      <c s="5"/>
      <c s="5"/>
      <c s="5"/>
      <c s="5"/>
    </row>
    <row r="916" spans="1:26" ht="15.75">
      <c r="A916" s="5"/>
      <c s="5"/>
      <c s="5"/>
      <c s="5"/>
      <c s="5"/>
      <c s="5"/>
      <c s="5"/>
      <c s="5"/>
      <c s="5"/>
      <c s="5"/>
      <c s="5"/>
      <c s="5"/>
      <c s="5"/>
      <c s="5"/>
      <c s="5"/>
      <c s="5"/>
      <c s="5"/>
      <c s="5"/>
      <c s="5"/>
      <c s="5"/>
      <c s="5"/>
      <c s="5"/>
      <c s="5"/>
      <c s="5"/>
      <c s="5"/>
      <c s="5"/>
    </row>
    <row r="917" spans="1:26" ht="15.75">
      <c r="A917" s="5"/>
      <c s="5"/>
      <c s="5"/>
      <c s="5"/>
      <c s="5"/>
      <c s="5"/>
      <c s="5"/>
      <c s="5"/>
      <c s="5"/>
      <c s="5"/>
      <c s="5"/>
      <c s="5"/>
      <c s="5"/>
      <c s="5"/>
      <c s="5"/>
      <c s="5"/>
      <c s="5"/>
      <c s="5"/>
      <c s="5"/>
      <c s="5"/>
      <c s="5"/>
      <c s="5"/>
      <c s="5"/>
      <c s="5"/>
      <c s="5"/>
      <c s="5"/>
    </row>
    <row r="918" spans="1:26" ht="15.75">
      <c r="A918" s="5"/>
      <c s="5"/>
      <c s="5"/>
      <c s="5"/>
      <c s="5"/>
      <c s="5"/>
      <c s="5"/>
      <c s="5"/>
      <c s="5"/>
      <c s="5"/>
      <c s="5"/>
      <c s="5"/>
      <c s="5"/>
      <c s="5"/>
      <c s="5"/>
      <c s="5"/>
      <c s="5"/>
      <c s="5"/>
      <c s="5"/>
      <c s="5"/>
      <c s="5"/>
      <c s="5"/>
      <c s="5"/>
      <c s="5"/>
      <c s="5"/>
      <c s="5"/>
    </row>
    <row r="919" spans="1:26" ht="15.75">
      <c r="A919" s="5"/>
      <c s="5"/>
      <c s="5"/>
      <c s="5"/>
      <c s="5"/>
      <c s="5"/>
      <c s="5"/>
      <c s="5"/>
      <c s="5"/>
      <c s="5"/>
      <c s="5"/>
      <c s="5"/>
      <c s="5"/>
      <c s="5"/>
      <c s="5"/>
      <c s="5"/>
      <c s="5"/>
      <c s="5"/>
      <c s="5"/>
      <c s="5"/>
      <c s="5"/>
      <c s="5"/>
      <c s="5"/>
      <c s="5"/>
      <c s="5"/>
      <c s="5"/>
    </row>
    <row r="920" spans="1:26" ht="15.75">
      <c r="A920" s="5"/>
      <c s="5"/>
      <c s="5"/>
      <c s="5"/>
      <c s="5"/>
      <c s="5"/>
      <c s="5"/>
      <c s="5"/>
      <c s="5"/>
      <c s="5"/>
      <c s="5"/>
      <c s="5"/>
      <c s="5"/>
      <c s="5"/>
      <c s="5"/>
      <c s="5"/>
      <c s="5"/>
      <c s="5"/>
      <c s="5"/>
      <c s="5"/>
      <c s="5"/>
      <c s="5"/>
      <c s="5"/>
      <c s="5"/>
      <c s="5"/>
      <c s="5"/>
    </row>
    <row r="921" spans="1:26" ht="15.75">
      <c r="A921" s="5"/>
      <c s="5"/>
      <c s="5"/>
      <c s="5"/>
      <c s="5"/>
      <c s="5"/>
      <c s="5"/>
      <c s="5"/>
      <c s="5"/>
      <c s="5"/>
      <c s="5"/>
      <c s="5"/>
      <c s="5"/>
      <c s="5"/>
      <c s="5"/>
      <c s="5"/>
      <c s="5"/>
      <c s="5"/>
      <c s="5"/>
      <c s="5"/>
      <c s="5"/>
      <c s="5"/>
      <c s="5"/>
      <c s="5"/>
      <c s="5"/>
      <c s="5"/>
    </row>
    <row r="922" spans="1:26" ht="15.75">
      <c r="A922" s="5"/>
      <c s="5"/>
      <c s="5"/>
      <c s="5"/>
      <c s="5"/>
      <c s="5"/>
      <c s="5"/>
      <c s="5"/>
      <c s="5"/>
      <c s="5"/>
      <c s="5"/>
      <c s="5"/>
      <c s="5"/>
      <c s="5"/>
      <c s="5"/>
      <c s="5"/>
      <c s="5"/>
      <c s="5"/>
      <c s="5"/>
      <c s="5"/>
      <c s="5"/>
      <c s="5"/>
      <c s="5"/>
      <c s="5"/>
      <c s="5"/>
      <c s="5"/>
    </row>
    <row r="923" spans="1:26" ht="15.75">
      <c r="A923" s="5"/>
      <c s="5"/>
      <c s="5"/>
      <c s="5"/>
      <c s="5"/>
      <c s="5"/>
      <c s="5"/>
      <c s="5"/>
      <c s="5"/>
      <c s="5"/>
      <c s="5"/>
      <c s="5"/>
      <c s="5"/>
      <c s="5"/>
      <c s="5"/>
      <c s="5"/>
      <c s="5"/>
      <c s="5"/>
      <c s="5"/>
      <c s="5"/>
      <c s="5"/>
      <c s="5"/>
      <c s="5"/>
      <c s="5"/>
      <c s="5"/>
      <c s="5"/>
    </row>
    <row r="924" spans="1:26" ht="15.75">
      <c r="A924" s="5"/>
      <c s="5"/>
      <c s="5"/>
      <c s="5"/>
      <c s="5"/>
      <c s="5"/>
      <c s="5"/>
      <c s="5"/>
      <c s="5"/>
      <c s="5"/>
      <c s="5"/>
      <c s="5"/>
      <c s="5"/>
      <c s="5"/>
      <c s="5"/>
      <c s="5"/>
      <c s="5"/>
      <c s="5"/>
      <c s="5"/>
      <c s="5"/>
      <c s="5"/>
      <c s="5"/>
      <c s="5"/>
      <c s="5"/>
      <c s="5"/>
      <c s="5"/>
    </row>
    <row r="925" spans="1:26" ht="15.75">
      <c r="A925" s="5"/>
      <c s="5"/>
      <c s="5"/>
      <c s="5"/>
      <c s="5"/>
      <c s="5"/>
      <c s="5"/>
      <c s="5"/>
      <c s="5"/>
      <c s="5"/>
      <c s="5"/>
      <c s="5"/>
      <c s="5"/>
      <c s="5"/>
      <c s="5"/>
      <c s="5"/>
      <c s="5"/>
      <c s="5"/>
      <c s="5"/>
      <c s="5"/>
      <c s="5"/>
      <c s="5"/>
      <c s="5"/>
      <c s="5"/>
      <c s="5"/>
      <c s="5"/>
    </row>
    <row r="926" spans="1:26" ht="15.75">
      <c r="A926" s="5"/>
      <c s="5"/>
      <c s="5"/>
      <c s="5"/>
      <c s="5"/>
      <c s="5"/>
      <c s="5"/>
      <c s="5"/>
      <c s="5"/>
      <c s="5"/>
      <c s="5"/>
      <c s="5"/>
      <c s="5"/>
      <c s="5"/>
      <c s="5"/>
      <c s="5"/>
      <c s="5"/>
      <c s="5"/>
      <c s="5"/>
      <c s="5"/>
      <c s="5"/>
      <c s="5"/>
      <c s="5"/>
      <c s="5"/>
      <c s="5"/>
      <c s="5"/>
    </row>
    <row r="927" spans="1:26" ht="15.75">
      <c r="A927" s="5"/>
      <c s="5"/>
      <c s="5"/>
      <c s="5"/>
      <c s="5"/>
      <c s="5"/>
      <c s="5"/>
      <c s="5"/>
      <c s="5"/>
      <c s="5"/>
      <c s="5"/>
      <c s="5"/>
      <c s="5"/>
      <c s="5"/>
      <c s="5"/>
      <c s="5"/>
      <c s="5"/>
      <c s="5"/>
      <c s="5"/>
      <c s="5"/>
      <c s="5"/>
      <c s="5"/>
      <c s="5"/>
      <c s="5"/>
      <c s="5"/>
      <c s="5"/>
    </row>
    <row r="928" spans="1:26" ht="15.75">
      <c r="A928" s="5"/>
      <c s="5"/>
      <c s="5"/>
      <c s="5"/>
      <c s="5"/>
      <c s="5"/>
      <c s="5"/>
      <c s="5"/>
      <c s="5"/>
      <c s="5"/>
      <c s="5"/>
      <c s="5"/>
      <c s="5"/>
      <c s="5"/>
      <c s="5"/>
      <c s="5"/>
      <c s="5"/>
      <c s="5"/>
      <c s="5"/>
      <c s="5"/>
      <c s="5"/>
      <c s="5"/>
      <c s="5"/>
      <c s="5"/>
      <c s="5"/>
      <c s="5"/>
    </row>
    <row r="929" spans="1:26" ht="15.75">
      <c r="A929" s="5"/>
      <c s="5"/>
      <c s="5"/>
      <c s="5"/>
      <c s="5"/>
      <c s="5"/>
      <c s="5"/>
      <c s="5"/>
      <c s="5"/>
      <c s="5"/>
      <c s="5"/>
      <c s="5"/>
      <c s="5"/>
      <c s="5"/>
      <c s="5"/>
      <c s="5"/>
      <c s="5"/>
      <c s="5"/>
      <c s="5"/>
      <c s="5"/>
      <c s="5"/>
      <c s="5"/>
      <c s="5"/>
      <c s="5"/>
      <c s="5"/>
      <c s="5"/>
    </row>
    <row r="930" spans="1:26" ht="15.75">
      <c r="A930" s="5"/>
      <c s="5"/>
      <c s="5"/>
      <c s="5"/>
      <c s="5"/>
      <c s="5"/>
      <c s="5"/>
      <c s="5"/>
      <c s="5"/>
      <c s="5"/>
      <c s="5"/>
      <c s="5"/>
      <c s="5"/>
      <c s="5"/>
      <c s="5"/>
      <c s="5"/>
      <c s="5"/>
      <c s="5"/>
      <c s="5"/>
      <c s="5"/>
      <c s="5"/>
      <c s="5"/>
      <c s="5"/>
      <c s="5"/>
      <c s="5"/>
      <c s="5"/>
    </row>
    <row r="931" spans="1:26" ht="15.75">
      <c r="A931" s="5"/>
      <c s="5"/>
      <c s="5"/>
      <c s="5"/>
      <c s="5"/>
      <c s="5"/>
      <c s="5"/>
      <c s="5"/>
      <c s="5"/>
      <c s="5"/>
      <c s="5"/>
      <c s="5"/>
      <c s="5"/>
      <c s="5"/>
      <c s="5"/>
      <c s="5"/>
      <c s="5"/>
      <c s="5"/>
      <c s="5"/>
      <c s="5"/>
      <c s="5"/>
      <c s="5"/>
      <c s="5"/>
      <c s="5"/>
      <c s="5"/>
      <c s="5"/>
    </row>
    <row r="932" spans="1:26" ht="15.75">
      <c r="A932" s="5"/>
      <c s="5"/>
      <c s="5"/>
      <c s="5"/>
      <c s="5"/>
      <c s="5"/>
      <c s="5"/>
      <c s="5"/>
      <c s="5"/>
      <c s="5"/>
      <c s="5"/>
      <c s="5"/>
      <c s="5"/>
      <c s="5"/>
      <c s="5"/>
      <c s="5"/>
      <c s="5"/>
      <c s="5"/>
      <c s="5"/>
      <c s="5"/>
      <c s="5"/>
      <c s="5"/>
      <c s="5"/>
      <c s="5"/>
      <c s="5"/>
      <c s="5"/>
    </row>
    <row r="933" spans="1:26" ht="15.75">
      <c r="A933" s="5"/>
      <c s="5"/>
      <c s="5"/>
      <c s="5"/>
      <c s="5"/>
      <c s="5"/>
      <c s="5"/>
      <c s="5"/>
      <c s="5"/>
      <c s="5"/>
      <c s="5"/>
      <c s="5"/>
      <c s="5"/>
      <c s="5"/>
      <c s="5"/>
      <c s="5"/>
      <c s="5"/>
      <c s="5"/>
      <c s="5"/>
      <c s="5"/>
      <c s="5"/>
      <c s="5"/>
      <c s="5"/>
      <c s="5"/>
      <c s="5"/>
      <c s="5"/>
    </row>
    <row r="934" spans="1:26" ht="15.75">
      <c r="A934" s="5"/>
      <c s="5"/>
      <c s="5"/>
      <c s="5"/>
      <c s="5"/>
      <c s="5"/>
      <c s="5"/>
      <c s="5"/>
      <c s="5"/>
      <c s="5"/>
      <c s="5"/>
      <c s="5"/>
      <c s="5"/>
      <c s="5"/>
      <c s="5"/>
      <c s="5"/>
      <c s="5"/>
      <c s="5"/>
      <c s="5"/>
      <c s="5"/>
      <c s="5"/>
      <c s="5"/>
      <c s="5"/>
      <c s="5"/>
      <c s="5"/>
      <c s="5"/>
    </row>
    <row r="935" spans="1:26" ht="15.75">
      <c r="A935" s="5"/>
      <c s="5"/>
      <c s="5"/>
      <c s="5"/>
      <c s="5"/>
      <c s="5"/>
      <c s="5"/>
      <c s="5"/>
      <c s="5"/>
      <c s="5"/>
      <c s="5"/>
      <c s="5"/>
      <c s="5"/>
      <c s="5"/>
      <c s="5"/>
      <c s="5"/>
      <c s="5"/>
      <c s="5"/>
      <c s="5"/>
      <c s="5"/>
      <c s="5"/>
      <c s="5"/>
      <c s="5"/>
      <c s="5"/>
      <c s="5"/>
      <c s="5"/>
    </row>
    <row r="936" spans="1:26" ht="15.75">
      <c r="A936" s="5"/>
      <c s="5"/>
      <c s="5"/>
      <c s="5"/>
      <c s="5"/>
      <c s="5"/>
      <c s="5"/>
      <c s="5"/>
      <c s="5"/>
      <c s="5"/>
      <c s="5"/>
      <c s="5"/>
      <c s="5"/>
      <c s="5"/>
      <c s="5"/>
      <c s="5"/>
      <c s="5"/>
      <c s="5"/>
      <c s="5"/>
      <c s="5"/>
      <c s="5"/>
      <c s="5"/>
      <c s="5"/>
      <c s="5"/>
      <c s="5"/>
      <c s="5"/>
    </row>
    <row r="937" spans="1:26" ht="15.75">
      <c r="A937" s="5"/>
      <c s="5"/>
      <c s="5"/>
      <c s="5"/>
      <c s="5"/>
      <c s="5"/>
      <c s="5"/>
      <c s="5"/>
      <c s="5"/>
      <c s="5"/>
      <c s="5"/>
      <c s="5"/>
      <c s="5"/>
      <c s="5"/>
      <c s="5"/>
      <c s="5"/>
      <c s="5"/>
      <c s="5"/>
      <c s="5"/>
      <c s="5"/>
      <c s="5"/>
      <c s="5"/>
      <c s="5"/>
      <c s="5"/>
      <c s="5"/>
      <c s="5"/>
    </row>
    <row r="938" spans="1:26" ht="15.75">
      <c r="A938" s="5"/>
      <c s="5"/>
      <c s="5"/>
      <c s="5"/>
      <c s="5"/>
      <c s="5"/>
      <c s="5"/>
      <c s="5"/>
      <c s="5"/>
      <c s="5"/>
      <c s="5"/>
      <c s="5"/>
      <c s="5"/>
      <c s="5"/>
      <c s="5"/>
      <c s="5"/>
      <c s="5"/>
      <c s="5"/>
      <c s="5"/>
      <c s="5"/>
      <c s="5"/>
      <c s="5"/>
      <c s="5"/>
      <c s="5"/>
      <c s="5"/>
      <c s="5"/>
    </row>
    <row r="939" spans="1:26" ht="15.75">
      <c r="A939" s="5"/>
      <c s="5"/>
      <c s="5"/>
      <c s="5"/>
      <c s="5"/>
      <c s="5"/>
      <c s="5"/>
      <c s="5"/>
      <c s="5"/>
      <c s="5"/>
      <c s="5"/>
      <c s="5"/>
      <c s="5"/>
      <c s="5"/>
      <c s="5"/>
      <c s="5"/>
      <c s="5"/>
      <c s="5"/>
      <c s="5"/>
      <c s="5"/>
      <c s="5"/>
      <c s="5"/>
      <c s="5"/>
      <c s="5"/>
      <c s="5"/>
      <c s="5"/>
    </row>
    <row r="940" spans="1:26" ht="15.75">
      <c r="A940" s="5"/>
      <c s="5"/>
      <c s="5"/>
      <c s="5"/>
      <c s="5"/>
      <c s="5"/>
      <c s="5"/>
      <c s="5"/>
      <c s="5"/>
      <c s="5"/>
      <c s="5"/>
      <c s="5"/>
      <c s="5"/>
      <c s="5"/>
      <c s="5"/>
      <c s="5"/>
      <c s="5"/>
      <c s="5"/>
      <c s="5"/>
      <c s="5"/>
      <c s="5"/>
      <c s="5"/>
      <c s="5"/>
      <c s="5"/>
      <c s="5"/>
      <c s="5"/>
    </row>
    <row r="941" spans="1:26" ht="15.75">
      <c r="A941" s="5"/>
      <c s="5"/>
      <c s="5"/>
      <c s="5"/>
      <c s="5"/>
      <c s="5"/>
      <c s="5"/>
      <c s="5"/>
      <c s="5"/>
      <c s="5"/>
      <c s="5"/>
      <c s="5"/>
      <c s="5"/>
      <c s="5"/>
      <c s="5"/>
      <c s="5"/>
      <c s="5"/>
      <c s="5"/>
      <c s="5"/>
      <c s="5"/>
      <c s="5"/>
      <c s="5"/>
      <c s="5"/>
      <c s="5"/>
      <c s="5"/>
      <c s="5"/>
    </row>
    <row r="942" spans="1:26" ht="15.75">
      <c r="A942" s="5"/>
      <c s="5"/>
      <c s="5"/>
      <c s="5"/>
      <c s="5"/>
      <c s="5"/>
      <c s="5"/>
      <c s="5"/>
      <c s="5"/>
      <c s="5"/>
      <c s="5"/>
      <c s="5"/>
      <c s="5"/>
      <c s="5"/>
      <c s="5"/>
      <c s="5"/>
      <c s="5"/>
      <c s="5"/>
      <c s="5"/>
      <c s="5"/>
      <c s="5"/>
      <c s="5"/>
      <c s="5"/>
      <c s="5"/>
      <c s="5"/>
      <c s="5"/>
    </row>
  </sheetData>
  <mergeCells count="8">
    <mergeCell ref="E6:G6"/>
    <mergeCell ref="C9:I9"/>
    <mergeCell ref="C11:I11"/>
    <mergeCell ref="C12:I12"/>
    <mergeCell ref="C24:I24"/>
    <mergeCell ref="C25:I25"/>
    <mergeCell ref="C29:I29"/>
    <mergeCell ref="C30:I30"/>
  </mergeCells>
  <pageMargins left="0.75" right="0.75" top="1" bottom="1" header="0.5" footer="0.5"/>
  <pageSetup orientation="portrait"/>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mx="http://schemas.microsoft.com/office/mac/excel/2008/main" xmlns:mv="urn:schemas-microsoft-com:mac:vml" xmlns:x15="http://schemas.microsoft.com/office/spreadsheetml/2010/11/main" xmlns:x14ac="http://schemas.microsoft.com/office/spreadsheetml/2009/9/ac">
  <sheetPr>
    <outlinePr summaryBelow="0" summaryRight="0"/>
  </sheetPr>
  <dimension ref="A1:IY210"/>
  <sheetViews>
    <sheetView showGridLines="0" workbookViewId="0" topLeftCell="A1"/>
  </sheetViews>
  <sheetFormatPr defaultColWidth="12.6342857142857" defaultRowHeight="15.75" customHeight="1" outlineLevelRow="1" outlineLevelCol="1"/>
  <cols>
    <col min="1" max="1" width="12.1428571428571" customWidth="1"/>
    <col min="2" max="2" width="11.7142857142857" customWidth="1"/>
    <col min="3" max="3" width="3.85714285714286" hidden="1" customWidth="1"/>
    <col min="4" max="4" width="5.42857142857143" hidden="1" customWidth="1"/>
    <col min="5" max="5" width="32.8571428571429" customWidth="1"/>
    <col min="6" max="6" width="4.14285714285714" customWidth="1"/>
    <col min="7" max="7" width="3.85714285714286" customWidth="1"/>
    <col min="8" max="8" width="9.28571428571429" customWidth="1"/>
    <col min="9" max="9" width="5.42857142857143" customWidth="1"/>
    <col min="10" max="10" width="5" hidden="1" customWidth="1"/>
    <col min="11" max="11" width="2.42857142857143" customWidth="1"/>
    <col min="12" max="12" width="5.28571428571429" customWidth="1" outlineLevel="1"/>
    <col min="13" max="13" width="5.42857142857143" customWidth="1" outlineLevel="1"/>
    <col min="14" max="14" width="19.7142857142857" customWidth="1" outlineLevel="1"/>
    <col min="15" max="15" width="1.71428571428571" customWidth="1"/>
    <col min="16" max="16" width="11.7142857142857" hidden="1" customWidth="1"/>
    <col min="17" max="17" width="3.85714285714286" hidden="1" customWidth="1"/>
    <col min="18" max="18" width="5.42857142857143" hidden="1" customWidth="1"/>
    <col min="19" max="19" width="17.5714285714286" customWidth="1"/>
    <col min="20" max="20" width="4.14285714285714" customWidth="1"/>
    <col min="21" max="21" width="4" customWidth="1"/>
    <col min="22" max="22" width="10.8571428571429" customWidth="1"/>
    <col min="23" max="23" width="5.42857142857143" customWidth="1"/>
    <col min="24" max="24" width="5" hidden="1" customWidth="1"/>
    <col min="25" max="25" width="1.85714285714286" customWidth="1"/>
    <col min="26" max="26" width="5.28571428571429" customWidth="1" outlineLevel="1"/>
    <col min="27" max="27" width="5.42857142857143" customWidth="1" outlineLevel="1"/>
    <col min="28" max="28" width="19.7142857142857" customWidth="1" outlineLevel="1"/>
    <col min="29" max="29" width="1.71428571428571" customWidth="1"/>
    <col min="30" max="30" width="11.7142857142857" hidden="1" customWidth="1"/>
    <col min="31" max="31" width="3.85714285714286" hidden="1" customWidth="1"/>
    <col min="32" max="32" width="5.42857142857143" hidden="1" customWidth="1"/>
    <col min="33" max="33" width="17.5714285714286" customWidth="1"/>
    <col min="34" max="34" width="4.28571428571429" customWidth="1"/>
    <col min="35" max="35" width="4.42857142857143" customWidth="1"/>
    <col min="36" max="36" width="9.57142857142857" customWidth="1"/>
    <col min="37" max="37" width="5.42857142857143" customWidth="1"/>
    <col min="38" max="38" width="5" hidden="1" customWidth="1"/>
    <col min="39" max="39" width="1.85714285714286" customWidth="1"/>
    <col min="40" max="40" width="5.28571428571429" customWidth="1" outlineLevel="1"/>
    <col min="41" max="41" width="5.42857142857143" customWidth="1" outlineLevel="1"/>
    <col min="42" max="42" width="19.7142857142857" customWidth="1" outlineLevel="1"/>
    <col min="43" max="43" width="1.71428571428571" customWidth="1"/>
    <col min="44" max="44" width="11.7142857142857" hidden="1" customWidth="1"/>
    <col min="45" max="45" width="3.85714285714286" hidden="1" customWidth="1"/>
    <col min="46" max="46" width="5.42857142857143" hidden="1" customWidth="1"/>
    <col min="47" max="47" width="17.5714285714286" customWidth="1"/>
    <col min="48" max="48" width="4.28571428571429" customWidth="1"/>
    <col min="49" max="49" width="4.42857142857143" customWidth="1"/>
    <col min="50" max="50" width="10" customWidth="1"/>
    <col min="51" max="51" width="5.42857142857143" customWidth="1"/>
    <col min="52" max="52" width="5" hidden="1" customWidth="1"/>
    <col min="53" max="53" width="1.85714285714286" customWidth="1"/>
    <col min="54" max="54" width="5.28571428571429" customWidth="1" outlineLevel="1"/>
    <col min="55" max="55" width="5.42857142857143" customWidth="1" outlineLevel="1"/>
    <col min="56" max="56" width="19.7142857142857" customWidth="1" outlineLevel="1"/>
    <col min="57" max="57" width="1.71428571428571" customWidth="1"/>
    <col min="58" max="58" width="11.7142857142857" hidden="1" customWidth="1"/>
    <col min="59" max="59" width="3.85714285714286" hidden="1" customWidth="1"/>
    <col min="60" max="60" width="5.42857142857143" hidden="1" customWidth="1"/>
    <col min="61" max="61" width="17.5714285714286" customWidth="1"/>
    <col min="62" max="62" width="4.28571428571429" customWidth="1"/>
    <col min="63" max="63" width="4.42857142857143" customWidth="1"/>
    <col min="64" max="64" width="11.5714285714286" customWidth="1"/>
    <col min="65" max="65" width="5.42857142857143" customWidth="1"/>
    <col min="66" max="66" width="5" hidden="1" customWidth="1"/>
    <col min="67" max="67" width="1.85714285714286" customWidth="1"/>
    <col min="68" max="68" width="5.28571428571429" customWidth="1" outlineLevel="1"/>
    <col min="69" max="69" width="5.42857142857143" customWidth="1" outlineLevel="1"/>
    <col min="70" max="70" width="19.7142857142857" customWidth="1" outlineLevel="1"/>
    <col min="71" max="71" width="1.71428571428571" customWidth="1"/>
    <col min="72" max="72" width="11.7142857142857" hidden="1" customWidth="1"/>
    <col min="73" max="73" width="3.85714285714286" hidden="1" customWidth="1"/>
    <col min="74" max="74" width="5.42857142857143" hidden="1" customWidth="1"/>
    <col min="75" max="75" width="17.5714285714286" customWidth="1"/>
    <col min="76" max="76" width="4.28571428571429" customWidth="1"/>
    <col min="77" max="77" width="4.42857142857143" customWidth="1"/>
    <col min="78" max="78" width="10.5714285714286" customWidth="1"/>
    <col min="79" max="79" width="5.42857142857143" customWidth="1"/>
    <col min="80" max="80" width="5" hidden="1" customWidth="1"/>
    <col min="81" max="81" width="1.85714285714286" customWidth="1"/>
    <col min="82" max="82" width="5.28571428571429" customWidth="1" outlineLevel="1"/>
    <col min="83" max="83" width="5.42857142857143" customWidth="1" outlineLevel="1"/>
    <col min="84" max="84" width="19.7142857142857" customWidth="1" outlineLevel="1"/>
    <col min="85" max="85" width="1.71428571428571" customWidth="1"/>
    <col min="86" max="86" width="11.7142857142857" hidden="1" customWidth="1"/>
    <col min="87" max="87" width="3.85714285714286" hidden="1" customWidth="1"/>
    <col min="88" max="88" width="5.42857142857143" hidden="1" customWidth="1"/>
    <col min="89" max="89" width="17.5714285714286" customWidth="1"/>
    <col min="90" max="90" width="4.28571428571429" customWidth="1"/>
    <col min="91" max="91" width="4.42857142857143" customWidth="1"/>
    <col min="92" max="92" width="10.4285714285714" customWidth="1"/>
    <col min="93" max="93" width="5.42857142857143" customWidth="1"/>
    <col min="94" max="94" width="5" hidden="1" customWidth="1"/>
    <col min="95" max="95" width="1.85714285714286" customWidth="1"/>
    <col min="96" max="96" width="5.28571428571429" customWidth="1" outlineLevel="1"/>
    <col min="97" max="97" width="5.42857142857143" customWidth="1" outlineLevel="1"/>
    <col min="98" max="98" width="19.7142857142857" customWidth="1" outlineLevel="1"/>
    <col min="99" max="99" width="1.71428571428571" customWidth="1"/>
    <col min="100" max="100" width="11.7142857142857" hidden="1" customWidth="1"/>
    <col min="101" max="101" width="3.85714285714286" hidden="1" customWidth="1"/>
    <col min="102" max="102" width="5.42857142857143" hidden="1" customWidth="1"/>
    <col min="103" max="103" width="17.5714285714286" customWidth="1"/>
    <col min="104" max="104" width="4.28571428571429" customWidth="1"/>
    <col min="105" max="105" width="4.42857142857143" customWidth="1"/>
    <col min="106" max="106" width="11.1428571428571" customWidth="1"/>
    <col min="107" max="107" width="5.42857142857143" customWidth="1"/>
    <col min="108" max="108" width="5" hidden="1" customWidth="1"/>
    <col min="109" max="109" width="1.85714285714286" customWidth="1"/>
    <col min="110" max="110" width="5.28571428571429" customWidth="1" outlineLevel="1"/>
    <col min="111" max="111" width="5.42857142857143" customWidth="1" outlineLevel="1"/>
    <col min="112" max="112" width="19.7142857142857" customWidth="1" outlineLevel="1"/>
    <col min="113" max="113" width="1.71428571428571" customWidth="1"/>
    <col min="114" max="114" width="11.7142857142857" hidden="1" customWidth="1"/>
    <col min="115" max="115" width="3.85714285714286" hidden="1" customWidth="1"/>
    <col min="116" max="116" width="5.42857142857143" hidden="1" customWidth="1"/>
    <col min="117" max="117" width="17.5714285714286" customWidth="1"/>
    <col min="118" max="118" width="4.28571428571429" customWidth="1"/>
    <col min="119" max="119" width="4.42857142857143" customWidth="1"/>
    <col min="120" max="120" width="10.4285714285714" customWidth="1"/>
    <col min="121" max="121" width="5.42857142857143" customWidth="1"/>
    <col min="122" max="122" width="5" hidden="1" customWidth="1"/>
    <col min="123" max="123" width="1.85714285714286" customWidth="1"/>
    <col min="124" max="124" width="5.28571428571429" customWidth="1" outlineLevel="1"/>
    <col min="125" max="125" width="5.42857142857143" customWidth="1" outlineLevel="1"/>
    <col min="126" max="126" width="19.7142857142857" customWidth="1" outlineLevel="1"/>
    <col min="127" max="127" width="1.71428571428571" customWidth="1"/>
    <col min="128" max="128" width="11.7142857142857" hidden="1" customWidth="1"/>
    <col min="129" max="129" width="3.85714285714286" hidden="1" customWidth="1"/>
    <col min="130" max="130" width="5.42857142857143" hidden="1" customWidth="1"/>
    <col min="131" max="131" width="17.5714285714286" customWidth="1"/>
    <col min="132" max="132" width="4.28571428571429" customWidth="1"/>
    <col min="133" max="133" width="4.42857142857143" customWidth="1"/>
    <col min="134" max="134" width="11.5714285714286" customWidth="1"/>
    <col min="135" max="135" width="5.42857142857143" customWidth="1"/>
    <col min="136" max="136" width="5" hidden="1" customWidth="1"/>
    <col min="137" max="137" width="1.85714285714286" customWidth="1"/>
    <col min="138" max="138" width="5.28571428571429" customWidth="1" outlineLevel="1"/>
    <col min="139" max="139" width="5.42857142857143" customWidth="1" outlineLevel="1"/>
    <col min="140" max="140" width="19.7142857142857" customWidth="1" outlineLevel="1"/>
    <col min="141" max="141" width="1.71428571428571" customWidth="1"/>
    <col min="142" max="142" width="11.7142857142857" hidden="1" customWidth="1"/>
    <col min="143" max="143" width="3.85714285714286" hidden="1" customWidth="1"/>
    <col min="144" max="144" width="5.42857142857143" hidden="1" customWidth="1"/>
    <col min="145" max="145" width="17.5714285714286" customWidth="1"/>
    <col min="146" max="146" width="8.14285714285714" customWidth="1"/>
    <col min="147" max="147" width="5.71428571428571" customWidth="1"/>
    <col min="148" max="148" width="12.5714285714286" customWidth="1"/>
    <col min="149" max="149" width="5.42857142857143" customWidth="1"/>
    <col min="150" max="150" width="5" hidden="1" customWidth="1"/>
    <col min="151" max="151" width="1.85714285714286" customWidth="1"/>
    <col min="152" max="152" width="5.28571428571429" customWidth="1" outlineLevel="1"/>
    <col min="153" max="153" width="5.42857142857143" customWidth="1" outlineLevel="1"/>
    <col min="154" max="154" width="19.7142857142857" customWidth="1" outlineLevel="1"/>
    <col min="155" max="155" width="1.71428571428571" customWidth="1"/>
    <col min="156" max="156" width="11.7142857142857" hidden="1" customWidth="1"/>
    <col min="157" max="157" width="3.85714285714286" hidden="1" customWidth="1"/>
    <col min="158" max="158" width="5.42857142857143" hidden="1" customWidth="1"/>
    <col min="159" max="159" width="17.5714285714286" customWidth="1"/>
    <col min="160" max="160" width="4.28571428571429" customWidth="1"/>
    <col min="161" max="161" width="4.42857142857143" customWidth="1"/>
    <col min="162" max="162" width="18.4285714285714" customWidth="1"/>
    <col min="163" max="163" width="5.42857142857143" customWidth="1"/>
    <col min="164" max="164" width="5" hidden="1" customWidth="1"/>
    <col min="165" max="165" width="1.85714285714286" customWidth="1"/>
    <col min="166" max="166" width="5.28571428571429" customWidth="1" outlineLevel="1"/>
    <col min="167" max="167" width="5.42857142857143" customWidth="1" outlineLevel="1"/>
    <col min="168" max="168" width="19.7142857142857" customWidth="1" outlineLevel="1"/>
    <col min="169" max="169" width="1.71428571428571" customWidth="1"/>
    <col min="170" max="170" width="11.7142857142857" hidden="1" customWidth="1"/>
    <col min="171" max="171" width="3.85714285714286" hidden="1" customWidth="1"/>
    <col min="172" max="172" width="5.42857142857143" hidden="1" customWidth="1"/>
    <col min="173" max="173" width="17.5714285714286" customWidth="1"/>
    <col min="174" max="174" width="4.28571428571429" customWidth="1"/>
    <col min="175" max="175" width="4.42857142857143" customWidth="1"/>
    <col min="176" max="176" width="11.4285714285714" customWidth="1"/>
    <col min="177" max="177" width="5.42857142857143" customWidth="1"/>
    <col min="178" max="178" width="5" hidden="1" customWidth="1"/>
    <col min="179" max="179" width="1.85714285714286" customWidth="1"/>
    <col min="180" max="180" width="5.28571428571429" customWidth="1" outlineLevel="1"/>
    <col min="181" max="181" width="5.42857142857143" customWidth="1" outlineLevel="1"/>
    <col min="182" max="182" width="19.7142857142857" customWidth="1" outlineLevel="1"/>
    <col min="183" max="183" width="1.71428571428571" customWidth="1"/>
    <col min="184" max="184" width="11.7142857142857" customWidth="1"/>
    <col min="185" max="185" width="3.85714285714286" customWidth="1"/>
    <col min="186" max="186" width="5.42857142857143" customWidth="1"/>
    <col min="187" max="187" width="17.5714285714286" customWidth="1"/>
    <col min="188" max="188" width="4.28571428571429" customWidth="1"/>
    <col min="189" max="189" width="4.42857142857143" customWidth="1"/>
    <col min="190" max="190" width="6.14285714285714" customWidth="1"/>
    <col min="191" max="191" width="5.42857142857143" customWidth="1"/>
    <col min="192" max="192" width="5" customWidth="1"/>
    <col min="193" max="193" width="1.85714285714286" customWidth="1"/>
    <col min="194" max="194" width="5.28571428571429" customWidth="1"/>
    <col min="195" max="195" width="5.42857142857143" customWidth="1"/>
    <col min="196" max="196" width="19.7142857142857" customWidth="1"/>
    <col min="197" max="197" width="1.71428571428571" customWidth="1"/>
    <col min="198" max="198" width="11.7142857142857" customWidth="1"/>
    <col min="199" max="199" width="3.85714285714286" customWidth="1"/>
    <col min="200" max="200" width="5.42857142857143" customWidth="1"/>
    <col min="201" max="201" width="17.5714285714286" customWidth="1"/>
    <col min="202" max="202" width="4.28571428571429" customWidth="1"/>
    <col min="203" max="203" width="4.42857142857143" customWidth="1"/>
    <col min="204" max="204" width="6.14285714285714" customWidth="1"/>
    <col min="205" max="205" width="5.42857142857143" customWidth="1"/>
    <col min="206" max="206" width="5" customWidth="1"/>
    <col min="207" max="207" width="1.85714285714286" customWidth="1"/>
    <col min="208" max="208" width="5.28571428571429" customWidth="1"/>
    <col min="209" max="209" width="5.42857142857143" customWidth="1"/>
    <col min="210" max="210" width="19.7142857142857" customWidth="1"/>
    <col min="211" max="211" width="1.71428571428571" customWidth="1"/>
    <col min="212" max="212" width="11.7142857142857" customWidth="1"/>
    <col min="213" max="213" width="3.85714285714286" customWidth="1"/>
    <col min="214" max="214" width="5.42857142857143" customWidth="1"/>
    <col min="215" max="215" width="17.5714285714286" customWidth="1"/>
    <col min="216" max="216" width="4.28571428571429" customWidth="1"/>
    <col min="217" max="217" width="4.42857142857143" customWidth="1"/>
    <col min="218" max="218" width="6.14285714285714" customWidth="1"/>
    <col min="219" max="219" width="5.42857142857143" customWidth="1"/>
    <col min="220" max="220" width="5" customWidth="1"/>
    <col min="221" max="221" width="1.85714285714286" customWidth="1"/>
    <col min="222" max="222" width="5.28571428571429" customWidth="1"/>
    <col min="223" max="223" width="5.42857142857143" customWidth="1"/>
    <col min="224" max="224" width="19.7142857142857" customWidth="1"/>
    <col min="225" max="225" width="1.71428571428571" customWidth="1"/>
    <col min="226" max="226" width="11.7142857142857" customWidth="1"/>
    <col min="227" max="227" width="3.85714285714286" customWidth="1"/>
    <col min="228" max="228" width="5.42857142857143" customWidth="1"/>
    <col min="229" max="229" width="17.5714285714286" customWidth="1"/>
    <col min="230" max="230" width="4.28571428571429" customWidth="1"/>
    <col min="231" max="231" width="4.42857142857143" customWidth="1"/>
    <col min="232" max="232" width="6.14285714285714" customWidth="1"/>
    <col min="233" max="233" width="5.42857142857143" customWidth="1"/>
    <col min="234" max="234" width="5" customWidth="1"/>
    <col min="235" max="235" width="1.85714285714286" customWidth="1"/>
    <col min="236" max="236" width="5.28571428571429" customWidth="1"/>
    <col min="237" max="237" width="5.42857142857143" customWidth="1"/>
    <col min="238" max="238" width="19.7142857142857" customWidth="1"/>
    <col min="239" max="239" width="1.71428571428571" customWidth="1"/>
    <col min="240" max="240" width="11.7142857142857" customWidth="1"/>
    <col min="241" max="241" width="3.85714285714286" customWidth="1"/>
    <col min="242" max="242" width="5.42857142857143" customWidth="1"/>
    <col min="243" max="243" width="17.5714285714286" customWidth="1"/>
    <col min="244" max="244" width="4.28571428571429" customWidth="1"/>
    <col min="245" max="245" width="4.42857142857143" customWidth="1"/>
    <col min="246" max="246" width="6.14285714285714" customWidth="1"/>
    <col min="247" max="247" width="5.42857142857143" customWidth="1"/>
    <col min="248" max="248" width="5" customWidth="1"/>
    <col min="249" max="249" width="1.85714285714286" customWidth="1"/>
    <col min="250" max="250" width="5.28571428571429" customWidth="1"/>
    <col min="251" max="251" width="5.42857142857143" customWidth="1"/>
    <col min="252" max="252" width="19.7142857142857" customWidth="1"/>
    <col min="253" max="253" width="1.71428571428571" customWidth="1"/>
    <col min="254" max="254" width="11.7142857142857" customWidth="1"/>
    <col min="255" max="255" width="3.85714285714286" customWidth="1"/>
    <col min="256" max="256" width="5.42857142857143" customWidth="1"/>
    <col min="257" max="257" width="11.7142857142857" hidden="1" customWidth="1"/>
    <col min="258" max="258" width="3.85714285714286" hidden="1" customWidth="1"/>
    <col min="259" max="259" width="5.42857142857143" hidden="1" customWidth="1"/>
  </cols>
  <sheetData>
    <row r="1" spans="1:259" ht="9.75" customHeight="1">
      <c r="A1" s="38"/>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40"/>
      <c s="42"/>
      <c s="42"/>
      <c s="43"/>
      <c s="43"/>
      <c s="44"/>
      <c s="42"/>
      <c s="42"/>
      <c s="44"/>
      <c s="42"/>
      <c s="42"/>
      <c s="39"/>
      <c s="40"/>
      <c s="41"/>
      <c s="39"/>
      <c s="40"/>
      <c s="41"/>
    </row>
    <row r="2" spans="1:259" ht="15.75">
      <c r="A2" s="38"/>
      <c s="45"/>
      <c s="40"/>
      <c s="41"/>
      <c s="46" t="s">
        <v>84</v>
      </c>
      <c s="42"/>
      <c s="42"/>
      <c s="43"/>
      <c s="47"/>
      <c s="44"/>
      <c s="42"/>
      <c s="42"/>
      <c s="44"/>
      <c s="42"/>
      <c s="42"/>
      <c s="45"/>
      <c s="40"/>
      <c s="41"/>
      <c s="46" t="s">
        <v>85</v>
      </c>
      <c s="42"/>
      <c s="42"/>
      <c s="43"/>
      <c s="43"/>
      <c s="44"/>
      <c s="42"/>
      <c s="42"/>
      <c s="44"/>
      <c s="42"/>
      <c s="42"/>
      <c s="45"/>
      <c s="40"/>
      <c s="41"/>
      <c s="46" t="s">
        <v>86</v>
      </c>
      <c s="42"/>
      <c s="42"/>
      <c s="43"/>
      <c s="43"/>
      <c s="44"/>
      <c s="42"/>
      <c s="42"/>
      <c s="44"/>
      <c s="42"/>
      <c s="42"/>
      <c s="45"/>
      <c s="40"/>
      <c s="41"/>
      <c s="46" t="s">
        <v>87</v>
      </c>
      <c s="42"/>
      <c s="42"/>
      <c s="43"/>
      <c s="43"/>
      <c s="44"/>
      <c s="42"/>
      <c s="42"/>
      <c s="44"/>
      <c s="42"/>
      <c s="42"/>
      <c s="45"/>
      <c s="40"/>
      <c s="41"/>
      <c s="46" t="s">
        <v>88</v>
      </c>
      <c s="42"/>
      <c s="42"/>
      <c s="43"/>
      <c s="43"/>
      <c s="44"/>
      <c s="42"/>
      <c s="42"/>
      <c s="44"/>
      <c s="42"/>
      <c s="42"/>
      <c s="45"/>
      <c s="40"/>
      <c s="41"/>
      <c s="46" t="s">
        <v>89</v>
      </c>
      <c s="42"/>
      <c s="42"/>
      <c s="43"/>
      <c s="43"/>
      <c s="44"/>
      <c s="42"/>
      <c s="42"/>
      <c s="44"/>
      <c s="42"/>
      <c s="42"/>
      <c s="45"/>
      <c s="40"/>
      <c s="41"/>
      <c s="46" t="s">
        <v>90</v>
      </c>
      <c s="42"/>
      <c s="42"/>
      <c s="43"/>
      <c s="43"/>
      <c s="44"/>
      <c s="42"/>
      <c s="42"/>
      <c s="44"/>
      <c s="42"/>
      <c s="42"/>
      <c s="45"/>
      <c s="40"/>
      <c s="41"/>
      <c s="46" t="s">
        <v>91</v>
      </c>
      <c s="42"/>
      <c s="42"/>
      <c s="43"/>
      <c s="43"/>
      <c s="44"/>
      <c s="42"/>
      <c s="42"/>
      <c s="44"/>
      <c s="42"/>
      <c s="42"/>
      <c s="45"/>
      <c s="40"/>
      <c s="41"/>
      <c s="46" t="s">
        <v>92</v>
      </c>
      <c s="42"/>
      <c s="42"/>
      <c s="43"/>
      <c s="43"/>
      <c s="44"/>
      <c s="42"/>
      <c s="42"/>
      <c s="44"/>
      <c s="42"/>
      <c s="42"/>
      <c s="45"/>
      <c s="40"/>
      <c s="41"/>
      <c s="46" t="s">
        <v>93</v>
      </c>
      <c s="42"/>
      <c s="42"/>
      <c s="43"/>
      <c s="43"/>
      <c s="44"/>
      <c s="42"/>
      <c s="42"/>
      <c s="44"/>
      <c s="42"/>
      <c s="42"/>
      <c s="45"/>
      <c s="40"/>
      <c s="41"/>
      <c s="46" t="s">
        <v>94</v>
      </c>
      <c s="42"/>
      <c s="42"/>
      <c s="43"/>
      <c s="43"/>
      <c s="44"/>
      <c s="42"/>
      <c s="42"/>
      <c s="44"/>
      <c s="42"/>
      <c s="42"/>
      <c s="45"/>
      <c s="40"/>
      <c s="41"/>
      <c s="46" t="s">
        <v>95</v>
      </c>
      <c s="42"/>
      <c s="42"/>
      <c s="43"/>
      <c s="43"/>
      <c s="44"/>
      <c s="42"/>
      <c s="42"/>
      <c s="44"/>
      <c s="42"/>
      <c s="42"/>
      <c s="45"/>
      <c s="40"/>
      <c s="41"/>
      <c s="46" t="s">
        <v>96</v>
      </c>
      <c s="42"/>
      <c s="42"/>
      <c s="43"/>
      <c s="43"/>
      <c s="44"/>
      <c s="42"/>
      <c s="42"/>
      <c s="44"/>
      <c s="42"/>
      <c s="42"/>
      <c s="45"/>
      <c s="40"/>
      <c s="41"/>
      <c s="48"/>
      <c s="42"/>
      <c s="42"/>
      <c s="43"/>
      <c s="43"/>
      <c s="44"/>
      <c s="42"/>
      <c s="42"/>
      <c s="44"/>
      <c s="42"/>
      <c s="42"/>
      <c s="45"/>
      <c s="40"/>
      <c s="41"/>
      <c s="48"/>
      <c s="42"/>
      <c s="42"/>
      <c s="43"/>
      <c s="43"/>
      <c s="44"/>
      <c s="42"/>
      <c s="42"/>
      <c s="44"/>
      <c s="42"/>
      <c s="42"/>
      <c s="45"/>
      <c s="40"/>
      <c s="41"/>
      <c s="48"/>
      <c s="42"/>
      <c s="42"/>
      <c s="43"/>
      <c s="43"/>
      <c s="44"/>
      <c s="42"/>
      <c s="42"/>
      <c s="44"/>
      <c s="42"/>
      <c s="42"/>
      <c s="45"/>
      <c s="40"/>
      <c s="41"/>
      <c s="48"/>
      <c s="42"/>
      <c s="42"/>
      <c s="43"/>
      <c s="43"/>
      <c s="44"/>
      <c s="42"/>
      <c s="42"/>
      <c s="44"/>
      <c s="42"/>
      <c s="42"/>
      <c s="45"/>
      <c s="40"/>
      <c s="41"/>
      <c s="48"/>
      <c s="42"/>
      <c s="42"/>
      <c s="43"/>
      <c s="43"/>
      <c s="44"/>
      <c s="42"/>
      <c s="42"/>
      <c s="44"/>
      <c s="42"/>
      <c s="42"/>
      <c s="45"/>
      <c s="40"/>
      <c s="41"/>
      <c s="45"/>
      <c s="40"/>
      <c s="41"/>
    </row>
    <row r="3" spans="1:259" ht="15.75">
      <c r="A3" s="38"/>
      <c s="45"/>
      <c s="42"/>
      <c s="49"/>
      <c s="50">
        <v>1</v>
      </c>
      <c s="40"/>
      <c s="42"/>
      <c s="43"/>
      <c s="43"/>
      <c s="44"/>
      <c s="42"/>
      <c s="42"/>
      <c s="44"/>
      <c s="42"/>
      <c s="42"/>
      <c s="45"/>
      <c s="42"/>
      <c s="49"/>
      <c s="50">
        <f>E3+1</f>
        <v>2</v>
      </c>
      <c s="40"/>
      <c s="42"/>
      <c s="43"/>
      <c s="43"/>
      <c s="44"/>
      <c s="42"/>
      <c s="42"/>
      <c s="44"/>
      <c s="42"/>
      <c s="42"/>
      <c s="45"/>
      <c s="42"/>
      <c s="49"/>
      <c s="50">
        <f>S3+1</f>
        <v>3</v>
      </c>
      <c s="40"/>
      <c s="42"/>
      <c s="43"/>
      <c s="43"/>
      <c s="44"/>
      <c s="42"/>
      <c s="42"/>
      <c s="44"/>
      <c s="42"/>
      <c s="42"/>
      <c s="45"/>
      <c s="42"/>
      <c s="49"/>
      <c s="50">
        <f>AG3+1</f>
        <v>4</v>
      </c>
      <c s="40"/>
      <c s="42"/>
      <c s="43"/>
      <c s="43"/>
      <c s="44"/>
      <c s="42"/>
      <c s="42"/>
      <c s="44"/>
      <c s="42"/>
      <c s="42"/>
      <c s="45"/>
      <c s="42"/>
      <c s="49"/>
      <c s="50">
        <f>AU3+1</f>
        <v>5</v>
      </c>
      <c s="40"/>
      <c s="42"/>
      <c s="43"/>
      <c s="43"/>
      <c s="44"/>
      <c s="42"/>
      <c s="42"/>
      <c s="44"/>
      <c s="42"/>
      <c s="42"/>
      <c s="45"/>
      <c s="42"/>
      <c s="49"/>
      <c s="50">
        <f>BI3+1</f>
        <v>6</v>
      </c>
      <c s="40"/>
      <c s="42"/>
      <c s="43"/>
      <c s="43"/>
      <c s="44"/>
      <c s="42"/>
      <c s="42"/>
      <c s="44"/>
      <c s="42"/>
      <c s="42"/>
      <c s="45"/>
      <c s="42"/>
      <c s="49"/>
      <c s="50">
        <f>BW3+1</f>
        <v>7</v>
      </c>
      <c s="40"/>
      <c s="42"/>
      <c s="43"/>
      <c s="43"/>
      <c s="44"/>
      <c s="42"/>
      <c s="42"/>
      <c s="44"/>
      <c s="42"/>
      <c s="42"/>
      <c s="45"/>
      <c s="42"/>
      <c s="49"/>
      <c s="50">
        <f>CK3+1</f>
        <v>8</v>
      </c>
      <c s="40"/>
      <c s="42"/>
      <c s="43"/>
      <c s="43"/>
      <c s="44"/>
      <c s="42"/>
      <c s="42"/>
      <c s="44"/>
      <c s="42"/>
      <c s="42"/>
      <c s="45"/>
      <c s="42"/>
      <c s="49"/>
      <c s="50">
        <f>CY3+1</f>
        <v>9</v>
      </c>
      <c s="40"/>
      <c s="42"/>
      <c s="43"/>
      <c s="43"/>
      <c s="44"/>
      <c s="42"/>
      <c s="42"/>
      <c s="44"/>
      <c s="42"/>
      <c s="42"/>
      <c s="45"/>
      <c s="42"/>
      <c s="49"/>
      <c s="50">
        <f>DM3+1</f>
        <v>10</v>
      </c>
      <c s="40"/>
      <c s="42"/>
      <c s="43"/>
      <c s="43"/>
      <c s="44"/>
      <c s="42"/>
      <c s="42"/>
      <c s="44"/>
      <c s="42"/>
      <c s="42"/>
      <c s="45"/>
      <c s="42"/>
      <c s="49"/>
      <c s="50">
        <f>EA3+1</f>
        <v>11</v>
      </c>
      <c s="40"/>
      <c s="42"/>
      <c s="43"/>
      <c s="43"/>
      <c s="44"/>
      <c s="42"/>
      <c s="42"/>
      <c s="44"/>
      <c s="42"/>
      <c s="42"/>
      <c s="45"/>
      <c s="42"/>
      <c s="49"/>
      <c s="50">
        <f>EO3+1</f>
        <v>12</v>
      </c>
      <c s="40"/>
      <c s="42"/>
      <c s="43"/>
      <c s="43"/>
      <c s="44"/>
      <c s="42"/>
      <c s="42"/>
      <c s="44"/>
      <c s="42"/>
      <c s="42"/>
      <c s="45"/>
      <c s="42"/>
      <c s="49"/>
      <c s="50">
        <f>FC3+1</f>
        <v>13</v>
      </c>
      <c s="40"/>
      <c s="42"/>
      <c s="43"/>
      <c s="43"/>
      <c s="44"/>
      <c s="42"/>
      <c s="42"/>
      <c s="44"/>
      <c s="42"/>
      <c s="42"/>
      <c s="45"/>
      <c s="42"/>
      <c s="49"/>
      <c s="50"/>
      <c s="40"/>
      <c s="42"/>
      <c s="43"/>
      <c s="43"/>
      <c s="44"/>
      <c s="42"/>
      <c s="42"/>
      <c s="44"/>
      <c s="42"/>
      <c s="42"/>
      <c s="45"/>
      <c s="42"/>
      <c s="49"/>
      <c s="50"/>
      <c s="40"/>
      <c s="42"/>
      <c s="43"/>
      <c s="43"/>
      <c s="44"/>
      <c s="42"/>
      <c s="42"/>
      <c s="44"/>
      <c s="42"/>
      <c s="42"/>
      <c s="45"/>
      <c s="42"/>
      <c s="49"/>
      <c s="50"/>
      <c s="40"/>
      <c s="42"/>
      <c s="43"/>
      <c s="43"/>
      <c s="44"/>
      <c s="42"/>
      <c s="42"/>
      <c s="44"/>
      <c s="42"/>
      <c s="42"/>
      <c s="45"/>
      <c s="42"/>
      <c s="49"/>
      <c s="50"/>
      <c s="40"/>
      <c s="42"/>
      <c s="43"/>
      <c s="43"/>
      <c s="44"/>
      <c s="42"/>
      <c s="42"/>
      <c s="44"/>
      <c s="42"/>
      <c s="42"/>
      <c s="45"/>
      <c s="42"/>
      <c s="49"/>
      <c s="50"/>
      <c s="40"/>
      <c s="42"/>
      <c s="43"/>
      <c s="43"/>
      <c s="44"/>
      <c s="42"/>
      <c s="42"/>
      <c s="44"/>
      <c s="42"/>
      <c s="42"/>
      <c s="45"/>
      <c s="42"/>
      <c s="49"/>
      <c s="45"/>
      <c s="42"/>
      <c s="49"/>
    </row>
    <row r="4" spans="1:259" ht="15.75">
      <c r="A4" s="38"/>
      <c s="45"/>
      <c s="51" t="str">
        <f>[1]Yearly!$G$9</f>
        <v>#REF!</v>
      </c>
      <c s="51" t="str">
        <f>[1]Yearly!$G$9+6</f>
        <v>#REF!</v>
      </c>
      <c s="52" t="s">
        <v>97</v>
      </c>
      <c s="53"/>
      <c s="42"/>
      <c s="43"/>
      <c s="43"/>
      <c s="44"/>
      <c s="42"/>
      <c s="42"/>
      <c s="44"/>
      <c s="42"/>
      <c s="42"/>
      <c s="45"/>
      <c s="51" t="str">
        <f>D4+1</f>
        <v>#REF!</v>
      </c>
      <c s="51" t="str">
        <f>Q4+6</f>
        <v>#REF!</v>
      </c>
      <c s="52" t="s">
        <v>98</v>
      </c>
      <c s="53"/>
      <c s="42"/>
      <c s="43"/>
      <c s="43"/>
      <c s="44"/>
      <c s="42"/>
      <c s="42"/>
      <c s="44"/>
      <c s="42"/>
      <c s="42"/>
      <c s="45"/>
      <c s="51" t="str">
        <f>R4+1</f>
        <v>#REF!</v>
      </c>
      <c s="51" t="str">
        <f>AE4+6</f>
        <v>#REF!</v>
      </c>
      <c s="52" t="s">
        <v>99</v>
      </c>
      <c s="53"/>
      <c s="42"/>
      <c s="43"/>
      <c s="43"/>
      <c s="44"/>
      <c s="42"/>
      <c s="42"/>
      <c s="44"/>
      <c s="42"/>
      <c s="42"/>
      <c s="45"/>
      <c s="51" t="str">
        <f>AF4+1</f>
        <v>#REF!</v>
      </c>
      <c s="51" t="str">
        <f>AS4+6</f>
        <v>#REF!</v>
      </c>
      <c s="52" t="s">
        <v>100</v>
      </c>
      <c s="53"/>
      <c s="42"/>
      <c s="43"/>
      <c s="43"/>
      <c s="44"/>
      <c s="42"/>
      <c s="42"/>
      <c s="44"/>
      <c s="42"/>
      <c s="42"/>
      <c s="45"/>
      <c s="51" t="str">
        <f>AT4+1</f>
        <v>#REF!</v>
      </c>
      <c s="51" t="str">
        <f>BG4+6</f>
        <v>#REF!</v>
      </c>
      <c s="52" t="s">
        <v>101</v>
      </c>
      <c s="53"/>
      <c s="42"/>
      <c s="43"/>
      <c s="43"/>
      <c s="44"/>
      <c s="42"/>
      <c s="42"/>
      <c s="44"/>
      <c s="42"/>
      <c s="42"/>
      <c s="45"/>
      <c s="51" t="str">
        <f>BH4+1</f>
        <v>#REF!</v>
      </c>
      <c s="51" t="str">
        <f>BU4+6</f>
        <v>#REF!</v>
      </c>
      <c s="52" t="s">
        <v>102</v>
      </c>
      <c s="53"/>
      <c s="42"/>
      <c s="43"/>
      <c s="43"/>
      <c s="44"/>
      <c s="42"/>
      <c s="42"/>
      <c s="44"/>
      <c s="42"/>
      <c s="42"/>
      <c s="45"/>
      <c s="51" t="str">
        <f>BV4+1</f>
        <v>#REF!</v>
      </c>
      <c s="51" t="str">
        <f>CI4+6</f>
        <v>#REF!</v>
      </c>
      <c s="52" t="s">
        <v>103</v>
      </c>
      <c s="53"/>
      <c s="42"/>
      <c s="43"/>
      <c s="43"/>
      <c s="44"/>
      <c s="42"/>
      <c s="42"/>
      <c s="44"/>
      <c s="42"/>
      <c s="42"/>
      <c s="45"/>
      <c s="51" t="str">
        <f>CJ4+1</f>
        <v>#REF!</v>
      </c>
      <c s="51" t="str">
        <f>CW4+6</f>
        <v>#REF!</v>
      </c>
      <c s="52" t="s">
        <v>104</v>
      </c>
      <c s="53"/>
      <c s="42"/>
      <c s="43"/>
      <c s="43"/>
      <c s="44"/>
      <c s="42"/>
      <c s="42"/>
      <c s="44"/>
      <c s="42"/>
      <c s="42"/>
      <c s="45"/>
      <c s="51" t="str">
        <f>CX4+1</f>
        <v>#REF!</v>
      </c>
      <c s="51" t="str">
        <f>DK4+6</f>
        <v>#REF!</v>
      </c>
      <c s="52" t="s">
        <v>105</v>
      </c>
      <c s="53"/>
      <c s="42"/>
      <c s="43"/>
      <c s="43"/>
      <c s="44"/>
      <c s="42"/>
      <c s="42"/>
      <c s="44"/>
      <c s="42"/>
      <c s="42"/>
      <c s="45"/>
      <c s="51" t="str">
        <f>DL4+1</f>
        <v>#REF!</v>
      </c>
      <c s="51" t="str">
        <f>DY4+6</f>
        <v>#REF!</v>
      </c>
      <c s="52" t="s">
        <v>106</v>
      </c>
      <c s="53"/>
      <c s="42"/>
      <c s="43"/>
      <c s="43"/>
      <c s="44"/>
      <c s="42"/>
      <c s="42"/>
      <c s="44"/>
      <c s="42"/>
      <c s="42"/>
      <c s="45"/>
      <c s="51" t="str">
        <f>DZ4+1</f>
        <v>#REF!</v>
      </c>
      <c s="51" t="str">
        <f>EM4+6</f>
        <v>#REF!</v>
      </c>
      <c s="52" t="s">
        <v>103</v>
      </c>
      <c s="53"/>
      <c s="42"/>
      <c s="43"/>
      <c s="43"/>
      <c s="44"/>
      <c s="42"/>
      <c s="42"/>
      <c s="44"/>
      <c s="42"/>
      <c s="42"/>
      <c s="45"/>
      <c s="51" t="str">
        <f>EN4+1</f>
        <v>#REF!</v>
      </c>
      <c s="51" t="str">
        <f>FA4+6</f>
        <v>#REF!</v>
      </c>
      <c s="52" t="s">
        <v>104</v>
      </c>
      <c s="53"/>
      <c s="42"/>
      <c s="43"/>
      <c s="43"/>
      <c s="44"/>
      <c s="42"/>
      <c s="42"/>
      <c s="44"/>
      <c s="42"/>
      <c s="42"/>
      <c s="45"/>
      <c s="51" t="str">
        <f>FB4+1</f>
        <v>#REF!</v>
      </c>
      <c s="51" t="str">
        <f>FO4+6</f>
        <v>#REF!</v>
      </c>
      <c s="52" t="s">
        <v>107</v>
      </c>
      <c s="53"/>
      <c s="42"/>
      <c s="43"/>
      <c s="43"/>
      <c s="44"/>
      <c s="42"/>
      <c s="42"/>
      <c s="44"/>
      <c s="42"/>
      <c s="42"/>
      <c s="45"/>
      <c s="51"/>
      <c s="51"/>
      <c s="54"/>
      <c s="53"/>
      <c s="42"/>
      <c s="43"/>
      <c s="43"/>
      <c s="44"/>
      <c s="42"/>
      <c s="42"/>
      <c s="44"/>
      <c s="42"/>
      <c s="42"/>
      <c s="45"/>
      <c s="51"/>
      <c s="51"/>
      <c s="54"/>
      <c s="53"/>
      <c s="42"/>
      <c s="43"/>
      <c s="43"/>
      <c s="44"/>
      <c s="42"/>
      <c s="42"/>
      <c s="44"/>
      <c s="42"/>
      <c s="42"/>
      <c s="45"/>
      <c s="51"/>
      <c s="51"/>
      <c s="54"/>
      <c s="53"/>
      <c s="42"/>
      <c s="43"/>
      <c s="43"/>
      <c s="44"/>
      <c s="42"/>
      <c s="42"/>
      <c s="44"/>
      <c s="42"/>
      <c s="42"/>
      <c s="45"/>
      <c s="51"/>
      <c s="51"/>
      <c s="54"/>
      <c s="53"/>
      <c s="42"/>
      <c s="43"/>
      <c s="43"/>
      <c s="44"/>
      <c s="42"/>
      <c s="42"/>
      <c s="44"/>
      <c s="42"/>
      <c s="42"/>
      <c s="45"/>
      <c s="51"/>
      <c s="51"/>
      <c s="54"/>
      <c s="53"/>
      <c s="42"/>
      <c s="43"/>
      <c s="43"/>
      <c s="44"/>
      <c s="42"/>
      <c s="42"/>
      <c s="44"/>
      <c s="42"/>
      <c s="42"/>
      <c s="45"/>
      <c s="51"/>
      <c s="51"/>
      <c s="45"/>
      <c s="51" t="str">
        <f>#REF!+1</f>
        <v>#REF!</v>
      </c>
      <c s="51" t="str">
        <f>IX4+6</f>
        <v>#REF!</v>
      </c>
    </row>
    <row r="5" spans="1:259" ht="10.5" customHeight="1" thickBot="1">
      <c r="A5" s="55"/>
      <c s="56"/>
      <c s="57"/>
      <c s="58"/>
      <c s="59"/>
      <c s="40"/>
      <c s="40"/>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9"/>
      <c s="57"/>
      <c s="57"/>
      <c s="60"/>
      <c s="60"/>
      <c s="61"/>
      <c s="62"/>
      <c s="62"/>
      <c s="61"/>
      <c s="62"/>
      <c s="62"/>
      <c s="56"/>
      <c s="57"/>
      <c s="58"/>
      <c s="56"/>
      <c s="57"/>
      <c s="58"/>
    </row>
    <row r="6" spans="1:259" ht="15.75" thickTop="1" thickBot="1">
      <c r="A6" s="63"/>
      <c s="64"/>
      <c s="65"/>
      <c s="66"/>
      <c s="67"/>
      <c s="68"/>
      <c s="68"/>
      <c s="67"/>
      <c s="67"/>
      <c s="69"/>
      <c s="63"/>
      <c s="63"/>
      <c s="70"/>
      <c s="63"/>
      <c s="65"/>
      <c s="64"/>
      <c s="65"/>
      <c s="66"/>
      <c s="65"/>
      <c s="63"/>
      <c s="71">
        <v>1</v>
      </c>
      <c s="71">
        <v>1</v>
      </c>
      <c s="71">
        <v>1</v>
      </c>
      <c s="70"/>
      <c s="63"/>
      <c s="63"/>
      <c s="70"/>
      <c s="63"/>
      <c s="65"/>
      <c s="64"/>
      <c s="65"/>
      <c s="66"/>
      <c s="65"/>
      <c s="63"/>
      <c s="71">
        <f t="shared" si="0" ref="AI6:AK6">U$6</f>
        <v>1</v>
      </c>
      <c s="71">
        <f t="shared" si="0"/>
        <v>1</v>
      </c>
      <c s="71">
        <f t="shared" si="0"/>
        <v>1</v>
      </c>
      <c s="70"/>
      <c s="63"/>
      <c s="63"/>
      <c s="70"/>
      <c s="63"/>
      <c s="65"/>
      <c s="64"/>
      <c s="65"/>
      <c s="66"/>
      <c s="65"/>
      <c s="63"/>
      <c s="71">
        <f t="shared" si="1" ref="AW6:AY6">AI$6</f>
        <v>1</v>
      </c>
      <c s="71">
        <f t="shared" si="1"/>
        <v>1</v>
      </c>
      <c s="71">
        <f t="shared" si="1"/>
        <v>1</v>
      </c>
      <c s="70"/>
      <c s="63"/>
      <c s="63"/>
      <c s="70"/>
      <c s="63"/>
      <c s="65"/>
      <c s="64"/>
      <c s="65"/>
      <c s="66"/>
      <c s="65"/>
      <c s="63"/>
      <c s="71">
        <f t="shared" si="2" ref="BK6:BM6">AW$6</f>
        <v>1</v>
      </c>
      <c s="71">
        <f t="shared" si="2"/>
        <v>1</v>
      </c>
      <c s="71">
        <f t="shared" si="2"/>
        <v>1</v>
      </c>
      <c s="70"/>
      <c s="63"/>
      <c s="63"/>
      <c s="70"/>
      <c s="63"/>
      <c s="65"/>
      <c s="64"/>
      <c s="65"/>
      <c s="66"/>
      <c s="65"/>
      <c s="63"/>
      <c s="71">
        <f t="shared" si="3" ref="BY6:CA6">BK$6</f>
        <v>1</v>
      </c>
      <c s="71">
        <f t="shared" si="3"/>
        <v>1</v>
      </c>
      <c s="71">
        <f t="shared" si="3"/>
        <v>1</v>
      </c>
      <c s="70"/>
      <c s="63"/>
      <c s="63"/>
      <c s="70"/>
      <c s="63"/>
      <c s="65"/>
      <c s="64"/>
      <c s="65"/>
      <c s="66"/>
      <c s="65"/>
      <c s="63"/>
      <c s="71">
        <f t="shared" si="4" ref="CM6:CO6">BY$6</f>
        <v>1</v>
      </c>
      <c s="71">
        <f t="shared" si="4"/>
        <v>1</v>
      </c>
      <c s="71">
        <f t="shared" si="4"/>
        <v>1</v>
      </c>
      <c s="70"/>
      <c s="63"/>
      <c s="63"/>
      <c s="70"/>
      <c s="63"/>
      <c s="65"/>
      <c s="64"/>
      <c s="65"/>
      <c s="66"/>
      <c s="65"/>
      <c s="63"/>
      <c s="71">
        <f t="shared" si="5" ref="DA6:DC6">CM$6</f>
        <v>1</v>
      </c>
      <c s="71">
        <f t="shared" si="5"/>
        <v>1</v>
      </c>
      <c s="71">
        <f t="shared" si="5"/>
        <v>1</v>
      </c>
      <c s="70"/>
      <c s="63"/>
      <c s="63"/>
      <c s="70"/>
      <c s="63"/>
      <c s="65"/>
      <c s="64"/>
      <c s="65"/>
      <c s="66"/>
      <c s="65" t="s">
        <v>108</v>
      </c>
      <c s="72">
        <v>13</v>
      </c>
      <c s="73"/>
      <c s="71">
        <f t="shared" si="6" ref="DP6:DQ6">DB$6</f>
        <v>1</v>
      </c>
      <c s="71">
        <f t="shared" si="6"/>
        <v>1</v>
      </c>
      <c s="70"/>
      <c s="63"/>
      <c s="63"/>
      <c s="70"/>
      <c s="63"/>
      <c s="65"/>
      <c s="64"/>
      <c s="65"/>
      <c s="66"/>
      <c s="65"/>
      <c s="63"/>
      <c s="71" t="str">
        <f t="shared" si="7" ref="EC6:EE6">DO$6</f>
        <v/>
      </c>
      <c s="71">
        <f t="shared" si="7"/>
        <v>1</v>
      </c>
      <c s="71">
        <f t="shared" si="7"/>
        <v>1</v>
      </c>
      <c s="70"/>
      <c s="63"/>
      <c s="63"/>
      <c s="70"/>
      <c s="63"/>
      <c s="65"/>
      <c s="64"/>
      <c s="65"/>
      <c s="66"/>
      <c s="65"/>
      <c s="63"/>
      <c s="71" t="str">
        <f t="shared" si="8" ref="EQ6:ES6">EC$6</f>
        <v/>
      </c>
      <c s="71">
        <f t="shared" si="8"/>
        <v>1</v>
      </c>
      <c s="71">
        <f t="shared" si="8"/>
        <v>1</v>
      </c>
      <c s="70"/>
      <c s="63"/>
      <c s="63"/>
      <c s="70"/>
      <c s="63"/>
      <c s="65"/>
      <c s="64"/>
      <c s="65"/>
      <c s="66"/>
      <c s="65"/>
      <c s="63"/>
      <c s="71" t="str">
        <f t="shared" si="9" ref="FE6:FG6">EQ$6</f>
        <v/>
      </c>
      <c s="71">
        <f t="shared" si="9"/>
        <v>1</v>
      </c>
      <c s="71">
        <f t="shared" si="9"/>
        <v>1</v>
      </c>
      <c s="70"/>
      <c s="63"/>
      <c s="63"/>
      <c s="70"/>
      <c s="63"/>
      <c s="65"/>
      <c s="64"/>
      <c s="65"/>
      <c s="66"/>
      <c s="65"/>
      <c s="63"/>
      <c s="71" t="str">
        <f t="shared" si="10" ref="FS6:FU6">FE$6</f>
        <v/>
      </c>
      <c s="71">
        <f t="shared" si="10"/>
        <v>1</v>
      </c>
      <c s="71">
        <f t="shared" si="10"/>
        <v>1</v>
      </c>
      <c s="70"/>
      <c s="63"/>
      <c s="63"/>
      <c s="70"/>
      <c s="63"/>
      <c s="65"/>
      <c s="64"/>
      <c s="65"/>
      <c s="66"/>
      <c s="65"/>
      <c s="63"/>
      <c s="71"/>
      <c s="71"/>
      <c s="71"/>
      <c s="70"/>
      <c s="63"/>
      <c s="63"/>
      <c s="70"/>
      <c s="63"/>
      <c s="65"/>
      <c s="64"/>
      <c s="65"/>
      <c s="66"/>
      <c s="65"/>
      <c s="63"/>
      <c s="71"/>
      <c s="71"/>
      <c s="71"/>
      <c s="70"/>
      <c s="63"/>
      <c s="63"/>
      <c s="70"/>
      <c s="63"/>
      <c s="65"/>
      <c s="64"/>
      <c s="65"/>
      <c s="66"/>
      <c s="65"/>
      <c s="63"/>
      <c s="71"/>
      <c s="71"/>
      <c s="71"/>
      <c s="70"/>
      <c s="63"/>
      <c s="63"/>
      <c s="70"/>
      <c s="63"/>
      <c s="65"/>
      <c s="64"/>
      <c s="65"/>
      <c s="66"/>
      <c s="65"/>
      <c s="63"/>
      <c s="71"/>
      <c s="71"/>
      <c s="71"/>
      <c s="70"/>
      <c s="63"/>
      <c s="63"/>
      <c s="70"/>
      <c s="63"/>
      <c s="65"/>
      <c s="64"/>
      <c s="65"/>
      <c s="66"/>
      <c s="65"/>
      <c s="63"/>
      <c s="71"/>
      <c s="71"/>
      <c s="71"/>
      <c s="70"/>
      <c s="63"/>
      <c s="63"/>
      <c s="70"/>
      <c s="63"/>
      <c s="65"/>
      <c s="64"/>
      <c s="65"/>
      <c s="66"/>
      <c s="64"/>
      <c s="65"/>
      <c s="66"/>
    </row>
    <row r="7" spans="1:259" ht="15.75" thickTop="1" thickBot="1">
      <c r="A7" s="63"/>
      <c s="64"/>
      <c s="74"/>
      <c s="75"/>
      <c s="76" t="s">
        <v>109</v>
      </c>
      <c s="77" t="s">
        <v>110</v>
      </c>
      <c s="73"/>
      <c s="78"/>
      <c s="79"/>
      <c s="80"/>
      <c s="63"/>
      <c s="63"/>
      <c s="70"/>
      <c s="81"/>
      <c s="65"/>
      <c s="64"/>
      <c s="63"/>
      <c s="75"/>
      <c s="65"/>
      <c s="63"/>
      <c s="82">
        <f>VLOOKUP(U$6,'Personal Info'!$J$15:$W$21,6)</f>
        <v>100</v>
      </c>
      <c s="82">
        <f>VLOOKUP(V$6,'Personal Info'!$J$15:$W$21,10)</f>
        <v>100</v>
      </c>
      <c s="83">
        <f>VLOOKUP(W$6,'Personal Info'!$J$15:$W$21,14)</f>
        <v>130</v>
      </c>
      <c s="80"/>
      <c s="63"/>
      <c s="63"/>
      <c s="70"/>
      <c s="81"/>
      <c s="65"/>
      <c s="64"/>
      <c s="63"/>
      <c s="75"/>
      <c s="65"/>
      <c s="63"/>
      <c s="82">
        <f>VLOOKUP(AI$6,'Personal Info'!$J$15:$W$21,6)</f>
        <v>100</v>
      </c>
      <c s="82">
        <f>VLOOKUP(AJ$6,'Personal Info'!$J$15:$W$21,10)</f>
        <v>100</v>
      </c>
      <c s="83">
        <f>VLOOKUP(AK$6,'Personal Info'!$J$15:$W$21,14)</f>
        <v>130</v>
      </c>
      <c s="80"/>
      <c s="63"/>
      <c s="63"/>
      <c s="70"/>
      <c s="81"/>
      <c s="65"/>
      <c s="64"/>
      <c s="63"/>
      <c s="75"/>
      <c s="65"/>
      <c s="63"/>
      <c s="82">
        <f>VLOOKUP(AW$6,'Personal Info'!$J$15:$W$21,6)</f>
        <v>100</v>
      </c>
      <c s="82">
        <f>VLOOKUP(AX$6,'Personal Info'!$J$15:$W$21,10)</f>
        <v>100</v>
      </c>
      <c s="83">
        <f>VLOOKUP(AY$6,'Personal Info'!$J$15:$W$21,14)</f>
        <v>130</v>
      </c>
      <c s="80"/>
      <c s="63"/>
      <c s="63"/>
      <c s="70"/>
      <c s="81"/>
      <c s="65"/>
      <c s="64"/>
      <c s="63"/>
      <c s="75"/>
      <c s="65"/>
      <c s="63"/>
      <c s="82">
        <f>VLOOKUP(BK$6,'Personal Info'!$J$15:$W$21,6)</f>
        <v>100</v>
      </c>
      <c s="82">
        <f>VLOOKUP(BL$6,'Personal Info'!$J$15:$W$21,10)</f>
        <v>100</v>
      </c>
      <c s="83">
        <f>VLOOKUP(BM$6,'Personal Info'!$J$15:$W$21,14)</f>
        <v>130</v>
      </c>
      <c s="80"/>
      <c s="63"/>
      <c s="63"/>
      <c s="70"/>
      <c s="81"/>
      <c s="65"/>
      <c s="64"/>
      <c s="63"/>
      <c s="75"/>
      <c s="65"/>
      <c s="63"/>
      <c s="82">
        <f>VLOOKUP(BY$6,'Personal Info'!$J$15:$W$21,6)</f>
        <v>100</v>
      </c>
      <c s="82">
        <f>VLOOKUP(BZ$6,'Personal Info'!$J$15:$W$21,10)</f>
        <v>100</v>
      </c>
      <c s="83">
        <f>VLOOKUP(CA$6,'Personal Info'!$J$15:$W$21,14)</f>
        <v>130</v>
      </c>
      <c s="80"/>
      <c s="63"/>
      <c s="63"/>
      <c s="70"/>
      <c s="81"/>
      <c s="65"/>
      <c s="64"/>
      <c s="63"/>
      <c s="75"/>
      <c s="65"/>
      <c s="63"/>
      <c s="82">
        <f>VLOOKUP(CM$6,'Personal Info'!$J$15:$W$21,6)</f>
        <v>100</v>
      </c>
      <c s="82">
        <f>VLOOKUP(CN$6,'Personal Info'!$J$15:$W$21,10)</f>
        <v>100</v>
      </c>
      <c s="83">
        <f>VLOOKUP(CO$6,'Personal Info'!$J$15:$W$21,14)</f>
        <v>130</v>
      </c>
      <c s="80"/>
      <c s="63"/>
      <c s="63"/>
      <c s="70"/>
      <c s="81"/>
      <c s="65"/>
      <c s="64"/>
      <c s="63"/>
      <c s="75"/>
      <c s="65"/>
      <c s="63"/>
      <c s="82">
        <f>VLOOKUP(DA$6,'Personal Info'!$J$15:$W$21,6)</f>
        <v>100</v>
      </c>
      <c s="82">
        <f>VLOOKUP(DB$6,'Personal Info'!$J$15:$W$21,10)</f>
        <v>100</v>
      </c>
      <c s="83">
        <f>VLOOKUP(DC$6,'Personal Info'!$J$15:$W$21,14)</f>
        <v>130</v>
      </c>
      <c s="80"/>
      <c s="63"/>
      <c s="63"/>
      <c s="70"/>
      <c s="81"/>
      <c s="65"/>
      <c s="64"/>
      <c s="63"/>
      <c s="75"/>
      <c s="65"/>
      <c s="63"/>
      <c s="84"/>
      <c s="82">
        <f>VLOOKUP(DP$6,'Personal Info'!$J$15:$W$21,10)</f>
        <v>100</v>
      </c>
      <c s="83">
        <f>VLOOKUP(DQ$6,'Personal Info'!$J$15:$W$21,14)</f>
        <v>130</v>
      </c>
      <c s="80"/>
      <c s="63"/>
      <c s="63"/>
      <c s="70"/>
      <c s="81"/>
      <c s="65"/>
      <c s="64"/>
      <c s="63"/>
      <c s="75"/>
      <c s="65"/>
      <c s="63"/>
      <c s="84"/>
      <c s="82">
        <f>VLOOKUP(ED$6,'Personal Info'!$J$15:$W$21,10)</f>
        <v>100</v>
      </c>
      <c s="83">
        <f>VLOOKUP(EE$6,'Personal Info'!$J$15:$W$21,14)</f>
        <v>130</v>
      </c>
      <c s="80"/>
      <c s="63"/>
      <c s="63"/>
      <c s="70"/>
      <c s="81"/>
      <c s="65"/>
      <c s="64"/>
      <c s="63"/>
      <c s="75"/>
      <c s="65"/>
      <c s="63"/>
      <c s="84"/>
      <c s="82">
        <f>VLOOKUP(ER$6,'Personal Info'!$J$15:$W$21,10)</f>
        <v>100</v>
      </c>
      <c s="83">
        <f>VLOOKUP(ES$6,'Personal Info'!$J$15:$W$21,14)</f>
        <v>130</v>
      </c>
      <c s="80"/>
      <c s="63"/>
      <c s="63"/>
      <c s="70"/>
      <c s="81"/>
      <c s="65"/>
      <c s="64"/>
      <c s="63"/>
      <c s="75"/>
      <c s="65"/>
      <c s="63"/>
      <c s="84"/>
      <c s="82">
        <f>VLOOKUP(FF$6,'Personal Info'!$J$15:$W$21,10)</f>
        <v>100</v>
      </c>
      <c s="83">
        <f>VLOOKUP(FG$6,'Personal Info'!$J$15:$W$21,14)</f>
        <v>130</v>
      </c>
      <c s="80"/>
      <c s="63"/>
      <c s="63"/>
      <c s="70"/>
      <c s="81"/>
      <c s="65"/>
      <c s="64"/>
      <c s="63"/>
      <c s="75"/>
      <c s="65"/>
      <c s="63"/>
      <c s="84"/>
      <c s="82">
        <f>VLOOKUP(FT$6,'Personal Info'!$J$15:$W$21,10)</f>
        <v>100</v>
      </c>
      <c s="83">
        <f>VLOOKUP(FU$6,'Personal Info'!$J$15:$W$21,14)</f>
        <v>130</v>
      </c>
      <c s="80"/>
      <c s="63"/>
      <c s="63"/>
      <c s="70"/>
      <c s="81"/>
      <c s="65"/>
      <c s="64"/>
      <c s="63"/>
      <c s="75"/>
      <c s="65"/>
      <c s="63"/>
      <c s="84"/>
      <c s="84"/>
      <c s="71"/>
      <c s="80"/>
      <c s="63"/>
      <c s="63"/>
      <c s="70"/>
      <c s="81"/>
      <c s="65"/>
      <c s="64"/>
      <c s="63"/>
      <c s="75"/>
      <c s="65"/>
      <c s="63"/>
      <c s="84"/>
      <c s="84"/>
      <c s="71"/>
      <c s="80"/>
      <c s="63"/>
      <c s="63"/>
      <c s="70"/>
      <c s="81"/>
      <c s="65"/>
      <c s="64"/>
      <c s="63"/>
      <c s="75"/>
      <c s="65"/>
      <c s="63"/>
      <c s="84"/>
      <c s="84"/>
      <c s="71"/>
      <c s="80"/>
      <c s="63"/>
      <c s="63"/>
      <c s="70"/>
      <c s="81"/>
      <c s="65"/>
      <c s="64"/>
      <c s="63"/>
      <c s="75"/>
      <c s="65"/>
      <c s="63"/>
      <c s="84"/>
      <c s="84"/>
      <c s="71"/>
      <c s="80"/>
      <c s="63"/>
      <c s="63"/>
      <c s="70"/>
      <c s="81"/>
      <c s="65"/>
      <c s="64"/>
      <c s="63"/>
      <c s="75"/>
      <c s="65"/>
      <c s="63"/>
      <c s="84"/>
      <c s="84"/>
      <c s="71"/>
      <c s="80"/>
      <c s="63"/>
      <c s="63"/>
      <c s="70"/>
      <c s="81"/>
      <c s="65"/>
      <c s="64"/>
      <c s="63"/>
      <c s="75"/>
      <c s="64"/>
      <c s="63"/>
      <c s="75"/>
    </row>
    <row r="8" spans="1:259" ht="9" customHeight="1" thickTop="1">
      <c r="A8" s="63"/>
      <c s="64"/>
      <c s="65"/>
      <c s="85"/>
      <c s="65"/>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3"/>
      <c s="63"/>
      <c s="63"/>
      <c s="67"/>
      <c s="67"/>
      <c s="70"/>
      <c s="63"/>
      <c s="63"/>
      <c s="69"/>
      <c s="63"/>
      <c s="63"/>
      <c s="64"/>
      <c s="65"/>
      <c s="85"/>
      <c s="64"/>
      <c s="65"/>
      <c s="85"/>
    </row>
    <row r="9" spans="1:259" ht="15.75">
      <c r="A9" s="63"/>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113</v>
      </c>
      <c s="89" t="s">
        <v>114</v>
      </c>
      <c s="90" t="s">
        <v>115</v>
      </c>
      <c s="86" t="s">
        <v>116</v>
      </c>
      <c s="86" t="s">
        <v>117</v>
      </c>
      <c s="91" t="s">
        <v>118</v>
      </c>
      <c s="92"/>
      <c s="90" t="s">
        <v>119</v>
      </c>
      <c s="91" t="s">
        <v>118</v>
      </c>
      <c s="90" t="s">
        <v>120</v>
      </c>
      <c s="65"/>
      <c s="64"/>
      <c s="86" t="s">
        <v>111</v>
      </c>
      <c s="87" t="s">
        <v>112</v>
      </c>
      <c s="88" t="s">
        <v>121</v>
      </c>
      <c s="89" t="s">
        <v>114</v>
      </c>
      <c s="90" t="s">
        <v>115</v>
      </c>
      <c s="86" t="s">
        <v>116</v>
      </c>
      <c s="86" t="s">
        <v>117</v>
      </c>
      <c s="91" t="s">
        <v>118</v>
      </c>
      <c s="92"/>
      <c s="90" t="s">
        <v>119</v>
      </c>
      <c s="91" t="s">
        <v>118</v>
      </c>
      <c s="90" t="s">
        <v>120</v>
      </c>
      <c s="65"/>
      <c s="64"/>
      <c s="86"/>
      <c s="87"/>
      <c s="88"/>
      <c s="89"/>
      <c s="90"/>
      <c s="86"/>
      <c s="86"/>
      <c s="91"/>
      <c s="92"/>
      <c s="90"/>
      <c s="91"/>
      <c s="90"/>
      <c s="65"/>
      <c s="64"/>
      <c s="86"/>
      <c s="87"/>
      <c s="88"/>
      <c s="89"/>
      <c s="90"/>
      <c s="86"/>
      <c s="86"/>
      <c s="91"/>
      <c s="92"/>
      <c s="90"/>
      <c s="91"/>
      <c s="90"/>
      <c s="65"/>
      <c s="64"/>
      <c s="86"/>
      <c s="87"/>
      <c s="88"/>
      <c s="89"/>
      <c s="90"/>
      <c s="86"/>
      <c s="86"/>
      <c s="91"/>
      <c s="92"/>
      <c s="90"/>
      <c s="91"/>
      <c s="90"/>
      <c s="65"/>
      <c s="64"/>
      <c s="86"/>
      <c s="87"/>
      <c s="88"/>
      <c s="89"/>
      <c s="90"/>
      <c s="86"/>
      <c s="86"/>
      <c s="91"/>
      <c s="92"/>
      <c s="90"/>
      <c s="91"/>
      <c s="90"/>
      <c s="65"/>
      <c s="64"/>
      <c s="86"/>
      <c s="87"/>
      <c s="88"/>
      <c s="89"/>
      <c s="90"/>
      <c s="86"/>
      <c s="86"/>
      <c s="91"/>
      <c s="92"/>
      <c s="90"/>
      <c s="91"/>
      <c s="90"/>
      <c s="65"/>
      <c s="64"/>
      <c s="86"/>
      <c s="87"/>
      <c s="64"/>
      <c s="86" t="s">
        <v>111</v>
      </c>
      <c s="87" t="s">
        <v>112</v>
      </c>
    </row>
    <row r="10" spans="1:259" ht="15.75">
      <c r="A10" s="65"/>
      <c s="64" t="s">
        <v>122</v>
      </c>
      <c s="65" t="str">
        <f>IFERROR(__xludf.DUMMYFUNCTION("ARRAYFORMULA(IF(ISBLANK(E10:E210),"""", IF(ISNA(LOOKUP(ROW(E10:E210),FILTER(ROW(E10:E210),LEN(E10:E210)&gt;1),VLOOKUP(FILTER(E10:E210,LEN(E10:E210)&gt;1),{'Personal Info'!$A:$B;'Personal Info'!$C:$D;'Personal Info'!$E:$F},2,FALSE))), ""ac"" , LOOKUP(ROW(E10:E21"&amp;"0),FILTER(ROW(E10:E210),LEN(E10:E210)&gt;1),VLOOKUP(FILTER(E10:E210,LEN(E10:E210)&gt;1),{'Personal Info'!$A:$B;'Personal Info'!$C:$D;'Personal Info'!$E:$F},2,FALSE)))))"),"sq")</f>
        <v>sq</v>
      </c>
      <c s="66">
        <f ca="1" t="array" ref="D10:D199">IF(WEEKDAY(progdt)=1,progdt+1,progdt+2-MOD(WEEKDAY(progdt),7))*ROW(INDIRECT("A1:A190"))^0</f>
        <v>45208</v>
      </c>
      <c s="93" t="s">
        <v>123</v>
      </c>
      <c s="94">
        <v>2</v>
      </c>
      <c s="95">
        <v>1</v>
      </c>
      <c s="96">
        <f>IF(OR(gen="SELECT",gen="MALE"),6900%,7100%)</f>
        <v>69</v>
      </c>
      <c s="97">
        <f t="array" ref="I10">IFERROR(IF(C10="ac"+ISNUMBER(SEARCH("'",H10))+G10="","",MROUND(_xlfn.SWITCH(C10,"sq",'Personal Info'!$O$15,"bn",'Personal Info'!$S$15,"dl",'Personal Info'!$W$15,"")*IF(H10&gt;10,H10/100,VLOOKUP(H10,_rpe,SUBSTITUTE(G10,"+","")+1,0)),IF(_xlfn.SWITCH(C10:C210,"sq",'Personal Info'!$O$15,"bn",'Personal Info'!$S$15,"dl",'Personal Info'!$W$15,"")&lt;IF(_uom="lbs",175,80),1.25,IF(_uom="lbs",5,2.5)))),"")</f>
        <v>68.75</v>
      </c>
      <c s="70" t="s">
        <v>242</v>
      </c>
      <c s="78"/>
      <c s="97"/>
      <c s="44" t="str">
        <f>IFERROR(__xludf.DUMMYFUNCTION("IF(I10=MAX(FILTER(I$10:I$199,LOOKUP(ROW(C$10:C$199),FILTER(ROW(C$10:C$199),C$10:C$199&lt;&gt;C$9:C$198))=LOOKUP(ROW(C10),FILTER(ROW(C$10:C$199),C$10:C$199&lt;&gt;C$9:C$198)))),J10,)"),"")</f>
        <v/>
      </c>
      <c s="40"/>
      <c s="65"/>
      <c s="64" t="str">
        <f t="shared" si="11" ref="P10:P199">IF(ISBLANK(B10),"",B10)</f>
        <v>SQ 1: hypertrophy</v>
      </c>
      <c s="65" t="str">
        <f>IFERROR(__xludf.DUMMYFUNCTION("ARRAYFORMULA(IF(S10:S210="""","""", IF(ISNA(LOOKUP(ROW(S10:S210),FILTER(ROW(S10:S210),LEN(S10:S210)&gt;1),VLOOKUP(FILTER(S10:S210,LEN(S10:S210)&gt;1),{'Personal Info'!$A:$B;'Personal Info'!$C:$D;'Personal Info'!$E:$F},2,FALSE))), ""ac"" , LOOKUP(ROW(S10:S210),F"&amp;"ILTER(ROW(S10:S210),LEN(S10:S210)&gt;1),VLOOKUP(FILTER(S10:S210,LEN(S10:S210)&gt;1),{'Personal Info'!$A:$B;'Personal Info'!$C:$D;'Personal Info'!$E:$F},2,FALSE)))))"),"sq")</f>
        <v>sq</v>
      </c>
      <c s="66">
        <f ca="1" t="array" ref="R10:R199">(D10+7)*ROW(INDIRECT("A1:A190"))^0</f>
        <v>45215</v>
      </c>
      <c s="93" t="str">
        <f t="shared" si="12" ref="S10:S199">IF(ISBLANK(E10),"",E10)</f>
        <v>Competition Squat</v>
      </c>
      <c s="94">
        <v>2</v>
      </c>
      <c s="95">
        <f t="shared" si="13" ref="U10:U17">IF(OR(ISBLANK(G10),G10=""),"",G10)</f>
        <v>1</v>
      </c>
      <c s="98" t="str">
        <f>IF(OR(gen="SELECT",gen="MALE"),"73% or @5","75% or @5")</f>
        <v>73% or @5</v>
      </c>
      <c s="97" t="str">
        <f t="array" ref="W10">IFERROR(IF(Q10="ac"+ISNUMBER(SEARCH("'",V10))+U10="","",IF(ISNUMBER(SEARCH("lw",V10)),I10+SUBSTITUTE(V10,"lw+",""),MROUND(_xlfn.SWITCH(Q10,"sq",U$7,"bn",V$7,"dl",W$7,"")*IF(V10&gt;10,V10/100,VLOOKUP(V10,_rpe,SUBSTITUTE(U10,"+","")+1,0)),IF(_xlfn.SWITCH(Q10,"sq",U$7,"bn",V$7,"dl",W$7,"")&lt;IF(_uom="lbs",175,80),1.25,IF(_uom="lbs",5,2.5))))),"")</f>
        <v/>
      </c>
      <c s="70" t="s">
        <v>242</v>
      </c>
      <c s="78"/>
      <c s="97"/>
      <c s="44" t="str">
        <f>IFERROR(__xludf.DUMMYFUNCTION("IF(W10=MAX(FILTER(W$10:W$199,LOOKUP(ROW(Q$10:Q$199),FILTER(ROW(Q$10:Q$199),Q$10:Q$199&lt;&gt;Q$9:Q$198))=LOOKUP(ROW(Q10),FILTER(ROW(Q$10:Q$199),Q$10:Q$199&lt;&gt;Q$9:Q$198)))),X10,)"),"")</f>
        <v/>
      </c>
      <c s="40"/>
      <c s="65"/>
      <c s="64" t="str">
        <f t="shared" si="14" ref="AD10:AD199">IF(ISBLANK(P10),"",P10)</f>
        <v>SQ 1: hypertrophy</v>
      </c>
      <c s="65" t="str">
        <f>IFERROR(__xludf.DUMMYFUNCTION("ARRAYFORMULA(IF(AG10:AG210="""","""", IF(ISNA(LOOKUP(ROW(AG10:AG210),FILTER(ROW(AG10:AG210),LEN(AG10:AG210)&gt;1),VLOOKUP(FILTER(AG10:AG210,LEN(AG10:AG210)&gt;1),{'Personal Info'!$A:$B;'Personal Info'!$C:$D;'Personal Info'!$E:$F},2,FALSE))), ""ac"" , LOOKUP(ROW"&amp;"(AG10:AG210),FILTER(ROW(AG10:AG210),LEN(AG10:AG210)&gt;1),VLOOKUP(FILTER(AG10:AG210,LEN(AG10:AG210)&gt;1),{'Personal Info'!$A:$B;'Personal Info'!$C:$D;'Personal Info'!$E:$F},2,FALSE)))))"),"sq")</f>
        <v>sq</v>
      </c>
      <c s="66">
        <f ca="1" t="array" ref="AF10:AF199">(R10+7)*ROW(INDIRECT("A1:A190"))^0</f>
        <v>45222</v>
      </c>
      <c s="93" t="str">
        <f t="shared" si="15" ref="AG10:AH10">IF(ISBLANK(S10),"",S10)</f>
        <v>Competition Squat</v>
      </c>
      <c s="94">
        <f t="shared" si="15"/>
        <v>2</v>
      </c>
      <c s="95">
        <f t="shared" si="16" ref="AI10:AI17">IF(OR(ISBLANK(U10),U10=""),"",U10)</f>
        <v>1</v>
      </c>
      <c s="98" t="str">
        <f>IF(OR(gen="SELECT",gen="MALE"),"76% or @5.5","78% or @5.5")</f>
        <v>76% or @5.5</v>
      </c>
      <c s="97" t="str">
        <f t="array" ref="AK10">IFERROR(IF(AE10="ac"+ISNUMBER(SEARCH("'",AJ10))+AI10="","",IF(ISNUMBER(SEARCH("lw",AJ10)),W10+SUBSTITUTE(AJ10,"lw+",""),MROUND(_xlfn.SWITCH(AE10,"sq",AI$7,"bn",AJ$7,"dl",AK$7,"")*IF(AJ10&gt;10,AJ10/100,VLOOKUP(AJ10,_rpe,SUBSTITUTE(AI10,"+","")+1,0)),IF(_xlfn.SWITCH(AE10,"sq",AI$7,"bn",AJ$7,"dl",AK$7,"")&lt;IF(_uom="lbs",175,80),1.25,IF(_uom="lbs",5,2.5))))),"")</f>
        <v/>
      </c>
      <c s="70" t="s">
        <v>242</v>
      </c>
      <c s="78"/>
      <c s="97"/>
      <c s="44" t="str">
        <f>IFERROR(__xludf.DUMMYFUNCTION("IF(AK10=MAX(FILTER(AK$10:AK$199,LOOKUP(ROW(AE$10:AE$199),FILTER(ROW(AE$10:AE$199),AE$10:AE$199&lt;&gt;AE$9:AE$198))=LOOKUP(ROW(AE10),FILTER(ROW(AE$10:AE$199),AE$10:AE$199&lt;&gt;AE$9:AE$198)))),AL10,)"),"")</f>
        <v/>
      </c>
      <c s="40"/>
      <c s="65"/>
      <c s="64" t="str">
        <f t="shared" si="17" ref="AR10:AR199">IF(ISBLANK(AD10),"",AD10)</f>
        <v>SQ 1: hypertrophy</v>
      </c>
      <c s="65" t="str">
        <f>IFERROR(__xludf.DUMMYFUNCTION("ARRAYFORMULA(IF(AU10:AU210="""","""", IF(ISNA(LOOKUP(ROW(AU10:AU210),FILTER(ROW(AU10:AU210),LEN(AU10:AU210)&gt;1),VLOOKUP(FILTER(AU10:AU210,LEN(AU10:AU210)&gt;1),{'Personal Info'!$A:$B;'Personal Info'!$C:$D;'Personal Info'!$E:$F},2,FALSE))), ""ac"" , LOOKUP(ROW"&amp;"(AU10:AU210),FILTER(ROW(AU10:AU210),LEN(AU10:AU210)&gt;1),VLOOKUP(FILTER(AU10:AU210,LEN(AU10:AU210)&gt;1),{'Personal Info'!$A:$B;'Personal Info'!$C:$D;'Personal Info'!$E:$F},2,FALSE)))))"),"sq")</f>
        <v>sq</v>
      </c>
      <c s="66">
        <f ca="1" t="array" ref="AT10:AT199">(AF10+7)*ROW(INDIRECT("A1:A190"))^0</f>
        <v>45229</v>
      </c>
      <c s="93" t="str">
        <f t="shared" si="18" ref="AU10:AV10">IF(ISBLANK(AG10),"",AG10)</f>
        <v>Competition Squat</v>
      </c>
      <c s="94">
        <f t="shared" si="18"/>
        <v>2</v>
      </c>
      <c s="95">
        <f>IF(OR(ISBLANK(AI10),AI10=""),"",AI10)</f>
        <v>1</v>
      </c>
      <c s="98" t="str">
        <f>IF(OR(gen="SELECT",gen="MALE"),"79% or @6","81% or @6")</f>
        <v>79% or @6</v>
      </c>
      <c s="97" t="str">
        <f t="array" ref="AY10">IFERROR(IF(AS10="ac"+ISNUMBER(SEARCH("'",AX10))+AW10="","",IF(ISNUMBER(SEARCH("lw",AX10)),AK10+SUBSTITUTE(AX10,"lw+",""),MROUND(_xlfn.SWITCH(AS10,"sq",AW$7,"bn",AX$7,"dl",AY$7,"")*IF(AX10&gt;10,AX10/100,VLOOKUP(AX10,_rpe,SUBSTITUTE(AW10,"+","")+1,0)),IF(_xlfn.SWITCH(AS10,"sq",AW$7,"bn",AX$7,"dl",AY$7,"")&lt;IF(_uom="lbs",175,80),1.25,IF(_uom="lbs",5,2.5))))),"")</f>
        <v/>
      </c>
      <c s="70" t="s">
        <v>242</v>
      </c>
      <c s="78"/>
      <c s="97"/>
      <c s="44" t="str">
        <f>IFERROR(__xludf.DUMMYFUNCTION("IF(AY10=MAX(FILTER(AY$10:AY$199,LOOKUP(ROW(AS$10:AS$199),FILTER(ROW(AS$10:AS$199),AS$10:AS$199&lt;&gt;AS$9:AS$198))=LOOKUP(ROW(AS10),FILTER(ROW(AS$10:AS$199),AS$10:AS$199&lt;&gt;AS$9:AS$198)))),AZ10,)"),"")</f>
        <v/>
      </c>
      <c s="40"/>
      <c s="65"/>
      <c s="64" t="str">
        <f t="shared" si="19" ref="BF10:BF199">IF(ISBLANK(AR10),"",AR10)</f>
        <v>SQ 1: hypertrophy</v>
      </c>
      <c s="65" t="str">
        <f>IFERROR(__xludf.DUMMYFUNCTION("ARRAYFORMULA(IF(BI10:BI210="""","""", IF(ISNA(LOOKUP(ROW(BI10:BI210),FILTER(ROW(BI10:BI210),LEN(BI10:BI210)&gt;1),VLOOKUP(FILTER(BI10:BI210,LEN(BI10:BI210)&gt;1),{'Personal Info'!$A:$B;'Personal Info'!$C:$D;'Personal Info'!$E:$F},2,FALSE))), ""ac"" , LOOKUP(ROW"&amp;"(BI10:BI210),FILTER(ROW(BI10:BI210),LEN(BI10:BI210)&gt;1),VLOOKUP(FILTER(BI10:BI210,LEN(BI10:BI210)&gt;1),{'Personal Info'!$A:$B;'Personal Info'!$C:$D;'Personal Info'!$E:$F},2,FALSE)))))"),"sq")</f>
        <v>sq</v>
      </c>
      <c s="66">
        <f ca="1" t="array" ref="BH10:BH199">(AT10+7)*ROW(INDIRECT("A1:A190"))^0</f>
        <v>45236</v>
      </c>
      <c s="93" t="str">
        <f t="shared" si="20" ref="BI10:BI199">IF(ISBLANK(AU10),"",AU10)</f>
        <v>Competition Squat</v>
      </c>
      <c s="94">
        <v>1</v>
      </c>
      <c s="95">
        <f>IF(OR(ISBLANK(AW10),AW10=""),"",AW10)</f>
        <v>1</v>
      </c>
      <c s="98" t="s">
        <v>124</v>
      </c>
      <c s="97" t="str">
        <f t="array" ref="BM10">IFERROR(IF(BG10="ac"+ISNUMBER(SEARCH("'",BL10))+BK10="","",IF(ISNUMBER(SEARCH("lw",BL10)),AY10+SUBSTITUTE(BL10,"lw+",""),MROUND(_xlfn.SWITCH(BG10,"sq",BK$7,"bn",BL$7,"dl",BM$7,"")*IF(BL10&gt;10,BL10/100,VLOOKUP(BL10,_rpe,SUBSTITUTE(BK10,"+","")+1,0)),IF(_xlfn.SWITCH(BG10,"sq",BK$7,"bn",BL$7,"dl",BM$7,"")&lt;IF(_uom="lbs",175,80),1.25,IF(_uom="lbs",5,2.5))))),"")</f>
        <v/>
      </c>
      <c s="70" t="s">
        <v>242</v>
      </c>
      <c s="78"/>
      <c s="97"/>
      <c s="44" t="str">
        <f>IFERROR(__xludf.DUMMYFUNCTION("IF(BM10=MAX(FILTER(BM$10:BM$199,LOOKUP(ROW(BG$10:BG$199),FILTER(ROW(BG$10:BG$199),BG$10:BG$199&lt;&gt;BG$9:BG$198))=LOOKUP(ROW(BG10),FILTER(ROW(BG$10:BG$199),BG$10:BG$199&lt;&gt;BG$9:BG$198)))),BN10,)"),"")</f>
        <v/>
      </c>
      <c s="40"/>
      <c s="65"/>
      <c s="64" t="str">
        <f t="shared" si="21" ref="BT10:BT199">IF(ISBLANK(BF10),"",BF10)</f>
        <v>SQ 1: hypertrophy</v>
      </c>
      <c s="65" t="str">
        <f>IFERROR(__xludf.DUMMYFUNCTION("ARRAYFORMULA(IF(BW10:BW210="""","""", IF(ISNA(LOOKUP(ROW(BW10:BW210),FILTER(ROW(BW10:BW210),LEN(BW10:BW210)&gt;1),VLOOKUP(FILTER(BW10:BW210,LEN(BW10:BW210)&gt;1),{'Personal Info'!$A:$B;'Personal Info'!$C:$D;'Personal Info'!$E:$F},2,FALSE))), ""ac"" , LOOKUP(ROW"&amp;"(BW10:BW210),FILTER(ROW(BW10:BW210),LEN(BW10:BW210)&gt;1),VLOOKUP(FILTER(BW10:BW210,LEN(BW10:BW210)&gt;1),{'Personal Info'!$A:$B;'Personal Info'!$C:$D;'Personal Info'!$E:$F},2,FALSE)))))"),"sq")</f>
        <v>sq</v>
      </c>
      <c s="66">
        <f ca="1" t="array" ref="BV10:BV199">(BH10+7)*ROW(INDIRECT("A1:A190"))^0</f>
        <v>45243</v>
      </c>
      <c s="93" t="str">
        <f t="shared" si="22" ref="BW10:BW199">IF(ISBLANK(BI10),"",BI10)</f>
        <v>Competition Squat</v>
      </c>
      <c s="94">
        <v>1</v>
      </c>
      <c s="95">
        <f t="shared" si="23" ref="BY10:BY17">IF(OR(ISBLANK(BK10),BK10=""),"",BK10)</f>
        <v>1</v>
      </c>
      <c s="98" t="str">
        <f>IF(OR(gen="SELECT",gen="MALE"),"85% or @6","86% or @6")</f>
        <v>85% or @6</v>
      </c>
      <c s="97" t="str">
        <f t="array" ref="CA10">IFERROR(IF(BU10="ac"+ISNUMBER(SEARCH("'",BZ10))+BY10="","",IF(ISNUMBER(SEARCH("lw",BZ10)),BM10+SUBSTITUTE(BZ10,"lw+",""),MROUND(_xlfn.SWITCH(BU10,"sq",BY$7,"bn",BZ$7,"dl",CA$7,"")*IF(BZ10&gt;10,BZ10/100,VLOOKUP(BZ10,_rpe,SUBSTITUTE(BY10,"+","")+1,0)),IF(_xlfn.SWITCH(BU10,"sq",BY$7,"bn",BZ$7,"dl",CA$7,"")&lt;IF(_uom="lbs",175,80),1.25,IF(_uom="lbs",5,2.5))))),"")</f>
        <v/>
      </c>
      <c s="70" t="s">
        <v>242</v>
      </c>
      <c s="78"/>
      <c s="97"/>
      <c s="44" t="str">
        <f>IFERROR(__xludf.DUMMYFUNCTION("IF(CA10=MAX(FILTER(CA$10:CA$199,LOOKUP(ROW(BU$10:BU$199),FILTER(ROW(BU$10:BU$199),BU$10:BU$199&lt;&gt;BU$9:BU$198))=LOOKUP(ROW(BU10),FILTER(ROW(BU$10:BU$199),BU$10:BU$199&lt;&gt;BU$9:BU$198)))),CB10,)"),"")</f>
        <v/>
      </c>
      <c s="40"/>
      <c s="65"/>
      <c s="64" t="str">
        <f t="shared" si="24" ref="CH10:CH199">IF(ISBLANK(BT10),"",BT10)</f>
        <v>SQ 1: hypertrophy</v>
      </c>
      <c s="65" t="str">
        <f>IFERROR(__xludf.DUMMYFUNCTION("ARRAYFORMULA(IF(CK10:CK210="""","""", IF(ISNA(LOOKUP(ROW(CK10:CK210),FILTER(ROW(CK10:CK210),LEN(CK10:CK210)&gt;1),VLOOKUP(FILTER(CK10:CK210,LEN(CK10:CK210)&gt;1),{'Personal Info'!$A:$B;'Personal Info'!$C:$D;'Personal Info'!$E:$F},2,FALSE))), ""ac"" , LOOKUP(ROW"&amp;"(CK10:CK210),FILTER(ROW(CK10:CK210),LEN(CK10:CK210)&gt;1),VLOOKUP(FILTER(CK10:CK210,LEN(CK10:CK210)&gt;1),{'Personal Info'!$A:$B;'Personal Info'!$C:$D;'Personal Info'!$E:$F},2,FALSE)))))"),"sq")</f>
        <v>sq</v>
      </c>
      <c s="66">
        <f ca="1" t="array" ref="CJ10:CJ199">(BV10+7)*ROW(INDIRECT("A1:A190"))^0</f>
        <v>45250</v>
      </c>
      <c s="93" t="str">
        <f t="shared" si="25" ref="CK10:CL10">IF(ISBLANK(BW10),"",BW10)</f>
        <v>Competition Squat</v>
      </c>
      <c s="94">
        <f t="shared" si="25"/>
        <v>1</v>
      </c>
      <c s="95">
        <f t="shared" si="26" ref="CM10:CM17">IF(OR(ISBLANK(BY10),BY10=""),"",BY10)</f>
        <v>1</v>
      </c>
      <c s="98" t="str">
        <f>IF(OR(gen="SELECT",gen="MALE"),"88% or @7","89% or @7")</f>
        <v>88% or @7</v>
      </c>
      <c s="97" t="str">
        <f t="array" ref="CO10">IFERROR(IF(CI10="ac"+ISNUMBER(SEARCH("'",CN10))+CM10="","",IF(ISNUMBER(SEARCH("lw",CN10)),CA10+SUBSTITUTE(CN10,"lw+",""),MROUND(_xlfn.SWITCH(CI10,"sq",CM$7,"bn",CN$7,"dl",CO$7,"")*IF(CN10&gt;10,CN10/100,VLOOKUP(CN10,_rpe,SUBSTITUTE(CM10,"+","")+1,0)),IF(_xlfn.SWITCH(CI10,"sq",CM$7,"bn",CN$7,"dl",CO$7,"")&lt;IF(_uom="lbs",175,80),1.25,IF(_uom="lbs",5,2.5))))),"")</f>
        <v/>
      </c>
      <c s="70" t="s">
        <v>242</v>
      </c>
      <c s="78"/>
      <c s="97"/>
      <c s="44" t="str">
        <f>IFERROR(__xludf.DUMMYFUNCTION("IF(CO10=MAX(FILTER(CO$10:CO$199,LOOKUP(ROW(CI$10:CI$199),FILTER(ROW(CI$10:CI$199),CI$10:CI$199&lt;&gt;CI$9:CI$198))=LOOKUP(ROW(CI10),FILTER(ROW(CI$10:CI$199),CI$10:CI$199&lt;&gt;CI$9:CI$198)))),CP10,)"),"")</f>
        <v/>
      </c>
      <c s="40"/>
      <c s="65"/>
      <c s="64" t="str">
        <f t="shared" si="27" ref="CV10:CV199">IF(ISBLANK(CH10),"",CH10)</f>
        <v>SQ 1: hypertrophy</v>
      </c>
      <c s="65" t="str">
        <f>IFERROR(__xludf.DUMMYFUNCTION("ARRAYFORMULA(IF(CY10:CY210="""","""", IF(ISNA(LOOKUP(ROW(CY10:CY210),FILTER(ROW(CY10:CY210),LEN(CY10:CY210)&gt;1),VLOOKUP(FILTER(CY10:CY210,LEN(CY10:CY210)&gt;1),{'Personal Info'!$A:$B;'Personal Info'!$C:$D;'Personal Info'!$E:$F},2,FALSE))), ""ac"" , LOOKUP(ROW"&amp;"(CY10:CY210),FILTER(ROW(CY10:CY210),LEN(CY10:CY210)&gt;1),VLOOKUP(FILTER(CY10:CY210,LEN(CY10:CY210)&gt;1),{'Personal Info'!$A:$B;'Personal Info'!$C:$D;'Personal Info'!$E:$F},2,FALSE)))))"),"sq")</f>
        <v>sq</v>
      </c>
      <c s="66">
        <f ca="1" t="array" ref="CX10:CX199">(CJ10+7)*ROW(INDIRECT("A1:A190"))^0</f>
        <v>45257</v>
      </c>
      <c s="93" t="str">
        <f t="shared" si="28" ref="CY10:CZ10">IF(ISBLANK(CK10),"",CK10)</f>
        <v>Competition Squat</v>
      </c>
      <c s="94">
        <f t="shared" si="28"/>
        <v>1</v>
      </c>
      <c s="95">
        <f t="shared" si="29" ref="DA10:DA17">IF(OR(ISBLANK(CM10),CM10=""),"",CM10)</f>
        <v>1</v>
      </c>
      <c s="98" t="str">
        <f>IF(OR(gen="SELECT",gen="MALE"),"91% or @7.5","92% or @7.5")</f>
        <v>91% or @7.5</v>
      </c>
      <c s="97" t="str">
        <f t="array" ref="DC10">IFERROR(IF(CW10="ac"+ISNUMBER(SEARCH("'",DB10))+DA10="","",IF(ISNUMBER(SEARCH("lw",DB10)),CO10+SUBSTITUTE(DB10,"lw+",""),MROUND(_xlfn.SWITCH(CW10,"sq",DA$7,"bn",DB$7,"dl",DC$7,"")*IF(DB10&gt;10,DB10/100,VLOOKUP(DB10,_rpe,SUBSTITUTE(DA10,"+","")+1,0)),IF(_xlfn.SWITCH(CW10,"sq",DA$7,"bn",DB$7,"dl",DC$7,"")&lt;IF(_uom="lbs",175,80),1.25,IF(_uom="lbs",5,2.5))))),"")</f>
        <v/>
      </c>
      <c s="70" t="s">
        <v>242</v>
      </c>
      <c s="78"/>
      <c s="97"/>
      <c s="44" t="str">
        <f>IFERROR(__xludf.DUMMYFUNCTION("IF(DC10=MAX(FILTER(DC$10:DC$199,LOOKUP(ROW(CW$10:CW$199),FILTER(ROW(CW$10:CW$199),CW$10:CW$199&lt;&gt;CW$9:CW$198))=LOOKUP(ROW(CW10),FILTER(ROW(CW$10:CW$199),CW$10:CW$199&lt;&gt;CW$9:CW$198)))),DD10,)"),"")</f>
        <v/>
      </c>
      <c s="40"/>
      <c s="65"/>
      <c s="64" t="str">
        <f t="shared" si="30" ref="DJ10:DJ199">IF(ISBLANK(CV10),"",CV10)</f>
        <v>SQ 1: hypertrophy</v>
      </c>
      <c s="65" t="str">
        <f>IFERROR(__xludf.DUMMYFUNCTION("ARRAYFORMULA(IF(DM10:DM210="""","""", IF(ISNA(LOOKUP(ROW(DM10:DM210),FILTER(ROW(DM10:DM210),LEN(DM10:DM210)&gt;1),VLOOKUP(FILTER(DM10:DM210,LEN(DM10:DM210)&gt;1),{'Personal Info'!$A:$B;'Personal Info'!$C:$D;'Personal Info'!$E:$F},2,FALSE))), ""ac"" , LOOKUP(ROW"&amp;"(DM10:DM210),FILTER(ROW(DM10:DM210),LEN(DM10:DM210)&gt;1),VLOOKUP(FILTER(DM10:DM210,LEN(DM10:DM210)&gt;1),{'Personal Info'!$A:$B;'Personal Info'!$C:$D;'Personal Info'!$E:$F},2,FALSE)))))"),"sq")</f>
        <v>sq</v>
      </c>
      <c s="66">
        <f ca="1" t="array" ref="DL10:DL199">(CX10+7)*ROW(INDIRECT("A1:A190"))^0</f>
        <v>45264</v>
      </c>
      <c s="93" t="str">
        <f t="shared" si="31" ref="DM10:DN10">IF(ISBLANK(CY10),"",CY10)</f>
        <v>Competition Squat</v>
      </c>
      <c s="94">
        <f t="shared" si="31"/>
        <v>1</v>
      </c>
      <c s="95">
        <f>IF(OR(ISBLANK(DA10),DA10=""),"",DA10)</f>
        <v>1</v>
      </c>
      <c s="98" t="str">
        <f>IF(OR(gen="SELECT",gen="MALE"),"82% or @6.5","83% or @6.5")</f>
        <v>82% or @6.5</v>
      </c>
      <c s="97" t="str">
        <f t="array" ref="DQ10">IFERROR(IF(DK10="ac"+ISNUMBER(SEARCH("'",DP10))+DO10="","",IF(ISNUMBER(SEARCH("lw",DP10)),DC10+SUBSTITUTE(DP10,"lw+",""),MROUND(_xlfn.SWITCH(DK10,"sq",DO$7,"bn",DP$7,"dl",DQ$7,"")*IF(DP10&gt;10,DP10/100,VLOOKUP(DP10,_rpe,SUBSTITUTE(DO10,"+","")+1,0)),IF(_xlfn.SWITCH(DK10,"sq",DO$7,"bn",DP$7,"dl",DQ$7,"")&lt;IF(_uom="lbs",175,80),1.25,IF(_uom="lbs",5,2.5))))),"")</f>
        <v/>
      </c>
      <c s="70" t="s">
        <v>242</v>
      </c>
      <c s="78"/>
      <c s="97"/>
      <c s="44" t="str">
        <f>IFERROR(__xludf.DUMMYFUNCTION("IF(DQ10=MAX(FILTER(DQ$10:DQ$199,LOOKUP(ROW(DK$10:DK$199),FILTER(ROW(DK$10:DK$199),DK$10:DK$199&lt;&gt;DK$9:DK$198))=LOOKUP(ROW(DK10),FILTER(ROW(DK$10:DK$199),DK$10:DK$199&lt;&gt;DK$9:DK$198)))),DR10,)"),"")</f>
        <v/>
      </c>
      <c s="40"/>
      <c s="65"/>
      <c s="64" t="str">
        <f t="shared" si="32" ref="DX10:DX199">IF(ISBLANK(DJ10),"",DJ10)</f>
        <v>SQ 1: hypertrophy</v>
      </c>
      <c s="65" t="str">
        <f>IFERROR(__xludf.DUMMYFUNCTION("ARRAYFORMULA(IF(EA10:EA210="""","""", IF(ISNA(LOOKUP(ROW(EA10:EA210),FILTER(ROW(EA10:EA210),LEN(EA10:EA210)&gt;1),VLOOKUP(FILTER(EA10:EA210,LEN(EA10:EA210)&gt;1),{'Personal Info'!$A:$B;'Personal Info'!$C:$D;'Personal Info'!$E:$F},2,FALSE))), ""ac"" , LOOKUP(ROW"&amp;"(EA10:EA210),FILTER(ROW(EA10:EA210),LEN(EA10:EA210)&gt;1),VLOOKUP(FILTER(EA10:EA210,LEN(EA10:EA210)&gt;1),{'Personal Info'!$A:$B;'Personal Info'!$C:$D;'Personal Info'!$E:$F},2,FALSE)))))"),"sq")</f>
        <v>sq</v>
      </c>
      <c s="66">
        <f ca="1" t="array" ref="DZ10:DZ199">(DL10+7)*ROW(INDIRECT("A1:A190"))^0</f>
        <v>45271</v>
      </c>
      <c s="93" t="str">
        <f t="shared" si="33" ref="EA10:EB10">IF(ISBLANK(DM10),"",DM10)</f>
        <v>Competition Squat</v>
      </c>
      <c s="94">
        <f t="shared" si="33"/>
        <v>1</v>
      </c>
      <c s="95">
        <v>1</v>
      </c>
      <c s="98" t="s">
        <v>125</v>
      </c>
      <c s="97" t="str">
        <f t="array" ref="EE10">IFERROR(IF(DY10="ac"+ISNUMBER(SEARCH("'",ED10))+EC10="","",IF(ISNUMBER(SEARCH("lw",ED10)),DQ10+SUBSTITUTE(ED10,"lw+",""),MROUND(_xlfn.SWITCH(DY10,"sq",EC$7,"bn",ED$7,"dl",EE$7,"")*IF(ED10&gt;10,ED10/100,VLOOKUP(ED10,_rpe,SUBSTITUTE(EC10,"+","")+1,0)),IF(_xlfn.SWITCH(DY10,"sq",EC$7,"bn",ED$7,"dl",EE$7,"")&lt;IF(_uom="lbs",175,80),1.25,IF(_uom="lbs",5,2.5))))),"")</f>
        <v/>
      </c>
      <c s="70" t="s">
        <v>242</v>
      </c>
      <c s="78"/>
      <c s="97"/>
      <c s="44" t="str">
        <f>IFERROR(__xludf.DUMMYFUNCTION("IF(EE10=MAX(FILTER(EE$10:EE$199,LOOKUP(ROW(DY$10:DY$199),FILTER(ROW(DY$10:DY$199),DY$10:DY$199&lt;&gt;DY$9:DY$198))=LOOKUP(ROW(DY10),FILTER(ROW(DY$10:DY$199),DY$10:DY$199&lt;&gt;DY$9:DY$198)))),EF10,)"),"")</f>
        <v/>
      </c>
      <c s="40"/>
      <c s="65"/>
      <c s="64" t="str">
        <f t="shared" si="34" ref="EL10:EL199">IF(ISBLANK(DX10),"",DX10)</f>
        <v>SQ 1: hypertrophy</v>
      </c>
      <c s="65" t="str">
        <f>IFERROR(__xludf.DUMMYFUNCTION("ARRAYFORMULA(IF(EO10:EO210="""","""", IF(ISNA(LOOKUP(ROW(EO10:EO210),FILTER(ROW(EO10:EO210),LEN(EO10:EO210)&gt;1),VLOOKUP(FILTER(EO10:EO210,LEN(EO10:EO210)&gt;1),{'Personal Info'!$A:$B;'Personal Info'!$C:$D;'Personal Info'!$E:$F},2,FALSE))), ""ac"" , LOOKUP(ROW"&amp;"(EO10:EO210),FILTER(ROW(EO10:EO210),LEN(EO10:EO210)&gt;1),VLOOKUP(FILTER(EO10:EO210,LEN(EO10:EO210)&gt;1),{'Personal Info'!$A:$B;'Personal Info'!$C:$D;'Personal Info'!$E:$F},2,FALSE)))))"),"sq")</f>
        <v>sq</v>
      </c>
      <c s="66">
        <f ca="1" t="array" ref="EN10:EN199">(DZ10+7)*ROW(INDIRECT("A1:A190"))^0</f>
        <v>45278</v>
      </c>
      <c s="93" t="str">
        <f t="shared" si="35" ref="EO10:EP10">IF(ISBLANK(EA10),"",EA10)</f>
        <v>Competition Squat</v>
      </c>
      <c s="94">
        <f t="shared" si="35"/>
        <v>1</v>
      </c>
      <c s="95">
        <v>1</v>
      </c>
      <c s="98" t="s">
        <v>126</v>
      </c>
      <c s="97" t="str">
        <f t="array" ref="ES10">IFERROR(IF(EM10="ac"+ISNUMBER(SEARCH("'",ER10))+EQ10="","",IF(ISNUMBER(SEARCH("lw",ER10)),EE10+SUBSTITUTE(ER10,"lw+",""),MROUND(_xlfn.SWITCH(EM10,"sq",EQ$7,"bn",ER$7,"dl",ES$7,"")*IF(ER10&gt;10,ER10/100,VLOOKUP(ER10,_rpe,SUBSTITUTE(EQ10,"+","")+1,0)),IF(_xlfn.SWITCH(EM10,"sq",EQ$7,"bn",ER$7,"dl",ES$7,"")&lt;IF(_uom="lbs",175,80),1.25,IF(_uom="lbs",5,2.5))))),"")</f>
        <v/>
      </c>
      <c s="70" t="s">
        <v>242</v>
      </c>
      <c s="78"/>
      <c s="97"/>
      <c s="44" t="str">
        <f>IFERROR(__xludf.DUMMYFUNCTION("IF(ES10=MAX(FILTER(ES$10:ES$199,LOOKUP(ROW(EM$10:EM$199),FILTER(ROW(EM$10:EM$199),EM$10:EM$199&lt;&gt;EM$9:EM$198))=LOOKUP(ROW(EM10),FILTER(ROW(EM$10:EM$199),EM$10:EM$199&lt;&gt;EM$9:EM$198)))),ET10,)"),"")</f>
        <v/>
      </c>
      <c s="40"/>
      <c s="65"/>
      <c s="64" t="str">
        <f t="shared" si="36" ref="EZ10:EZ199">IF(ISBLANK(EL10),"",EL10)</f>
        <v>SQ 1: hypertrophy</v>
      </c>
      <c s="65" t="str">
        <f>IFERROR(__xludf.DUMMYFUNCTION("ARRAYFORMULA(IF(FC10:FC210="""","""", IF(ISNA(LOOKUP(ROW(FC10:FC210),FILTER(ROW(FC10:FC210),LEN(FC10:FC210)&gt;1),VLOOKUP(FILTER(FC10:FC210,LEN(FC10:FC210)&gt;1),{'Personal Info'!$A:$B;'Personal Info'!$C:$D;'Personal Info'!$E:$F},2,FALSE))), ""ac"" , LOOKUP(ROW"&amp;"(FC10:FC210),FILTER(ROW(FC10:FC210),LEN(FC10:FC210)&gt;1),VLOOKUP(FILTER(FC10:FC210,LEN(FC10:FC210)&gt;1),{'Personal Info'!$A:$B;'Personal Info'!$C:$D;'Personal Info'!$E:$F},2,FALSE)))))"),"sq")</f>
        <v>sq</v>
      </c>
      <c s="66">
        <f ca="1" t="array" ref="FB10:FB199">(EN10+7)*ROW(INDIRECT("A1:A190"))^0</f>
        <v>45285</v>
      </c>
      <c s="93" t="str">
        <f t="shared" si="37" ref="FC10:FD10">IF(ISBLANK(EO10),"",EO10)</f>
        <v>Competition Squat</v>
      </c>
      <c s="94">
        <f t="shared" si="37"/>
        <v>1</v>
      </c>
      <c s="95">
        <f>IF(OR(ISBLANK(EQ10),EQ10=""),"",EQ10)</f>
        <v>1</v>
      </c>
      <c s="98" t="s">
        <v>127</v>
      </c>
      <c s="97" t="str">
        <f t="array" ref="FG10">IFERROR(IF(FA10="ac"+ISNUMBER(SEARCH("'",FF10))+FE10="","",IF(ISNUMBER(SEARCH("lw",FF10)),ES10+SUBSTITUTE(FF10,"lw+",""),MROUND(_xlfn.SWITCH(FA10,"sq",FE$7,"bn",FF$7,"dl",FG$7,"")*IF(FF10&gt;10,FF10/100,VLOOKUP(FF10,_rpe,SUBSTITUTE(FE10,"+","")+1,0)),IF(_xlfn.SWITCH(FA10,"sq",FE$7,"bn",FF$7,"dl",FG$7,"")&lt;IF(_uom="lbs",175,80),1.25,IF(_uom="lbs",5,2.5))))),"")</f>
        <v/>
      </c>
      <c s="70" t="s">
        <v>242</v>
      </c>
      <c s="78"/>
      <c s="97"/>
      <c s="44" t="str">
        <f>IFERROR(__xludf.DUMMYFUNCTION("IF(FG10=MAX(FILTER(FG$10:FG$199,LOOKUP(ROW(FA$10:FA$199),FILTER(ROW(FA$10:FA$199),FA$10:FA$199&lt;&gt;FA$9:FA$198))=LOOKUP(ROW(FA10),FILTER(ROW(FA$10:FA$199),FA$10:FA$199&lt;&gt;FA$9:FA$198)))),FH10,)"),"")</f>
        <v/>
      </c>
      <c s="40"/>
      <c s="65"/>
      <c s="64" t="str">
        <f t="shared" si="38" ref="FN10:FN199">IF(ISBLANK(EZ10),"",EZ10)</f>
        <v>SQ 1: hypertrophy</v>
      </c>
      <c s="65" t="str">
        <f>IFERROR(__xludf.DUMMYFUNCTION("ARRAYFORMULA(IF(FQ10:FQ210="""","""", IF(ISNA(LOOKUP(ROW(FQ10:FQ210),FILTER(ROW(FQ10:FQ210),LEN(FQ10:FQ210)&gt;1),VLOOKUP(FILTER(FQ10:FQ210,LEN(FQ10:FQ210)&gt;1),{'Personal Info'!$A:$B;'Personal Info'!$C:$D;'Personal Info'!$E:$F},2,FALSE))), ""ac"" , LOOKUP(ROW"&amp;"(FQ10:FQ210),FILTER(ROW(FQ10:FQ210),LEN(FQ10:FQ210)&gt;1),VLOOKUP(FILTER(FQ10:FQ210,LEN(FQ10:FQ210)&gt;1),{'Personal Info'!$A:$B;'Personal Info'!$C:$D;'Personal Info'!$E:$F},2,FALSE)))))"),"sq")</f>
        <v>sq</v>
      </c>
      <c s="66">
        <f ca="1" t="array" ref="FP10:FP199">(FB10+7)*ROW(INDIRECT("A1:A190"))^0</f>
        <v>45292</v>
      </c>
      <c s="93" t="str">
        <f t="shared" si="39" ref="FQ10:FQ17">IF(ISBLANK(FC10),"",FC10)</f>
        <v>Competition Squat</v>
      </c>
      <c s="99" t="s">
        <v>128</v>
      </c>
      <c s="95">
        <f t="shared" si="40" ref="FS10:FS14">IF(OR(ISBLANK(FE10),FE10=""),"",FE10)</f>
        <v>1</v>
      </c>
      <c s="98" t="s">
        <v>129</v>
      </c>
      <c s="97" t="str">
        <f t="array" ref="FU10">IFERROR(IF(FO10="ac"+ISNUMBER(SEARCH("'",FT10))+FS10="","",IF(ISNUMBER(SEARCH("lw",FT10)),FG10+SUBSTITUTE(FT10,"lw+",""),MROUND(_xlfn.SWITCH(FO10,"sq",FS$7,"bn",FT$7,"dl",FU$7,"")*IF(FT10&gt;10,FT10/100,VLOOKUP(FT10,_rpe,SUBSTITUTE(FS10,"+","")+1,0)),IF(_xlfn.SWITCH(FO10,"sq",FS$7,"bn",FT$7,"dl",FU$7,"")&lt;IF(_uom="lbs",175,80),1.25,IF(_uom="lbs",5,2.5))))),"")</f>
        <v/>
      </c>
      <c s="70" t="s">
        <v>242</v>
      </c>
      <c s="78"/>
      <c s="97"/>
      <c s="44" t="str">
        <f>IFERROR(__xludf.DUMMYFUNCTION("IF(FU10=MAX(FILTER(FU$10:FU$199,LOOKUP(ROW(FO$10:FO$199),FILTER(ROW(FO$10:FO$199),FO$10:FO$199&lt;&gt;FO$9:FO$198))=LOOKUP(ROW(FO10),FILTER(ROW(FO$10:FO$199),FO$10:FO$199&lt;&gt;FO$9:FO$198)))),FV10,)"),"")</f>
        <v/>
      </c>
      <c s="40"/>
      <c s="65"/>
      <c s="64"/>
      <c s="65"/>
      <c s="66"/>
      <c s="74"/>
      <c s="100"/>
      <c s="101"/>
      <c s="102"/>
      <c s="78"/>
      <c s="70"/>
      <c s="78"/>
      <c s="78"/>
      <c s="70"/>
      <c s="65"/>
      <c s="65"/>
      <c s="64"/>
      <c s="65"/>
      <c s="66"/>
      <c s="74"/>
      <c s="100"/>
      <c s="101"/>
      <c s="102"/>
      <c s="78"/>
      <c s="70"/>
      <c s="78"/>
      <c s="78"/>
      <c s="70"/>
      <c s="65"/>
      <c s="65"/>
      <c s="64"/>
      <c s="65"/>
      <c s="66"/>
      <c s="74"/>
      <c s="100"/>
      <c s="101"/>
      <c s="102"/>
      <c s="78"/>
      <c s="70"/>
      <c s="78"/>
      <c s="78"/>
      <c s="70"/>
      <c s="65"/>
      <c s="65"/>
      <c s="64"/>
      <c s="65"/>
      <c s="66"/>
      <c s="74"/>
      <c s="100"/>
      <c s="101"/>
      <c s="102"/>
      <c s="78"/>
      <c s="70"/>
      <c s="78"/>
      <c s="78"/>
      <c s="70"/>
      <c s="65"/>
      <c s="65"/>
      <c s="64"/>
      <c s="65"/>
      <c s="66"/>
      <c s="74"/>
      <c s="100"/>
      <c s="101"/>
      <c s="102"/>
      <c s="78"/>
      <c s="70"/>
      <c s="78"/>
      <c s="78"/>
      <c s="70"/>
      <c s="65"/>
      <c s="65"/>
      <c s="64"/>
      <c s="65"/>
      <c s="66"/>
      <c s="64" t="str">
        <f t="shared" si="41" ref="IW10:IW88">IF(ISBLANK(#REF!),"",#REF!)</f>
        <v>#REF!</v>
      </c>
      <c s="65" t="str">
        <f>IFERROR(__xludf.DUMMYFUNCTION("ARRAYFORMULA(IF(#REF!="""","""", IF(ISNA(LOOKUP(ROW(#REF!),FILTER(ROW(#REF!),LEN(#REF!)&gt;1),VLOOKUP(FILTER(#REF!,LEN(#REF!)&gt;1),{'Personal Info'!$A:$B;'Personal Info'!$C:$D;'Personal Info'!$E:$F},2,FALSE))), ""ac"" , LOOKUP(ROW(#REF!),FILTER(ROW(#REF!),LEN("&amp;"#REF!)&gt;1),VLOOKUP(FILTER(#REF!,LEN(#REF!)&gt;1),{'Personal Info'!$A:$B;'Personal Info'!$C:$D;'Personal Info'!$E:$F},2,FALSE)))))"),"#REF!")</f>
        <v>#REF!</v>
      </c>
      <c s="66" t="str">
        <f ca="1" t="array" ref="IY10:IY199">(#REF!+7)*ROW(INDIRECT("A1:A190"))^0</f>
        <v>#REF!</v>
      </c>
    </row>
    <row r="11" spans="1:259" ht="15.75" outlineLevel="1">
      <c r="A11" s="65"/>
      <c s="64"/>
      <c s="65" t="str">
        <f>IFERROR(__xludf.DUMMYFUNCTION("""COMPUTED_VALUE"""),"sq")</f>
        <v>sq</v>
      </c>
      <c s="66">
        <f ca="1"/>
        <v>45208</v>
      </c>
      <c s="93" t="s">
        <v>130</v>
      </c>
      <c s="94">
        <v>3</v>
      </c>
      <c s="95">
        <v>7</v>
      </c>
      <c s="96">
        <f>IF(OR(gen="SELECT",gen="MALE"),6400%,6600%)</f>
        <v>64</v>
      </c>
      <c s="97">
        <f t="array" ref="I11">IFERROR(IF(C11="ac"+ISNUMBER(SEARCH("'",H11))+G11="","",MROUND(_xlfn.SWITCH(C11,"sq",'Personal Info'!$O$15,"bn",'Personal Info'!$S$15,"dl",'Personal Info'!$W$15,"")*IF(H11&gt;10,H11/100,VLOOKUP(H11,_rpe,SUBSTITUTE(G11,"+","")+1,0)),IF(_xlfn.SWITCH(C11:C210,"sq",'Personal Info'!$O$15,"bn",'Personal Info'!$S$15,"dl",'Personal Info'!$W$15,"")&lt;IF(_uom="lbs",175,80),1.25,IF(_uom="lbs",5,2.5)))),"")</f>
        <v>63.75</v>
      </c>
      <c s="70"/>
      <c s="65"/>
      <c s="97"/>
      <c s="44" t="str">
        <f>IFERROR(__xludf.DUMMYFUNCTION("IF(I11=MAX(FILTER(I$10:I$199,LOOKUP(ROW(C$10:C$199),FILTER(ROW(C$10:C$199),C$10:C$199&lt;&gt;C$9:C$198))=LOOKUP(ROW(C11),FILTER(ROW(C$10:C$199),C$10:C$199&lt;&gt;C$9:C$198)))),J11,)"),"")</f>
        <v/>
      </c>
      <c s="40"/>
      <c s="65"/>
      <c s="64" t="str">
        <f t="shared" si="11"/>
        <v/>
      </c>
      <c s="65" t="str">
        <f>IFERROR(__xludf.DUMMYFUNCTION("""COMPUTED_VALUE"""),"sq")</f>
        <v>sq</v>
      </c>
      <c s="66">
        <f ca="1"/>
        <v>45215</v>
      </c>
      <c s="93" t="str">
        <f t="shared" si="12"/>
        <v>-</v>
      </c>
      <c s="94">
        <v>4</v>
      </c>
      <c s="95">
        <f t="shared" si="13"/>
        <v>7</v>
      </c>
      <c s="98">
        <f>IF(OR(gen="SELECT",gen="MALE"),6800%,7000%)</f>
        <v>68</v>
      </c>
      <c s="97">
        <f t="array" ref="W11">IFERROR(IF(Q11="ac"+ISNUMBER(SEARCH("'",V11))+U11="","",IF(ISNUMBER(SEARCH("lw",V11)),I11+SUBSTITUTE(V11,"lw+",""),MROUND(_xlfn.SWITCH(Q11,"sq",U$7,"bn",V$7,"dl",W$7,"")*IF(V11&gt;10,V11/100,VLOOKUP(V11,_rpe,SUBSTITUTE(U11,"+","")+1,0)),IF(_xlfn.SWITCH(Q11,"sq",U$7,"bn",V$7,"dl",W$7,"")&lt;IF(_uom="lbs",175,80),1.25,IF(_uom="lbs",5,2.5))))),"")</f>
        <v>67.5</v>
      </c>
      <c s="70"/>
      <c s="65"/>
      <c s="97"/>
      <c s="44" t="str">
        <f>IFERROR(__xludf.DUMMYFUNCTION("IF(W11=MAX(FILTER(W$10:W$199,LOOKUP(ROW(Q$10:Q$199),FILTER(ROW(Q$10:Q$199),Q$10:Q$199&lt;&gt;Q$9:Q$198))=LOOKUP(ROW(Q11),FILTER(ROW(Q$10:Q$199),Q$10:Q$199&lt;&gt;Q$9:Q$198)))),X11,)"),"")</f>
        <v/>
      </c>
      <c s="40"/>
      <c s="65"/>
      <c s="64" t="str">
        <f t="shared" si="14"/>
        <v/>
      </c>
      <c s="65" t="str">
        <f>IFERROR(__xludf.DUMMYFUNCTION("""COMPUTED_VALUE"""),"sq")</f>
        <v>sq</v>
      </c>
      <c s="66">
        <f ca="1"/>
        <v>45222</v>
      </c>
      <c s="93" t="str">
        <f t="shared" si="42" ref="AG11:AH11">IF(ISBLANK(S11),"",S11)</f>
        <v>-</v>
      </c>
      <c s="94">
        <f t="shared" si="42"/>
        <v>4</v>
      </c>
      <c s="95">
        <f t="shared" si="16"/>
        <v>7</v>
      </c>
      <c s="98">
        <f>IF(OR(gen="SELECT",gen="MALE"),7100%,7300%)</f>
        <v>71</v>
      </c>
      <c s="97">
        <f t="array" ref="AK11">IFERROR(IF(AE11="ac"+ISNUMBER(SEARCH("'",AJ11))+AI11="","",IF(ISNUMBER(SEARCH("lw",AJ11)),W11+SUBSTITUTE(AJ11,"lw+",""),MROUND(_xlfn.SWITCH(AE11,"sq",AI$7,"bn",AJ$7,"dl",AK$7,"")*IF(AJ11&gt;10,AJ11/100,VLOOKUP(AJ11,_rpe,SUBSTITUTE(AI11,"+","")+1,0)),IF(_xlfn.SWITCH(AE11,"sq",AI$7,"bn",AJ$7,"dl",AK$7,"")&lt;IF(_uom="lbs",175,80),1.25,IF(_uom="lbs",5,2.5))))),"")</f>
        <v>71.25</v>
      </c>
      <c s="70"/>
      <c s="65"/>
      <c s="97"/>
      <c s="44" t="str">
        <f>IFERROR(__xludf.DUMMYFUNCTION("IF(AK11=MAX(FILTER(AK$10:AK$199,LOOKUP(ROW(AE$10:AE$199),FILTER(ROW(AE$10:AE$199),AE$10:AE$199&lt;&gt;AE$9:AE$198))=LOOKUP(ROW(AE11),FILTER(ROW(AE$10:AE$199),AE$10:AE$199&lt;&gt;AE$9:AE$198)))),AL11,)"),"")</f>
        <v/>
      </c>
      <c s="40"/>
      <c s="65"/>
      <c s="64" t="str">
        <f t="shared" si="17"/>
        <v/>
      </c>
      <c s="65" t="str">
        <f>IFERROR(__xludf.DUMMYFUNCTION("""COMPUTED_VALUE"""),"sq")</f>
        <v>sq</v>
      </c>
      <c s="66">
        <f ca="1"/>
        <v>45229</v>
      </c>
      <c s="93" t="str">
        <f t="shared" si="43" ref="AU11:AV11">IF(ISBLANK(AG11),"",AG11)</f>
        <v>-</v>
      </c>
      <c s="94">
        <f t="shared" si="43"/>
        <v>4</v>
      </c>
      <c s="103" t="s">
        <v>131</v>
      </c>
      <c s="98">
        <f>IF(OR(gen="SELECT",gen="MALE"),7400%,7600%)</f>
        <v>74</v>
      </c>
      <c s="97">
        <f t="array" ref="AY11">IFERROR(IF(AS11="ac"+ISNUMBER(SEARCH("'",AX11))+AW11="","",IF(ISNUMBER(SEARCH("lw",AX11)),AK11+SUBSTITUTE(AX11,"lw+",""),MROUND(_xlfn.SWITCH(AS11,"sq",AW$7,"bn",AX$7,"dl",AY$7,"")*IF(AX11&gt;10,AX11/100,VLOOKUP(AX11,_rpe,SUBSTITUTE(AW11,"+","")+1,0)),IF(_xlfn.SWITCH(AS11,"sq",AW$7,"bn",AX$7,"dl",AY$7,"")&lt;IF(_uom="lbs",175,80),1.25,IF(_uom="lbs",5,2.5))))),"")</f>
        <v>73.75</v>
      </c>
      <c s="70"/>
      <c s="65"/>
      <c s="97"/>
      <c s="44" t="str">
        <f>IFERROR(__xludf.DUMMYFUNCTION("IF(AY11=MAX(FILTER(AY$10:AY$199,LOOKUP(ROW(AS$10:AS$199),FILTER(ROW(AS$10:AS$199),AS$10:AS$199&lt;&gt;AS$9:AS$198))=LOOKUP(ROW(AS11),FILTER(ROW(AS$10:AS$199),AS$10:AS$199&lt;&gt;AS$9:AS$198)))),AZ11,)"),"")</f>
        <v/>
      </c>
      <c s="40"/>
      <c s="65"/>
      <c s="64" t="str">
        <f t="shared" si="19"/>
        <v/>
      </c>
      <c s="65" t="str">
        <f>IFERROR(__xludf.DUMMYFUNCTION("""COMPUTED_VALUE"""),"sq")</f>
        <v>sq</v>
      </c>
      <c s="66">
        <f ca="1"/>
        <v>45236</v>
      </c>
      <c s="93" t="str">
        <f t="shared" si="20"/>
        <v>-</v>
      </c>
      <c s="94">
        <f>IF(OR(gen="SELECT",gen="MALE"),3,4)</f>
        <v>3</v>
      </c>
      <c s="95">
        <v>5</v>
      </c>
      <c s="98">
        <f>IF(OR(gen="SELECT",gen="MALE"),7000%,7200%)</f>
        <v>70</v>
      </c>
      <c s="97">
        <f t="array" ref="BM11">IFERROR(IF(BG11="ac"+ISNUMBER(SEARCH("'",BL11))+BK11="","",IF(ISNUMBER(SEARCH("lw",BL11)),AY11+SUBSTITUTE(BL11,"lw+",""),MROUND(_xlfn.SWITCH(BG11,"sq",BK$7,"bn",BL$7,"dl",BM$7,"")*IF(BL11&gt;10,BL11/100,VLOOKUP(BL11,_rpe,SUBSTITUTE(BK11,"+","")+1,0)),IF(_xlfn.SWITCH(BG11,"sq",BK$7,"bn",BL$7,"dl",BM$7,"")&lt;IF(_uom="lbs",175,80),1.25,IF(_uom="lbs",5,2.5))))),"")</f>
        <v>70</v>
      </c>
      <c s="70"/>
      <c s="65"/>
      <c s="97"/>
      <c s="44" t="str">
        <f>IFERROR(__xludf.DUMMYFUNCTION("IF(BM11=MAX(FILTER(BM$10:BM$199,LOOKUP(ROW(BG$10:BG$199),FILTER(ROW(BG$10:BG$199),BG$10:BG$199&lt;&gt;BG$9:BG$198))=LOOKUP(ROW(BG11),FILTER(ROW(BG$10:BG$199),BG$10:BG$199&lt;&gt;BG$9:BG$198)))),BN11,)"),"")</f>
        <v/>
      </c>
      <c s="40"/>
      <c s="65"/>
      <c s="64" t="str">
        <f t="shared" si="21"/>
        <v/>
      </c>
      <c s="65" t="str">
        <f>IFERROR(__xludf.DUMMYFUNCTION("""COMPUTED_VALUE"""),"sq")</f>
        <v>sq</v>
      </c>
      <c s="66">
        <f ca="1"/>
        <v>45243</v>
      </c>
      <c s="93" t="str">
        <f t="shared" si="22"/>
        <v>-</v>
      </c>
      <c s="94">
        <f>IF(OR(gen="SELECT",gen="MALE"),4,5)</f>
        <v>4</v>
      </c>
      <c s="95">
        <f t="shared" si="23"/>
        <v>5</v>
      </c>
      <c s="98">
        <f>IF(OR(gen="SELECT",gen="MALE"),7400%,7500%)</f>
        <v>74</v>
      </c>
      <c s="97">
        <f t="array" ref="CA11">IFERROR(IF(BU11="ac"+ISNUMBER(SEARCH("'",BZ11))+BY11="","",IF(ISNUMBER(SEARCH("lw",BZ11)),BM11+SUBSTITUTE(BZ11,"lw+",""),MROUND(_xlfn.SWITCH(BU11,"sq",BY$7,"bn",BZ$7,"dl",CA$7,"")*IF(BZ11&gt;10,BZ11/100,VLOOKUP(BZ11,_rpe,SUBSTITUTE(BY11,"+","")+1,0)),IF(_xlfn.SWITCH(BU11,"sq",BY$7,"bn",BZ$7,"dl",CA$7,"")&lt;IF(_uom="lbs",175,80),1.25,IF(_uom="lbs",5,2.5))))),"")</f>
        <v>73.75</v>
      </c>
      <c s="70"/>
      <c s="65"/>
      <c s="97"/>
      <c s="44" t="str">
        <f>IFERROR(__xludf.DUMMYFUNCTION("IF(CA11=MAX(FILTER(CA$10:CA$199,LOOKUP(ROW(BU$10:BU$199),FILTER(ROW(BU$10:BU$199),BU$10:BU$199&lt;&gt;BU$9:BU$198))=LOOKUP(ROW(BU11),FILTER(ROW(BU$10:BU$199),BU$10:BU$199&lt;&gt;BU$9:BU$198)))),CB11,)"),"")</f>
        <v/>
      </c>
      <c s="40"/>
      <c s="65"/>
      <c s="64" t="str">
        <f t="shared" si="24"/>
        <v/>
      </c>
      <c s="65" t="str">
        <f>IFERROR(__xludf.DUMMYFUNCTION("""COMPUTED_VALUE"""),"sq")</f>
        <v>sq</v>
      </c>
      <c s="66">
        <f ca="1"/>
        <v>45250</v>
      </c>
      <c s="93" t="str">
        <f t="shared" si="44" ref="CK11:CK199">IF(ISBLANK(BW11),"",BW11)</f>
        <v>-</v>
      </c>
      <c s="94">
        <f>IF(OR(gen="SELECT",gen="MALE"),4,5)</f>
        <v>4</v>
      </c>
      <c s="95">
        <f t="shared" si="26"/>
        <v>5</v>
      </c>
      <c s="98">
        <f>IF(OR(gen="SELECT",gen="MALE"),7700%,7800%)</f>
        <v>77</v>
      </c>
      <c s="97">
        <f t="array" ref="CO11">IFERROR(IF(CI11="ac"+ISNUMBER(SEARCH("'",CN11))+CM11="","",IF(ISNUMBER(SEARCH("lw",CN11)),CA11+SUBSTITUTE(CN11,"lw+",""),MROUND(_xlfn.SWITCH(CI11,"sq",CM$7,"bn",CN$7,"dl",CO$7,"")*IF(CN11&gt;10,CN11/100,VLOOKUP(CN11,_rpe,SUBSTITUTE(CM11,"+","")+1,0)),IF(_xlfn.SWITCH(CI11,"sq",CM$7,"bn",CN$7,"dl",CO$7,"")&lt;IF(_uom="lbs",175,80),1.25,IF(_uom="lbs",5,2.5))))),"")</f>
        <v>77.5</v>
      </c>
      <c s="70"/>
      <c s="65"/>
      <c s="97"/>
      <c s="44" t="str">
        <f>IFERROR(__xludf.DUMMYFUNCTION("IF(CO11=MAX(FILTER(CO$10:CO$199,LOOKUP(ROW(CI$10:CI$199),FILTER(ROW(CI$10:CI$199),CI$10:CI$199&lt;&gt;CI$9:CI$198))=LOOKUP(ROW(CI11),FILTER(ROW(CI$10:CI$199),CI$10:CI$199&lt;&gt;CI$9:CI$198)))),CP11,)"),"")</f>
        <v/>
      </c>
      <c s="40"/>
      <c s="65"/>
      <c s="64" t="str">
        <f t="shared" si="27"/>
        <v/>
      </c>
      <c s="65" t="str">
        <f>IFERROR(__xludf.DUMMYFUNCTION("""COMPUTED_VALUE"""),"sq")</f>
        <v>sq</v>
      </c>
      <c s="66">
        <f ca="1"/>
        <v>45257</v>
      </c>
      <c s="93" t="str">
        <f t="shared" si="45" ref="CY11:CY199">IF(ISBLANK(CK11),"",CK11)</f>
        <v>-</v>
      </c>
      <c s="94">
        <f>IF(OR(gen="SELECT",gen="MALE"),4,"4-5 x")</f>
        <v>4</v>
      </c>
      <c s="95">
        <f t="shared" si="29"/>
        <v>5</v>
      </c>
      <c s="98">
        <f>IF(OR(gen="SELECT",gen="MALE"),8000%,8100%)</f>
        <v>80</v>
      </c>
      <c s="97">
        <f t="array" ref="DC11">IFERROR(IF(CW11="ac"+ISNUMBER(SEARCH("'",DB11))+DA11="","",IF(ISNUMBER(SEARCH("lw",DB11)),CO11+SUBSTITUTE(DB11,"lw+",""),MROUND(_xlfn.SWITCH(CW11,"sq",DA$7,"bn",DB$7,"dl",DC$7,"")*IF(DB11&gt;10,DB11/100,VLOOKUP(DB11,_rpe,SUBSTITUTE(DA11,"+","")+1,0)),IF(_xlfn.SWITCH(CW11,"sq",DA$7,"bn",DB$7,"dl",DC$7,"")&lt;IF(_uom="lbs",175,80),1.25,IF(_uom="lbs",5,2.5))))),"")</f>
        <v>80</v>
      </c>
      <c s="70"/>
      <c s="65"/>
      <c s="97"/>
      <c s="44" t="str">
        <f>IFERROR(__xludf.DUMMYFUNCTION("IF(DC11=MAX(FILTER(DC$10:DC$199,LOOKUP(ROW(CW$10:CW$199),FILTER(ROW(CW$10:CW$199),CW$10:CW$199&lt;&gt;CW$9:CW$198))=LOOKUP(ROW(CW11),FILTER(ROW(CW$10:CW$199),CW$10:CW$199&lt;&gt;CW$9:CW$198)))),DD11,)"),"")</f>
        <v/>
      </c>
      <c s="40"/>
      <c s="65"/>
      <c s="64" t="str">
        <f t="shared" si="30"/>
        <v/>
      </c>
      <c s="65" t="str">
        <f>IFERROR(__xludf.DUMMYFUNCTION("""COMPUTED_VALUE"""),"sq")</f>
        <v>sq</v>
      </c>
      <c s="66">
        <f ca="1"/>
        <v>45264</v>
      </c>
      <c s="93" t="str">
        <f t="shared" si="46" ref="DM11:DM199">IF(ISBLANK(CY11),"",CY11)</f>
        <v>-</v>
      </c>
      <c s="94">
        <v>3</v>
      </c>
      <c s="95">
        <v>4</v>
      </c>
      <c s="98">
        <f>IF(OR(gen="SELECT",gen="MALE"),7800%,7900%)</f>
        <v>78</v>
      </c>
      <c s="97">
        <f t="array" ref="DQ11">IFERROR(IF(DK11="ac"+ISNUMBER(SEARCH("'",DP11))+DO11="","",IF(ISNUMBER(SEARCH("lw",DP11)),DC11+SUBSTITUTE(DP11,"lw+",""),MROUND(_xlfn.SWITCH(DK11,"sq",DO$7,"bn",DP$7,"dl",DQ$7,"")*IF(DP11&gt;10,DP11/100,VLOOKUP(DP11,_rpe,SUBSTITUTE(DO11,"+","")+1,0)),IF(_xlfn.SWITCH(DK11,"sq",DO$7,"bn",DP$7,"dl",DQ$7,"")&lt;IF(_uom="lbs",175,80),1.25,IF(_uom="lbs",5,2.5))))),"")</f>
        <v>0</v>
      </c>
      <c s="70"/>
      <c s="65"/>
      <c s="97"/>
      <c s="44" t="str">
        <f>IFERROR(__xludf.DUMMYFUNCTION("IF(DQ11=MAX(FILTER(DQ$10:DQ$199,LOOKUP(ROW(DK$10:DK$199),FILTER(ROW(DK$10:DK$199),DK$10:DK$199&lt;&gt;DK$9:DK$198))=LOOKUP(ROW(DK11),FILTER(ROW(DK$10:DK$199),DK$10:DK$199&lt;&gt;DK$9:DK$198)))),DR11,)"),"")</f>
        <v/>
      </c>
      <c s="40"/>
      <c s="65"/>
      <c s="64" t="str">
        <f t="shared" si="32"/>
        <v/>
      </c>
      <c s="65" t="str">
        <f>IFERROR(__xludf.DUMMYFUNCTION("""COMPUTED_VALUE"""),"sq")</f>
        <v>sq</v>
      </c>
      <c s="66">
        <f ca="1"/>
        <v>45271</v>
      </c>
      <c s="93" t="str">
        <f t="shared" si="47" ref="EA11:EA199">IF(ISBLANK(DM11),"",DM11)</f>
        <v>-</v>
      </c>
      <c s="94">
        <f>IF(OR(gen="SELECT",gen="MALE"),3,4)</f>
        <v>3</v>
      </c>
      <c s="95">
        <v>6</v>
      </c>
      <c s="98">
        <f>IF(OR(gen="SELECT",gen="MALE"),7500%,7600%)</f>
        <v>75</v>
      </c>
      <c s="97">
        <f t="array" ref="EE11">IFERROR(IF(DY11="ac"+ISNUMBER(SEARCH("'",ED11))+EC11="","",IF(ISNUMBER(SEARCH("lw",ED11)),DQ11+SUBSTITUTE(ED11,"lw+",""),MROUND(_xlfn.SWITCH(DY11,"sq",EC$7,"bn",ED$7,"dl",EE$7,"")*IF(ED11&gt;10,ED11/100,VLOOKUP(ED11,_rpe,SUBSTITUTE(EC11,"+","")+1,0)),IF(_xlfn.SWITCH(DY11,"sq",EC$7,"bn",ED$7,"dl",EE$7,"")&lt;IF(_uom="lbs",175,80),1.25,IF(_uom="lbs",5,2.5))))),"")</f>
        <v>0</v>
      </c>
      <c s="70"/>
      <c s="65"/>
      <c s="97"/>
      <c s="44" t="str">
        <f>IFERROR(__xludf.DUMMYFUNCTION("IF(EE11=MAX(FILTER(EE$10:EE$199,LOOKUP(ROW(DY$10:DY$199),FILTER(ROW(DY$10:DY$199),DY$10:DY$199&lt;&gt;DY$9:DY$198))=LOOKUP(ROW(DY11),FILTER(ROW(DY$10:DY$199),DY$10:DY$199&lt;&gt;DY$9:DY$198)))),EF11,)"),"")</f>
        <v/>
      </c>
      <c s="40"/>
      <c s="65"/>
      <c s="64" t="str">
        <f t="shared" si="34"/>
        <v/>
      </c>
      <c s="65" t="str">
        <f>IFERROR(__xludf.DUMMYFUNCTION("""COMPUTED_VALUE"""),"sq")</f>
        <v>sq</v>
      </c>
      <c s="66">
        <f ca="1"/>
        <v>45278</v>
      </c>
      <c s="93" t="str">
        <f t="shared" si="48" ref="EO11:EO199">IF(ISBLANK(EA11),"",EA11)</f>
        <v>-</v>
      </c>
      <c s="94">
        <f>IF(OR(gen="SELECT",gen="MALE"),3,4)</f>
        <v>3</v>
      </c>
      <c s="95">
        <v>5</v>
      </c>
      <c s="98">
        <f>IF(OR(gen="SELECT",gen="MALE"),7700%,7800%)</f>
        <v>77</v>
      </c>
      <c s="97">
        <f t="array" ref="ES11">IFERROR(IF(EM11="ac"+ISNUMBER(SEARCH("'",ER11))+EQ11="","",IF(ISNUMBER(SEARCH("lw",ER11)),EE11+SUBSTITUTE(ER11,"lw+",""),MROUND(_xlfn.SWITCH(EM11,"sq",EQ$7,"bn",ER$7,"dl",ES$7,"")*IF(ER11&gt;10,ER11/100,VLOOKUP(ER11,_rpe,SUBSTITUTE(EQ11,"+","")+1,0)),IF(_xlfn.SWITCH(EM11,"sq",EQ$7,"bn",ER$7,"dl",ES$7,"")&lt;IF(_uom="lbs",175,80),1.25,IF(_uom="lbs",5,2.5))))),"")</f>
        <v>0</v>
      </c>
      <c s="70"/>
      <c s="65"/>
      <c s="97"/>
      <c s="44" t="str">
        <f>IFERROR(__xludf.DUMMYFUNCTION("IF(ES11=MAX(FILTER(ES$10:ES$199,LOOKUP(ROW(EM$10:EM$199),FILTER(ROW(EM$10:EM$199),EM$10:EM$199&lt;&gt;EM$9:EM$198))=LOOKUP(ROW(EM11),FILTER(ROW(EM$10:EM$199),EM$10:EM$199&lt;&gt;EM$9:EM$198)))),ET11,)"),"")</f>
        <v/>
      </c>
      <c s="40"/>
      <c s="65"/>
      <c s="64" t="str">
        <f t="shared" si="36"/>
        <v/>
      </c>
      <c s="65" t="str">
        <f>IFERROR(__xludf.DUMMYFUNCTION("""COMPUTED_VALUE"""),"sq")</f>
        <v>sq</v>
      </c>
      <c s="66">
        <f ca="1"/>
        <v>45285</v>
      </c>
      <c s="93" t="str">
        <f t="shared" si="49" ref="FC11:FC199">IF(ISBLANK(EO11),"",EO11)</f>
        <v>-</v>
      </c>
      <c s="94">
        <f>IF(OR(gen="SELECT",gen="MALE"),4,5)</f>
        <v>4</v>
      </c>
      <c s="95">
        <v>4</v>
      </c>
      <c s="98">
        <f>IF(OR(gen="SELECT",gen="MALE"),7900%,8000%)</f>
        <v>79</v>
      </c>
      <c s="97">
        <f t="array" ref="FG11">IFERROR(IF(FA11="ac"+ISNUMBER(SEARCH("'",FF11))+FE11="","",IF(ISNUMBER(SEARCH("lw",FF11)),ES11+SUBSTITUTE(FF11,"lw+",""),MROUND(_xlfn.SWITCH(FA11,"sq",FE$7,"bn",FF$7,"dl",FG$7,"")*IF(FF11&gt;10,FF11/100,VLOOKUP(FF11,_rpe,SUBSTITUTE(FE11,"+","")+1,0)),IF(_xlfn.SWITCH(FA11,"sq",FE$7,"bn",FF$7,"dl",FG$7,"")&lt;IF(_uom="lbs",175,80),1.25,IF(_uom="lbs",5,2.5))))),"")</f>
        <v>0</v>
      </c>
      <c s="70"/>
      <c s="65"/>
      <c s="97"/>
      <c s="44" t="str">
        <f>IFERROR(__xludf.DUMMYFUNCTION("IF(FG11=MAX(FILTER(FG$10:FG$199,LOOKUP(ROW(FA$10:FA$199),FILTER(ROW(FA$10:FA$199),FA$10:FA$199&lt;&gt;FA$9:FA$198))=LOOKUP(ROW(FA11),FILTER(ROW(FA$10:FA$199),FA$10:FA$199&lt;&gt;FA$9:FA$198)))),FH11,)"),"")</f>
        <v/>
      </c>
      <c s="40"/>
      <c s="65"/>
      <c s="64" t="str">
        <f t="shared" si="38"/>
        <v/>
      </c>
      <c s="65" t="str">
        <f>IFERROR(__xludf.DUMMYFUNCTION("""COMPUTED_VALUE"""),"sq")</f>
        <v>sq</v>
      </c>
      <c s="66">
        <f ca="1"/>
        <v>45292</v>
      </c>
      <c s="93" t="str">
        <f t="shared" si="39"/>
        <v>-</v>
      </c>
      <c s="94">
        <v>2</v>
      </c>
      <c s="95">
        <f t="shared" si="40"/>
        <v>4</v>
      </c>
      <c s="98">
        <f>IF(OR(gen="SELECT",gen="MALE"),7700%,7900%)</f>
        <v>77</v>
      </c>
      <c s="97">
        <f t="array" ref="FU11">IFERROR(IF(FO11="ac"+ISNUMBER(SEARCH("'",FT11))+FS11="","",IF(ISNUMBER(SEARCH("lw",FT11)),FG11+SUBSTITUTE(FT11,"lw+",""),MROUND(_xlfn.SWITCH(FO11,"sq",FS$7,"bn",FT$7,"dl",FU$7,"")*IF(FT11&gt;10,FT11/100,VLOOKUP(FT11,_rpe,SUBSTITUTE(FS11,"+","")+1,0)),IF(_xlfn.SWITCH(FO11,"sq",FS$7,"bn",FT$7,"dl",FU$7,"")&lt;IF(_uom="lbs",175,80),1.25,IF(_uom="lbs",5,2.5))))),"")</f>
        <v>0</v>
      </c>
      <c s="70"/>
      <c s="65"/>
      <c s="97"/>
      <c s="44" t="str">
        <f>IFERROR(__xludf.DUMMYFUNCTION("IF(FU11=MAX(FILTER(FU$10:FU$199,LOOKUP(ROW(FO$10:FO$199),FILTER(ROW(FO$10:FO$199),FO$10:FO$199&lt;&gt;FO$9:FO$198))=LOOKUP(ROW(FO11),FILTER(ROW(FO$10:FO$199),FO$10:FO$199&lt;&gt;FO$9:FO$198)))),FV11,)"),"")</f>
        <v/>
      </c>
      <c s="40"/>
      <c s="65"/>
      <c s="64"/>
      <c s="65"/>
      <c s="66"/>
      <c s="74"/>
      <c s="100"/>
      <c s="101"/>
      <c s="102"/>
      <c s="78"/>
      <c s="70"/>
      <c s="65"/>
      <c s="78"/>
      <c s="70"/>
      <c s="65"/>
      <c s="65"/>
      <c s="64"/>
      <c s="65"/>
      <c s="66"/>
      <c s="74"/>
      <c s="100"/>
      <c s="101"/>
      <c s="102"/>
      <c s="78"/>
      <c s="70"/>
      <c s="65"/>
      <c s="78"/>
      <c s="70"/>
      <c s="65"/>
      <c s="65"/>
      <c s="64"/>
      <c s="65"/>
      <c s="66"/>
      <c s="74"/>
      <c s="100"/>
      <c s="101"/>
      <c s="102"/>
      <c s="78"/>
      <c s="70"/>
      <c s="65"/>
      <c s="78"/>
      <c s="70"/>
      <c s="65"/>
      <c s="65"/>
      <c s="64"/>
      <c s="65"/>
      <c s="66"/>
      <c s="74"/>
      <c s="100"/>
      <c s="101"/>
      <c s="102"/>
      <c s="78"/>
      <c s="70"/>
      <c s="65"/>
      <c s="78"/>
      <c s="70"/>
      <c s="65"/>
      <c s="65"/>
      <c s="64"/>
      <c s="65"/>
      <c s="66"/>
      <c s="74"/>
      <c s="100"/>
      <c s="101"/>
      <c s="102"/>
      <c s="78"/>
      <c s="70"/>
      <c s="65"/>
      <c s="78"/>
      <c s="70"/>
      <c s="65"/>
      <c s="65"/>
      <c s="64"/>
      <c s="65"/>
      <c s="66"/>
      <c s="64" t="str">
        <f t="shared" si="41"/>
        <v>#REF!</v>
      </c>
      <c s="65"/>
      <c s="66" t="e">
        <f ca="1"/>
        <v>#REF!</v>
      </c>
    </row>
    <row r="12" spans="1:259" ht="15.75" hidden="1" outlineLevel="1">
      <c r="A12" s="65"/>
      <c s="64"/>
      <c s="65" t="str">
        <f>IFERROR(__xludf.DUMMYFUNCTION("""COMPUTED_VALUE"""),"")</f>
        <v/>
      </c>
      <c s="66">
        <f ca="1"/>
        <v>45208</v>
      </c>
      <c s="93"/>
      <c s="94"/>
      <c s="95"/>
      <c s="96"/>
      <c s="97" t="str">
        <f t="array" ref="I12">IFERROR(IF(C12="ac"+ISNUMBER(SEARCH("'",H12))+G12="","",MROUND(_xlfn.SWITCH(C12,"sq",'Personal Info'!$O$15,"bn",'Personal Info'!$S$15,"dl",'Personal Info'!$W$15,"")*IF(H12&gt;10,H12/100,VLOOKUP(H12,_rpe,SUBSTITUTE(G12,"+","")+1,0)),IF(_xlfn.SWITCH(C12:C210,"sq",'Personal Info'!$O$15,"bn",'Personal Info'!$S$15,"dl",'Personal Info'!$W$15,"")&lt;IF(_uom="lbs",175,80),1.25,IF(_uom="lbs",5,2.5)))),"")</f>
        <v/>
      </c>
      <c s="70"/>
      <c s="65"/>
      <c s="97"/>
      <c s="44" t="str">
        <f>IFERROR(__xludf.DUMMYFUNCTION("IF(I12=MAX(FILTER(I$10:I$199,LOOKUP(ROW(C$10:C$199),FILTER(ROW(C$10:C$199),C$10:C$199&lt;&gt;C$9:C$198))=LOOKUP(ROW(C12),FILTER(ROW(C$10:C$199),C$10:C$199&lt;&gt;C$9:C$198)))),J12,)"),"")</f>
        <v/>
      </c>
      <c s="40"/>
      <c s="104"/>
      <c s="64" t="str">
        <f t="shared" si="11"/>
        <v/>
      </c>
      <c s="65" t="str">
        <f>IFERROR(__xludf.DUMMYFUNCTION("""COMPUTED_VALUE"""),"")</f>
        <v/>
      </c>
      <c s="66">
        <f ca="1"/>
        <v>45215</v>
      </c>
      <c s="93" t="str">
        <f t="shared" si="12"/>
        <v/>
      </c>
      <c s="94" t="str">
        <f t="shared" si="50" ref="T12:T14">IF(ISBLANK(F12),"",F12)</f>
        <v/>
      </c>
      <c s="95" t="str">
        <f t="shared" si="13"/>
        <v/>
      </c>
      <c s="98" t="str">
        <f t="shared" si="51" ref="V12:V13">IF(ISBLANK(H12),"",H12)</f>
        <v/>
      </c>
      <c s="97" t="str">
        <f t="array" ref="W12">IFERROR(IF(Q12="ac"+ISNUMBER(SEARCH("'",V12))+U12="","",IF(ISNUMBER(SEARCH("lw",V12)),I12+SUBSTITUTE(V12,"lw+",""),MROUND(_xlfn.SWITCH(Q12,"sq",U$7,"bn",V$7,"dl",W$7,"")*IF(V12&gt;10,V12/100,VLOOKUP(V12,_rpe,SUBSTITUTE(U12,"+","")+1,0)),IF(_xlfn.SWITCH(Q12,"sq",U$7,"bn",V$7,"dl",W$7,"")&lt;IF(_uom="lbs",175,80),1.25,IF(_uom="lbs",5,2.5))))),"")</f>
        <v/>
      </c>
      <c s="70"/>
      <c s="65"/>
      <c s="97"/>
      <c s="44" t="str">
        <f>IFERROR(__xludf.DUMMYFUNCTION("IF(W12=MAX(FILTER(W$10:W$199,LOOKUP(ROW(Q$10:Q$199),FILTER(ROW(Q$10:Q$199),Q$10:Q$199&lt;&gt;Q$9:Q$198))=LOOKUP(ROW(Q12),FILTER(ROW(Q$10:Q$199),Q$10:Q$199&lt;&gt;Q$9:Q$198)))),X12,)"),"")</f>
        <v/>
      </c>
      <c s="40"/>
      <c s="104"/>
      <c s="64" t="str">
        <f t="shared" si="14"/>
        <v/>
      </c>
      <c s="65" t="str">
        <f>IFERROR(__xludf.DUMMYFUNCTION("""COMPUTED_VALUE"""),"")</f>
        <v/>
      </c>
      <c s="66">
        <f ca="1"/>
        <v>45222</v>
      </c>
      <c s="93" t="str">
        <f t="shared" si="52" ref="AG12:AH12">IF(ISBLANK(S12),"",S12)</f>
        <v/>
      </c>
      <c s="94" t="str">
        <f t="shared" si="52"/>
        <v/>
      </c>
      <c s="95" t="str">
        <f t="shared" si="16"/>
        <v/>
      </c>
      <c s="98" t="str">
        <f t="shared" si="53" ref="AJ12:AJ13">IF(ISBLANK(V12),"",V12)</f>
        <v/>
      </c>
      <c s="97" t="str">
        <f t="array" ref="AK12">IFERROR(IF(AE12="ac"+ISNUMBER(SEARCH("'",AJ12))+AI12="","",IF(ISNUMBER(SEARCH("lw",AJ12)),W12+SUBSTITUTE(AJ12,"lw+",""),MROUND(_xlfn.SWITCH(AE12,"sq",AI$7,"bn",AJ$7,"dl",AK$7,"")*IF(AJ12&gt;10,AJ12/100,VLOOKUP(AJ12,_rpe,SUBSTITUTE(AI12,"+","")+1,0)),IF(_xlfn.SWITCH(AE12,"sq",AI$7,"bn",AJ$7,"dl",AK$7,"")&lt;IF(_uom="lbs",175,80),1.25,IF(_uom="lbs",5,2.5))))),"")</f>
        <v/>
      </c>
      <c s="70"/>
      <c s="65"/>
      <c s="97"/>
      <c s="44" t="str">
        <f>IFERROR(__xludf.DUMMYFUNCTION("IF(AK12=MAX(FILTER(AK$10:AK$199,LOOKUP(ROW(AE$10:AE$199),FILTER(ROW(AE$10:AE$199),AE$10:AE$199&lt;&gt;AE$9:AE$198))=LOOKUP(ROW(AE12),FILTER(ROW(AE$10:AE$199),AE$10:AE$199&lt;&gt;AE$9:AE$198)))),AL12,)"),"")</f>
        <v/>
      </c>
      <c s="40"/>
      <c s="104"/>
      <c s="64" t="str">
        <f t="shared" si="17"/>
        <v/>
      </c>
      <c s="65" t="str">
        <f>IFERROR(__xludf.DUMMYFUNCTION("""COMPUTED_VALUE"""),"")</f>
        <v/>
      </c>
      <c s="66">
        <f ca="1"/>
        <v>45229</v>
      </c>
      <c s="93" t="str">
        <f t="shared" si="54" ref="AU12:AV12">IF(ISBLANK(AG12),"",AG12)</f>
        <v/>
      </c>
      <c s="94" t="str">
        <f t="shared" si="54"/>
        <v/>
      </c>
      <c s="95" t="str">
        <f t="shared" si="55" ref="AW12:AW14">IF(OR(ISBLANK(AI12),AI12=""),"",AI12)</f>
        <v/>
      </c>
      <c s="98" t="str">
        <f t="shared" si="56" ref="AX12:AX13">IF(ISBLANK(AJ12),"",AJ12)</f>
        <v/>
      </c>
      <c s="97" t="str">
        <f t="array" ref="AY12">IFERROR(IF(AS12="ac"+ISNUMBER(SEARCH("'",AX12))+AW12="","",IF(ISNUMBER(SEARCH("lw",AX12)),AK12+SUBSTITUTE(AX12,"lw+",""),MROUND(_xlfn.SWITCH(AS12,"sq",AW$7,"bn",AX$7,"dl",AY$7,"")*IF(AX12&gt;10,AX12/100,VLOOKUP(AX12,_rpe,SUBSTITUTE(AW12,"+","")+1,0)),IF(_xlfn.SWITCH(AS12,"sq",AW$7,"bn",AX$7,"dl",AY$7,"")&lt;IF(_uom="lbs",175,80),1.25,IF(_uom="lbs",5,2.5))))),"")</f>
        <v/>
      </c>
      <c s="70"/>
      <c s="65"/>
      <c s="97"/>
      <c s="44" t="str">
        <f>IFERROR(__xludf.DUMMYFUNCTION("IF(AY12=MAX(FILTER(AY$10:AY$199,LOOKUP(ROW(AS$10:AS$199),FILTER(ROW(AS$10:AS$199),AS$10:AS$199&lt;&gt;AS$9:AS$198))=LOOKUP(ROW(AS12),FILTER(ROW(AS$10:AS$199),AS$10:AS$199&lt;&gt;AS$9:AS$198)))),AZ12,)"),"")</f>
        <v/>
      </c>
      <c s="40"/>
      <c s="104"/>
      <c s="64" t="str">
        <f t="shared" si="19"/>
        <v/>
      </c>
      <c s="65" t="str">
        <f>IFERROR(__xludf.DUMMYFUNCTION("""COMPUTED_VALUE"""),"")</f>
        <v/>
      </c>
      <c s="66">
        <f ca="1"/>
        <v>45236</v>
      </c>
      <c s="93" t="str">
        <f t="shared" si="20"/>
        <v/>
      </c>
      <c s="94" t="str">
        <f t="shared" si="57" ref="BJ12:BJ14">IF(ISBLANK(AV12),"",AV12)</f>
        <v/>
      </c>
      <c s="95" t="str">
        <f t="shared" si="58" ref="BK12:BK14">IF(OR(ISBLANK(AW12),AW12=""),"",AW12)</f>
        <v/>
      </c>
      <c s="98" t="str">
        <f t="shared" si="59" ref="BL12:BL13">IF(ISBLANK(AX12),"",AX12)</f>
        <v/>
      </c>
      <c s="97" t="str">
        <f t="array" ref="BM12">IFERROR(IF(BG12="ac"+ISNUMBER(SEARCH("'",BL12))+BK12="","",IF(ISNUMBER(SEARCH("lw",BL12)),AY12+SUBSTITUTE(BL12,"lw+",""),MROUND(_xlfn.SWITCH(BG12,"sq",BK$7,"bn",BL$7,"dl",BM$7,"")*IF(BL12&gt;10,BL12/100,VLOOKUP(BL12,_rpe,SUBSTITUTE(BK12,"+","")+1,0)),IF(_xlfn.SWITCH(BG12,"sq",BK$7,"bn",BL$7,"dl",BM$7,"")&lt;IF(_uom="lbs",175,80),1.25,IF(_uom="lbs",5,2.5))))),"")</f>
        <v/>
      </c>
      <c s="70"/>
      <c s="65"/>
      <c s="97"/>
      <c s="44" t="str">
        <f>IFERROR(__xludf.DUMMYFUNCTION("IF(BM12=MAX(FILTER(BM$10:BM$199,LOOKUP(ROW(BG$10:BG$199),FILTER(ROW(BG$10:BG$199),BG$10:BG$199&lt;&gt;BG$9:BG$198))=LOOKUP(ROW(BG12),FILTER(ROW(BG$10:BG$199),BG$10:BG$199&lt;&gt;BG$9:BG$198)))),BN12,)"),"")</f>
        <v/>
      </c>
      <c s="40"/>
      <c s="104"/>
      <c s="64" t="str">
        <f t="shared" si="21"/>
        <v/>
      </c>
      <c s="65" t="str">
        <f>IFERROR(__xludf.DUMMYFUNCTION("""COMPUTED_VALUE"""),"")</f>
        <v/>
      </c>
      <c s="66">
        <f ca="1"/>
        <v>45243</v>
      </c>
      <c s="93" t="str">
        <f t="shared" si="22"/>
        <v/>
      </c>
      <c s="94" t="str">
        <f t="shared" si="60" ref="BX12:BX14">IF(ISBLANK(BJ12),"",BJ12)</f>
        <v/>
      </c>
      <c s="95" t="str">
        <f t="shared" si="23"/>
        <v/>
      </c>
      <c s="98" t="str">
        <f t="shared" si="61" ref="BZ12:BZ13">IF(ISBLANK(BL12),"",BL12)</f>
        <v/>
      </c>
      <c s="97" t="str">
        <f t="array" ref="CA12">IFERROR(IF(BU12="ac"+ISNUMBER(SEARCH("'",BZ12))+BY12="","",IF(ISNUMBER(SEARCH("lw",BZ12)),BM12+SUBSTITUTE(BZ12,"lw+",""),MROUND(_xlfn.SWITCH(BU12,"sq",BY$7,"bn",BZ$7,"dl",CA$7,"")*IF(BZ12&gt;10,BZ12/100,VLOOKUP(BZ12,_rpe,SUBSTITUTE(BY12,"+","")+1,0)),IF(_xlfn.SWITCH(BU12,"sq",BY$7,"bn",BZ$7,"dl",CA$7,"")&lt;IF(_uom="lbs",175,80),1.25,IF(_uom="lbs",5,2.5))))),"")</f>
        <v/>
      </c>
      <c s="70"/>
      <c s="65"/>
      <c s="97"/>
      <c s="44" t="str">
        <f>IFERROR(__xludf.DUMMYFUNCTION("IF(CA12=MAX(FILTER(CA$10:CA$199,LOOKUP(ROW(BU$10:BU$199),FILTER(ROW(BU$10:BU$199),BU$10:BU$199&lt;&gt;BU$9:BU$198))=LOOKUP(ROW(BU12),FILTER(ROW(BU$10:BU$199),BU$10:BU$199&lt;&gt;BU$9:BU$198)))),CB12,)"),"")</f>
        <v/>
      </c>
      <c s="40"/>
      <c s="104"/>
      <c s="64" t="str">
        <f t="shared" si="24"/>
        <v/>
      </c>
      <c s="65" t="str">
        <f>IFERROR(__xludf.DUMMYFUNCTION("""COMPUTED_VALUE"""),"")</f>
        <v/>
      </c>
      <c s="66">
        <f ca="1"/>
        <v>45250</v>
      </c>
      <c s="93" t="str">
        <f t="shared" si="44"/>
        <v/>
      </c>
      <c s="94" t="str">
        <f t="shared" si="62" ref="CL12:CL36">IF(ISBLANK(BX12),"",BX12)</f>
        <v/>
      </c>
      <c s="95" t="str">
        <f t="shared" si="26"/>
        <v/>
      </c>
      <c s="98" t="str">
        <f t="shared" si="63" ref="CN12:CN13">IF(ISBLANK(BZ12),"",BZ12)</f>
        <v/>
      </c>
      <c s="97" t="str">
        <f t="array" ref="CO12">IFERROR(IF(CI12="ac"+ISNUMBER(SEARCH("'",CN12))+CM12="","",IF(ISNUMBER(SEARCH("lw",CN12)),CA12+SUBSTITUTE(CN12,"lw+",""),MROUND(_xlfn.SWITCH(CI12,"sq",CM$7,"bn",CN$7,"dl",CO$7,"")*IF(CN12&gt;10,CN12/100,VLOOKUP(CN12,_rpe,SUBSTITUTE(CM12,"+","")+1,0)),IF(_xlfn.SWITCH(CI12,"sq",CM$7,"bn",CN$7,"dl",CO$7,"")&lt;IF(_uom="lbs",175,80),1.25,IF(_uom="lbs",5,2.5))))),"")</f>
        <v/>
      </c>
      <c s="70"/>
      <c s="65"/>
      <c s="97"/>
      <c s="44" t="str">
        <f>IFERROR(__xludf.DUMMYFUNCTION("IF(CO12=MAX(FILTER(CO$10:CO$199,LOOKUP(ROW(CI$10:CI$199),FILTER(ROW(CI$10:CI$199),CI$10:CI$199&lt;&gt;CI$9:CI$198))=LOOKUP(ROW(CI12),FILTER(ROW(CI$10:CI$199),CI$10:CI$199&lt;&gt;CI$9:CI$198)))),CP12,)"),"")</f>
        <v/>
      </c>
      <c s="40"/>
      <c s="104"/>
      <c s="64" t="str">
        <f t="shared" si="27"/>
        <v/>
      </c>
      <c s="65" t="str">
        <f>IFERROR(__xludf.DUMMYFUNCTION("""COMPUTED_VALUE"""),"")</f>
        <v/>
      </c>
      <c s="66">
        <f ca="1"/>
        <v>45257</v>
      </c>
      <c s="93" t="str">
        <f t="shared" si="45"/>
        <v/>
      </c>
      <c s="94" t="str">
        <f t="shared" si="64" ref="CZ12:CZ31">IF(ISBLANK(CL12),"",CL12)</f>
        <v/>
      </c>
      <c s="95" t="str">
        <f t="shared" si="29"/>
        <v/>
      </c>
      <c s="98" t="str">
        <f t="shared" si="65" ref="DB12:DB13">IF(ISBLANK(CN12),"",CN12)</f>
        <v/>
      </c>
      <c s="97" t="str">
        <f t="array" ref="DC12">IFERROR(IF(CW12="ac"+ISNUMBER(SEARCH("'",DB12))+DA12="","",IF(ISNUMBER(SEARCH("lw",DB12)),CO12+SUBSTITUTE(DB12,"lw+",""),MROUND(_xlfn.SWITCH(CW12,"sq",DA$7,"bn",DB$7,"dl",DC$7,"")*IF(DB12&gt;10,DB12/100,VLOOKUP(DB12,_rpe,SUBSTITUTE(DA12,"+","")+1,0)),IF(_xlfn.SWITCH(CW12,"sq",DA$7,"bn",DB$7,"dl",DC$7,"")&lt;IF(_uom="lbs",175,80),1.25,IF(_uom="lbs",5,2.5))))),"")</f>
        <v/>
      </c>
      <c s="70"/>
      <c s="65"/>
      <c s="97"/>
      <c s="44" t="str">
        <f>IFERROR(__xludf.DUMMYFUNCTION("IF(DC12=MAX(FILTER(DC$10:DC$199,LOOKUP(ROW(CW$10:CW$199),FILTER(ROW(CW$10:CW$199),CW$10:CW$199&lt;&gt;CW$9:CW$198))=LOOKUP(ROW(CW12),FILTER(ROW(CW$10:CW$199),CW$10:CW$199&lt;&gt;CW$9:CW$198)))),DD12,)"),"")</f>
        <v/>
      </c>
      <c s="40"/>
      <c s="104"/>
      <c s="64" t="str">
        <f t="shared" si="30"/>
        <v/>
      </c>
      <c s="65" t="str">
        <f>IFERROR(__xludf.DUMMYFUNCTION("""COMPUTED_VALUE"""),"")</f>
        <v/>
      </c>
      <c s="66">
        <f ca="1"/>
        <v>45264</v>
      </c>
      <c s="93" t="str">
        <f t="shared" si="46"/>
        <v/>
      </c>
      <c s="94" t="str">
        <f t="shared" si="66" ref="DN12:DN14">IF(ISBLANK(CZ12),"",CZ12)</f>
        <v/>
      </c>
      <c s="95" t="str">
        <f t="shared" si="67" ref="DO12:DO14">IF(OR(ISBLANK(DA12),DA12=""),"",DA12)</f>
        <v/>
      </c>
      <c s="98" t="str">
        <f t="shared" si="68" ref="DP12:DP13">IF(ISBLANK(DB12),"",DB12)</f>
        <v/>
      </c>
      <c s="97" t="str">
        <f t="array" ref="DQ12">IFERROR(IF(DK12="ac"+ISNUMBER(SEARCH("'",DP12))+DO12="","",IF(ISNUMBER(SEARCH("lw",DP12)),DC12+SUBSTITUTE(DP12,"lw+",""),MROUND(_xlfn.SWITCH(DK12,"sq",DO$7,"bn",DP$7,"dl",DQ$7,"")*IF(DP12&gt;10,DP12/100,VLOOKUP(DP12,_rpe,SUBSTITUTE(DO12,"+","")+1,0)),IF(_xlfn.SWITCH(DK12,"sq",DO$7,"bn",DP$7,"dl",DQ$7,"")&lt;IF(_uom="lbs",175,80),1.25,IF(_uom="lbs",5,2.5))))),"")</f>
        <v/>
      </c>
      <c s="70"/>
      <c s="65"/>
      <c s="97"/>
      <c s="44" t="str">
        <f>IFERROR(__xludf.DUMMYFUNCTION("IF(DQ12=MAX(FILTER(DQ$10:DQ$199,LOOKUP(ROW(DK$10:DK$199),FILTER(ROW(DK$10:DK$199),DK$10:DK$199&lt;&gt;DK$9:DK$198))=LOOKUP(ROW(DK12),FILTER(ROW(DK$10:DK$199),DK$10:DK$199&lt;&gt;DK$9:DK$198)))),DR12,)"),"")</f>
        <v/>
      </c>
      <c s="40"/>
      <c s="104"/>
      <c s="64" t="str">
        <f t="shared" si="32"/>
        <v/>
      </c>
      <c s="65" t="str">
        <f>IFERROR(__xludf.DUMMYFUNCTION("""COMPUTED_VALUE"""),"")</f>
        <v/>
      </c>
      <c s="66">
        <f ca="1"/>
        <v>45271</v>
      </c>
      <c s="93" t="str">
        <f t="shared" si="47"/>
        <v/>
      </c>
      <c s="94" t="str">
        <f t="shared" si="69" ref="EB12:EB13">IF(ISBLANK(DN12),"",DN12)</f>
        <v/>
      </c>
      <c s="95" t="str">
        <f t="shared" si="70" ref="EC12:EC13">IF(OR(ISBLANK(DO12),DO12=""),"",DO12)</f>
        <v/>
      </c>
      <c s="98" t="str">
        <f t="shared" si="71" ref="ED12:ED13">IF(ISBLANK(DP12),"",DP12)</f>
        <v/>
      </c>
      <c s="97" t="str">
        <f t="array" ref="EE12">IFERROR(IF(DY12="ac"+ISNUMBER(SEARCH("'",ED12))+EC12="","",IF(ISNUMBER(SEARCH("lw",ED12)),DQ12+SUBSTITUTE(ED12,"lw+",""),MROUND(_xlfn.SWITCH(DY12,"sq",EC$7,"bn",ED$7,"dl",EE$7,"")*IF(ED12&gt;10,ED12/100,VLOOKUP(ED12,_rpe,SUBSTITUTE(EC12,"+","")+1,0)),IF(_xlfn.SWITCH(DY12,"sq",EC$7,"bn",ED$7,"dl",EE$7,"")&lt;IF(_uom="lbs",175,80),1.25,IF(_uom="lbs",5,2.5))))),"")</f>
        <v/>
      </c>
      <c s="70"/>
      <c s="65"/>
      <c s="97"/>
      <c s="44" t="str">
        <f>IFERROR(__xludf.DUMMYFUNCTION("IF(EE12=MAX(FILTER(EE$10:EE$199,LOOKUP(ROW(DY$10:DY$199),FILTER(ROW(DY$10:DY$199),DY$10:DY$199&lt;&gt;DY$9:DY$198))=LOOKUP(ROW(DY12),FILTER(ROW(DY$10:DY$199),DY$10:DY$199&lt;&gt;DY$9:DY$198)))),EF12,)"),"")</f>
        <v/>
      </c>
      <c s="40"/>
      <c s="104"/>
      <c s="64" t="str">
        <f t="shared" si="34"/>
        <v/>
      </c>
      <c s="65" t="str">
        <f>IFERROR(__xludf.DUMMYFUNCTION("""COMPUTED_VALUE"""),"")</f>
        <v/>
      </c>
      <c s="66">
        <f ca="1"/>
        <v>45278</v>
      </c>
      <c s="93" t="str">
        <f t="shared" si="48"/>
        <v/>
      </c>
      <c s="94" t="str">
        <f t="shared" si="72" ref="EP12:EP14">IF(ISBLANK(EB12),"",EB12)</f>
        <v/>
      </c>
      <c s="95" t="str">
        <f t="shared" si="73" ref="EQ12:EQ13">IF(OR(ISBLANK(EC12),EC12=""),"",EC12)</f>
        <v/>
      </c>
      <c s="98" t="str">
        <f t="shared" si="74" ref="ER12:ER13">IF(ISBLANK(ED12),"",ED12)</f>
        <v/>
      </c>
      <c s="97" t="str">
        <f t="array" ref="ES12">IFERROR(IF(EM12="ac"+ISNUMBER(SEARCH("'",ER12))+EQ12="","",IF(ISNUMBER(SEARCH("lw",ER12)),EE12+SUBSTITUTE(ER12,"lw+",""),MROUND(_xlfn.SWITCH(EM12,"sq",EQ$7,"bn",ER$7,"dl",ES$7,"")*IF(ER12&gt;10,ER12/100,VLOOKUP(ER12,_rpe,SUBSTITUTE(EQ12,"+","")+1,0)),IF(_xlfn.SWITCH(EM12,"sq",EQ$7,"bn",ER$7,"dl",ES$7,"")&lt;IF(_uom="lbs",175,80),1.25,IF(_uom="lbs",5,2.5))))),"")</f>
        <v/>
      </c>
      <c s="70"/>
      <c s="65"/>
      <c s="97"/>
      <c s="44" t="str">
        <f>IFERROR(__xludf.DUMMYFUNCTION("IF(ES12=MAX(FILTER(ES$10:ES$199,LOOKUP(ROW(EM$10:EM$199),FILTER(ROW(EM$10:EM$199),EM$10:EM$199&lt;&gt;EM$9:EM$198))=LOOKUP(ROW(EM12),FILTER(ROW(EM$10:EM$199),EM$10:EM$199&lt;&gt;EM$9:EM$198)))),ET12,)"),"")</f>
        <v/>
      </c>
      <c s="40"/>
      <c s="104"/>
      <c s="64" t="str">
        <f t="shared" si="36"/>
        <v/>
      </c>
      <c s="65" t="str">
        <f>IFERROR(__xludf.DUMMYFUNCTION("""COMPUTED_VALUE"""),"")</f>
        <v/>
      </c>
      <c s="66">
        <f ca="1"/>
        <v>45285</v>
      </c>
      <c s="93" t="str">
        <f t="shared" si="49"/>
        <v/>
      </c>
      <c s="94" t="str">
        <f t="shared" si="75" ref="FD12:FD14">IF(ISBLANK(EP12),"",EP12)</f>
        <v/>
      </c>
      <c s="95" t="str">
        <f t="shared" si="76" ref="FE12:FE14">IF(OR(ISBLANK(EQ12),EQ12=""),"",EQ12)</f>
        <v/>
      </c>
      <c s="98" t="str">
        <f t="shared" si="77" ref="FF12:FF13">IF(ISBLANK(ER12),"",ER12)</f>
        <v/>
      </c>
      <c s="97" t="str">
        <f t="array" ref="FG12">IFERROR(IF(FA12="ac"+ISNUMBER(SEARCH("'",FF12))+FE12="","",IF(ISNUMBER(SEARCH("lw",FF12)),ES12+SUBSTITUTE(FF12,"lw+",""),MROUND(_xlfn.SWITCH(FA12,"sq",FE$7,"bn",FF$7,"dl",FG$7,"")*IF(FF12&gt;10,FF12/100,VLOOKUP(FF12,_rpe,SUBSTITUTE(FE12,"+","")+1,0)),IF(_xlfn.SWITCH(FA12,"sq",FE$7,"bn",FF$7,"dl",FG$7,"")&lt;IF(_uom="lbs",175,80),1.25,IF(_uom="lbs",5,2.5))))),"")</f>
        <v/>
      </c>
      <c s="70"/>
      <c s="65"/>
      <c s="97"/>
      <c s="44" t="str">
        <f>IFERROR(__xludf.DUMMYFUNCTION("IF(FG12=MAX(FILTER(FG$10:FG$199,LOOKUP(ROW(FA$10:FA$199),FILTER(ROW(FA$10:FA$199),FA$10:FA$199&lt;&gt;FA$9:FA$198))=LOOKUP(ROW(FA12),FILTER(ROW(FA$10:FA$199),FA$10:FA$199&lt;&gt;FA$9:FA$198)))),FH12,)"),"")</f>
        <v/>
      </c>
      <c s="40"/>
      <c s="104"/>
      <c s="64" t="str">
        <f t="shared" si="38"/>
        <v/>
      </c>
      <c s="65" t="str">
        <f>IFERROR(__xludf.DUMMYFUNCTION("""COMPUTED_VALUE"""),"")</f>
        <v/>
      </c>
      <c s="66">
        <f ca="1"/>
        <v>45292</v>
      </c>
      <c s="93" t="str">
        <f t="shared" si="39"/>
        <v/>
      </c>
      <c s="94" t="str">
        <f t="shared" si="78" ref="FR12:FR13">IF(ISBLANK(FD12),"",FD12)</f>
        <v/>
      </c>
      <c s="95" t="str">
        <f t="shared" si="40"/>
        <v/>
      </c>
      <c s="98" t="str">
        <f t="shared" si="79" ref="FT12:FT13">IF(ISBLANK(FF12),"",FF12)</f>
        <v/>
      </c>
      <c s="97" t="str">
        <f t="array" ref="FU12">IFERROR(IF(FO12="ac"+ISNUMBER(SEARCH("'",FT12))+FS12="","",IF(ISNUMBER(SEARCH("lw",FT12)),FG12+SUBSTITUTE(FT12,"lw+",""),MROUND(_xlfn.SWITCH(FO12,"sq",FS$7,"bn",FT$7,"dl",FU$7,"")*IF(FT12&gt;10,FT12/100,VLOOKUP(FT12,_rpe,SUBSTITUTE(FS12,"+","")+1,0)),IF(_xlfn.SWITCH(FO12,"sq",FS$7,"bn",FT$7,"dl",FU$7,"")&lt;IF(_uom="lbs",175,80),1.25,IF(_uom="lbs",5,2.5))))),"")</f>
        <v/>
      </c>
      <c s="70"/>
      <c s="65"/>
      <c s="97"/>
      <c s="44" t="str">
        <f>IFERROR(__xludf.DUMMYFUNCTION("IF(FU12=MAX(FILTER(FU$10:FU$199,LOOKUP(ROW(FO$10:FO$199),FILTER(ROW(FO$10:FO$199),FO$10:FO$199&lt;&gt;FO$9:FO$198))=LOOKUP(ROW(FO12),FILTER(ROW(FO$10:FO$199),FO$10:FO$199&lt;&gt;FO$9:FO$198)))),FV12,)"),"")</f>
        <v/>
      </c>
      <c s="40"/>
      <c s="104"/>
      <c s="64"/>
      <c s="65"/>
      <c s="66"/>
      <c s="74"/>
      <c s="100"/>
      <c s="101"/>
      <c s="102"/>
      <c s="78"/>
      <c s="70"/>
      <c s="65"/>
      <c s="78"/>
      <c s="70"/>
      <c s="65"/>
      <c s="104"/>
      <c s="64"/>
      <c s="65"/>
      <c s="66"/>
      <c s="74"/>
      <c s="100"/>
      <c s="101"/>
      <c s="102"/>
      <c s="78"/>
      <c s="70"/>
      <c s="65"/>
      <c s="78"/>
      <c s="70"/>
      <c s="65"/>
      <c s="104"/>
      <c s="64"/>
      <c s="65"/>
      <c s="66"/>
      <c s="74"/>
      <c s="100"/>
      <c s="101"/>
      <c s="102"/>
      <c s="78"/>
      <c s="70"/>
      <c s="65"/>
      <c s="78"/>
      <c s="70"/>
      <c s="65"/>
      <c s="104"/>
      <c s="64"/>
      <c s="65"/>
      <c s="66"/>
      <c s="74"/>
      <c s="100"/>
      <c s="101"/>
      <c s="102"/>
      <c s="78"/>
      <c s="70"/>
      <c s="65"/>
      <c s="78"/>
      <c s="70"/>
      <c s="65"/>
      <c s="104"/>
      <c s="64"/>
      <c s="65"/>
      <c s="66"/>
      <c s="74"/>
      <c s="100"/>
      <c s="101"/>
      <c s="102"/>
      <c s="78"/>
      <c s="70"/>
      <c s="65"/>
      <c s="78"/>
      <c s="70"/>
      <c s="65"/>
      <c s="104"/>
      <c s="64"/>
      <c s="65"/>
      <c s="66"/>
      <c s="64" t="str">
        <f t="shared" si="41"/>
        <v>#REF!</v>
      </c>
      <c s="65"/>
      <c s="66" t="e">
        <f ca="1"/>
        <v>#REF!</v>
      </c>
    </row>
    <row r="13" spans="1:259" ht="15.75" hidden="1" outlineLevel="1">
      <c r="A13" s="65"/>
      <c s="64"/>
      <c s="65" t="str">
        <f>IFERROR(__xludf.DUMMYFUNCTION("""COMPUTED_VALUE"""),"")</f>
        <v/>
      </c>
      <c s="66">
        <f ca="1"/>
        <v>45208</v>
      </c>
      <c s="93"/>
      <c s="94"/>
      <c s="95"/>
      <c s="96"/>
      <c s="97" t="str">
        <f t="array" ref="I13">IFERROR(IF(C13="ac"+ISNUMBER(SEARCH("'",H13))+G13="","",MROUND(_xlfn.SWITCH(C13,"sq",'Personal Info'!$O$15,"bn",'Personal Info'!$S$15,"dl",'Personal Info'!$W$15,"")*IF(H13&gt;10,H13/100,VLOOKUP(H13,_rpe,SUBSTITUTE(G13,"+","")+1,0)),IF(_xlfn.SWITCH(C13:C210,"sq",'Personal Info'!$O$15,"bn",'Personal Info'!$S$15,"dl",'Personal Info'!$W$15,"")&lt;IF(_uom="lbs",175,80),1.25,IF(_uom="lbs",5,2.5)))),"")</f>
        <v/>
      </c>
      <c s="70"/>
      <c s="65"/>
      <c s="97"/>
      <c s="44" t="str">
        <f>IFERROR(__xludf.DUMMYFUNCTION("IF(I13=MAX(FILTER(I$10:I$199,LOOKUP(ROW(C$10:C$199),FILTER(ROW(C$10:C$199),C$10:C$199&lt;&gt;C$9:C$198))=LOOKUP(ROW(C13),FILTER(ROW(C$10:C$199),C$10:C$199&lt;&gt;C$9:C$198)))),J13,)"),"")</f>
        <v/>
      </c>
      <c s="42"/>
      <c s="65"/>
      <c s="64" t="str">
        <f t="shared" si="11"/>
        <v/>
      </c>
      <c s="65" t="str">
        <f>IFERROR(__xludf.DUMMYFUNCTION("""COMPUTED_VALUE"""),"")</f>
        <v/>
      </c>
      <c s="66">
        <f ca="1"/>
        <v>45215</v>
      </c>
      <c s="93" t="str">
        <f t="shared" si="12"/>
        <v/>
      </c>
      <c s="94" t="str">
        <f t="shared" si="50"/>
        <v/>
      </c>
      <c s="95" t="str">
        <f t="shared" si="13"/>
        <v/>
      </c>
      <c s="98" t="str">
        <f t="shared" si="51"/>
        <v/>
      </c>
      <c s="97" t="str">
        <f t="array" ref="W13">IFERROR(IF(Q13="ac"+ISNUMBER(SEARCH("'",V13))+U13="","",IF(ISNUMBER(SEARCH("lw",V13)),I13+SUBSTITUTE(V13,"lw+",""),MROUND(_xlfn.SWITCH(Q13,"sq",U$7,"bn",V$7,"dl",W$7,"")*IF(V13&gt;10,V13/100,VLOOKUP(V13,_rpe,SUBSTITUTE(U13,"+","")+1,0)),IF(_xlfn.SWITCH(Q13,"sq",U$7,"bn",V$7,"dl",W$7,"")&lt;IF(_uom="lbs",175,80),1.25,IF(_uom="lbs",5,2.5))))),"")</f>
        <v/>
      </c>
      <c s="70"/>
      <c s="65"/>
      <c s="97"/>
      <c s="44" t="str">
        <f>IFERROR(__xludf.DUMMYFUNCTION("IF(W13=MAX(FILTER(W$10:W$199,LOOKUP(ROW(Q$10:Q$199),FILTER(ROW(Q$10:Q$199),Q$10:Q$199&lt;&gt;Q$9:Q$198))=LOOKUP(ROW(Q13),FILTER(ROW(Q$10:Q$199),Q$10:Q$199&lt;&gt;Q$9:Q$198)))),X13,)"),"")</f>
        <v/>
      </c>
      <c s="42"/>
      <c s="65"/>
      <c s="64" t="str">
        <f t="shared" si="14"/>
        <v/>
      </c>
      <c s="65" t="str">
        <f>IFERROR(__xludf.DUMMYFUNCTION("""COMPUTED_VALUE"""),"")</f>
        <v/>
      </c>
      <c s="66">
        <f ca="1"/>
        <v>45222</v>
      </c>
      <c s="93" t="str">
        <f t="shared" si="80" ref="AG13:AH13">IF(ISBLANK(S13),"",S13)</f>
        <v/>
      </c>
      <c s="94" t="str">
        <f t="shared" si="80"/>
        <v/>
      </c>
      <c s="95" t="str">
        <f t="shared" si="16"/>
        <v/>
      </c>
      <c s="98" t="str">
        <f t="shared" si="53"/>
        <v/>
      </c>
      <c s="97" t="str">
        <f t="array" ref="AK13">IFERROR(IF(AE13="ac"+ISNUMBER(SEARCH("'",AJ13))+AI13="","",IF(ISNUMBER(SEARCH("lw",AJ13)),W13+SUBSTITUTE(AJ13,"lw+",""),MROUND(_xlfn.SWITCH(AE13,"sq",AI$7,"bn",AJ$7,"dl",AK$7,"")*IF(AJ13&gt;10,AJ13/100,VLOOKUP(AJ13,_rpe,SUBSTITUTE(AI13,"+","")+1,0)),IF(_xlfn.SWITCH(AE13,"sq",AI$7,"bn",AJ$7,"dl",AK$7,"")&lt;IF(_uom="lbs",175,80),1.25,IF(_uom="lbs",5,2.5))))),"")</f>
        <v/>
      </c>
      <c s="70"/>
      <c s="65"/>
      <c s="97"/>
      <c s="44" t="str">
        <f>IFERROR(__xludf.DUMMYFUNCTION("IF(AK13=MAX(FILTER(AK$10:AK$199,LOOKUP(ROW(AE$10:AE$199),FILTER(ROW(AE$10:AE$199),AE$10:AE$199&lt;&gt;AE$9:AE$198))=LOOKUP(ROW(AE13),FILTER(ROW(AE$10:AE$199),AE$10:AE$199&lt;&gt;AE$9:AE$198)))),AL13,)"),"")</f>
        <v/>
      </c>
      <c s="42"/>
      <c s="65"/>
      <c s="64" t="str">
        <f t="shared" si="17"/>
        <v/>
      </c>
      <c s="65" t="str">
        <f>IFERROR(__xludf.DUMMYFUNCTION("""COMPUTED_VALUE"""),"")</f>
        <v/>
      </c>
      <c s="66">
        <f ca="1"/>
        <v>45229</v>
      </c>
      <c s="93" t="str">
        <f t="shared" si="81" ref="AU13:AV13">IF(ISBLANK(AG13),"",AG13)</f>
        <v/>
      </c>
      <c s="94" t="str">
        <f t="shared" si="81"/>
        <v/>
      </c>
      <c s="95" t="str">
        <f t="shared" si="55"/>
        <v/>
      </c>
      <c s="98" t="str">
        <f t="shared" si="56"/>
        <v/>
      </c>
      <c s="97" t="str">
        <f t="array" ref="AY13">IFERROR(IF(AS13="ac"+ISNUMBER(SEARCH("'",AX13))+AW13="","",IF(ISNUMBER(SEARCH("lw",AX13)),AK13+SUBSTITUTE(AX13,"lw+",""),MROUND(_xlfn.SWITCH(AS13,"sq",AW$7,"bn",AX$7,"dl",AY$7,"")*IF(AX13&gt;10,AX13/100,VLOOKUP(AX13,_rpe,SUBSTITUTE(AW13,"+","")+1,0)),IF(_xlfn.SWITCH(AS13,"sq",AW$7,"bn",AX$7,"dl",AY$7,"")&lt;IF(_uom="lbs",175,80),1.25,IF(_uom="lbs",5,2.5))))),"")</f>
        <v/>
      </c>
      <c s="70"/>
      <c s="65"/>
      <c s="97"/>
      <c s="44" t="str">
        <f>IFERROR(__xludf.DUMMYFUNCTION("IF(AY13=MAX(FILTER(AY$10:AY$199,LOOKUP(ROW(AS$10:AS$199),FILTER(ROW(AS$10:AS$199),AS$10:AS$199&lt;&gt;AS$9:AS$198))=LOOKUP(ROW(AS13),FILTER(ROW(AS$10:AS$199),AS$10:AS$199&lt;&gt;AS$9:AS$198)))),AZ13,)"),"")</f>
        <v/>
      </c>
      <c s="42"/>
      <c s="65"/>
      <c s="64" t="str">
        <f t="shared" si="19"/>
        <v/>
      </c>
      <c s="65" t="str">
        <f>IFERROR(__xludf.DUMMYFUNCTION("""COMPUTED_VALUE"""),"")</f>
        <v/>
      </c>
      <c s="66">
        <f ca="1"/>
        <v>45236</v>
      </c>
      <c s="93" t="str">
        <f t="shared" si="20"/>
        <v/>
      </c>
      <c s="94" t="str">
        <f t="shared" si="57"/>
        <v/>
      </c>
      <c s="95" t="str">
        <f t="shared" si="58"/>
        <v/>
      </c>
      <c s="98" t="str">
        <f t="shared" si="59"/>
        <v/>
      </c>
      <c s="97" t="str">
        <f t="array" ref="BM13">IFERROR(IF(BG13="ac"+ISNUMBER(SEARCH("'",BL13))+BK13="","",IF(ISNUMBER(SEARCH("lw",BL13)),AY13+SUBSTITUTE(BL13,"lw+",""),MROUND(_xlfn.SWITCH(BG13,"sq",BK$7,"bn",BL$7,"dl",BM$7,"")*IF(BL13&gt;10,BL13/100,VLOOKUP(BL13,_rpe,SUBSTITUTE(BK13,"+","")+1,0)),IF(_xlfn.SWITCH(BG13,"sq",BK$7,"bn",BL$7,"dl",BM$7,"")&lt;IF(_uom="lbs",175,80),1.25,IF(_uom="lbs",5,2.5))))),"")</f>
        <v/>
      </c>
      <c s="70"/>
      <c s="65"/>
      <c s="97"/>
      <c s="44" t="str">
        <f>IFERROR(__xludf.DUMMYFUNCTION("IF(BM13=MAX(FILTER(BM$10:BM$199,LOOKUP(ROW(BG$10:BG$199),FILTER(ROW(BG$10:BG$199),BG$10:BG$199&lt;&gt;BG$9:BG$198))=LOOKUP(ROW(BG13),FILTER(ROW(BG$10:BG$199),BG$10:BG$199&lt;&gt;BG$9:BG$198)))),BN13,)"),"")</f>
        <v/>
      </c>
      <c s="42"/>
      <c s="65"/>
      <c s="64" t="str">
        <f t="shared" si="21"/>
        <v/>
      </c>
      <c s="65" t="str">
        <f>IFERROR(__xludf.DUMMYFUNCTION("""COMPUTED_VALUE"""),"")</f>
        <v/>
      </c>
      <c s="66">
        <f ca="1"/>
        <v>45243</v>
      </c>
      <c s="93" t="str">
        <f t="shared" si="22"/>
        <v/>
      </c>
      <c s="94" t="str">
        <f t="shared" si="60"/>
        <v/>
      </c>
      <c s="95" t="str">
        <f t="shared" si="23"/>
        <v/>
      </c>
      <c s="98" t="str">
        <f t="shared" si="61"/>
        <v/>
      </c>
      <c s="97" t="str">
        <f t="array" ref="CA13">IFERROR(IF(BU13="ac"+ISNUMBER(SEARCH("'",BZ13))+BY13="","",IF(ISNUMBER(SEARCH("lw",BZ13)),BM13+SUBSTITUTE(BZ13,"lw+",""),MROUND(_xlfn.SWITCH(BU13,"sq",BY$7,"bn",BZ$7,"dl",CA$7,"")*IF(BZ13&gt;10,BZ13/100,VLOOKUP(BZ13,_rpe,SUBSTITUTE(BY13,"+","")+1,0)),IF(_xlfn.SWITCH(BU13,"sq",BY$7,"bn",BZ$7,"dl",CA$7,"")&lt;IF(_uom="lbs",175,80),1.25,IF(_uom="lbs",5,2.5))))),"")</f>
        <v/>
      </c>
      <c s="70"/>
      <c s="65"/>
      <c s="97"/>
      <c s="44" t="str">
        <f>IFERROR(__xludf.DUMMYFUNCTION("IF(CA13=MAX(FILTER(CA$10:CA$199,LOOKUP(ROW(BU$10:BU$199),FILTER(ROW(BU$10:BU$199),BU$10:BU$199&lt;&gt;BU$9:BU$198))=LOOKUP(ROW(BU13),FILTER(ROW(BU$10:BU$199),BU$10:BU$199&lt;&gt;BU$9:BU$198)))),CB13,)"),"")</f>
        <v/>
      </c>
      <c s="42"/>
      <c s="65"/>
      <c s="64" t="str">
        <f t="shared" si="24"/>
        <v/>
      </c>
      <c s="65" t="str">
        <f>IFERROR(__xludf.DUMMYFUNCTION("""COMPUTED_VALUE"""),"")</f>
        <v/>
      </c>
      <c s="66">
        <f ca="1"/>
        <v>45250</v>
      </c>
      <c s="93" t="str">
        <f t="shared" si="44"/>
        <v/>
      </c>
      <c s="94" t="str">
        <f t="shared" si="62"/>
        <v/>
      </c>
      <c s="95" t="str">
        <f t="shared" si="26"/>
        <v/>
      </c>
      <c s="98" t="str">
        <f t="shared" si="63"/>
        <v/>
      </c>
      <c s="97" t="str">
        <f t="array" ref="CO13">IFERROR(IF(CI13="ac"+ISNUMBER(SEARCH("'",CN13))+CM13="","",IF(ISNUMBER(SEARCH("lw",CN13)),CA13+SUBSTITUTE(CN13,"lw+",""),MROUND(_xlfn.SWITCH(CI13,"sq",CM$7,"bn",CN$7,"dl",CO$7,"")*IF(CN13&gt;10,CN13/100,VLOOKUP(CN13,_rpe,SUBSTITUTE(CM13,"+","")+1,0)),IF(_xlfn.SWITCH(CI13,"sq",CM$7,"bn",CN$7,"dl",CO$7,"")&lt;IF(_uom="lbs",175,80),1.25,IF(_uom="lbs",5,2.5))))),"")</f>
        <v/>
      </c>
      <c s="70"/>
      <c s="65"/>
      <c s="97"/>
      <c s="44" t="str">
        <f>IFERROR(__xludf.DUMMYFUNCTION("IF(CO13=MAX(FILTER(CO$10:CO$199,LOOKUP(ROW(CI$10:CI$199),FILTER(ROW(CI$10:CI$199),CI$10:CI$199&lt;&gt;CI$9:CI$198))=LOOKUP(ROW(CI13),FILTER(ROW(CI$10:CI$199),CI$10:CI$199&lt;&gt;CI$9:CI$198)))),CP13,)"),"")</f>
        <v/>
      </c>
      <c s="42"/>
      <c s="65"/>
      <c s="64" t="str">
        <f t="shared" si="27"/>
        <v/>
      </c>
      <c s="65" t="str">
        <f>IFERROR(__xludf.DUMMYFUNCTION("""COMPUTED_VALUE"""),"")</f>
        <v/>
      </c>
      <c s="66">
        <f ca="1"/>
        <v>45257</v>
      </c>
      <c s="93" t="str">
        <f t="shared" si="45"/>
        <v/>
      </c>
      <c s="94" t="str">
        <f t="shared" si="64"/>
        <v/>
      </c>
      <c s="95" t="str">
        <f t="shared" si="29"/>
        <v/>
      </c>
      <c s="98" t="str">
        <f t="shared" si="65"/>
        <v/>
      </c>
      <c s="97" t="str">
        <f t="array" ref="DC13">IFERROR(IF(CW13="ac"+ISNUMBER(SEARCH("'",DB13))+DA13="","",IF(ISNUMBER(SEARCH("lw",DB13)),CO13+SUBSTITUTE(DB13,"lw+",""),MROUND(_xlfn.SWITCH(CW13,"sq",DA$7,"bn",DB$7,"dl",DC$7,"")*IF(DB13&gt;10,DB13/100,VLOOKUP(DB13,_rpe,SUBSTITUTE(DA13,"+","")+1,0)),IF(_xlfn.SWITCH(CW13,"sq",DA$7,"bn",DB$7,"dl",DC$7,"")&lt;IF(_uom="lbs",175,80),1.25,IF(_uom="lbs",5,2.5))))),"")</f>
        <v/>
      </c>
      <c s="70"/>
      <c s="65"/>
      <c s="97"/>
      <c s="44" t="str">
        <f>IFERROR(__xludf.DUMMYFUNCTION("IF(DC13=MAX(FILTER(DC$10:DC$199,LOOKUP(ROW(CW$10:CW$199),FILTER(ROW(CW$10:CW$199),CW$10:CW$199&lt;&gt;CW$9:CW$198))=LOOKUP(ROW(CW13),FILTER(ROW(CW$10:CW$199),CW$10:CW$199&lt;&gt;CW$9:CW$198)))),DD13,)"),"")</f>
        <v/>
      </c>
      <c s="42"/>
      <c s="65"/>
      <c s="64" t="str">
        <f t="shared" si="30"/>
        <v/>
      </c>
      <c s="65" t="str">
        <f>IFERROR(__xludf.DUMMYFUNCTION("""COMPUTED_VALUE"""),"")</f>
        <v/>
      </c>
      <c s="66">
        <f ca="1"/>
        <v>45264</v>
      </c>
      <c s="93" t="str">
        <f t="shared" si="46"/>
        <v/>
      </c>
      <c s="94" t="str">
        <f t="shared" si="66"/>
        <v/>
      </c>
      <c s="95" t="str">
        <f t="shared" si="67"/>
        <v/>
      </c>
      <c s="98" t="str">
        <f t="shared" si="68"/>
        <v/>
      </c>
      <c s="97" t="str">
        <f t="array" ref="DQ13">IFERROR(IF(DK13="ac"+ISNUMBER(SEARCH("'",DP13))+DO13="","",IF(ISNUMBER(SEARCH("lw",DP13)),DC13+SUBSTITUTE(DP13,"lw+",""),MROUND(_xlfn.SWITCH(DK13,"sq",DO$7,"bn",DP$7,"dl",DQ$7,"")*IF(DP13&gt;10,DP13/100,VLOOKUP(DP13,_rpe,SUBSTITUTE(DO13,"+","")+1,0)),IF(_xlfn.SWITCH(DK13,"sq",DO$7,"bn",DP$7,"dl",DQ$7,"")&lt;IF(_uom="lbs",175,80),1.25,IF(_uom="lbs",5,2.5))))),"")</f>
        <v/>
      </c>
      <c s="70"/>
      <c s="65"/>
      <c s="97"/>
      <c s="44" t="str">
        <f>IFERROR(__xludf.DUMMYFUNCTION("IF(DQ13=MAX(FILTER(DQ$10:DQ$199,LOOKUP(ROW(DK$10:DK$199),FILTER(ROW(DK$10:DK$199),DK$10:DK$199&lt;&gt;DK$9:DK$198))=LOOKUP(ROW(DK13),FILTER(ROW(DK$10:DK$199),DK$10:DK$199&lt;&gt;DK$9:DK$198)))),DR13,)"),"")</f>
        <v/>
      </c>
      <c s="42"/>
      <c s="65"/>
      <c s="64" t="str">
        <f t="shared" si="32"/>
        <v/>
      </c>
      <c s="65" t="str">
        <f>IFERROR(__xludf.DUMMYFUNCTION("""COMPUTED_VALUE"""),"")</f>
        <v/>
      </c>
      <c s="66">
        <f ca="1"/>
        <v>45271</v>
      </c>
      <c s="93" t="str">
        <f t="shared" si="47"/>
        <v/>
      </c>
      <c s="94" t="str">
        <f t="shared" si="69"/>
        <v/>
      </c>
      <c s="95" t="str">
        <f t="shared" si="70"/>
        <v/>
      </c>
      <c s="98" t="str">
        <f t="shared" si="71"/>
        <v/>
      </c>
      <c s="97" t="str">
        <f t="array" ref="EE13">IFERROR(IF(DY13="ac"+ISNUMBER(SEARCH("'",ED13))+EC13="","",IF(ISNUMBER(SEARCH("lw",ED13)),DQ13+SUBSTITUTE(ED13,"lw+",""),MROUND(_xlfn.SWITCH(DY13,"sq",EC$7,"bn",ED$7,"dl",EE$7,"")*IF(ED13&gt;10,ED13/100,VLOOKUP(ED13,_rpe,SUBSTITUTE(EC13,"+","")+1,0)),IF(_xlfn.SWITCH(DY13,"sq",EC$7,"bn",ED$7,"dl",EE$7,"")&lt;IF(_uom="lbs",175,80),1.25,IF(_uom="lbs",5,2.5))))),"")</f>
        <v/>
      </c>
      <c s="70"/>
      <c s="65"/>
      <c s="97"/>
      <c s="44" t="str">
        <f>IFERROR(__xludf.DUMMYFUNCTION("IF(EE13=MAX(FILTER(EE$10:EE$199,LOOKUP(ROW(DY$10:DY$199),FILTER(ROW(DY$10:DY$199),DY$10:DY$199&lt;&gt;DY$9:DY$198))=LOOKUP(ROW(DY13),FILTER(ROW(DY$10:DY$199),DY$10:DY$199&lt;&gt;DY$9:DY$198)))),EF13,)"),"")</f>
        <v/>
      </c>
      <c s="42"/>
      <c s="65"/>
      <c s="64" t="str">
        <f t="shared" si="34"/>
        <v/>
      </c>
      <c s="65" t="str">
        <f>IFERROR(__xludf.DUMMYFUNCTION("""COMPUTED_VALUE"""),"")</f>
        <v/>
      </c>
      <c s="66">
        <f ca="1"/>
        <v>45278</v>
      </c>
      <c s="93" t="str">
        <f t="shared" si="48"/>
        <v/>
      </c>
      <c s="94" t="str">
        <f t="shared" si="72"/>
        <v/>
      </c>
      <c s="95" t="str">
        <f t="shared" si="73"/>
        <v/>
      </c>
      <c s="98" t="str">
        <f t="shared" si="74"/>
        <v/>
      </c>
      <c s="97" t="str">
        <f t="array" ref="ES13">IFERROR(IF(EM13="ac"+ISNUMBER(SEARCH("'",ER13))+EQ13="","",IF(ISNUMBER(SEARCH("lw",ER13)),EE13+SUBSTITUTE(ER13,"lw+",""),MROUND(_xlfn.SWITCH(EM13,"sq",EQ$7,"bn",ER$7,"dl",ES$7,"")*IF(ER13&gt;10,ER13/100,VLOOKUP(ER13,_rpe,SUBSTITUTE(EQ13,"+","")+1,0)),IF(_xlfn.SWITCH(EM13,"sq",EQ$7,"bn",ER$7,"dl",ES$7,"")&lt;IF(_uom="lbs",175,80),1.25,IF(_uom="lbs",5,2.5))))),"")</f>
        <v/>
      </c>
      <c s="70"/>
      <c s="65"/>
      <c s="97"/>
      <c s="44" t="str">
        <f>IFERROR(__xludf.DUMMYFUNCTION("IF(ES13=MAX(FILTER(ES$10:ES$199,LOOKUP(ROW(EM$10:EM$199),FILTER(ROW(EM$10:EM$199),EM$10:EM$199&lt;&gt;EM$9:EM$198))=LOOKUP(ROW(EM13),FILTER(ROW(EM$10:EM$199),EM$10:EM$199&lt;&gt;EM$9:EM$198)))),ET13,)"),"")</f>
        <v/>
      </c>
      <c s="42"/>
      <c s="65"/>
      <c s="64" t="str">
        <f t="shared" si="36"/>
        <v/>
      </c>
      <c s="65" t="str">
        <f>IFERROR(__xludf.DUMMYFUNCTION("""COMPUTED_VALUE"""),"")</f>
        <v/>
      </c>
      <c s="66">
        <f ca="1"/>
        <v>45285</v>
      </c>
      <c s="93" t="str">
        <f t="shared" si="49"/>
        <v/>
      </c>
      <c s="94" t="str">
        <f t="shared" si="75"/>
        <v/>
      </c>
      <c s="95" t="str">
        <f t="shared" si="76"/>
        <v/>
      </c>
      <c s="98" t="str">
        <f t="shared" si="77"/>
        <v/>
      </c>
      <c s="97" t="str">
        <f t="array" ref="FG13">IFERROR(IF(FA13="ac"+ISNUMBER(SEARCH("'",FF13))+FE13="","",IF(ISNUMBER(SEARCH("lw",FF13)),ES13+SUBSTITUTE(FF13,"lw+",""),MROUND(_xlfn.SWITCH(FA13,"sq",FE$7,"bn",FF$7,"dl",FG$7,"")*IF(FF13&gt;10,FF13/100,VLOOKUP(FF13,_rpe,SUBSTITUTE(FE13,"+","")+1,0)),IF(_xlfn.SWITCH(FA13,"sq",FE$7,"bn",FF$7,"dl",FG$7,"")&lt;IF(_uom="lbs",175,80),1.25,IF(_uom="lbs",5,2.5))))),"")</f>
        <v/>
      </c>
      <c s="70"/>
      <c s="65"/>
      <c s="97"/>
      <c s="44" t="str">
        <f>IFERROR(__xludf.DUMMYFUNCTION("IF(FG13=MAX(FILTER(FG$10:FG$199,LOOKUP(ROW(FA$10:FA$199),FILTER(ROW(FA$10:FA$199),FA$10:FA$199&lt;&gt;FA$9:FA$198))=LOOKUP(ROW(FA13),FILTER(ROW(FA$10:FA$199),FA$10:FA$199&lt;&gt;FA$9:FA$198)))),FH13,)"),"")</f>
        <v/>
      </c>
      <c s="42"/>
      <c s="65"/>
      <c s="64" t="str">
        <f t="shared" si="38"/>
        <v/>
      </c>
      <c s="65" t="str">
        <f>IFERROR(__xludf.DUMMYFUNCTION("""COMPUTED_VALUE"""),"")</f>
        <v/>
      </c>
      <c s="66">
        <f ca="1"/>
        <v>45292</v>
      </c>
      <c s="93" t="str">
        <f t="shared" si="39"/>
        <v/>
      </c>
      <c s="94" t="str">
        <f t="shared" si="78"/>
        <v/>
      </c>
      <c s="95" t="str">
        <f t="shared" si="40"/>
        <v/>
      </c>
      <c s="98" t="str">
        <f t="shared" si="79"/>
        <v/>
      </c>
      <c s="97" t="str">
        <f t="array" ref="FU13">IFERROR(IF(FO13="ac"+ISNUMBER(SEARCH("'",FT13))+FS13="","",IF(ISNUMBER(SEARCH("lw",FT13)),FG13+SUBSTITUTE(FT13,"lw+",""),MROUND(_xlfn.SWITCH(FO13,"sq",FS$7,"bn",FT$7,"dl",FU$7,"")*IF(FT13&gt;10,FT13/100,VLOOKUP(FT13,_rpe,SUBSTITUTE(FS13,"+","")+1,0)),IF(_xlfn.SWITCH(FO13,"sq",FS$7,"bn",FT$7,"dl",FU$7,"")&lt;IF(_uom="lbs",175,80),1.25,IF(_uom="lbs",5,2.5))))),"")</f>
        <v/>
      </c>
      <c s="70"/>
      <c s="65"/>
      <c s="97"/>
      <c s="44" t="str">
        <f>IFERROR(__xludf.DUMMYFUNCTION("IF(FU13=MAX(FILTER(FU$10:FU$199,LOOKUP(ROW(FO$10:FO$199),FILTER(ROW(FO$10:FO$199),FO$10:FO$199&lt;&gt;FO$9:FO$198))=LOOKUP(ROW(FO13),FILTER(ROW(FO$10:FO$199),FO$10:FO$199&lt;&gt;FO$9:FO$198)))),FV13,)"),"")</f>
        <v/>
      </c>
      <c s="42"/>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64" t="str">
        <f t="shared" si="41"/>
        <v>#REF!</v>
      </c>
      <c s="65"/>
      <c s="66" t="e">
        <f ca="1"/>
        <v>#REF!</v>
      </c>
    </row>
    <row r="14" spans="1:259" ht="15.75">
      <c r="A14" s="65"/>
      <c s="64" t="s">
        <v>132</v>
      </c>
      <c s="65" t="str">
        <f>IFERROR(__xludf.DUMMYFUNCTION("""COMPUTED_VALUE"""),"bn")</f>
        <v>bn</v>
      </c>
      <c s="66">
        <f ca="1"/>
        <v>45208</v>
      </c>
      <c s="93" t="s">
        <v>133</v>
      </c>
      <c s="94">
        <v>2</v>
      </c>
      <c s="95">
        <v>1</v>
      </c>
      <c s="96">
        <f>IF(OR(gen="SELECT",gen="MALE"),7400%,7600%)</f>
        <v>74</v>
      </c>
      <c s="97">
        <f t="array" ref="I14">IFERROR(IF(C14="ac"+ISNUMBER(SEARCH("'",H14))+G14="","",MROUND(_xlfn.SWITCH(C14,"sq",'Personal Info'!$O$15,"bn",'Personal Info'!$S$15,"dl",'Personal Info'!$W$15,"")*IF(H14&gt;10,H14/100,VLOOKUP(H14,_rpe,SUBSTITUTE(G14,"+","")+1,0)),IF(_xlfn.SWITCH(C14:C210,"sq",'Personal Info'!$O$15,"bn",'Personal Info'!$S$15,"dl",'Personal Info'!$W$15,"")&lt;IF(_uom="lbs",175,80),1.25,IF(_uom="lbs",5,2.5)))),"")</f>
        <v>73.75</v>
      </c>
      <c s="70"/>
      <c s="65"/>
      <c s="97"/>
      <c s="44" t="str">
        <f>IFERROR(__xludf.DUMMYFUNCTION("IF(I14=MAX(FILTER(I$10:I$199,LOOKUP(ROW(C$10:C$199),FILTER(ROW(C$10:C$199),C$10:C$199&lt;&gt;C$9:C$198))=LOOKUP(ROW(C14),FILTER(ROW(C$10:C$199),C$10:C$199&lt;&gt;C$9:C$198)))),J14,)"),"")</f>
        <v/>
      </c>
      <c s="42"/>
      <c s="65"/>
      <c s="64" t="str">
        <f t="shared" si="11"/>
        <v>BN 1: strength</v>
      </c>
      <c s="65" t="str">
        <f>IFERROR(__xludf.DUMMYFUNCTION("""COMPUTED_VALUE"""),"bn")</f>
        <v>bn</v>
      </c>
      <c s="66">
        <f ca="1"/>
        <v>45215</v>
      </c>
      <c s="93" t="str">
        <f t="shared" si="12"/>
        <v>Bench Press</v>
      </c>
      <c s="94">
        <f t="shared" si="50"/>
        <v>2</v>
      </c>
      <c s="95">
        <f t="shared" si="13"/>
        <v>1</v>
      </c>
      <c s="98" t="str">
        <f>IF(OR(gen="SELECT",gen="MALE"),"78% or @5","80% or @5")</f>
        <v>78% or @5</v>
      </c>
      <c s="97" t="str">
        <f t="array" ref="W14">IFERROR(IF(Q14="ac"+ISNUMBER(SEARCH("'",V14))+U14="","",IF(ISNUMBER(SEARCH("lw",V14)),I14+SUBSTITUTE(V14,"lw+",""),MROUND(_xlfn.SWITCH(Q14,"sq",U$7,"bn",V$7,"dl",W$7,"")*IF(V14&gt;10,V14/100,VLOOKUP(V14,_rpe,SUBSTITUTE(U14,"+","")+1,0)),IF(_xlfn.SWITCH(Q14,"sq",U$7,"bn",V$7,"dl",W$7,"")&lt;IF(_uom="lbs",175,80),1.25,IF(_uom="lbs",5,2.5))))),"")</f>
        <v/>
      </c>
      <c s="70"/>
      <c s="65"/>
      <c s="97"/>
      <c s="44" t="str">
        <f>IFERROR(__xludf.DUMMYFUNCTION("IF(W14=MAX(FILTER(W$10:W$199,LOOKUP(ROW(Q$10:Q$199),FILTER(ROW(Q$10:Q$199),Q$10:Q$199&lt;&gt;Q$9:Q$198))=LOOKUP(ROW(Q14),FILTER(ROW(Q$10:Q$199),Q$10:Q$199&lt;&gt;Q$9:Q$198)))),X14,)"),"")</f>
        <v/>
      </c>
      <c s="42"/>
      <c s="65"/>
      <c s="64" t="str">
        <f t="shared" si="14"/>
        <v>BN 1: strength</v>
      </c>
      <c s="65" t="str">
        <f>IFERROR(__xludf.DUMMYFUNCTION("""COMPUTED_VALUE"""),"bn")</f>
        <v>bn</v>
      </c>
      <c s="66">
        <f ca="1"/>
        <v>45222</v>
      </c>
      <c s="93" t="str">
        <f t="shared" si="82" ref="AG14:AH14">IF(ISBLANK(S14),"",S14)</f>
        <v>Bench Press</v>
      </c>
      <c s="94">
        <f t="shared" si="82"/>
        <v>2</v>
      </c>
      <c s="95">
        <f t="shared" si="16"/>
        <v>1</v>
      </c>
      <c s="98" t="str">
        <f>IF(OR(gen="SELECT",gen="MALE"),"81% or @5.5","83% or @5.5")</f>
        <v>81% or @5.5</v>
      </c>
      <c s="97" t="str">
        <f t="array" ref="AK14">IFERROR(IF(AE14="ac"+ISNUMBER(SEARCH("'",AJ14))+AI14="","",IF(ISNUMBER(SEARCH("lw",AJ14)),W14+SUBSTITUTE(AJ14,"lw+",""),MROUND(_xlfn.SWITCH(AE14,"sq",AI$7,"bn",AJ$7,"dl",AK$7,"")*IF(AJ14&gt;10,AJ14/100,VLOOKUP(AJ14,_rpe,SUBSTITUTE(AI14,"+","")+1,0)),IF(_xlfn.SWITCH(AE14,"sq",AI$7,"bn",AJ$7,"dl",AK$7,"")&lt;IF(_uom="lbs",175,80),1.25,IF(_uom="lbs",5,2.5))))),"")</f>
        <v/>
      </c>
      <c s="70"/>
      <c s="65"/>
      <c s="97"/>
      <c s="44" t="str">
        <f>IFERROR(__xludf.DUMMYFUNCTION("IF(AK14=MAX(FILTER(AK$10:AK$199,LOOKUP(ROW(AE$10:AE$199),FILTER(ROW(AE$10:AE$199),AE$10:AE$199&lt;&gt;AE$9:AE$198))=LOOKUP(ROW(AE14),FILTER(ROW(AE$10:AE$199),AE$10:AE$199&lt;&gt;AE$9:AE$198)))),AL14,)"),"")</f>
        <v/>
      </c>
      <c s="42"/>
      <c s="65"/>
      <c s="64" t="str">
        <f t="shared" si="17"/>
        <v>BN 1: strength</v>
      </c>
      <c s="65" t="str">
        <f>IFERROR(__xludf.DUMMYFUNCTION("""COMPUTED_VALUE"""),"bn")</f>
        <v>bn</v>
      </c>
      <c s="66">
        <f ca="1"/>
        <v>45229</v>
      </c>
      <c s="93" t="str">
        <f t="shared" si="83" ref="AU14:AV14">IF(ISBLANK(AG14),"",AG14)</f>
        <v>Bench Press</v>
      </c>
      <c s="94">
        <f t="shared" si="83"/>
        <v>2</v>
      </c>
      <c s="95">
        <f t="shared" si="55"/>
        <v>1</v>
      </c>
      <c s="98" t="s">
        <v>134</v>
      </c>
      <c s="97" t="str">
        <f t="array" ref="AY14">IFERROR(IF(AS14="ac"+ISNUMBER(SEARCH("'",AX14))+AW14="","",IF(ISNUMBER(SEARCH("lw",AX14)),AK14+SUBSTITUTE(AX14,"lw+",""),MROUND(_xlfn.SWITCH(AS14,"sq",AW$7,"bn",AX$7,"dl",AY$7,"")*IF(AX14&gt;10,AX14/100,VLOOKUP(AX14,_rpe,SUBSTITUTE(AW14,"+","")+1,0)),IF(_xlfn.SWITCH(AS14,"sq",AW$7,"bn",AX$7,"dl",AY$7,"")&lt;IF(_uom="lbs",175,80),1.25,IF(_uom="lbs",5,2.5))))),"")</f>
        <v/>
      </c>
      <c s="70"/>
      <c s="65"/>
      <c s="97"/>
      <c s="44" t="str">
        <f>IFERROR(__xludf.DUMMYFUNCTION("IF(AY14=MAX(FILTER(AY$10:AY$199,LOOKUP(ROW(AS$10:AS$199),FILTER(ROW(AS$10:AS$199),AS$10:AS$199&lt;&gt;AS$9:AS$198))=LOOKUP(ROW(AS14),FILTER(ROW(AS$10:AS$199),AS$10:AS$199&lt;&gt;AS$9:AS$198)))),AZ14,)"),"")</f>
        <v/>
      </c>
      <c s="42"/>
      <c s="65"/>
      <c s="64" t="str">
        <f t="shared" si="19"/>
        <v>BN 1: strength</v>
      </c>
      <c s="65" t="str">
        <f>IFERROR(__xludf.DUMMYFUNCTION("""COMPUTED_VALUE"""),"bn")</f>
        <v>bn</v>
      </c>
      <c s="66">
        <f ca="1"/>
        <v>45236</v>
      </c>
      <c s="93" t="str">
        <f t="shared" si="20"/>
        <v>Bench Press</v>
      </c>
      <c s="94">
        <f t="shared" si="57"/>
        <v>2</v>
      </c>
      <c s="95">
        <f t="shared" si="58"/>
        <v>1</v>
      </c>
      <c s="98" t="s">
        <v>135</v>
      </c>
      <c s="97" t="str">
        <f t="array" ref="BM14">IFERROR(IF(BG14="ac"+ISNUMBER(SEARCH("'",BL14))+BK14="","",IF(ISNUMBER(SEARCH("lw",BL14)),AY14+SUBSTITUTE(BL14,"lw+",""),MROUND(_xlfn.SWITCH(BG14,"sq",BK$7,"bn",BL$7,"dl",BM$7,"")*IF(BL14&gt;10,BL14/100,VLOOKUP(BL14,_rpe,SUBSTITUTE(BK14,"+","")+1,0)),IF(_xlfn.SWITCH(BG14,"sq",BK$7,"bn",BL$7,"dl",BM$7,"")&lt;IF(_uom="lbs",175,80),1.25,IF(_uom="lbs",5,2.5))))),"")</f>
        <v/>
      </c>
      <c s="70"/>
      <c s="65"/>
      <c s="97"/>
      <c s="44" t="str">
        <f>IFERROR(__xludf.DUMMYFUNCTION("IF(BM14=MAX(FILTER(BM$10:BM$199,LOOKUP(ROW(BG$10:BG$199),FILTER(ROW(BG$10:BG$199),BG$10:BG$199&lt;&gt;BG$9:BG$198))=LOOKUP(ROW(BG14),FILTER(ROW(BG$10:BG$199),BG$10:BG$199&lt;&gt;BG$9:BG$198)))),BN14,)"),"")</f>
        <v/>
      </c>
      <c s="42"/>
      <c s="65"/>
      <c s="64" t="str">
        <f t="shared" si="21"/>
        <v>BN 1: strength</v>
      </c>
      <c s="65" t="str">
        <f>IFERROR(__xludf.DUMMYFUNCTION("""COMPUTED_VALUE"""),"bn")</f>
        <v>bn</v>
      </c>
      <c s="66">
        <f ca="1"/>
        <v>45243</v>
      </c>
      <c s="93" t="str">
        <f t="shared" si="22"/>
        <v>Bench Press</v>
      </c>
      <c s="94">
        <f t="shared" si="60"/>
        <v>2</v>
      </c>
      <c s="95">
        <f t="shared" si="23"/>
        <v>1</v>
      </c>
      <c s="98" t="str">
        <f>IF(OR(gen="SELECT",gen="MALE"),"87% or @6.5","88% or @6.5")</f>
        <v>87% or @6.5</v>
      </c>
      <c s="97" t="str">
        <f t="array" ref="CA14">IFERROR(IF(BU14="ac"+ISNUMBER(SEARCH("'",BZ14))+BY14="","",IF(ISNUMBER(SEARCH("lw",BZ14)),BM14+SUBSTITUTE(BZ14,"lw+",""),MROUND(_xlfn.SWITCH(BU14,"sq",BY$7,"bn",BZ$7,"dl",CA$7,"")*IF(BZ14&gt;10,BZ14/100,VLOOKUP(BZ14,_rpe,SUBSTITUTE(BY14,"+","")+1,0)),IF(_xlfn.SWITCH(BU14,"sq",BY$7,"bn",BZ$7,"dl",CA$7,"")&lt;IF(_uom="lbs",175,80),1.25,IF(_uom="lbs",5,2.5))))),"")</f>
        <v/>
      </c>
      <c s="70"/>
      <c s="65"/>
      <c s="97"/>
      <c s="44" t="str">
        <f>IFERROR(__xludf.DUMMYFUNCTION("IF(CA14=MAX(FILTER(CA$10:CA$199,LOOKUP(ROW(BU$10:BU$199),FILTER(ROW(BU$10:BU$199),BU$10:BU$199&lt;&gt;BU$9:BU$198))=LOOKUP(ROW(BU14),FILTER(ROW(BU$10:BU$199),BU$10:BU$199&lt;&gt;BU$9:BU$198)))),CB14,)"),"")</f>
        <v/>
      </c>
      <c s="42"/>
      <c s="65"/>
      <c s="64" t="str">
        <f t="shared" si="24"/>
        <v>BN 1: strength</v>
      </c>
      <c s="65" t="str">
        <f>IFERROR(__xludf.DUMMYFUNCTION("""COMPUTED_VALUE"""),"bn")</f>
        <v>bn</v>
      </c>
      <c s="66">
        <f ca="1"/>
        <v>45250</v>
      </c>
      <c s="93" t="str">
        <f t="shared" si="44"/>
        <v>Bench Press</v>
      </c>
      <c s="94">
        <f t="shared" si="62"/>
        <v>2</v>
      </c>
      <c s="95">
        <f t="shared" si="26"/>
        <v>1</v>
      </c>
      <c s="98" t="str">
        <f>IF(OR(gen="SELECT",gen="MALE"),"89% or @7","90% or @7")</f>
        <v>89% or @7</v>
      </c>
      <c s="97" t="str">
        <f t="array" ref="CO14">IFERROR(IF(CI14="ac"+ISNUMBER(SEARCH("'",CN14))+CM14="","",IF(ISNUMBER(SEARCH("lw",CN14)),CA14+SUBSTITUTE(CN14,"lw+",""),MROUND(_xlfn.SWITCH(CI14,"sq",CM$7,"bn",CN$7,"dl",CO$7,"")*IF(CN14&gt;10,CN14/100,VLOOKUP(CN14,_rpe,SUBSTITUTE(CM14,"+","")+1,0)),IF(_xlfn.SWITCH(CI14,"sq",CM$7,"bn",CN$7,"dl",CO$7,"")&lt;IF(_uom="lbs",175,80),1.25,IF(_uom="lbs",5,2.5))))),"")</f>
        <v/>
      </c>
      <c s="70"/>
      <c s="65"/>
      <c s="97"/>
      <c s="44" t="str">
        <f>IFERROR(__xludf.DUMMYFUNCTION("IF(CO14=MAX(FILTER(CO$10:CO$199,LOOKUP(ROW(CI$10:CI$199),FILTER(ROW(CI$10:CI$199),CI$10:CI$199&lt;&gt;CI$9:CI$198))=LOOKUP(ROW(CI14),FILTER(ROW(CI$10:CI$199),CI$10:CI$199&lt;&gt;CI$9:CI$198)))),CP14,)"),"")</f>
        <v/>
      </c>
      <c s="42"/>
      <c s="65"/>
      <c s="64" t="str">
        <f t="shared" si="27"/>
        <v>BN 1: strength</v>
      </c>
      <c s="65" t="str">
        <f>IFERROR(__xludf.DUMMYFUNCTION("""COMPUTED_VALUE"""),"bn")</f>
        <v>bn</v>
      </c>
      <c s="66">
        <f ca="1"/>
        <v>45257</v>
      </c>
      <c s="93" t="str">
        <f t="shared" si="45"/>
        <v>Bench Press</v>
      </c>
      <c s="94">
        <f t="shared" si="64"/>
        <v>2</v>
      </c>
      <c s="95">
        <f t="shared" si="29"/>
        <v>1</v>
      </c>
      <c s="98" t="str">
        <f>IF(OR(gen="SELECT",gen="MALE"),"91% or @7.5","92% or @7.5")</f>
        <v>91% or @7.5</v>
      </c>
      <c s="97" t="str">
        <f t="array" ref="DC14">IFERROR(IF(CW14="ac"+ISNUMBER(SEARCH("'",DB14))+DA14="","",IF(ISNUMBER(SEARCH("lw",DB14)),CO14+SUBSTITUTE(DB14,"lw+",""),MROUND(_xlfn.SWITCH(CW14,"sq",DA$7,"bn",DB$7,"dl",DC$7,"")*IF(DB14&gt;10,DB14/100,VLOOKUP(DB14,_rpe,SUBSTITUTE(DA14,"+","")+1,0)),IF(_xlfn.SWITCH(CW14,"sq",DA$7,"bn",DB$7,"dl",DC$7,"")&lt;IF(_uom="lbs",175,80),1.25,IF(_uom="lbs",5,2.5))))),"")</f>
        <v/>
      </c>
      <c s="70"/>
      <c s="65"/>
      <c s="97"/>
      <c s="44" t="str">
        <f>IFERROR(__xludf.DUMMYFUNCTION("IF(DC14=MAX(FILTER(DC$10:DC$199,LOOKUP(ROW(CW$10:CW$199),FILTER(ROW(CW$10:CW$199),CW$10:CW$199&lt;&gt;CW$9:CW$198))=LOOKUP(ROW(CW14),FILTER(ROW(CW$10:CW$199),CW$10:CW$199&lt;&gt;CW$9:CW$198)))),DD14,)"),"")</f>
        <v/>
      </c>
      <c s="42"/>
      <c s="65"/>
      <c s="64" t="str">
        <f t="shared" si="30"/>
        <v>BN 1: strength</v>
      </c>
      <c s="65" t="str">
        <f>IFERROR(__xludf.DUMMYFUNCTION("""COMPUTED_VALUE"""),"bn")</f>
        <v>bn</v>
      </c>
      <c s="66">
        <f ca="1"/>
        <v>45264</v>
      </c>
      <c s="93" t="str">
        <f t="shared" si="46"/>
        <v>Bench Press</v>
      </c>
      <c s="94">
        <f t="shared" si="66"/>
        <v>2</v>
      </c>
      <c s="95">
        <f t="shared" si="67"/>
        <v>1</v>
      </c>
      <c s="98" t="str">
        <f>IF(OR(gen="SELECT",gen="MALE"),"84% or @6.5","85% or @6.5")</f>
        <v>84% or @6.5</v>
      </c>
      <c s="97" t="str">
        <f t="array" ref="DQ14">IFERROR(IF(DK14="ac"+ISNUMBER(SEARCH("'",DP14))+DO14="","",IF(ISNUMBER(SEARCH("lw",DP14)),DC14+SUBSTITUTE(DP14,"lw+",""),MROUND(_xlfn.SWITCH(DK14,"sq",DO$7,"bn",DP$7,"dl",DQ$7,"")*IF(DP14&gt;10,DP14/100,VLOOKUP(DP14,_rpe,SUBSTITUTE(DO14,"+","")+1,0)),IF(_xlfn.SWITCH(DK14,"sq",DO$7,"bn",DP$7,"dl",DQ$7,"")&lt;IF(_uom="lbs",175,80),1.25,IF(_uom="lbs",5,2.5))))),"")</f>
        <v/>
      </c>
      <c s="70"/>
      <c s="65"/>
      <c s="97"/>
      <c s="44" t="str">
        <f>IFERROR(__xludf.DUMMYFUNCTION("IF(DQ14=MAX(FILTER(DQ$10:DQ$199,LOOKUP(ROW(DK$10:DK$199),FILTER(ROW(DK$10:DK$199),DK$10:DK$199&lt;&gt;DK$9:DK$198))=LOOKUP(ROW(DK14),FILTER(ROW(DK$10:DK$199),DK$10:DK$199&lt;&gt;DK$9:DK$198)))),DR14,)"),"")</f>
        <v/>
      </c>
      <c s="42"/>
      <c s="65"/>
      <c s="64" t="str">
        <f t="shared" si="32"/>
        <v>BN 1: strength</v>
      </c>
      <c s="65" t="str">
        <f>IFERROR(__xludf.DUMMYFUNCTION("""COMPUTED_VALUE"""),"bn")</f>
        <v>bn</v>
      </c>
      <c s="66">
        <f ca="1"/>
        <v>45271</v>
      </c>
      <c s="93" t="str">
        <f t="shared" si="47"/>
        <v>Bench Press</v>
      </c>
      <c s="94">
        <v>1</v>
      </c>
      <c s="95">
        <v>1</v>
      </c>
      <c s="98" t="s">
        <v>125</v>
      </c>
      <c s="97" t="str">
        <f t="array" ref="EE14">IFERROR(IF(DY14="ac"+ISNUMBER(SEARCH("'",ED14))+EC14="","",IF(ISNUMBER(SEARCH("lw",ED14)),DQ14+SUBSTITUTE(ED14,"lw+",""),MROUND(_xlfn.SWITCH(DY14,"sq",EC$7,"bn",ED$7,"dl",EE$7,"")*IF(ED14&gt;10,ED14/100,VLOOKUP(ED14,_rpe,SUBSTITUTE(EC14,"+","")+1,0)),IF(_xlfn.SWITCH(DY14,"sq",EC$7,"bn",ED$7,"dl",EE$7,"")&lt;IF(_uom="lbs",175,80),1.25,IF(_uom="lbs",5,2.5))))),"")</f>
        <v/>
      </c>
      <c s="70"/>
      <c s="65"/>
      <c s="97"/>
      <c s="44" t="str">
        <f>IFERROR(__xludf.DUMMYFUNCTION("IF(EE14=MAX(FILTER(EE$10:EE$199,LOOKUP(ROW(DY$10:DY$199),FILTER(ROW(DY$10:DY$199),DY$10:DY$199&lt;&gt;DY$9:DY$198))=LOOKUP(ROW(DY14),FILTER(ROW(DY$10:DY$199),DY$10:DY$199&lt;&gt;DY$9:DY$198)))),EF14,)"),"")</f>
        <v/>
      </c>
      <c s="42"/>
      <c s="65"/>
      <c s="64" t="str">
        <f t="shared" si="34"/>
        <v>BN 1: strength</v>
      </c>
      <c s="65" t="str">
        <f>IFERROR(__xludf.DUMMYFUNCTION("""COMPUTED_VALUE"""),"bn")</f>
        <v>bn</v>
      </c>
      <c s="66">
        <f ca="1"/>
        <v>45278</v>
      </c>
      <c s="93" t="str">
        <f t="shared" si="48"/>
        <v>Bench Press</v>
      </c>
      <c s="94">
        <f t="shared" si="72"/>
        <v>1</v>
      </c>
      <c s="95">
        <v>1</v>
      </c>
      <c s="98" t="s">
        <v>126</v>
      </c>
      <c s="97" t="str">
        <f t="array" ref="ES14">IFERROR(IF(EM14="ac"+ISNUMBER(SEARCH("'",ER14))+EQ14="","",IF(ISNUMBER(SEARCH("lw",ER14)),EE14+SUBSTITUTE(ER14,"lw+",""),MROUND(_xlfn.SWITCH(EM14,"sq",EQ$7,"bn",ER$7,"dl",ES$7,"")*IF(ER14&gt;10,ER14/100,VLOOKUP(ER14,_rpe,SUBSTITUTE(EQ14,"+","")+1,0)),IF(_xlfn.SWITCH(EM14,"sq",EQ$7,"bn",ER$7,"dl",ES$7,"")&lt;IF(_uom="lbs",175,80),1.25,IF(_uom="lbs",5,2.5))))),"")</f>
        <v/>
      </c>
      <c s="70"/>
      <c s="65"/>
      <c s="97"/>
      <c s="44" t="str">
        <f>IFERROR(__xludf.DUMMYFUNCTION("IF(ES14=MAX(FILTER(ES$10:ES$199,LOOKUP(ROW(EM$10:EM$199),FILTER(ROW(EM$10:EM$199),EM$10:EM$199&lt;&gt;EM$9:EM$198))=LOOKUP(ROW(EM14),FILTER(ROW(EM$10:EM$199),EM$10:EM$199&lt;&gt;EM$9:EM$198)))),ET14,)"),"")</f>
        <v/>
      </c>
      <c s="42"/>
      <c s="65"/>
      <c s="64" t="str">
        <f t="shared" si="36"/>
        <v>BN 1: strength</v>
      </c>
      <c s="65" t="str">
        <f>IFERROR(__xludf.DUMMYFUNCTION("""COMPUTED_VALUE"""),"bn")</f>
        <v>bn</v>
      </c>
      <c s="66">
        <f ca="1"/>
        <v>45285</v>
      </c>
      <c s="93" t="str">
        <f t="shared" si="49"/>
        <v>Bench Press</v>
      </c>
      <c s="94">
        <f t="shared" si="75"/>
        <v>1</v>
      </c>
      <c s="95">
        <f t="shared" si="76"/>
        <v>1</v>
      </c>
      <c s="98" t="s">
        <v>127</v>
      </c>
      <c s="97" t="str">
        <f t="array" ref="FG14">IFERROR(IF(FA14="ac"+ISNUMBER(SEARCH("'",FF14))+FE14="","",IF(ISNUMBER(SEARCH("lw",FF14)),ES14+SUBSTITUTE(FF14,"lw+",""),MROUND(_xlfn.SWITCH(FA14,"sq",FE$7,"bn",FF$7,"dl",FG$7,"")*IF(FF14&gt;10,FF14/100,VLOOKUP(FF14,_rpe,SUBSTITUTE(FE14,"+","")+1,0)),IF(_xlfn.SWITCH(FA14,"sq",FE$7,"bn",FF$7,"dl",FG$7,"")&lt;IF(_uom="lbs",175,80),1.25,IF(_uom="lbs",5,2.5))))),"")</f>
        <v/>
      </c>
      <c s="70"/>
      <c s="65"/>
      <c s="97"/>
      <c s="44" t="str">
        <f>IFERROR(__xludf.DUMMYFUNCTION("IF(FG14=MAX(FILTER(FG$10:FG$199,LOOKUP(ROW(FA$10:FA$199),FILTER(ROW(FA$10:FA$199),FA$10:FA$199&lt;&gt;FA$9:FA$198))=LOOKUP(ROW(FA14),FILTER(ROW(FA$10:FA$199),FA$10:FA$199&lt;&gt;FA$9:FA$198)))),FH14,)"),"")</f>
        <v/>
      </c>
      <c s="42"/>
      <c s="65"/>
      <c s="64" t="str">
        <f t="shared" si="38"/>
        <v>BN 1: strength</v>
      </c>
      <c s="65" t="str">
        <f>IFERROR(__xludf.DUMMYFUNCTION("""COMPUTED_VALUE"""),"bn")</f>
        <v>bn</v>
      </c>
      <c s="66">
        <f ca="1"/>
        <v>45292</v>
      </c>
      <c s="93" t="str">
        <f t="shared" si="39"/>
        <v>Bench Press</v>
      </c>
      <c s="99" t="s">
        <v>128</v>
      </c>
      <c s="95">
        <f t="shared" si="40"/>
        <v>1</v>
      </c>
      <c s="98" t="s">
        <v>136</v>
      </c>
      <c s="97" t="str">
        <f t="array" ref="FU14">IFERROR(IF(FO14="ac"+ISNUMBER(SEARCH("'",FT14))+FS14="","",IF(ISNUMBER(SEARCH("lw",FT14)),FG14+SUBSTITUTE(FT14,"lw+",""),MROUND(_xlfn.SWITCH(FO14,"sq",FS$7,"bn",FT$7,"dl",FU$7,"")*IF(FT14&gt;10,FT14/100,VLOOKUP(FT14,_rpe,SUBSTITUTE(FS14,"+","")+1,0)),IF(_xlfn.SWITCH(FO14,"sq",FS$7,"bn",FT$7,"dl",FU$7,"")&lt;IF(_uom="lbs",175,80),1.25,IF(_uom="lbs",5,2.5))))),"")</f>
        <v/>
      </c>
      <c s="70"/>
      <c s="65"/>
      <c s="97"/>
      <c s="44" t="str">
        <f>IFERROR(__xludf.DUMMYFUNCTION("IF(FU14=MAX(FILTER(FU$10:FU$199,LOOKUP(ROW(FO$10:FO$199),FILTER(ROW(FO$10:FO$199),FO$10:FO$199&lt;&gt;FO$9:FO$198))=LOOKUP(ROW(FO14),FILTER(ROW(FO$10:FO$199),FO$10:FO$199&lt;&gt;FO$9:FO$198)))),FV14,)"),"")</f>
        <v/>
      </c>
      <c s="42"/>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64" t="str">
        <f t="shared" si="41"/>
        <v>#REF!</v>
      </c>
      <c s="65"/>
      <c s="66" t="e">
        <f ca="1"/>
        <v>#REF!</v>
      </c>
    </row>
    <row r="15" spans="1:259" ht="15.75" outlineLevel="1">
      <c r="A15" s="63"/>
      <c s="64"/>
      <c s="65" t="str">
        <f>IFERROR(__xludf.DUMMYFUNCTION("""COMPUTED_VALUE"""),"bn")</f>
        <v>bn</v>
      </c>
      <c s="66">
        <f ca="1"/>
        <v>45208</v>
      </c>
      <c s="93" t="s">
        <v>130</v>
      </c>
      <c s="94">
        <v>3</v>
      </c>
      <c s="95">
        <v>7</v>
      </c>
      <c s="96">
        <f>IF(OR(gen="SELECT",gen="MALE"),6500%,6700%)</f>
        <v>65</v>
      </c>
      <c s="97">
        <f t="array" ref="I15">IFERROR(IF(C15="ac"+ISNUMBER(SEARCH("'",H15))+G15="","",MROUND(_xlfn.SWITCH(C15,"sq",'Personal Info'!$O$15,"bn",'Personal Info'!$S$15,"dl",'Personal Info'!$W$15,"")*IF(H15&gt;10,H15/100,VLOOKUP(H15,_rpe,SUBSTITUTE(G15,"+","")+1,0)),IF(_xlfn.SWITCH(C15:C210,"sq",'Personal Info'!$O$15,"bn",'Personal Info'!$S$15,"dl",'Personal Info'!$W$15,"")&lt;IF(_uom="lbs",175,80),1.25,IF(_uom="lbs",5,2.5)))),"")</f>
        <v>65</v>
      </c>
      <c s="70"/>
      <c s="65"/>
      <c s="97"/>
      <c s="44" t="str">
        <f>IFERROR(__xludf.DUMMYFUNCTION("IF(I15=MAX(FILTER(I$10:I$199,LOOKUP(ROW(C$10:C$199),FILTER(ROW(C$10:C$199),C$10:C$199&lt;&gt;C$9:C$198))=LOOKUP(ROW(C15),FILTER(ROW(C$10:C$199),C$10:C$199&lt;&gt;C$9:C$198)))),J15,)"),"")</f>
        <v/>
      </c>
      <c s="42"/>
      <c s="65"/>
      <c s="64" t="str">
        <f t="shared" si="11"/>
        <v/>
      </c>
      <c s="65" t="str">
        <f>IFERROR(__xludf.DUMMYFUNCTION("""COMPUTED_VALUE"""),"bn")</f>
        <v>bn</v>
      </c>
      <c s="66">
        <f ca="1"/>
        <v>45215</v>
      </c>
      <c s="93" t="str">
        <f t="shared" si="12"/>
        <v>-</v>
      </c>
      <c s="94">
        <v>4</v>
      </c>
      <c s="95">
        <f t="shared" si="13"/>
        <v>7</v>
      </c>
      <c s="98">
        <f>IF(OR(gen="SELECT",gen="MALE"),6900%,7100%)</f>
        <v>69</v>
      </c>
      <c s="97">
        <f t="array" ref="W15">IFERROR(IF(Q15="ac"+ISNUMBER(SEARCH("'",V15))+U15="","",IF(ISNUMBER(SEARCH("lw",V15)),I15+SUBSTITUTE(V15,"lw+",""),MROUND(_xlfn.SWITCH(Q15,"sq",U$7,"bn",V$7,"dl",W$7,"")*IF(V15&gt;10,V15/100,VLOOKUP(V15,_rpe,SUBSTITUTE(U15,"+","")+1,0)),IF(_xlfn.SWITCH(Q15,"sq",U$7,"bn",V$7,"dl",W$7,"")&lt;IF(_uom="lbs",175,80),1.25,IF(_uom="lbs",5,2.5))))),"")</f>
        <v>68.75</v>
      </c>
      <c s="70"/>
      <c s="65"/>
      <c s="97"/>
      <c s="44" t="str">
        <f>IFERROR(__xludf.DUMMYFUNCTION("IF(W15=MAX(FILTER(W$10:W$199,LOOKUP(ROW(Q$10:Q$199),FILTER(ROW(Q$10:Q$199),Q$10:Q$199&lt;&gt;Q$9:Q$198))=LOOKUP(ROW(Q15),FILTER(ROW(Q$10:Q$199),Q$10:Q$199&lt;&gt;Q$9:Q$198)))),X15,)"),"")</f>
        <v/>
      </c>
      <c s="42"/>
      <c s="65"/>
      <c s="64" t="str">
        <f t="shared" si="14"/>
        <v/>
      </c>
      <c s="65" t="str">
        <f>IFERROR(__xludf.DUMMYFUNCTION("""COMPUTED_VALUE"""),"bn")</f>
        <v>bn</v>
      </c>
      <c s="66">
        <f ca="1"/>
        <v>45222</v>
      </c>
      <c s="93" t="str">
        <f t="shared" si="84" ref="AG15:AH15">IF(ISBLANK(S15),"",S15)</f>
        <v>-</v>
      </c>
      <c s="94">
        <f t="shared" si="84"/>
        <v>4</v>
      </c>
      <c s="95">
        <f t="shared" si="16"/>
        <v>7</v>
      </c>
      <c s="98">
        <f>IF(OR(gen="SELECT",gen="MALE"),7200%,7400%)</f>
        <v>72</v>
      </c>
      <c s="97">
        <f t="array" ref="AK15">IFERROR(IF(AE15="ac"+ISNUMBER(SEARCH("'",AJ15))+AI15="","",IF(ISNUMBER(SEARCH("lw",AJ15)),W15+SUBSTITUTE(AJ15,"lw+",""),MROUND(_xlfn.SWITCH(AE15,"sq",AI$7,"bn",AJ$7,"dl",AK$7,"")*IF(AJ15&gt;10,AJ15/100,VLOOKUP(AJ15,_rpe,SUBSTITUTE(AI15,"+","")+1,0)),IF(_xlfn.SWITCH(AE15,"sq",AI$7,"bn",AJ$7,"dl",AK$7,"")&lt;IF(_uom="lbs",175,80),1.25,IF(_uom="lbs",5,2.5))))),"")</f>
        <v>72.5</v>
      </c>
      <c s="70"/>
      <c s="65"/>
      <c s="97"/>
      <c s="44" t="str">
        <f>IFERROR(__xludf.DUMMYFUNCTION("IF(AK15=MAX(FILTER(AK$10:AK$199,LOOKUP(ROW(AE$10:AE$199),FILTER(ROW(AE$10:AE$199),AE$10:AE$199&lt;&gt;AE$9:AE$198))=LOOKUP(ROW(AE15),FILTER(ROW(AE$10:AE$199),AE$10:AE$199&lt;&gt;AE$9:AE$198)))),AL15,)"),"")</f>
        <v/>
      </c>
      <c s="42"/>
      <c s="65"/>
      <c s="64" t="str">
        <f t="shared" si="17"/>
        <v/>
      </c>
      <c s="65" t="str">
        <f>IFERROR(__xludf.DUMMYFUNCTION("""COMPUTED_VALUE"""),"bn")</f>
        <v>bn</v>
      </c>
      <c s="66">
        <f ca="1"/>
        <v>45229</v>
      </c>
      <c s="93" t="str">
        <f t="shared" si="85" ref="AU15:AV15">IF(ISBLANK(AG15),"",AG15)</f>
        <v>-</v>
      </c>
      <c s="94">
        <f t="shared" si="85"/>
        <v>4</v>
      </c>
      <c s="105">
        <v>43623</v>
      </c>
      <c s="98">
        <f>IF(OR(gen="SELECT",gen="MALE"),7500%,7700%)</f>
        <v>75</v>
      </c>
      <c s="97">
        <f t="array" ref="AY15">IFERROR(IF(AS15="ac"+ISNUMBER(SEARCH("'",AX15))+AW15="","",IF(ISNUMBER(SEARCH("lw",AX15)),AK15+SUBSTITUTE(AX15,"lw+",""),MROUND(_xlfn.SWITCH(AS15,"sq",AW$7,"bn",AX$7,"dl",AY$7,"")*IF(AX15&gt;10,AX15/100,VLOOKUP(AX15,_rpe,SUBSTITUTE(AW15,"+","")+1,0)),IF(_xlfn.SWITCH(AS15,"sq",AW$7,"bn",AX$7,"dl",AY$7,"")&lt;IF(_uom="lbs",175,80),1.25,IF(_uom="lbs",5,2.5))))),"")</f>
        <v>75</v>
      </c>
      <c s="70"/>
      <c s="65"/>
      <c s="97"/>
      <c s="44" t="str">
        <f>IFERROR(__xludf.DUMMYFUNCTION("IF(AY15=MAX(FILTER(AY$10:AY$199,LOOKUP(ROW(AS$10:AS$199),FILTER(ROW(AS$10:AS$199),AS$10:AS$199&lt;&gt;AS$9:AS$198))=LOOKUP(ROW(AS15),FILTER(ROW(AS$10:AS$199),AS$10:AS$199&lt;&gt;AS$9:AS$198)))),AZ15,)"),"")</f>
        <v/>
      </c>
      <c s="42"/>
      <c s="65"/>
      <c s="64" t="str">
        <f t="shared" si="19"/>
        <v/>
      </c>
      <c s="65" t="str">
        <f>IFERROR(__xludf.DUMMYFUNCTION("""COMPUTED_VALUE"""),"bn")</f>
        <v>bn</v>
      </c>
      <c s="66">
        <f ca="1"/>
        <v>45236</v>
      </c>
      <c s="93" t="str">
        <f t="shared" si="20"/>
        <v>-</v>
      </c>
      <c s="94">
        <v>4</v>
      </c>
      <c s="95">
        <v>5</v>
      </c>
      <c s="98">
        <f>IF(OR(gen="SELECT",gen="MALE"),7000%,7200%)</f>
        <v>70</v>
      </c>
      <c s="97">
        <f t="array" ref="BM15">IFERROR(IF(BG15="ac"+ISNUMBER(SEARCH("'",BL15))+BK15="","",IF(ISNUMBER(SEARCH("lw",BL15)),AY15+SUBSTITUTE(BL15,"lw+",""),MROUND(_xlfn.SWITCH(BG15,"sq",BK$7,"bn",BL$7,"dl",BM$7,"")*IF(BL15&gt;10,BL15/100,VLOOKUP(BL15,_rpe,SUBSTITUTE(BK15,"+","")+1,0)),IF(_xlfn.SWITCH(BG15,"sq",BK$7,"bn",BL$7,"dl",BM$7,"")&lt;IF(_uom="lbs",175,80),1.25,IF(_uom="lbs",5,2.5))))),"")</f>
        <v>70</v>
      </c>
      <c s="70"/>
      <c s="65"/>
      <c s="97"/>
      <c s="44" t="str">
        <f>IFERROR(__xludf.DUMMYFUNCTION("IF(BM15=MAX(FILTER(BM$10:BM$199,LOOKUP(ROW(BG$10:BG$199),FILTER(ROW(BG$10:BG$199),BG$10:BG$199&lt;&gt;BG$9:BG$198))=LOOKUP(ROW(BG15),FILTER(ROW(BG$10:BG$199),BG$10:BG$199&lt;&gt;BG$9:BG$198)))),BN15,)"),"")</f>
        <v/>
      </c>
      <c s="42"/>
      <c s="65"/>
      <c s="64" t="str">
        <f t="shared" si="21"/>
        <v/>
      </c>
      <c s="65" t="str">
        <f>IFERROR(__xludf.DUMMYFUNCTION("""COMPUTED_VALUE"""),"bn")</f>
        <v>bn</v>
      </c>
      <c s="66">
        <f ca="1"/>
        <v>45243</v>
      </c>
      <c s="93" t="str">
        <f t="shared" si="22"/>
        <v>-</v>
      </c>
      <c s="94">
        <v>5</v>
      </c>
      <c s="95">
        <f t="shared" si="23"/>
        <v>5</v>
      </c>
      <c s="98">
        <f>IF(OR(gen="SELECT",gen="MALE"),7400%,7500%)</f>
        <v>74</v>
      </c>
      <c s="97">
        <f t="array" ref="CA15">IFERROR(IF(BU15="ac"+ISNUMBER(SEARCH("'",BZ15))+BY15="","",IF(ISNUMBER(SEARCH("lw",BZ15)),BM15+SUBSTITUTE(BZ15,"lw+",""),MROUND(_xlfn.SWITCH(BU15,"sq",BY$7,"bn",BZ$7,"dl",CA$7,"")*IF(BZ15&gt;10,BZ15/100,VLOOKUP(BZ15,_rpe,SUBSTITUTE(BY15,"+","")+1,0)),IF(_xlfn.SWITCH(BU15,"sq",BY$7,"bn",BZ$7,"dl",CA$7,"")&lt;IF(_uom="lbs",175,80),1.25,IF(_uom="lbs",5,2.5))))),"")</f>
        <v>73.75</v>
      </c>
      <c s="70"/>
      <c s="65"/>
      <c s="97"/>
      <c s="44" t="str">
        <f>IFERROR(__xludf.DUMMYFUNCTION("IF(CA15=MAX(FILTER(CA$10:CA$199,LOOKUP(ROW(BU$10:BU$199),FILTER(ROW(BU$10:BU$199),BU$10:BU$199&lt;&gt;BU$9:BU$198))=LOOKUP(ROW(BU15),FILTER(ROW(BU$10:BU$199),BU$10:BU$199&lt;&gt;BU$9:BU$198)))),CB15,)"),"")</f>
        <v/>
      </c>
      <c s="42"/>
      <c s="65"/>
      <c s="64" t="str">
        <f t="shared" si="24"/>
        <v/>
      </c>
      <c s="65" t="str">
        <f>IFERROR(__xludf.DUMMYFUNCTION("""COMPUTED_VALUE"""),"bn")</f>
        <v>bn</v>
      </c>
      <c s="66">
        <f ca="1"/>
        <v>45250</v>
      </c>
      <c s="93" t="str">
        <f t="shared" si="44"/>
        <v>-</v>
      </c>
      <c s="94">
        <f t="shared" si="62"/>
        <v>5</v>
      </c>
      <c s="95">
        <f t="shared" si="26"/>
        <v>5</v>
      </c>
      <c s="98">
        <f>IF(OR(gen="SELECT",gen="MALE"),7700%,7800%)</f>
        <v>77</v>
      </c>
      <c s="97">
        <f t="array" ref="CO15">IFERROR(IF(CI15="ac"+ISNUMBER(SEARCH("'",CN15))+CM15="","",IF(ISNUMBER(SEARCH("lw",CN15)),CA15+SUBSTITUTE(CN15,"lw+",""),MROUND(_xlfn.SWITCH(CI15,"sq",CM$7,"bn",CN$7,"dl",CO$7,"")*IF(CN15&gt;10,CN15/100,VLOOKUP(CN15,_rpe,SUBSTITUTE(CM15,"+","")+1,0)),IF(_xlfn.SWITCH(CI15,"sq",CM$7,"bn",CN$7,"dl",CO$7,"")&lt;IF(_uom="lbs",175,80),1.25,IF(_uom="lbs",5,2.5))))),"")</f>
        <v>77.5</v>
      </c>
      <c s="70"/>
      <c s="65"/>
      <c s="97"/>
      <c s="44" t="str">
        <f>IFERROR(__xludf.DUMMYFUNCTION("IF(CO15=MAX(FILTER(CO$10:CO$199,LOOKUP(ROW(CI$10:CI$199),FILTER(ROW(CI$10:CI$199),CI$10:CI$199&lt;&gt;CI$9:CI$198))=LOOKUP(ROW(CI15),FILTER(ROW(CI$10:CI$199),CI$10:CI$199&lt;&gt;CI$9:CI$198)))),CP15,)"),"")</f>
        <v/>
      </c>
      <c s="42"/>
      <c s="65"/>
      <c s="64" t="str">
        <f t="shared" si="27"/>
        <v/>
      </c>
      <c s="65" t="str">
        <f>IFERROR(__xludf.DUMMYFUNCTION("""COMPUTED_VALUE"""),"bn")</f>
        <v>bn</v>
      </c>
      <c s="66">
        <f ca="1"/>
        <v>45257</v>
      </c>
      <c s="93" t="str">
        <f t="shared" si="45"/>
        <v>-</v>
      </c>
      <c s="94">
        <f t="shared" si="64"/>
        <v>5</v>
      </c>
      <c s="95">
        <f t="shared" si="29"/>
        <v>5</v>
      </c>
      <c s="98">
        <f>IF(OR(gen="SELECT",gen="MALE"),8000%,8100%)</f>
        <v>80</v>
      </c>
      <c s="97">
        <f t="array" ref="DC15">IFERROR(IF(CW15="ac"+ISNUMBER(SEARCH("'",DB15))+DA15="","",IF(ISNUMBER(SEARCH("lw",DB15)),CO15+SUBSTITUTE(DB15,"lw+",""),MROUND(_xlfn.SWITCH(CW15,"sq",DA$7,"bn",DB$7,"dl",DC$7,"")*IF(DB15&gt;10,DB15/100,VLOOKUP(DB15,_rpe,SUBSTITUTE(DA15,"+","")+1,0)),IF(_xlfn.SWITCH(CW15,"sq",DA$7,"bn",DB$7,"dl",DC$7,"")&lt;IF(_uom="lbs",175,80),1.25,IF(_uom="lbs",5,2.5))))),"")</f>
        <v>80</v>
      </c>
      <c s="70"/>
      <c s="65"/>
      <c s="97"/>
      <c s="44" t="str">
        <f>IFERROR(__xludf.DUMMYFUNCTION("IF(DC15=MAX(FILTER(DC$10:DC$199,LOOKUP(ROW(CW$10:CW$199),FILTER(ROW(CW$10:CW$199),CW$10:CW$199&lt;&gt;CW$9:CW$198))=LOOKUP(ROW(CW15),FILTER(ROW(CW$10:CW$199),CW$10:CW$199&lt;&gt;CW$9:CW$198)))),DD15,)"),"")</f>
        <v/>
      </c>
      <c s="42"/>
      <c s="65"/>
      <c s="64" t="str">
        <f t="shared" si="30"/>
        <v/>
      </c>
      <c s="65" t="str">
        <f>IFERROR(__xludf.DUMMYFUNCTION("""COMPUTED_VALUE"""),"bn")</f>
        <v>bn</v>
      </c>
      <c s="66">
        <f ca="1"/>
        <v>45264</v>
      </c>
      <c s="93" t="str">
        <f t="shared" si="46"/>
        <v>-</v>
      </c>
      <c s="94">
        <v>4</v>
      </c>
      <c s="95">
        <v>4</v>
      </c>
      <c s="98">
        <f>IF(OR(gen="SELECT",gen="MALE"),7800%,7900%)</f>
        <v>78</v>
      </c>
      <c s="97">
        <f t="array" ref="DQ15">IFERROR(IF(DK15="ac"+ISNUMBER(SEARCH("'",DP15))+DO15="","",IF(ISNUMBER(SEARCH("lw",DP15)),DC15+SUBSTITUTE(DP15,"lw+",""),MROUND(_xlfn.SWITCH(DK15,"sq",DO$7,"bn",DP$7,"dl",DQ$7,"")*IF(DP15&gt;10,DP15/100,VLOOKUP(DP15,_rpe,SUBSTITUTE(DO15,"+","")+1,0)),IF(_xlfn.SWITCH(DK15,"sq",DO$7,"bn",DP$7,"dl",DQ$7,"")&lt;IF(_uom="lbs",175,80),1.25,IF(_uom="lbs",5,2.5))))),"")</f>
        <v>77.5</v>
      </c>
      <c s="70"/>
      <c s="65"/>
      <c s="97"/>
      <c s="44" t="str">
        <f>IFERROR(__xludf.DUMMYFUNCTION("IF(DQ15=MAX(FILTER(DQ$10:DQ$199,LOOKUP(ROW(DK$10:DK$199),FILTER(ROW(DK$10:DK$199),DK$10:DK$199&lt;&gt;DK$9:DK$198))=LOOKUP(ROW(DK15),FILTER(ROW(DK$10:DK$199),DK$10:DK$199&lt;&gt;DK$9:DK$198)))),DR15,)"),"")</f>
        <v/>
      </c>
      <c s="42"/>
      <c s="65"/>
      <c s="64" t="str">
        <f t="shared" si="32"/>
        <v/>
      </c>
      <c s="65" t="str">
        <f>IFERROR(__xludf.DUMMYFUNCTION("""COMPUTED_VALUE"""),"bn")</f>
        <v>bn</v>
      </c>
      <c s="66">
        <f ca="1"/>
        <v>45271</v>
      </c>
      <c s="93" t="str">
        <f t="shared" si="47"/>
        <v>-</v>
      </c>
      <c s="94">
        <f t="shared" si="86" ref="EB15:EB36">IF(ISBLANK(DN15),"",DN15)</f>
        <v>4</v>
      </c>
      <c s="95">
        <v>4</v>
      </c>
      <c s="98">
        <f>IF(OR(gen="SELECT",gen="MALE"),7900%,8100%)</f>
        <v>79</v>
      </c>
      <c s="97">
        <f t="array" ref="EE15">IFERROR(IF(DY15="ac"+ISNUMBER(SEARCH("'",ED15))+EC15="","",IF(ISNUMBER(SEARCH("lw",ED15)),DQ15+SUBSTITUTE(ED15,"lw+",""),MROUND(_xlfn.SWITCH(DY15,"sq",EC$7,"bn",ED$7,"dl",EE$7,"")*IF(ED15&gt;10,ED15/100,VLOOKUP(ED15,_rpe,SUBSTITUTE(EC15,"+","")+1,0)),IF(_xlfn.SWITCH(DY15,"sq",EC$7,"bn",ED$7,"dl",EE$7,"")&lt;IF(_uom="lbs",175,80),1.25,IF(_uom="lbs",5,2.5))))),"")</f>
        <v>78.75</v>
      </c>
      <c s="70"/>
      <c s="65"/>
      <c s="97"/>
      <c s="44" t="str">
        <f>IFERROR(__xludf.DUMMYFUNCTION("IF(EE15=MAX(FILTER(EE$10:EE$199,LOOKUP(ROW(DY$10:DY$199),FILTER(ROW(DY$10:DY$199),DY$10:DY$199&lt;&gt;DY$9:DY$198))=LOOKUP(ROW(DY15),FILTER(ROW(DY$10:DY$199),DY$10:DY$199&lt;&gt;DY$9:DY$198)))),EF15,)"),"")</f>
        <v/>
      </c>
      <c s="42"/>
      <c s="65"/>
      <c s="64" t="str">
        <f t="shared" si="34"/>
        <v/>
      </c>
      <c s="65" t="str">
        <f>IFERROR(__xludf.DUMMYFUNCTION("""COMPUTED_VALUE"""),"bn")</f>
        <v>bn</v>
      </c>
      <c s="66">
        <f ca="1"/>
        <v>45278</v>
      </c>
      <c s="93" t="str">
        <f t="shared" si="48"/>
        <v>-</v>
      </c>
      <c s="94">
        <v>4</v>
      </c>
      <c s="95">
        <v>3</v>
      </c>
      <c s="98">
        <f>IF(OR(gen="SELECT",gen="MALE"),8200%,8400%)</f>
        <v>82</v>
      </c>
      <c s="97">
        <f t="array" ref="ES15">IFERROR(IF(EM15="ac"+ISNUMBER(SEARCH("'",ER15))+EQ15="","",IF(ISNUMBER(SEARCH("lw",ER15)),EE15+SUBSTITUTE(ER15,"lw+",""),MROUND(_xlfn.SWITCH(EM15,"sq",EQ$7,"bn",ER$7,"dl",ES$7,"")*IF(ER15&gt;10,ER15/100,VLOOKUP(ER15,_rpe,SUBSTITUTE(EQ15,"+","")+1,0)),IF(_xlfn.SWITCH(EM15,"sq",EQ$7,"bn",ER$7,"dl",ES$7,"")&lt;IF(_uom="lbs",175,80),1.25,IF(_uom="lbs",5,2.5))))),"")</f>
        <v>82.5</v>
      </c>
      <c s="70"/>
      <c s="65"/>
      <c s="97"/>
      <c s="44" t="str">
        <f>IFERROR(__xludf.DUMMYFUNCTION("IF(ES15=MAX(FILTER(ES$10:ES$199,LOOKUP(ROW(EM$10:EM$199),FILTER(ROW(EM$10:EM$199),EM$10:EM$199&lt;&gt;EM$9:EM$198))=LOOKUP(ROW(EM15),FILTER(ROW(EM$10:EM$199),EM$10:EM$199&lt;&gt;EM$9:EM$198)))),ET15,)"),"")</f>
        <v/>
      </c>
      <c s="42"/>
      <c s="65"/>
      <c s="64" t="str">
        <f t="shared" si="36"/>
        <v/>
      </c>
      <c s="65" t="str">
        <f>IFERROR(__xludf.DUMMYFUNCTION("""COMPUTED_VALUE"""),"bn")</f>
        <v>bn</v>
      </c>
      <c s="66">
        <f ca="1"/>
        <v>45285</v>
      </c>
      <c s="93" t="str">
        <f t="shared" si="49"/>
        <v>-</v>
      </c>
      <c s="94">
        <v>5</v>
      </c>
      <c s="95">
        <v>2</v>
      </c>
      <c s="98">
        <f>IF(OR(gen="SELECT",gen="MALE"),8400%,8600%)</f>
        <v>84</v>
      </c>
      <c s="97">
        <f t="array" ref="FG15">IFERROR(IF(FA15="ac"+ISNUMBER(SEARCH("'",FF15))+FE15="","",IF(ISNUMBER(SEARCH("lw",FF15)),ES15+SUBSTITUTE(FF15,"lw+",""),MROUND(_xlfn.SWITCH(FA15,"sq",FE$7,"bn",FF$7,"dl",FG$7,"")*IF(FF15&gt;10,FF15/100,VLOOKUP(FF15,_rpe,SUBSTITUTE(FE15,"+","")+1,0)),IF(_xlfn.SWITCH(FA15,"sq",FE$7,"bn",FF$7,"dl",FG$7,"")&lt;IF(_uom="lbs",175,80),1.25,IF(_uom="lbs",5,2.5))))),"")</f>
        <v>83.75</v>
      </c>
      <c s="70"/>
      <c s="65"/>
      <c s="97"/>
      <c s="44" t="str">
        <f>IFERROR(__xludf.DUMMYFUNCTION("IF(FG15=MAX(FILTER(FG$10:FG$199,LOOKUP(ROW(FA$10:FA$199),FILTER(ROW(FA$10:FA$199),FA$10:FA$199&lt;&gt;FA$9:FA$198))=LOOKUP(ROW(FA15),FILTER(ROW(FA$10:FA$199),FA$10:FA$199&lt;&gt;FA$9:FA$198)))),FH15,)"),"")</f>
        <v/>
      </c>
      <c s="42"/>
      <c s="65"/>
      <c s="64" t="str">
        <f t="shared" si="38"/>
        <v/>
      </c>
      <c s="65" t="str">
        <f>IFERROR(__xludf.DUMMYFUNCTION("""COMPUTED_VALUE"""),"bn")</f>
        <v>bn</v>
      </c>
      <c s="66">
        <f ca="1"/>
        <v>45292</v>
      </c>
      <c s="93" t="str">
        <f t="shared" si="39"/>
        <v>-</v>
      </c>
      <c s="94">
        <v>3</v>
      </c>
      <c s="95">
        <v>3</v>
      </c>
      <c s="98">
        <f>IF(OR(gen="SELECT",gen="MALE"),7900%,8100%)</f>
        <v>79</v>
      </c>
      <c s="97">
        <f t="array" ref="FU15">IFERROR(IF(FO15="ac"+ISNUMBER(SEARCH("'",FT15))+FS15="","",IF(ISNUMBER(SEARCH("lw",FT15)),FG15+SUBSTITUTE(FT15,"lw+",""),MROUND(_xlfn.SWITCH(FO15,"sq",FS$7,"bn",FT$7,"dl",FU$7,"")*IF(FT15&gt;10,FT15/100,VLOOKUP(FT15,_rpe,SUBSTITUTE(FS15,"+","")+1,0)),IF(_xlfn.SWITCH(FO15,"sq",FS$7,"bn",FT$7,"dl",FU$7,"")&lt;IF(_uom="lbs",175,80),1.25,IF(_uom="lbs",5,2.5))))),"")</f>
        <v>78.75</v>
      </c>
      <c s="70"/>
      <c s="65"/>
      <c s="97"/>
      <c s="44" t="str">
        <f>IFERROR(__xludf.DUMMYFUNCTION("IF(FU15=MAX(FILTER(FU$10:FU$199,LOOKUP(ROW(FO$10:FO$199),FILTER(ROW(FO$10:FO$199),FO$10:FO$199&lt;&gt;FO$9:FO$198))=LOOKUP(ROW(FO15),FILTER(ROW(FO$10:FO$199),FO$10:FO$199&lt;&gt;FO$9:FO$198)))),FV15,)"),"")</f>
        <v/>
      </c>
      <c s="42"/>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64" t="str">
        <f t="shared" si="41"/>
        <v>#REF!</v>
      </c>
      <c s="65"/>
      <c s="66" t="e">
        <f ca="1"/>
        <v>#REF!</v>
      </c>
    </row>
    <row r="16" spans="1:259" ht="15.75" hidden="1" outlineLevel="1">
      <c r="A16" s="63"/>
      <c s="64"/>
      <c s="65" t="str">
        <f>IFERROR(__xludf.DUMMYFUNCTION("""COMPUTED_VALUE"""),"")</f>
        <v/>
      </c>
      <c s="66">
        <f ca="1"/>
        <v>45208</v>
      </c>
      <c s="93"/>
      <c s="94"/>
      <c s="95"/>
      <c s="96"/>
      <c s="97" t="str">
        <f t="array" ref="I16">IFERROR(IF(C16="ac"+ISNUMBER(SEARCH("'",H16))+G16="","",MROUND(_xlfn.SWITCH(C16,"sq",'Personal Info'!$O$15,"bn",'Personal Info'!$S$15,"dl",'Personal Info'!$W$15,"")*IF(H16&gt;10,H16/100,VLOOKUP(H16,_rpe,SUBSTITUTE(G16,"+","")+1,0)),IF(_xlfn.SWITCH(C16:C210,"sq",'Personal Info'!$O$15,"bn",'Personal Info'!$S$15,"dl",'Personal Info'!$W$15,"")&lt;IF(_uom="lbs",175,80),1.25,IF(_uom="lbs",5,2.5)))),"")</f>
        <v/>
      </c>
      <c s="70"/>
      <c s="65"/>
      <c s="97"/>
      <c s="44" t="str">
        <f>IFERROR(__xludf.DUMMYFUNCTION("IF(I16=MAX(FILTER(I$10:I$199,LOOKUP(ROW(C$10:C$199),FILTER(ROW(C$10:C$199),C$10:C$199&lt;&gt;C$9:C$198))=LOOKUP(ROW(C16),FILTER(ROW(C$10:C$199),C$10:C$199&lt;&gt;C$9:C$198)))),J16,)"),"")</f>
        <v/>
      </c>
      <c s="42"/>
      <c s="65"/>
      <c s="64" t="str">
        <f t="shared" si="11"/>
        <v/>
      </c>
      <c s="65" t="str">
        <f>IFERROR(__xludf.DUMMYFUNCTION("""COMPUTED_VALUE"""),"")</f>
        <v/>
      </c>
      <c s="66">
        <f ca="1"/>
        <v>45215</v>
      </c>
      <c s="93" t="str">
        <f t="shared" si="12"/>
        <v/>
      </c>
      <c s="94" t="str">
        <f t="shared" si="87" ref="T16:T17">IF(ISBLANK(F16),"",F16)</f>
        <v/>
      </c>
      <c s="95" t="str">
        <f t="shared" si="13"/>
        <v/>
      </c>
      <c s="98" t="str">
        <f t="shared" si="88" ref="V16:V17">IF(ISBLANK(H16),"",H16)</f>
        <v/>
      </c>
      <c s="97" t="str">
        <f t="array" ref="W16">IFERROR(IF(Q16="ac"+ISNUMBER(SEARCH("'",V16))+U16="","",IF(ISNUMBER(SEARCH("lw",V16)),I16+SUBSTITUTE(V16,"lw+",""),MROUND(_xlfn.SWITCH(Q16,"sq",U$7,"bn",V$7,"dl",W$7,"")*IF(V16&gt;10,V16/100,VLOOKUP(V16,_rpe,SUBSTITUTE(U16,"+","")+1,0)),IF(_xlfn.SWITCH(Q16,"sq",U$7,"bn",V$7,"dl",W$7,"")&lt;IF(_uom="lbs",175,80),1.25,IF(_uom="lbs",5,2.5))))),"")</f>
        <v/>
      </c>
      <c s="70"/>
      <c s="65"/>
      <c s="97"/>
      <c s="44" t="str">
        <f>IFERROR(__xludf.DUMMYFUNCTION("IF(W16=MAX(FILTER(W$10:W$199,LOOKUP(ROW(Q$10:Q$199),FILTER(ROW(Q$10:Q$199),Q$10:Q$199&lt;&gt;Q$9:Q$198))=LOOKUP(ROW(Q16),FILTER(ROW(Q$10:Q$199),Q$10:Q$199&lt;&gt;Q$9:Q$198)))),X16,)"),"")</f>
        <v/>
      </c>
      <c s="42"/>
      <c s="65"/>
      <c s="64" t="str">
        <f t="shared" si="14"/>
        <v/>
      </c>
      <c s="65" t="str">
        <f>IFERROR(__xludf.DUMMYFUNCTION("""COMPUTED_VALUE"""),"")</f>
        <v/>
      </c>
      <c s="66">
        <f ca="1"/>
        <v>45222</v>
      </c>
      <c s="93" t="str">
        <f t="shared" si="89" ref="AG16:AH16">IF(ISBLANK(S16),"",S16)</f>
        <v/>
      </c>
      <c s="94" t="str">
        <f t="shared" si="89"/>
        <v/>
      </c>
      <c s="95" t="str">
        <f t="shared" si="16"/>
        <v/>
      </c>
      <c s="98" t="str">
        <f t="shared" si="90" ref="AJ16:AJ17">IF(ISBLANK(V16),"",V16)</f>
        <v/>
      </c>
      <c s="97" t="str">
        <f t="array" ref="AK16">IFERROR(IF(AE16="ac"+ISNUMBER(SEARCH("'",AJ16))+AI16="","",IF(ISNUMBER(SEARCH("lw",AJ16)),W16+SUBSTITUTE(AJ16,"lw+",""),MROUND(_xlfn.SWITCH(AE16,"sq",AI$7,"bn",AJ$7,"dl",AK$7,"")*IF(AJ16&gt;10,AJ16/100,VLOOKUP(AJ16,_rpe,SUBSTITUTE(AI16,"+","")+1,0)),IF(_xlfn.SWITCH(AE16,"sq",AI$7,"bn",AJ$7,"dl",AK$7,"")&lt;IF(_uom="lbs",175,80),1.25,IF(_uom="lbs",5,2.5))))),"")</f>
        <v/>
      </c>
      <c s="70"/>
      <c s="65"/>
      <c s="97"/>
      <c s="44" t="str">
        <f>IFERROR(__xludf.DUMMYFUNCTION("IF(AK16=MAX(FILTER(AK$10:AK$199,LOOKUP(ROW(AE$10:AE$199),FILTER(ROW(AE$10:AE$199),AE$10:AE$199&lt;&gt;AE$9:AE$198))=LOOKUP(ROW(AE16),FILTER(ROW(AE$10:AE$199),AE$10:AE$199&lt;&gt;AE$9:AE$198)))),AL16,)"),"")</f>
        <v/>
      </c>
      <c s="42"/>
      <c s="65"/>
      <c s="64" t="str">
        <f t="shared" si="17"/>
        <v/>
      </c>
      <c s="65" t="str">
        <f>IFERROR(__xludf.DUMMYFUNCTION("""COMPUTED_VALUE"""),"")</f>
        <v/>
      </c>
      <c s="66">
        <f ca="1"/>
        <v>45229</v>
      </c>
      <c s="93" t="str">
        <f t="shared" si="91" ref="AU16:AV16">IF(ISBLANK(AG16),"",AG16)</f>
        <v/>
      </c>
      <c s="94" t="str">
        <f t="shared" si="91"/>
        <v/>
      </c>
      <c s="95" t="str">
        <f t="shared" si="92" ref="AW16:AW17">IF(OR(ISBLANK(AI16),AI16=""),"",AI16)</f>
        <v/>
      </c>
      <c s="98" t="str">
        <f t="shared" si="93" ref="AX16:AX23">IF(ISBLANK(AJ16),"",AJ16)</f>
        <v/>
      </c>
      <c s="97" t="str">
        <f t="array" ref="AY16">IFERROR(IF(AS16="ac"+ISNUMBER(SEARCH("'",AX16))+AW16="","",IF(ISNUMBER(SEARCH("lw",AX16)),AK16+SUBSTITUTE(AX16,"lw+",""),MROUND(_xlfn.SWITCH(AS16,"sq",AW$7,"bn",AX$7,"dl",AY$7,"")*IF(AX16&gt;10,AX16/100,VLOOKUP(AX16,_rpe,SUBSTITUTE(AW16,"+","")+1,0)),IF(_xlfn.SWITCH(AS16,"sq",AW$7,"bn",AX$7,"dl",AY$7,"")&lt;IF(_uom="lbs",175,80),1.25,IF(_uom="lbs",5,2.5))))),"")</f>
        <v/>
      </c>
      <c s="70"/>
      <c s="65"/>
      <c s="97"/>
      <c s="44" t="str">
        <f>IFERROR(__xludf.DUMMYFUNCTION("IF(AY16=MAX(FILTER(AY$10:AY$199,LOOKUP(ROW(AS$10:AS$199),FILTER(ROW(AS$10:AS$199),AS$10:AS$199&lt;&gt;AS$9:AS$198))=LOOKUP(ROW(AS16),FILTER(ROW(AS$10:AS$199),AS$10:AS$199&lt;&gt;AS$9:AS$198)))),AZ16,)"),"")</f>
        <v/>
      </c>
      <c s="42"/>
      <c s="65"/>
      <c s="64" t="str">
        <f t="shared" si="19"/>
        <v/>
      </c>
      <c s="65" t="str">
        <f>IFERROR(__xludf.DUMMYFUNCTION("""COMPUTED_VALUE"""),"")</f>
        <v/>
      </c>
      <c s="66">
        <f ca="1"/>
        <v>45236</v>
      </c>
      <c s="93" t="str">
        <f t="shared" si="20"/>
        <v/>
      </c>
      <c s="94" t="str">
        <f t="shared" si="94" ref="BJ16:BJ17">IF(ISBLANK(AV16),"",AV16)</f>
        <v/>
      </c>
      <c s="95" t="str">
        <f t="shared" si="95" ref="BK16:BK17">IF(OR(ISBLANK(AW16),AW16=""),"",AW16)</f>
        <v/>
      </c>
      <c s="98"/>
      <c s="97" t="str">
        <f t="array" ref="BM16">IFERROR(IF(BG16="ac"+ISNUMBER(SEARCH("'",BL16))+BK16="","",IF(ISNUMBER(SEARCH("lw",BL16)),AY16+SUBSTITUTE(BL16,"lw+",""),MROUND(_xlfn.SWITCH(BG16,"sq",BK$7,"bn",BL$7,"dl",BM$7,"")*IF(BL16&gt;10,BL16/100,VLOOKUP(BL16,_rpe,SUBSTITUTE(BK16,"+","")+1,0)),IF(_xlfn.SWITCH(BG16,"sq",BK$7,"bn",BL$7,"dl",BM$7,"")&lt;IF(_uom="lbs",175,80),1.25,IF(_uom="lbs",5,2.5))))),"")</f>
        <v/>
      </c>
      <c s="70"/>
      <c s="65"/>
      <c s="97"/>
      <c s="44" t="str">
        <f>IFERROR(__xludf.DUMMYFUNCTION("IF(BM16=MAX(FILTER(BM$10:BM$199,LOOKUP(ROW(BG$10:BG$199),FILTER(ROW(BG$10:BG$199),BG$10:BG$199&lt;&gt;BG$9:BG$198))=LOOKUP(ROW(BG16),FILTER(ROW(BG$10:BG$199),BG$10:BG$199&lt;&gt;BG$9:BG$198)))),BN16,)"),"")</f>
        <v/>
      </c>
      <c s="42"/>
      <c s="65"/>
      <c s="64" t="str">
        <f t="shared" si="21"/>
        <v/>
      </c>
      <c s="65" t="str">
        <f>IFERROR(__xludf.DUMMYFUNCTION("""COMPUTED_VALUE"""),"")</f>
        <v/>
      </c>
      <c s="66">
        <f ca="1"/>
        <v>45243</v>
      </c>
      <c s="93" t="str">
        <f t="shared" si="22"/>
        <v/>
      </c>
      <c s="94" t="str">
        <f t="shared" si="96" ref="BX16:BX17">IF(ISBLANK(BJ16),"",BJ16)</f>
        <v/>
      </c>
      <c s="95" t="str">
        <f t="shared" si="23"/>
        <v/>
      </c>
      <c s="98" t="str">
        <f t="shared" si="97" ref="BZ16:BZ17">IF(ISBLANK(BL16),"",BL16)</f>
        <v/>
      </c>
      <c s="97" t="str">
        <f t="array" ref="CA16">IFERROR(IF(BU16="ac"+ISNUMBER(SEARCH("'",BZ16))+BY16="","",IF(ISNUMBER(SEARCH("lw",BZ16)),BM16+SUBSTITUTE(BZ16,"lw+",""),MROUND(_xlfn.SWITCH(BU16,"sq",BY$7,"bn",BZ$7,"dl",CA$7,"")*IF(BZ16&gt;10,BZ16/100,VLOOKUP(BZ16,_rpe,SUBSTITUTE(BY16,"+","")+1,0)),IF(_xlfn.SWITCH(BU16,"sq",BY$7,"bn",BZ$7,"dl",CA$7,"")&lt;IF(_uom="lbs",175,80),1.25,IF(_uom="lbs",5,2.5))))),"")</f>
        <v/>
      </c>
      <c s="70"/>
      <c s="65"/>
      <c s="97"/>
      <c s="44" t="str">
        <f>IFERROR(__xludf.DUMMYFUNCTION("IF(CA16=MAX(FILTER(CA$10:CA$199,LOOKUP(ROW(BU$10:BU$199),FILTER(ROW(BU$10:BU$199),BU$10:BU$199&lt;&gt;BU$9:BU$198))=LOOKUP(ROW(BU16),FILTER(ROW(BU$10:BU$199),BU$10:BU$199&lt;&gt;BU$9:BU$198)))),CB16,)"),"")</f>
        <v/>
      </c>
      <c s="42"/>
      <c s="65"/>
      <c s="64" t="str">
        <f t="shared" si="24"/>
        <v/>
      </c>
      <c s="65" t="str">
        <f>IFERROR(__xludf.DUMMYFUNCTION("""COMPUTED_VALUE"""),"")</f>
        <v/>
      </c>
      <c s="66">
        <f ca="1"/>
        <v>45250</v>
      </c>
      <c s="93" t="str">
        <f t="shared" si="44"/>
        <v/>
      </c>
      <c s="94" t="str">
        <f t="shared" si="62"/>
        <v/>
      </c>
      <c s="95" t="str">
        <f t="shared" si="26"/>
        <v/>
      </c>
      <c s="98" t="str">
        <f t="shared" si="98" ref="CN16:CN17">IF(ISBLANK(BZ16),"",BZ16)</f>
        <v/>
      </c>
      <c s="97" t="str">
        <f t="array" ref="CO16">IFERROR(IF(CI16="ac"+ISNUMBER(SEARCH("'",CN16))+CM16="","",IF(ISNUMBER(SEARCH("lw",CN16)),CA16+SUBSTITUTE(CN16,"lw+",""),MROUND(_xlfn.SWITCH(CI16,"sq",CM$7,"bn",CN$7,"dl",CO$7,"")*IF(CN16&gt;10,CN16/100,VLOOKUP(CN16,_rpe,SUBSTITUTE(CM16,"+","")+1,0)),IF(_xlfn.SWITCH(CI16,"sq",CM$7,"bn",CN$7,"dl",CO$7,"")&lt;IF(_uom="lbs",175,80),1.25,IF(_uom="lbs",5,2.5))))),"")</f>
        <v/>
      </c>
      <c s="70"/>
      <c s="65"/>
      <c s="97"/>
      <c s="44" t="str">
        <f>IFERROR(__xludf.DUMMYFUNCTION("IF(CO16=MAX(FILTER(CO$10:CO$199,LOOKUP(ROW(CI$10:CI$199),FILTER(ROW(CI$10:CI$199),CI$10:CI$199&lt;&gt;CI$9:CI$198))=LOOKUP(ROW(CI16),FILTER(ROW(CI$10:CI$199),CI$10:CI$199&lt;&gt;CI$9:CI$198)))),CP16,)"),"")</f>
        <v/>
      </c>
      <c s="42"/>
      <c s="65"/>
      <c s="64" t="str">
        <f t="shared" si="27"/>
        <v/>
      </c>
      <c s="65" t="str">
        <f>IFERROR(__xludf.DUMMYFUNCTION("""COMPUTED_VALUE"""),"")</f>
        <v/>
      </c>
      <c s="66">
        <f ca="1"/>
        <v>45257</v>
      </c>
      <c s="93" t="str">
        <f t="shared" si="45"/>
        <v/>
      </c>
      <c s="94" t="str">
        <f t="shared" si="64"/>
        <v/>
      </c>
      <c s="95" t="str">
        <f t="shared" si="29"/>
        <v/>
      </c>
      <c s="98" t="str">
        <f t="shared" si="99" ref="DB16:DB31">IF(ISBLANK(CN16),"",CN16)</f>
        <v/>
      </c>
      <c s="97" t="str">
        <f t="array" ref="DC16">IFERROR(IF(CW16="ac"+ISNUMBER(SEARCH("'",DB16))+DA16="","",IF(ISNUMBER(SEARCH("lw",DB16)),CO16+SUBSTITUTE(DB16,"lw+",""),MROUND(_xlfn.SWITCH(CW16,"sq",DA$7,"bn",DB$7,"dl",DC$7,"")*IF(DB16&gt;10,DB16/100,VLOOKUP(DB16,_rpe,SUBSTITUTE(DA16,"+","")+1,0)),IF(_xlfn.SWITCH(CW16,"sq",DA$7,"bn",DB$7,"dl",DC$7,"")&lt;IF(_uom="lbs",175,80),1.25,IF(_uom="lbs",5,2.5))))),"")</f>
        <v/>
      </c>
      <c s="70"/>
      <c s="65"/>
      <c s="97"/>
      <c s="44" t="str">
        <f>IFERROR(__xludf.DUMMYFUNCTION("IF(DC16=MAX(FILTER(DC$10:DC$199,LOOKUP(ROW(CW$10:CW$199),FILTER(ROW(CW$10:CW$199),CW$10:CW$199&lt;&gt;CW$9:CW$198))=LOOKUP(ROW(CW16),FILTER(ROW(CW$10:CW$199),CW$10:CW$199&lt;&gt;CW$9:CW$198)))),DD16,)"),"")</f>
        <v/>
      </c>
      <c s="42"/>
      <c s="65"/>
      <c s="64" t="str">
        <f t="shared" si="30"/>
        <v/>
      </c>
      <c s="65" t="str">
        <f>IFERROR(__xludf.DUMMYFUNCTION("""COMPUTED_VALUE"""),"")</f>
        <v/>
      </c>
      <c s="66">
        <f ca="1"/>
        <v>45264</v>
      </c>
      <c s="93" t="str">
        <f t="shared" si="46"/>
        <v/>
      </c>
      <c s="94" t="str">
        <f t="shared" si="100" ref="DN16:DN36">IF(ISBLANK(CZ16),"",CZ16)</f>
        <v/>
      </c>
      <c s="95" t="str">
        <f t="shared" si="101" ref="DO16:DO17">IF(OR(ISBLANK(DA16),DA16=""),"",DA16)</f>
        <v/>
      </c>
      <c s="98" t="str">
        <f t="shared" si="102" ref="DP16:DP17">IF(ISBLANK(DB16),"",DB16)</f>
        <v/>
      </c>
      <c s="97" t="str">
        <f t="array" ref="DQ16">IFERROR(IF(DK16="ac"+ISNUMBER(SEARCH("'",DP16))+DO16="","",IF(ISNUMBER(SEARCH("lw",DP16)),DC16+SUBSTITUTE(DP16,"lw+",""),MROUND(_xlfn.SWITCH(DK16,"sq",DO$7,"bn",DP$7,"dl",DQ$7,"")*IF(DP16&gt;10,DP16/100,VLOOKUP(DP16,_rpe,SUBSTITUTE(DO16,"+","")+1,0)),IF(_xlfn.SWITCH(DK16,"sq",DO$7,"bn",DP$7,"dl",DQ$7,"")&lt;IF(_uom="lbs",175,80),1.25,IF(_uom="lbs",5,2.5))))),"")</f>
        <v/>
      </c>
      <c s="70"/>
      <c s="65"/>
      <c s="97"/>
      <c s="44" t="str">
        <f>IFERROR(__xludf.DUMMYFUNCTION("IF(DQ16=MAX(FILTER(DQ$10:DQ$199,LOOKUP(ROW(DK$10:DK$199),FILTER(ROW(DK$10:DK$199),DK$10:DK$199&lt;&gt;DK$9:DK$198))=LOOKUP(ROW(DK16),FILTER(ROW(DK$10:DK$199),DK$10:DK$199&lt;&gt;DK$9:DK$198)))),DR16,)"),"")</f>
        <v/>
      </c>
      <c s="42"/>
      <c s="65"/>
      <c s="64" t="str">
        <f t="shared" si="32"/>
        <v/>
      </c>
      <c s="65" t="str">
        <f>IFERROR(__xludf.DUMMYFUNCTION("""COMPUTED_VALUE"""),"")</f>
        <v/>
      </c>
      <c s="66">
        <f ca="1"/>
        <v>45271</v>
      </c>
      <c s="93" t="str">
        <f t="shared" si="47"/>
        <v/>
      </c>
      <c s="94" t="str">
        <f t="shared" si="86"/>
        <v/>
      </c>
      <c s="95" t="str">
        <f t="shared" si="103" ref="EC16:EC17">IF(OR(ISBLANK(DO16),DO16=""),"",DO16)</f>
        <v/>
      </c>
      <c s="98" t="str">
        <f t="shared" si="104" ref="ED16:ED17">IF(ISBLANK(DP16),"",DP16)</f>
        <v/>
      </c>
      <c s="97" t="str">
        <f t="array" ref="EE16">IFERROR(IF(DY16="ac"+ISNUMBER(SEARCH("'",ED16))+EC16="","",IF(ISNUMBER(SEARCH("lw",ED16)),DQ16+SUBSTITUTE(ED16,"lw+",""),MROUND(_xlfn.SWITCH(DY16,"sq",EC$7,"bn",ED$7,"dl",EE$7,"")*IF(ED16&gt;10,ED16/100,VLOOKUP(ED16,_rpe,SUBSTITUTE(EC16,"+","")+1,0)),IF(_xlfn.SWITCH(DY16,"sq",EC$7,"bn",ED$7,"dl",EE$7,"")&lt;IF(_uom="lbs",175,80),1.25,IF(_uom="lbs",5,2.5))))),"")</f>
        <v/>
      </c>
      <c s="70"/>
      <c s="65"/>
      <c s="97"/>
      <c s="44" t="str">
        <f>IFERROR(__xludf.DUMMYFUNCTION("IF(EE16=MAX(FILTER(EE$10:EE$199,LOOKUP(ROW(DY$10:DY$199),FILTER(ROW(DY$10:DY$199),DY$10:DY$199&lt;&gt;DY$9:DY$198))=LOOKUP(ROW(DY16),FILTER(ROW(DY$10:DY$199),DY$10:DY$199&lt;&gt;DY$9:DY$198)))),EF16,)"),"")</f>
        <v/>
      </c>
      <c s="42"/>
      <c s="65"/>
      <c s="64" t="str">
        <f t="shared" si="34"/>
        <v/>
      </c>
      <c s="65" t="str">
        <f>IFERROR(__xludf.DUMMYFUNCTION("""COMPUTED_VALUE"""),"")</f>
        <v/>
      </c>
      <c s="66">
        <f ca="1"/>
        <v>45278</v>
      </c>
      <c s="93" t="str">
        <f t="shared" si="48"/>
        <v/>
      </c>
      <c s="94" t="str">
        <f t="shared" si="105" ref="EP16:EP31">IF(ISBLANK(EB16),"",EB16)</f>
        <v/>
      </c>
      <c s="95" t="str">
        <f t="shared" si="106" ref="EQ16:EQ17">IF(OR(ISBLANK(EC16),EC16=""),"",EC16)</f>
        <v/>
      </c>
      <c s="98" t="str">
        <f t="shared" si="107" ref="ER16:ER31">IF(ISBLANK(ED16),"",ED16)</f>
        <v/>
      </c>
      <c s="97" t="str">
        <f t="array" ref="ES16">IFERROR(IF(EM16="ac"+ISNUMBER(SEARCH("'",ER16))+EQ16="","",IF(ISNUMBER(SEARCH("lw",ER16)),EE16+SUBSTITUTE(ER16,"lw+",""),MROUND(_xlfn.SWITCH(EM16,"sq",EQ$7,"bn",ER$7,"dl",ES$7,"")*IF(ER16&gt;10,ER16/100,VLOOKUP(ER16,_rpe,SUBSTITUTE(EQ16,"+","")+1,0)),IF(_xlfn.SWITCH(EM16,"sq",EQ$7,"bn",ER$7,"dl",ES$7,"")&lt;IF(_uom="lbs",175,80),1.25,IF(_uom="lbs",5,2.5))))),"")</f>
        <v/>
      </c>
      <c s="70"/>
      <c s="65"/>
      <c s="97"/>
      <c s="44" t="str">
        <f>IFERROR(__xludf.DUMMYFUNCTION("IF(ES16=MAX(FILTER(ES$10:ES$199,LOOKUP(ROW(EM$10:EM$199),FILTER(ROW(EM$10:EM$199),EM$10:EM$199&lt;&gt;EM$9:EM$198))=LOOKUP(ROW(EM16),FILTER(ROW(EM$10:EM$199),EM$10:EM$199&lt;&gt;EM$9:EM$198)))),ET16,)"),"")</f>
        <v/>
      </c>
      <c s="42"/>
      <c s="65"/>
      <c s="64" t="str">
        <f t="shared" si="36"/>
        <v/>
      </c>
      <c s="65" t="str">
        <f>IFERROR(__xludf.DUMMYFUNCTION("""COMPUTED_VALUE"""),"")</f>
        <v/>
      </c>
      <c s="66">
        <f ca="1"/>
        <v>45285</v>
      </c>
      <c s="93" t="str">
        <f t="shared" si="49"/>
        <v/>
      </c>
      <c s="94" t="str">
        <f t="shared" si="108" ref="FD16:FD31">IF(ISBLANK(EP16),"",EP16)</f>
        <v/>
      </c>
      <c s="95" t="str">
        <f t="shared" si="109" ref="FE16:FE17">IF(OR(ISBLANK(EQ16),EQ16=""),"",EQ16)</f>
        <v/>
      </c>
      <c s="98" t="str">
        <f t="shared" si="110" ref="FF16:FF31">IF(ISBLANK(ER16),"",ER16)</f>
        <v/>
      </c>
      <c s="97" t="str">
        <f t="array" ref="FG16">IFERROR(IF(FA16="ac"+ISNUMBER(SEARCH("'",FF16))+FE16="","",IF(ISNUMBER(SEARCH("lw",FF16)),ES16+SUBSTITUTE(FF16,"lw+",""),MROUND(_xlfn.SWITCH(FA16,"sq",FE$7,"bn",FF$7,"dl",FG$7,"")*IF(FF16&gt;10,FF16/100,VLOOKUP(FF16,_rpe,SUBSTITUTE(FE16,"+","")+1,0)),IF(_xlfn.SWITCH(FA16,"sq",FE$7,"bn",FF$7,"dl",FG$7,"")&lt;IF(_uom="lbs",175,80),1.25,IF(_uom="lbs",5,2.5))))),"")</f>
        <v/>
      </c>
      <c s="70"/>
      <c s="65"/>
      <c s="97"/>
      <c s="44" t="str">
        <f>IFERROR(__xludf.DUMMYFUNCTION("IF(FG16=MAX(FILTER(FG$10:FG$199,LOOKUP(ROW(FA$10:FA$199),FILTER(ROW(FA$10:FA$199),FA$10:FA$199&lt;&gt;FA$9:FA$198))=LOOKUP(ROW(FA16),FILTER(ROW(FA$10:FA$199),FA$10:FA$199&lt;&gt;FA$9:FA$198)))),FH16,)"),"")</f>
        <v/>
      </c>
      <c s="42"/>
      <c s="65"/>
      <c s="64" t="str">
        <f t="shared" si="38"/>
        <v/>
      </c>
      <c s="65" t="str">
        <f>IFERROR(__xludf.DUMMYFUNCTION("""COMPUTED_VALUE"""),"")</f>
        <v/>
      </c>
      <c s="66">
        <f ca="1"/>
        <v>45292</v>
      </c>
      <c s="93" t="str">
        <f t="shared" si="39"/>
        <v/>
      </c>
      <c s="94" t="str">
        <f t="shared" si="111" ref="FR16:FR17">IF(ISBLANK(FD16),"",FD16)</f>
        <v/>
      </c>
      <c s="95" t="str">
        <f t="shared" si="112" ref="FS16:FS17">IF(OR(ISBLANK(FE16),FE16=""),"",FE16)</f>
        <v/>
      </c>
      <c s="98" t="str">
        <f t="shared" si="113" ref="FT16:FT17">IF(ISBLANK(FF16),"",FF16)</f>
        <v/>
      </c>
      <c s="97" t="str">
        <f t="array" ref="FU16">IFERROR(IF(FO16="ac"+ISNUMBER(SEARCH("'",FT16))+FS16="","",IF(ISNUMBER(SEARCH("lw",FT16)),FG16+SUBSTITUTE(FT16,"lw+",""),MROUND(_xlfn.SWITCH(FO16,"sq",FS$7,"bn",FT$7,"dl",FU$7,"")*IF(FT16&gt;10,FT16/100,VLOOKUP(FT16,_rpe,SUBSTITUTE(FS16,"+","")+1,0)),IF(_xlfn.SWITCH(FO16,"sq",FS$7,"bn",FT$7,"dl",FU$7,"")&lt;IF(_uom="lbs",175,80),1.25,IF(_uom="lbs",5,2.5))))),"")</f>
        <v/>
      </c>
      <c s="70"/>
      <c s="65"/>
      <c s="97"/>
      <c s="44" t="str">
        <f>IFERROR(__xludf.DUMMYFUNCTION("IF(FU16=MAX(FILTER(FU$10:FU$199,LOOKUP(ROW(FO$10:FO$199),FILTER(ROW(FO$10:FO$199),FO$10:FO$199&lt;&gt;FO$9:FO$198))=LOOKUP(ROW(FO16),FILTER(ROW(FO$10:FO$199),FO$10:FO$199&lt;&gt;FO$9:FO$198)))),FV16,)"),"")</f>
        <v/>
      </c>
      <c s="42"/>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64" t="str">
        <f t="shared" si="41"/>
        <v>#REF!</v>
      </c>
      <c s="65"/>
      <c s="66" t="e">
        <f ca="1"/>
        <v>#REF!</v>
      </c>
    </row>
    <row r="17" spans="1:259" ht="15.75" hidden="1" outlineLevel="1">
      <c r="A17" s="63"/>
      <c s="64"/>
      <c s="65" t="str">
        <f>IFERROR(__xludf.DUMMYFUNCTION("""COMPUTED_VALUE"""),"")</f>
        <v/>
      </c>
      <c s="66">
        <f ca="1"/>
        <v>45208</v>
      </c>
      <c s="93"/>
      <c s="94"/>
      <c s="95"/>
      <c s="96"/>
      <c s="97" t="str">
        <f t="array" ref="I17">IFERROR(IF(C17="ac"+ISNUMBER(SEARCH("'",H17))+G17="","",MROUND(_xlfn.SWITCH(C17,"sq",'Personal Info'!$O$15,"bn",'Personal Info'!$S$15,"dl",'Personal Info'!$W$15,"")*IF(H17&gt;10,H17/100,VLOOKUP(H17,_rpe,SUBSTITUTE(G17,"+","")+1,0)),IF(_xlfn.SWITCH(C17:C210,"sq",'Personal Info'!$O$15,"bn",'Personal Info'!$S$15,"dl",'Personal Info'!$W$15,"")&lt;IF(_uom="lbs",175,80),1.25,IF(_uom="lbs",5,2.5)))),"")</f>
        <v/>
      </c>
      <c s="70"/>
      <c s="63"/>
      <c s="97"/>
      <c s="44" t="str">
        <f>IFERROR(__xludf.DUMMYFUNCTION("IF(I17=MAX(FILTER(I$10:I$199,LOOKUP(ROW(C$10:C$199),FILTER(ROW(C$10:C$199),C$10:C$199&lt;&gt;C$9:C$198))=LOOKUP(ROW(C17),FILTER(ROW(C$10:C$199),C$10:C$199&lt;&gt;C$9:C$198)))),J17,)"),"")</f>
        <v/>
      </c>
      <c s="42"/>
      <c s="65"/>
      <c s="64" t="str">
        <f t="shared" si="11"/>
        <v/>
      </c>
      <c s="65" t="str">
        <f>IFERROR(__xludf.DUMMYFUNCTION("""COMPUTED_VALUE"""),"")</f>
        <v/>
      </c>
      <c s="66">
        <f ca="1"/>
        <v>45215</v>
      </c>
      <c s="93" t="str">
        <f t="shared" si="12"/>
        <v/>
      </c>
      <c s="94" t="str">
        <f t="shared" si="87"/>
        <v/>
      </c>
      <c s="95" t="str">
        <f t="shared" si="13"/>
        <v/>
      </c>
      <c s="98" t="str">
        <f t="shared" si="88"/>
        <v/>
      </c>
      <c s="97" t="str">
        <f t="array" ref="W17">IFERROR(IF(Q17="ac"+ISNUMBER(SEARCH("'",V17))+U17="","",IF(ISNUMBER(SEARCH("lw",V17)),I17+SUBSTITUTE(V17,"lw+",""),MROUND(_xlfn.SWITCH(Q17,"sq",U$7,"bn",V$7,"dl",W$7,"")*IF(V17&gt;10,V17/100,VLOOKUP(V17,_rpe,SUBSTITUTE(U17,"+","")+1,0)),IF(_xlfn.SWITCH(Q17,"sq",U$7,"bn",V$7,"dl",W$7,"")&lt;IF(_uom="lbs",175,80),1.25,IF(_uom="lbs",5,2.5))))),"")</f>
        <v/>
      </c>
      <c s="70"/>
      <c s="63"/>
      <c s="97"/>
      <c s="44" t="str">
        <f>IFERROR(__xludf.DUMMYFUNCTION("IF(W17=MAX(FILTER(W$10:W$199,LOOKUP(ROW(Q$10:Q$199),FILTER(ROW(Q$10:Q$199),Q$10:Q$199&lt;&gt;Q$9:Q$198))=LOOKUP(ROW(Q17),FILTER(ROW(Q$10:Q$199),Q$10:Q$199&lt;&gt;Q$9:Q$198)))),X17,)"),"")</f>
        <v/>
      </c>
      <c s="42"/>
      <c s="65"/>
      <c s="64" t="str">
        <f t="shared" si="14"/>
        <v/>
      </c>
      <c s="65" t="str">
        <f>IFERROR(__xludf.DUMMYFUNCTION("""COMPUTED_VALUE"""),"")</f>
        <v/>
      </c>
      <c s="66">
        <f ca="1"/>
        <v>45222</v>
      </c>
      <c s="93" t="str">
        <f t="shared" si="114" ref="AG17:AH17">IF(ISBLANK(S17),"",S17)</f>
        <v/>
      </c>
      <c s="94" t="str">
        <f t="shared" si="114"/>
        <v/>
      </c>
      <c s="95" t="str">
        <f t="shared" si="16"/>
        <v/>
      </c>
      <c s="98" t="str">
        <f t="shared" si="90"/>
        <v/>
      </c>
      <c s="97" t="str">
        <f t="array" ref="AK17">IFERROR(IF(AE17="ac"+ISNUMBER(SEARCH("'",AJ17))+AI17="","",IF(ISNUMBER(SEARCH("lw",AJ17)),W17+SUBSTITUTE(AJ17,"lw+",""),MROUND(_xlfn.SWITCH(AE17,"sq",AI$7,"bn",AJ$7,"dl",AK$7,"")*IF(AJ17&gt;10,AJ17/100,VLOOKUP(AJ17,_rpe,SUBSTITUTE(AI17,"+","")+1,0)),IF(_xlfn.SWITCH(AE17,"sq",AI$7,"bn",AJ$7,"dl",AK$7,"")&lt;IF(_uom="lbs",175,80),1.25,IF(_uom="lbs",5,2.5))))),"")</f>
        <v/>
      </c>
      <c s="70"/>
      <c s="63"/>
      <c s="97"/>
      <c s="44" t="str">
        <f>IFERROR(__xludf.DUMMYFUNCTION("IF(AK17=MAX(FILTER(AK$10:AK$199,LOOKUP(ROW(AE$10:AE$199),FILTER(ROW(AE$10:AE$199),AE$10:AE$199&lt;&gt;AE$9:AE$198))=LOOKUP(ROW(AE17),FILTER(ROW(AE$10:AE$199),AE$10:AE$199&lt;&gt;AE$9:AE$198)))),AL17,)"),"")</f>
        <v/>
      </c>
      <c s="42"/>
      <c s="65"/>
      <c s="64" t="str">
        <f t="shared" si="17"/>
        <v/>
      </c>
      <c s="65" t="str">
        <f>IFERROR(__xludf.DUMMYFUNCTION("""COMPUTED_VALUE"""),"")</f>
        <v/>
      </c>
      <c s="66">
        <f ca="1"/>
        <v>45229</v>
      </c>
      <c s="93" t="str">
        <f t="shared" si="115" ref="AU17:AV17">IF(ISBLANK(AG17),"",AG17)</f>
        <v/>
      </c>
      <c s="94" t="str">
        <f t="shared" si="115"/>
        <v/>
      </c>
      <c s="95" t="str">
        <f t="shared" si="92"/>
        <v/>
      </c>
      <c s="98" t="str">
        <f t="shared" si="93"/>
        <v/>
      </c>
      <c s="97" t="str">
        <f t="array" ref="AY17">IFERROR(IF(AS17="ac"+ISNUMBER(SEARCH("'",AX17))+AW17="","",IF(ISNUMBER(SEARCH("lw",AX17)),AK17+SUBSTITUTE(AX17,"lw+",""),MROUND(_xlfn.SWITCH(AS17,"sq",AW$7,"bn",AX$7,"dl",AY$7,"")*IF(AX17&gt;10,AX17/100,VLOOKUP(AX17,_rpe,SUBSTITUTE(AW17,"+","")+1,0)),IF(_xlfn.SWITCH(AS17,"sq",AW$7,"bn",AX$7,"dl",AY$7,"")&lt;IF(_uom="lbs",175,80),1.25,IF(_uom="lbs",5,2.5))))),"")</f>
        <v/>
      </c>
      <c s="70"/>
      <c s="63"/>
      <c s="97"/>
      <c s="44" t="str">
        <f>IFERROR(__xludf.DUMMYFUNCTION("IF(AY17=MAX(FILTER(AY$10:AY$199,LOOKUP(ROW(AS$10:AS$199),FILTER(ROW(AS$10:AS$199),AS$10:AS$199&lt;&gt;AS$9:AS$198))=LOOKUP(ROW(AS17),FILTER(ROW(AS$10:AS$199),AS$10:AS$199&lt;&gt;AS$9:AS$198)))),AZ17,)"),"")</f>
        <v/>
      </c>
      <c s="42"/>
      <c s="65"/>
      <c s="64" t="str">
        <f t="shared" si="19"/>
        <v/>
      </c>
      <c s="65" t="str">
        <f>IFERROR(__xludf.DUMMYFUNCTION("""COMPUTED_VALUE"""),"")</f>
        <v/>
      </c>
      <c s="66">
        <f ca="1"/>
        <v>45236</v>
      </c>
      <c s="93" t="str">
        <f t="shared" si="20"/>
        <v/>
      </c>
      <c s="94" t="str">
        <f t="shared" si="94"/>
        <v/>
      </c>
      <c s="95" t="str">
        <f t="shared" si="95"/>
        <v/>
      </c>
      <c s="98"/>
      <c s="97" t="str">
        <f t="array" ref="BM17">IFERROR(IF(BG17="ac"+ISNUMBER(SEARCH("'",BL17))+BK17="","",IF(ISNUMBER(SEARCH("lw",BL17)),AY17+SUBSTITUTE(BL17,"lw+",""),MROUND(_xlfn.SWITCH(BG17,"sq",BK$7,"bn",BL$7,"dl",BM$7,"")*IF(BL17&gt;10,BL17/100,VLOOKUP(BL17,_rpe,SUBSTITUTE(BK17,"+","")+1,0)),IF(_xlfn.SWITCH(BG17,"sq",BK$7,"bn",BL$7,"dl",BM$7,"")&lt;IF(_uom="lbs",175,80),1.25,IF(_uom="lbs",5,2.5))))),"")</f>
        <v/>
      </c>
      <c s="70"/>
      <c s="63"/>
      <c s="97"/>
      <c s="44" t="str">
        <f>IFERROR(__xludf.DUMMYFUNCTION("IF(BM17=MAX(FILTER(BM$10:BM$199,LOOKUP(ROW(BG$10:BG$199),FILTER(ROW(BG$10:BG$199),BG$10:BG$199&lt;&gt;BG$9:BG$198))=LOOKUP(ROW(BG17),FILTER(ROW(BG$10:BG$199),BG$10:BG$199&lt;&gt;BG$9:BG$198)))),BN17,)"),"")</f>
        <v/>
      </c>
      <c s="42"/>
      <c s="65"/>
      <c s="64" t="str">
        <f t="shared" si="21"/>
        <v/>
      </c>
      <c s="65" t="str">
        <f>IFERROR(__xludf.DUMMYFUNCTION("""COMPUTED_VALUE"""),"")</f>
        <v/>
      </c>
      <c s="66">
        <f ca="1"/>
        <v>45243</v>
      </c>
      <c s="93" t="str">
        <f t="shared" si="22"/>
        <v/>
      </c>
      <c s="94" t="str">
        <f t="shared" si="96"/>
        <v/>
      </c>
      <c s="95" t="str">
        <f t="shared" si="23"/>
        <v/>
      </c>
      <c s="98" t="str">
        <f t="shared" si="97"/>
        <v/>
      </c>
      <c s="97" t="str">
        <f t="array" ref="CA17">IFERROR(IF(BU17="ac"+ISNUMBER(SEARCH("'",BZ17))+BY17="","",IF(ISNUMBER(SEARCH("lw",BZ17)),BM17+SUBSTITUTE(BZ17,"lw+",""),MROUND(_xlfn.SWITCH(BU17,"sq",BY$7,"bn",BZ$7,"dl",CA$7,"")*IF(BZ17&gt;10,BZ17/100,VLOOKUP(BZ17,_rpe,SUBSTITUTE(BY17,"+","")+1,0)),IF(_xlfn.SWITCH(BU17,"sq",BY$7,"bn",BZ$7,"dl",CA$7,"")&lt;IF(_uom="lbs",175,80),1.25,IF(_uom="lbs",5,2.5))))),"")</f>
        <v/>
      </c>
      <c s="70"/>
      <c s="63"/>
      <c s="97"/>
      <c s="44" t="str">
        <f>IFERROR(__xludf.DUMMYFUNCTION("IF(CA17=MAX(FILTER(CA$10:CA$199,LOOKUP(ROW(BU$10:BU$199),FILTER(ROW(BU$10:BU$199),BU$10:BU$199&lt;&gt;BU$9:BU$198))=LOOKUP(ROW(BU17),FILTER(ROW(BU$10:BU$199),BU$10:BU$199&lt;&gt;BU$9:BU$198)))),CB17,)"),"")</f>
        <v/>
      </c>
      <c s="42"/>
      <c s="65"/>
      <c s="64" t="str">
        <f t="shared" si="24"/>
        <v/>
      </c>
      <c s="65" t="str">
        <f>IFERROR(__xludf.DUMMYFUNCTION("""COMPUTED_VALUE"""),"")</f>
        <v/>
      </c>
      <c s="66">
        <f ca="1"/>
        <v>45250</v>
      </c>
      <c s="93" t="str">
        <f t="shared" si="44"/>
        <v/>
      </c>
      <c s="94" t="str">
        <f t="shared" si="62"/>
        <v/>
      </c>
      <c s="95" t="str">
        <f t="shared" si="26"/>
        <v/>
      </c>
      <c s="98" t="str">
        <f t="shared" si="98"/>
        <v/>
      </c>
      <c s="97" t="str">
        <f t="array" ref="CO17">IFERROR(IF(CI17="ac"+ISNUMBER(SEARCH("'",CN17))+CM17="","",IF(ISNUMBER(SEARCH("lw",CN17)),CA17+SUBSTITUTE(CN17,"lw+",""),MROUND(_xlfn.SWITCH(CI17,"sq",CM$7,"bn",CN$7,"dl",CO$7,"")*IF(CN17&gt;10,CN17/100,VLOOKUP(CN17,_rpe,SUBSTITUTE(CM17,"+","")+1,0)),IF(_xlfn.SWITCH(CI17,"sq",CM$7,"bn",CN$7,"dl",CO$7,"")&lt;IF(_uom="lbs",175,80),1.25,IF(_uom="lbs",5,2.5))))),"")</f>
        <v/>
      </c>
      <c s="70"/>
      <c s="63"/>
      <c s="97"/>
      <c s="44" t="str">
        <f>IFERROR(__xludf.DUMMYFUNCTION("IF(CO17=MAX(FILTER(CO$10:CO$199,LOOKUP(ROW(CI$10:CI$199),FILTER(ROW(CI$10:CI$199),CI$10:CI$199&lt;&gt;CI$9:CI$198))=LOOKUP(ROW(CI17),FILTER(ROW(CI$10:CI$199),CI$10:CI$199&lt;&gt;CI$9:CI$198)))),CP17,)"),"")</f>
        <v/>
      </c>
      <c s="42"/>
      <c s="65"/>
      <c s="64" t="str">
        <f t="shared" si="27"/>
        <v/>
      </c>
      <c s="65" t="str">
        <f>IFERROR(__xludf.DUMMYFUNCTION("""COMPUTED_VALUE"""),"")</f>
        <v/>
      </c>
      <c s="66">
        <f ca="1"/>
        <v>45257</v>
      </c>
      <c s="93" t="str">
        <f t="shared" si="45"/>
        <v/>
      </c>
      <c s="94" t="str">
        <f t="shared" si="64"/>
        <v/>
      </c>
      <c s="95" t="str">
        <f t="shared" si="29"/>
        <v/>
      </c>
      <c s="98" t="str">
        <f t="shared" si="99"/>
        <v/>
      </c>
      <c s="97" t="str">
        <f t="array" ref="DC17">IFERROR(IF(CW17="ac"+ISNUMBER(SEARCH("'",DB17))+DA17="","",IF(ISNUMBER(SEARCH("lw",DB17)),CO17+SUBSTITUTE(DB17,"lw+",""),MROUND(_xlfn.SWITCH(CW17,"sq",DA$7,"bn",DB$7,"dl",DC$7,"")*IF(DB17&gt;10,DB17/100,VLOOKUP(DB17,_rpe,SUBSTITUTE(DA17,"+","")+1,0)),IF(_xlfn.SWITCH(CW17,"sq",DA$7,"bn",DB$7,"dl",DC$7,"")&lt;IF(_uom="lbs",175,80),1.25,IF(_uom="lbs",5,2.5))))),"")</f>
        <v/>
      </c>
      <c s="70"/>
      <c s="63"/>
      <c s="97"/>
      <c s="44" t="str">
        <f>IFERROR(__xludf.DUMMYFUNCTION("IF(DC17=MAX(FILTER(DC$10:DC$199,LOOKUP(ROW(CW$10:CW$199),FILTER(ROW(CW$10:CW$199),CW$10:CW$199&lt;&gt;CW$9:CW$198))=LOOKUP(ROW(CW17),FILTER(ROW(CW$10:CW$199),CW$10:CW$199&lt;&gt;CW$9:CW$198)))),DD17,)"),"")</f>
        <v/>
      </c>
      <c s="42"/>
      <c s="65"/>
      <c s="64" t="str">
        <f t="shared" si="30"/>
        <v/>
      </c>
      <c s="65" t="str">
        <f>IFERROR(__xludf.DUMMYFUNCTION("""COMPUTED_VALUE"""),"")</f>
        <v/>
      </c>
      <c s="66">
        <f ca="1"/>
        <v>45264</v>
      </c>
      <c s="93" t="str">
        <f t="shared" si="46"/>
        <v/>
      </c>
      <c s="94" t="str">
        <f t="shared" si="100"/>
        <v/>
      </c>
      <c s="95" t="str">
        <f t="shared" si="101"/>
        <v/>
      </c>
      <c s="98" t="str">
        <f t="shared" si="102"/>
        <v/>
      </c>
      <c s="97" t="str">
        <f t="array" ref="DQ17">IFERROR(IF(DK17="ac"+ISNUMBER(SEARCH("'",DP17))+DO17="","",IF(ISNUMBER(SEARCH("lw",DP17)),DC17+SUBSTITUTE(DP17,"lw+",""),MROUND(_xlfn.SWITCH(DK17,"sq",DO$7,"bn",DP$7,"dl",DQ$7,"")*IF(DP17&gt;10,DP17/100,VLOOKUP(DP17,_rpe,SUBSTITUTE(DO17,"+","")+1,0)),IF(_xlfn.SWITCH(DK17,"sq",DO$7,"bn",DP$7,"dl",DQ$7,"")&lt;IF(_uom="lbs",175,80),1.25,IF(_uom="lbs",5,2.5))))),"")</f>
        <v/>
      </c>
      <c s="70"/>
      <c s="63"/>
      <c s="97"/>
      <c s="44" t="str">
        <f>IFERROR(__xludf.DUMMYFUNCTION("IF(DQ17=MAX(FILTER(DQ$10:DQ$199,LOOKUP(ROW(DK$10:DK$199),FILTER(ROW(DK$10:DK$199),DK$10:DK$199&lt;&gt;DK$9:DK$198))=LOOKUP(ROW(DK17),FILTER(ROW(DK$10:DK$199),DK$10:DK$199&lt;&gt;DK$9:DK$198)))),DR17,)"),"")</f>
        <v/>
      </c>
      <c s="42"/>
      <c s="65"/>
      <c s="64" t="str">
        <f t="shared" si="32"/>
        <v/>
      </c>
      <c s="65" t="str">
        <f>IFERROR(__xludf.DUMMYFUNCTION("""COMPUTED_VALUE"""),"")</f>
        <v/>
      </c>
      <c s="66">
        <f ca="1"/>
        <v>45271</v>
      </c>
      <c s="93" t="str">
        <f t="shared" si="47"/>
        <v/>
      </c>
      <c s="94" t="str">
        <f t="shared" si="86"/>
        <v/>
      </c>
      <c s="95" t="str">
        <f t="shared" si="103"/>
        <v/>
      </c>
      <c s="98" t="str">
        <f t="shared" si="104"/>
        <v/>
      </c>
      <c s="97" t="str">
        <f t="array" ref="EE17">IFERROR(IF(DY17="ac"+ISNUMBER(SEARCH("'",ED17))+EC17="","",IF(ISNUMBER(SEARCH("lw",ED17)),DQ17+SUBSTITUTE(ED17,"lw+",""),MROUND(_xlfn.SWITCH(DY17,"sq",EC$7,"bn",ED$7,"dl",EE$7,"")*IF(ED17&gt;10,ED17/100,VLOOKUP(ED17,_rpe,SUBSTITUTE(EC17,"+","")+1,0)),IF(_xlfn.SWITCH(DY17,"sq",EC$7,"bn",ED$7,"dl",EE$7,"")&lt;IF(_uom="lbs",175,80),1.25,IF(_uom="lbs",5,2.5))))),"")</f>
        <v/>
      </c>
      <c s="70"/>
      <c s="63"/>
      <c s="97"/>
      <c s="44" t="str">
        <f>IFERROR(__xludf.DUMMYFUNCTION("IF(EE17=MAX(FILTER(EE$10:EE$199,LOOKUP(ROW(DY$10:DY$199),FILTER(ROW(DY$10:DY$199),DY$10:DY$199&lt;&gt;DY$9:DY$198))=LOOKUP(ROW(DY17),FILTER(ROW(DY$10:DY$199),DY$10:DY$199&lt;&gt;DY$9:DY$198)))),EF17,)"),"")</f>
        <v/>
      </c>
      <c s="42"/>
      <c s="65"/>
      <c s="64" t="str">
        <f t="shared" si="34"/>
        <v/>
      </c>
      <c s="65" t="str">
        <f>IFERROR(__xludf.DUMMYFUNCTION("""COMPUTED_VALUE"""),"")</f>
        <v/>
      </c>
      <c s="66">
        <f ca="1"/>
        <v>45278</v>
      </c>
      <c s="93" t="str">
        <f t="shared" si="48"/>
        <v/>
      </c>
      <c s="94" t="str">
        <f t="shared" si="105"/>
        <v/>
      </c>
      <c s="95" t="str">
        <f t="shared" si="106"/>
        <v/>
      </c>
      <c s="98" t="str">
        <f t="shared" si="107"/>
        <v/>
      </c>
      <c s="97" t="str">
        <f t="array" ref="ES17">IFERROR(IF(EM17="ac"+ISNUMBER(SEARCH("'",ER17))+EQ17="","",IF(ISNUMBER(SEARCH("lw",ER17)),EE17+SUBSTITUTE(ER17,"lw+",""),MROUND(_xlfn.SWITCH(EM17,"sq",EQ$7,"bn",ER$7,"dl",ES$7,"")*IF(ER17&gt;10,ER17/100,VLOOKUP(ER17,_rpe,SUBSTITUTE(EQ17,"+","")+1,0)),IF(_xlfn.SWITCH(EM17,"sq",EQ$7,"bn",ER$7,"dl",ES$7,"")&lt;IF(_uom="lbs",175,80),1.25,IF(_uom="lbs",5,2.5))))),"")</f>
        <v/>
      </c>
      <c s="70"/>
      <c s="63"/>
      <c s="97"/>
      <c s="44" t="str">
        <f>IFERROR(__xludf.DUMMYFUNCTION("IF(ES17=MAX(FILTER(ES$10:ES$199,LOOKUP(ROW(EM$10:EM$199),FILTER(ROW(EM$10:EM$199),EM$10:EM$199&lt;&gt;EM$9:EM$198))=LOOKUP(ROW(EM17),FILTER(ROW(EM$10:EM$199),EM$10:EM$199&lt;&gt;EM$9:EM$198)))),ET17,)"),"")</f>
        <v/>
      </c>
      <c s="42"/>
      <c s="65"/>
      <c s="64" t="str">
        <f t="shared" si="36"/>
        <v/>
      </c>
      <c s="65" t="str">
        <f>IFERROR(__xludf.DUMMYFUNCTION("""COMPUTED_VALUE"""),"")</f>
        <v/>
      </c>
      <c s="66">
        <f ca="1"/>
        <v>45285</v>
      </c>
      <c s="93" t="str">
        <f t="shared" si="49"/>
        <v/>
      </c>
      <c s="94" t="str">
        <f t="shared" si="108"/>
        <v/>
      </c>
      <c s="95" t="str">
        <f t="shared" si="109"/>
        <v/>
      </c>
      <c s="98" t="str">
        <f t="shared" si="110"/>
        <v/>
      </c>
      <c s="97" t="str">
        <f t="array" ref="FG17">IFERROR(IF(FA17="ac"+ISNUMBER(SEARCH("'",FF17))+FE17="","",IF(ISNUMBER(SEARCH("lw",FF17)),ES17+SUBSTITUTE(FF17,"lw+",""),MROUND(_xlfn.SWITCH(FA17,"sq",FE$7,"bn",FF$7,"dl",FG$7,"")*IF(FF17&gt;10,FF17/100,VLOOKUP(FF17,_rpe,SUBSTITUTE(FE17,"+","")+1,0)),IF(_xlfn.SWITCH(FA17,"sq",FE$7,"bn",FF$7,"dl",FG$7,"")&lt;IF(_uom="lbs",175,80),1.25,IF(_uom="lbs",5,2.5))))),"")</f>
        <v/>
      </c>
      <c s="70"/>
      <c s="63"/>
      <c s="97"/>
      <c s="44" t="str">
        <f>IFERROR(__xludf.DUMMYFUNCTION("IF(FG17=MAX(FILTER(FG$10:FG$199,LOOKUP(ROW(FA$10:FA$199),FILTER(ROW(FA$10:FA$199),FA$10:FA$199&lt;&gt;FA$9:FA$198))=LOOKUP(ROW(FA17),FILTER(ROW(FA$10:FA$199),FA$10:FA$199&lt;&gt;FA$9:FA$198)))),FH17,)"),"")</f>
        <v/>
      </c>
      <c s="42"/>
      <c s="65"/>
      <c s="64" t="str">
        <f t="shared" si="38"/>
        <v/>
      </c>
      <c s="65" t="str">
        <f>IFERROR(__xludf.DUMMYFUNCTION("""COMPUTED_VALUE"""),"")</f>
        <v/>
      </c>
      <c s="66">
        <f ca="1"/>
        <v>45292</v>
      </c>
      <c s="93" t="str">
        <f t="shared" si="39"/>
        <v/>
      </c>
      <c s="94" t="str">
        <f t="shared" si="111"/>
        <v/>
      </c>
      <c s="95" t="str">
        <f t="shared" si="112"/>
        <v/>
      </c>
      <c s="98" t="str">
        <f t="shared" si="113"/>
        <v/>
      </c>
      <c s="97" t="str">
        <f t="array" ref="FU17">IFERROR(IF(FO17="ac"+ISNUMBER(SEARCH("'",FT17))+FS17="","",IF(ISNUMBER(SEARCH("lw",FT17)),FG17+SUBSTITUTE(FT17,"lw+",""),MROUND(_xlfn.SWITCH(FO17,"sq",FS$7,"bn",FT$7,"dl",FU$7,"")*IF(FT17&gt;10,FT17/100,VLOOKUP(FT17,_rpe,SUBSTITUTE(FS17,"+","")+1,0)),IF(_xlfn.SWITCH(FO17,"sq",FS$7,"bn",FT$7,"dl",FU$7,"")&lt;IF(_uom="lbs",175,80),1.25,IF(_uom="lbs",5,2.5))))),"")</f>
        <v/>
      </c>
      <c s="70"/>
      <c s="63"/>
      <c s="97"/>
      <c s="44" t="str">
        <f>IFERROR(__xludf.DUMMYFUNCTION("IF(FU17=MAX(FILTER(FU$10:FU$199,LOOKUP(ROW(FO$10:FO$199),FILTER(ROW(FO$10:FO$199),FO$10:FO$199&lt;&gt;FO$9:FO$198))=LOOKUP(ROW(FO17),FILTER(ROW(FO$10:FO$199),FO$10:FO$199&lt;&gt;FO$9:FO$198)))),FV17,)"),"")</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18" spans="1:259" ht="15.75" collapsed="1">
      <c r="A18" s="63"/>
      <c s="64" t="s">
        <v>137</v>
      </c>
      <c s="65" t="str">
        <f>IFERROR(__xludf.DUMMYFUNCTION("""COMPUTED_VALUE"""),"ac")</f>
        <v>ac</v>
      </c>
      <c s="66">
        <f ca="1"/>
        <v>45208</v>
      </c>
      <c s="93" t="s">
        <v>138</v>
      </c>
      <c s="94">
        <v>3</v>
      </c>
      <c s="95">
        <v>12</v>
      </c>
      <c s="106" t="s">
        <v>139</v>
      </c>
      <c s="97" t="str">
        <f t="array" ref="I18">IFERROR(IF(C18="ac"+ISNUMBER(SEARCH("'",H18))+G18="","",MROUND(_xlfn.SWITCH(C18,"sq",'Personal Info'!$O$15,"bn",'Personal Info'!$S$15,"dl",'Personal Info'!$W$15,"")*IF(H18&gt;10,H18/100,VLOOKUP(H18,_rpe,SUBSTITUTE(G18,"+","")+1,0)),IF(_xlfn.SWITCH(C18:C210,"sq",'Personal Info'!$O$15,"bn",'Personal Info'!$S$15,"dl",'Personal Info'!$W$15,"")&lt;IF(_uom="lbs",175,80),1.25,IF(_uom="lbs",5,2.5)))),"")</f>
        <v/>
      </c>
      <c s="70"/>
      <c s="63"/>
      <c s="97"/>
      <c s="44" t="str">
        <f>IFERROR(__xludf.DUMMYFUNCTION("IF(I18=MAX(FILTER(I$10:I$199,LOOKUP(ROW(C$10:C$199),FILTER(ROW(C$10:C$199),C$10:C$199&lt;&gt;C$9:C$198))=LOOKUP(ROW(C18),FILTER(ROW(C$10:C$199),C$10:C$199&lt;&gt;C$9:C$198)))),J18,)"),"")</f>
        <v/>
      </c>
      <c s="42"/>
      <c s="65"/>
      <c s="64" t="str">
        <f t="shared" si="11"/>
        <v>chest acc</v>
      </c>
      <c s="65" t="str">
        <f>IFERROR(__xludf.DUMMYFUNCTION("""COMPUTED_VALUE"""),"ac")</f>
        <v>ac</v>
      </c>
      <c s="66">
        <f ca="1"/>
        <v>45215</v>
      </c>
      <c s="93" t="str">
        <f t="shared" si="12"/>
        <v>Machine Chest Press</v>
      </c>
      <c s="94">
        <v>4</v>
      </c>
      <c s="95">
        <v>11</v>
      </c>
      <c s="106" t="s">
        <v>140</v>
      </c>
      <c s="97" t="str">
        <f t="array" ref="W18">IFERROR(IF(Q18="ac"+ISNUMBER(SEARCH("'",V18))+U18="","",IF(ISNUMBER(SEARCH("lw",V18)),I18+SUBSTITUTE(V18,"lw+",""),MROUND(_xlfn.SWITCH(Q18,"sq",U$7,"bn",V$7,"dl",W$7,"")*IF(V18&gt;10,V18/100,VLOOKUP(V18,_rpe,SUBSTITUTE(U18,"+","")+1,0)),IF(_xlfn.SWITCH(Q18,"sq",U$7,"bn",V$7,"dl",W$7,"")&lt;IF(_uom="lbs",175,80),1.25,IF(_uom="lbs",5,2.5))))),"")</f>
        <v/>
      </c>
      <c s="70"/>
      <c s="63"/>
      <c s="97"/>
      <c s="44" t="str">
        <f>IFERROR(__xludf.DUMMYFUNCTION("IF(W18=MAX(FILTER(W$10:W$199,LOOKUP(ROW(Q$10:Q$199),FILTER(ROW(Q$10:Q$199),Q$10:Q$199&lt;&gt;Q$9:Q$198))=LOOKUP(ROW(Q18),FILTER(ROW(Q$10:Q$199),Q$10:Q$199&lt;&gt;Q$9:Q$198)))),X18,)"),"")</f>
        <v/>
      </c>
      <c s="42"/>
      <c s="65"/>
      <c s="64" t="str">
        <f t="shared" si="14"/>
        <v>chest acc</v>
      </c>
      <c s="65" t="str">
        <f>IFERROR(__xludf.DUMMYFUNCTION("""COMPUTED_VALUE"""),"ac")</f>
        <v>ac</v>
      </c>
      <c s="66">
        <f ca="1"/>
        <v>45222</v>
      </c>
      <c s="93" t="str">
        <f t="shared" si="116" ref="AG18:AH18">IF(ISBLANK(S18),"",S18)</f>
        <v>Machine Chest Press</v>
      </c>
      <c s="94">
        <f t="shared" si="116"/>
        <v>4</v>
      </c>
      <c s="95">
        <v>10</v>
      </c>
      <c s="106" t="s">
        <v>141</v>
      </c>
      <c s="97" t="str">
        <f t="array" ref="AK18">IFERROR(IF(AE18="ac"+ISNUMBER(SEARCH("'",AJ18))+AI18="","",IF(ISNUMBER(SEARCH("lw",AJ18)),W18+SUBSTITUTE(AJ18,"lw+",""),MROUND(_xlfn.SWITCH(AE18,"sq",AI$7,"bn",AJ$7,"dl",AK$7,"")*IF(AJ18&gt;10,AJ18/100,VLOOKUP(AJ18,_rpe,SUBSTITUTE(AI18,"+","")+1,0)),IF(_xlfn.SWITCH(AE18,"sq",AI$7,"bn",AJ$7,"dl",AK$7,"")&lt;IF(_uom="lbs",175,80),1.25,IF(_uom="lbs",5,2.5))))),"")</f>
        <v/>
      </c>
      <c s="70"/>
      <c s="63"/>
      <c s="97"/>
      <c s="44" t="str">
        <f>IFERROR(__xludf.DUMMYFUNCTION("IF(AK18=MAX(FILTER(AK$10:AK$199,LOOKUP(ROW(AE$10:AE$199),FILTER(ROW(AE$10:AE$199),AE$10:AE$199&lt;&gt;AE$9:AE$198))=LOOKUP(ROW(AE18),FILTER(ROW(AE$10:AE$199),AE$10:AE$199&lt;&gt;AE$9:AE$198)))),AL18,)"),"")</f>
        <v/>
      </c>
      <c s="42"/>
      <c s="65"/>
      <c s="64" t="str">
        <f t="shared" si="17"/>
        <v>chest acc</v>
      </c>
      <c s="65" t="str">
        <f>IFERROR(__xludf.DUMMYFUNCTION("""COMPUTED_VALUE"""),"ac")</f>
        <v>ac</v>
      </c>
      <c s="66">
        <f ca="1"/>
        <v>45229</v>
      </c>
      <c s="93" t="str">
        <f t="shared" si="117" ref="AU18:AV18">IF(ISBLANK(AG18),"",AG18)</f>
        <v>Machine Chest Press</v>
      </c>
      <c s="94">
        <f t="shared" si="117"/>
        <v>4</v>
      </c>
      <c s="95">
        <v>9</v>
      </c>
      <c s="98" t="str">
        <f t="shared" si="93"/>
        <v>@8-9</v>
      </c>
      <c s="97" t="str">
        <f t="array" ref="AY18">IFERROR(IF(AS18="ac"+ISNUMBER(SEARCH("'",AX18))+AW18="","",IF(ISNUMBER(SEARCH("lw",AX18)),AK18+SUBSTITUTE(AX18,"lw+",""),MROUND(_xlfn.SWITCH(AS18,"sq",AW$7,"bn",AX$7,"dl",AY$7,"")*IF(AX18&gt;10,AX18/100,VLOOKUP(AX18,_rpe,SUBSTITUTE(AW18,"+","")+1,0)),IF(_xlfn.SWITCH(AS18,"sq",AW$7,"bn",AX$7,"dl",AY$7,"")&lt;IF(_uom="lbs",175,80),1.25,IF(_uom="lbs",5,2.5))))),"")</f>
        <v/>
      </c>
      <c s="70"/>
      <c s="63"/>
      <c s="97"/>
      <c s="44" t="str">
        <f>IFERROR(__xludf.DUMMYFUNCTION("IF(AY18=MAX(FILTER(AY$10:AY$199,LOOKUP(ROW(AS$10:AS$199),FILTER(ROW(AS$10:AS$199),AS$10:AS$199&lt;&gt;AS$9:AS$198))=LOOKUP(ROW(AS18),FILTER(ROW(AS$10:AS$199),AS$10:AS$199&lt;&gt;AS$9:AS$198)))),AZ18,)"),"")</f>
        <v/>
      </c>
      <c s="42"/>
      <c s="65"/>
      <c s="64" t="str">
        <f t="shared" si="19"/>
        <v>chest acc</v>
      </c>
      <c s="65" t="str">
        <f>IFERROR(__xludf.DUMMYFUNCTION("""COMPUTED_VALUE"""),"ac")</f>
        <v>ac</v>
      </c>
      <c s="66">
        <f ca="1"/>
        <v>45236</v>
      </c>
      <c s="93" t="str">
        <f t="shared" si="20"/>
        <v>Machine Chest Press</v>
      </c>
      <c s="94">
        <v>2</v>
      </c>
      <c s="95">
        <v>12</v>
      </c>
      <c s="106" t="s">
        <v>142</v>
      </c>
      <c s="97" t="str">
        <f t="array" ref="BM18">IFERROR(IF(BG18="ac"+ISNUMBER(SEARCH("'",BL18))+BK18="","",IF(ISNUMBER(SEARCH("lw",BL18)),AY18+SUBSTITUTE(BL18,"lw+",""),MROUND(_xlfn.SWITCH(BG18,"sq",BK$7,"bn",BL$7,"dl",BM$7,"")*IF(BL18&gt;10,BL18/100,VLOOKUP(BL18,_rpe,SUBSTITUTE(BK18,"+","")+1,0)),IF(_xlfn.SWITCH(BG18,"sq",BK$7,"bn",BL$7,"dl",BM$7,"")&lt;IF(_uom="lbs",175,80),1.25,IF(_uom="lbs",5,2.5))))),"")</f>
        <v/>
      </c>
      <c s="70"/>
      <c s="63"/>
      <c s="97"/>
      <c s="44" t="str">
        <f>IFERROR(__xludf.DUMMYFUNCTION("IF(BM18=MAX(FILTER(BM$10:BM$199,LOOKUP(ROW(BG$10:BG$199),FILTER(ROW(BG$10:BG$199),BG$10:BG$199&lt;&gt;BG$9:BG$198))=LOOKUP(ROW(BG18),FILTER(ROW(BG$10:BG$199),BG$10:BG$199&lt;&gt;BG$9:BG$198)))),BN18,)"),"")</f>
        <v/>
      </c>
      <c s="42"/>
      <c s="65"/>
      <c s="64" t="str">
        <f t="shared" si="21"/>
        <v>chest acc</v>
      </c>
      <c s="65" t="str">
        <f>IFERROR(__xludf.DUMMYFUNCTION("""COMPUTED_VALUE"""),"ac")</f>
        <v>ac</v>
      </c>
      <c s="66">
        <f ca="1"/>
        <v>45243</v>
      </c>
      <c s="93" t="str">
        <f t="shared" si="22"/>
        <v>Machine Chest Press</v>
      </c>
      <c s="94">
        <f>IF(OR(gen="SELECT",gen="MALE"),3,4)</f>
        <v>3</v>
      </c>
      <c s="95">
        <v>11</v>
      </c>
      <c s="106" t="s">
        <v>140</v>
      </c>
      <c s="97" t="str">
        <f t="array" ref="CA18">IFERROR(IF(BU18="ac"+ISNUMBER(SEARCH("'",BZ18))+BY18="","",IF(ISNUMBER(SEARCH("lw",BZ18)),BM18+SUBSTITUTE(BZ18,"lw+",""),MROUND(_xlfn.SWITCH(BU18,"sq",BY$7,"bn",BZ$7,"dl",CA$7,"")*IF(BZ18&gt;10,BZ18/100,VLOOKUP(BZ18,_rpe,SUBSTITUTE(BY18,"+","")+1,0)),IF(_xlfn.SWITCH(BU18,"sq",BY$7,"bn",BZ$7,"dl",CA$7,"")&lt;IF(_uom="lbs",175,80),1.25,IF(_uom="lbs",5,2.5))))),"")</f>
        <v/>
      </c>
      <c s="70"/>
      <c s="63"/>
      <c s="97"/>
      <c s="44" t="str">
        <f>IFERROR(__xludf.DUMMYFUNCTION("IF(CA18=MAX(FILTER(CA$10:CA$199,LOOKUP(ROW(BU$10:BU$199),FILTER(ROW(BU$10:BU$199),BU$10:BU$199&lt;&gt;BU$9:BU$198))=LOOKUP(ROW(BU18),FILTER(ROW(BU$10:BU$199),BU$10:BU$199&lt;&gt;BU$9:BU$198)))),CB18,)"),"")</f>
        <v/>
      </c>
      <c s="42"/>
      <c s="65"/>
      <c s="64" t="str">
        <f t="shared" si="24"/>
        <v>chest acc</v>
      </c>
      <c s="65" t="str">
        <f>IFERROR(__xludf.DUMMYFUNCTION("""COMPUTED_VALUE"""),"ac")</f>
        <v>ac</v>
      </c>
      <c s="66">
        <f ca="1"/>
        <v>45250</v>
      </c>
      <c s="93" t="str">
        <f t="shared" si="44"/>
        <v>Machine Chest Press</v>
      </c>
      <c s="94">
        <f t="shared" si="62"/>
        <v>3</v>
      </c>
      <c s="95">
        <v>10</v>
      </c>
      <c s="106" t="s">
        <v>141</v>
      </c>
      <c s="97" t="str">
        <f t="array" ref="CO18">IFERROR(IF(CI18="ac"+ISNUMBER(SEARCH("'",CN18))+CM18="","",IF(ISNUMBER(SEARCH("lw",CN18)),CA18+SUBSTITUTE(CN18,"lw+",""),MROUND(_xlfn.SWITCH(CI18,"sq",CM$7,"bn",CN$7,"dl",CO$7,"")*IF(CN18&gt;10,CN18/100,VLOOKUP(CN18,_rpe,SUBSTITUTE(CM18,"+","")+1,0)),IF(_xlfn.SWITCH(CI18,"sq",CM$7,"bn",CN$7,"dl",CO$7,"")&lt;IF(_uom="lbs",175,80),1.25,IF(_uom="lbs",5,2.5))))),"")</f>
        <v/>
      </c>
      <c s="70"/>
      <c s="63"/>
      <c s="97"/>
      <c s="44" t="str">
        <f>IFERROR(__xludf.DUMMYFUNCTION("IF(CO18=MAX(FILTER(CO$10:CO$199,LOOKUP(ROW(CI$10:CI$199),FILTER(ROW(CI$10:CI$199),CI$10:CI$199&lt;&gt;CI$9:CI$198))=LOOKUP(ROW(CI18),FILTER(ROW(CI$10:CI$199),CI$10:CI$199&lt;&gt;CI$9:CI$198)))),CP18,)"),"")</f>
        <v/>
      </c>
      <c s="42"/>
      <c s="65"/>
      <c s="64" t="str">
        <f t="shared" si="27"/>
        <v>chest acc</v>
      </c>
      <c s="65" t="str">
        <f>IFERROR(__xludf.DUMMYFUNCTION("""COMPUTED_VALUE"""),"ac")</f>
        <v>ac</v>
      </c>
      <c s="66">
        <f ca="1"/>
        <v>45257</v>
      </c>
      <c s="93" t="str">
        <f t="shared" si="45"/>
        <v>Machine Chest Press</v>
      </c>
      <c s="94">
        <f t="shared" si="64"/>
        <v>3</v>
      </c>
      <c s="95">
        <v>9</v>
      </c>
      <c s="98" t="str">
        <f t="shared" si="99"/>
        <v>@8-9</v>
      </c>
      <c s="97" t="str">
        <f t="array" ref="DC18">IFERROR(IF(CW18="ac"+ISNUMBER(SEARCH("'",DB18))+DA18="","",IF(ISNUMBER(SEARCH("lw",DB18)),CO18+SUBSTITUTE(DB18,"lw+",""),MROUND(_xlfn.SWITCH(CW18,"sq",DA$7,"bn",DB$7,"dl",DC$7,"")*IF(DB18&gt;10,DB18/100,VLOOKUP(DB18,_rpe,SUBSTITUTE(DA18,"+","")+1,0)),IF(_xlfn.SWITCH(CW18,"sq",DA$7,"bn",DB$7,"dl",DC$7,"")&lt;IF(_uom="lbs",175,80),1.25,IF(_uom="lbs",5,2.5))))),"")</f>
        <v/>
      </c>
      <c s="70"/>
      <c s="63"/>
      <c s="97"/>
      <c s="44" t="str">
        <f>IFERROR(__xludf.DUMMYFUNCTION("IF(DC18=MAX(FILTER(DC$10:DC$199,LOOKUP(ROW(CW$10:CW$199),FILTER(ROW(CW$10:CW$199),CW$10:CW$199&lt;&gt;CW$9:CW$198))=LOOKUP(ROW(CW18),FILTER(ROW(CW$10:CW$199),CW$10:CW$199&lt;&gt;CW$9:CW$198)))),DD18,)"),"")</f>
        <v/>
      </c>
      <c s="42"/>
      <c s="65"/>
      <c s="64" t="str">
        <f t="shared" si="30"/>
        <v>chest acc</v>
      </c>
      <c s="65" t="str">
        <f>IFERROR(__xludf.DUMMYFUNCTION("""COMPUTED_VALUE"""),"ac")</f>
        <v>ac</v>
      </c>
      <c s="66">
        <f ca="1"/>
        <v>45264</v>
      </c>
      <c s="93" t="str">
        <f t="shared" si="46"/>
        <v>Machine Chest Press</v>
      </c>
      <c s="94">
        <f t="shared" si="100"/>
        <v>3</v>
      </c>
      <c s="95">
        <v>8</v>
      </c>
      <c s="106" t="s">
        <v>143</v>
      </c>
      <c s="97" t="str">
        <f t="array" ref="DQ18">IFERROR(IF(DK18="ac"+ISNUMBER(SEARCH("'",DP18))+DO18="","",IF(ISNUMBER(SEARCH("lw",DP18)),DC18+SUBSTITUTE(DP18,"lw+",""),MROUND(_xlfn.SWITCH(DK18,"sq",DO$7,"bn",DP$7,"dl",DQ$7,"")*IF(DP18&gt;10,DP18/100,VLOOKUP(DP18,_rpe,SUBSTITUTE(DO18,"+","")+1,0)),IF(_xlfn.SWITCH(DK18,"sq",DO$7,"bn",DP$7,"dl",DQ$7,"")&lt;IF(_uom="lbs",175,80),1.25,IF(_uom="lbs",5,2.5))))),"")</f>
        <v/>
      </c>
      <c s="70"/>
      <c s="63"/>
      <c s="97"/>
      <c s="44" t="str">
        <f>IFERROR(__xludf.DUMMYFUNCTION("IF(DQ18=MAX(FILTER(DQ$10:DQ$199,LOOKUP(ROW(DK$10:DK$199),FILTER(ROW(DK$10:DK$199),DK$10:DK$199&lt;&gt;DK$9:DK$198))=LOOKUP(ROW(DK18),FILTER(ROW(DK$10:DK$199),DK$10:DK$199&lt;&gt;DK$9:DK$198)))),DR18,)"),"")</f>
        <v/>
      </c>
      <c s="42"/>
      <c s="65"/>
      <c s="64" t="str">
        <f t="shared" si="32"/>
        <v>chest acc</v>
      </c>
      <c s="65" t="str">
        <f>IFERROR(__xludf.DUMMYFUNCTION("""COMPUTED_VALUE"""),"ac")</f>
        <v>ac</v>
      </c>
      <c s="66">
        <f ca="1"/>
        <v>45271</v>
      </c>
      <c s="93" t="str">
        <f t="shared" si="47"/>
        <v>Machine Chest Press</v>
      </c>
      <c s="94">
        <f t="shared" si="86"/>
        <v>3</v>
      </c>
      <c s="95">
        <v>10</v>
      </c>
      <c s="106" t="s">
        <v>141</v>
      </c>
      <c s="97" t="str">
        <f t="array" ref="EE18">IFERROR(IF(DY18="ac"+ISNUMBER(SEARCH("'",ED18))+EC18="","",IF(ISNUMBER(SEARCH("lw",ED18)),DQ18+SUBSTITUTE(ED18,"lw+",""),MROUND(_xlfn.SWITCH(DY18,"sq",EC$7,"bn",ED$7,"dl",EE$7,"")*IF(ED18&gt;10,ED18/100,VLOOKUP(ED18,_rpe,SUBSTITUTE(EC18,"+","")+1,0)),IF(_xlfn.SWITCH(DY18,"sq",EC$7,"bn",ED$7,"dl",EE$7,"")&lt;IF(_uom="lbs",175,80),1.25,IF(_uom="lbs",5,2.5))))),"")</f>
        <v/>
      </c>
      <c s="70"/>
      <c s="63"/>
      <c s="97"/>
      <c s="44" t="str">
        <f>IFERROR(__xludf.DUMMYFUNCTION("IF(EE18=MAX(FILTER(EE$10:EE$199,LOOKUP(ROW(DY$10:DY$199),FILTER(ROW(DY$10:DY$199),DY$10:DY$199&lt;&gt;DY$9:DY$198))=LOOKUP(ROW(DY18),FILTER(ROW(DY$10:DY$199),DY$10:DY$199&lt;&gt;DY$9:DY$198)))),EF18,)"),"")</f>
        <v/>
      </c>
      <c s="42"/>
      <c s="65"/>
      <c s="64" t="str">
        <f t="shared" si="34"/>
        <v>chest acc</v>
      </c>
      <c s="65" t="str">
        <f>IFERROR(__xludf.DUMMYFUNCTION("""COMPUTED_VALUE"""),"ac")</f>
        <v>ac</v>
      </c>
      <c s="66">
        <f ca="1"/>
        <v>45278</v>
      </c>
      <c s="93" t="str">
        <f t="shared" si="48"/>
        <v>Machine Chest Press</v>
      </c>
      <c s="94">
        <f t="shared" si="105"/>
        <v>3</v>
      </c>
      <c s="95">
        <v>9</v>
      </c>
      <c s="98" t="str">
        <f t="shared" si="107"/>
        <v>@8-9</v>
      </c>
      <c s="97" t="str">
        <f t="array" ref="ES18">IFERROR(IF(EM18="ac"+ISNUMBER(SEARCH("'",ER18))+EQ18="","",IF(ISNUMBER(SEARCH("lw",ER18)),EE18+SUBSTITUTE(ER18,"lw+",""),MROUND(_xlfn.SWITCH(EM18,"sq",EQ$7,"bn",ER$7,"dl",ES$7,"")*IF(ER18&gt;10,ER18/100,VLOOKUP(ER18,_rpe,SUBSTITUTE(EQ18,"+","")+1,0)),IF(_xlfn.SWITCH(EM18,"sq",EQ$7,"bn",ER$7,"dl",ES$7,"")&lt;IF(_uom="lbs",175,80),1.25,IF(_uom="lbs",5,2.5))))),"")</f>
        <v/>
      </c>
      <c s="70"/>
      <c s="63"/>
      <c s="97"/>
      <c s="44" t="str">
        <f>IFERROR(__xludf.DUMMYFUNCTION("IF(ES18=MAX(FILTER(ES$10:ES$199,LOOKUP(ROW(EM$10:EM$199),FILTER(ROW(EM$10:EM$199),EM$10:EM$199&lt;&gt;EM$9:EM$198))=LOOKUP(ROW(EM18),FILTER(ROW(EM$10:EM$199),EM$10:EM$199&lt;&gt;EM$9:EM$198)))),ET18,)"),"")</f>
        <v/>
      </c>
      <c s="42"/>
      <c s="65"/>
      <c s="64" t="str">
        <f t="shared" si="36"/>
        <v>chest acc</v>
      </c>
      <c s="65" t="str">
        <f>IFERROR(__xludf.DUMMYFUNCTION("""COMPUTED_VALUE"""),"ac")</f>
        <v>ac</v>
      </c>
      <c s="66">
        <f ca="1"/>
        <v>45285</v>
      </c>
      <c s="93" t="str">
        <f t="shared" si="49"/>
        <v>Machine Chest Press</v>
      </c>
      <c s="94">
        <f t="shared" si="108"/>
        <v>3</v>
      </c>
      <c s="95">
        <v>8</v>
      </c>
      <c s="98" t="str">
        <f t="shared" si="110"/>
        <v>@8-9</v>
      </c>
      <c s="97" t="str">
        <f t="array" ref="FG18">IFERROR(IF(FA18="ac"+ISNUMBER(SEARCH("'",FF18))+FE18="","",IF(ISNUMBER(SEARCH("lw",FF18)),ES18+SUBSTITUTE(FF18,"lw+",""),MROUND(_xlfn.SWITCH(FA18,"sq",FE$7,"bn",FF$7,"dl",FG$7,"")*IF(FF18&gt;10,FF18/100,VLOOKUP(FF18,_rpe,SUBSTITUTE(FE18,"+","")+1,0)),IF(_xlfn.SWITCH(FA18,"sq",FE$7,"bn",FF$7,"dl",FG$7,"")&lt;IF(_uom="lbs",175,80),1.25,IF(_uom="lbs",5,2.5))))),"")</f>
        <v/>
      </c>
      <c s="70"/>
      <c s="63"/>
      <c s="97"/>
      <c s="44" t="str">
        <f>IFERROR(__xludf.DUMMYFUNCTION("IF(FG18=MAX(FILTER(FG$10:FG$199,LOOKUP(ROW(FA$10:FA$199),FILTER(ROW(FA$10:FA$199),FA$10:FA$199&lt;&gt;FA$9:FA$198))=LOOKUP(ROW(FA18),FILTER(ROW(FA$10:FA$199),FA$10:FA$199&lt;&gt;FA$9:FA$198)))),FH18,)"),"")</f>
        <v/>
      </c>
      <c s="42"/>
      <c s="65"/>
      <c s="64" t="str">
        <f t="shared" si="38"/>
        <v>chest acc</v>
      </c>
      <c s="65" t="str">
        <f>IFERROR(__xludf.DUMMYFUNCTION("""COMPUTED_VALUE"""),"")</f>
        <v/>
      </c>
      <c s="66">
        <f ca="1"/>
        <v>45292</v>
      </c>
      <c s="93"/>
      <c s="94"/>
      <c s="95"/>
      <c s="98"/>
      <c s="97" t="str">
        <f t="array" ref="FU18">IFERROR(IF(FO18="ac"+ISNUMBER(SEARCH("'",FT18))+FS18="","",IF(ISNUMBER(SEARCH("lw",FT18)),FG18+SUBSTITUTE(FT18,"lw+",""),MROUND(_xlfn.SWITCH(FO18,"sq",FS$7,"bn",FT$7,"dl",FU$7,"")*IF(FT18&gt;10,FT18/100,VLOOKUP(FT18,_rpe,SUBSTITUTE(FS18,"+","")+1,0)),IF(_xlfn.SWITCH(FO18,"sq",FS$7,"bn",FT$7,"dl",FU$7,"")&lt;IF(_uom="lbs",175,80),1.25,IF(_uom="lbs",5,2.5))))),"")</f>
        <v/>
      </c>
      <c s="70"/>
      <c s="63"/>
      <c s="97"/>
      <c s="44" t="str">
        <f>IFERROR(__xludf.DUMMYFUNCTION("IF(FU18=MAX(FILTER(FU$10:FU$199,LOOKUP(ROW(FO$10:FO$199),FILTER(ROW(FO$10:FO$199),FO$10:FO$199&lt;&gt;FO$9:FO$198))=LOOKUP(ROW(FO18),FILTER(ROW(FO$10:FO$199),FO$10:FO$199&lt;&gt;FO$9:FO$198)))),FV18,)"),"")</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19" spans="1:259" ht="15.75" hidden="1" outlineLevel="1">
      <c r="A19" s="63"/>
      <c s="64"/>
      <c s="65" t="str">
        <f>IFERROR(__xludf.DUMMYFUNCTION("""COMPUTED_VALUE"""),"")</f>
        <v/>
      </c>
      <c s="66">
        <f ca="1"/>
        <v>45208</v>
      </c>
      <c s="93"/>
      <c s="94"/>
      <c s="95"/>
      <c s="96"/>
      <c s="97" t="str">
        <f t="array" ref="I19">IFERROR(IF(C19="ac"+ISNUMBER(SEARCH("'",H19))+G19="","",MROUND(_xlfn.SWITCH(C19,"sq",'Personal Info'!$O$15,"bn",'Personal Info'!$S$15,"dl",'Personal Info'!$W$15,"")*IF(H19&gt;10,H19/100,VLOOKUP(H19,_rpe,SUBSTITUTE(G19,"+","")+1,0)),IF(_xlfn.SWITCH(C19:C210,"sq",'Personal Info'!$O$15,"bn",'Personal Info'!$S$15,"dl",'Personal Info'!$W$15,"")&lt;IF(_uom="lbs",175,80),1.25,IF(_uom="lbs",5,2.5)))),"")</f>
        <v/>
      </c>
      <c s="70"/>
      <c s="63"/>
      <c s="97"/>
      <c s="44" t="str">
        <f>IFERROR(__xludf.DUMMYFUNCTION("IF(I19=MAX(FILTER(I$10:I$199,LOOKUP(ROW(C$10:C$199),FILTER(ROW(C$10:C$199),C$10:C$199&lt;&gt;C$9:C$198))=LOOKUP(ROW(C19),FILTER(ROW(C$10:C$199),C$10:C$199&lt;&gt;C$9:C$198)))),J19,)"),"")</f>
        <v/>
      </c>
      <c s="42"/>
      <c s="81"/>
      <c s="64" t="str">
        <f t="shared" si="11"/>
        <v/>
      </c>
      <c s="65" t="str">
        <f>IFERROR(__xludf.DUMMYFUNCTION("""COMPUTED_VALUE"""),"")</f>
        <v/>
      </c>
      <c s="66">
        <f ca="1"/>
        <v>45215</v>
      </c>
      <c s="93" t="str">
        <f t="shared" si="12"/>
        <v/>
      </c>
      <c s="94" t="str">
        <f t="shared" si="118" ref="T19:T21">IF(ISBLANK(F19),"",F19)</f>
        <v/>
      </c>
      <c s="95" t="str">
        <f t="shared" si="119" ref="U19:U21">IF(OR(ISBLANK(G19),G19=""),"",G19)</f>
        <v/>
      </c>
      <c s="98" t="str">
        <f t="shared" si="120" ref="V19:V21">IF(ISBLANK(H19),"",H19)</f>
        <v/>
      </c>
      <c s="97" t="str">
        <f t="array" ref="W19">IFERROR(IF(Q19="ac"+ISNUMBER(SEARCH("'",V19))+U19="","",IF(ISNUMBER(SEARCH("lw",V19)),I19+SUBSTITUTE(V19,"lw+",""),MROUND(_xlfn.SWITCH(Q19,"sq",U$7,"bn",V$7,"dl",W$7,"")*IF(V19&gt;10,V19/100,VLOOKUP(V19,_rpe,SUBSTITUTE(U19,"+","")+1,0)),IF(_xlfn.SWITCH(Q19,"sq",U$7,"bn",V$7,"dl",W$7,"")&lt;IF(_uom="lbs",175,80),1.25,IF(_uom="lbs",5,2.5))))),"")</f>
        <v/>
      </c>
      <c s="70"/>
      <c s="63"/>
      <c s="97"/>
      <c s="44" t="str">
        <f>IFERROR(__xludf.DUMMYFUNCTION("IF(W19=MAX(FILTER(W$10:W$199,LOOKUP(ROW(Q$10:Q$199),FILTER(ROW(Q$10:Q$199),Q$10:Q$199&lt;&gt;Q$9:Q$198))=LOOKUP(ROW(Q19),FILTER(ROW(Q$10:Q$199),Q$10:Q$199&lt;&gt;Q$9:Q$198)))),X19,)"),"")</f>
        <v/>
      </c>
      <c s="42"/>
      <c s="81"/>
      <c s="64" t="str">
        <f t="shared" si="14"/>
        <v/>
      </c>
      <c s="65" t="str">
        <f>IFERROR(__xludf.DUMMYFUNCTION("""COMPUTED_VALUE"""),"")</f>
        <v/>
      </c>
      <c s="66">
        <f ca="1"/>
        <v>45222</v>
      </c>
      <c s="93" t="str">
        <f t="shared" si="121" ref="AG19:AH19">IF(ISBLANK(S19),"",S19)</f>
        <v/>
      </c>
      <c s="94" t="str">
        <f t="shared" si="121"/>
        <v/>
      </c>
      <c s="95" t="str">
        <f t="shared" si="122" ref="AI19:AI21">IF(OR(ISBLANK(U19),U19=""),"",U19)</f>
        <v/>
      </c>
      <c s="98" t="str">
        <f t="shared" si="123" ref="AJ19:AJ23">IF(ISBLANK(V19),"",V19)</f>
        <v/>
      </c>
      <c s="97" t="str">
        <f t="array" ref="AK19">IFERROR(IF(AE19="ac"+ISNUMBER(SEARCH("'",AJ19))+AI19="","",IF(ISNUMBER(SEARCH("lw",AJ19)),W19+SUBSTITUTE(AJ19,"lw+",""),MROUND(_xlfn.SWITCH(AE19,"sq",AI$7,"bn",AJ$7,"dl",AK$7,"")*IF(AJ19&gt;10,AJ19/100,VLOOKUP(AJ19,_rpe,SUBSTITUTE(AI19,"+","")+1,0)),IF(_xlfn.SWITCH(AE19,"sq",AI$7,"bn",AJ$7,"dl",AK$7,"")&lt;IF(_uom="lbs",175,80),1.25,IF(_uom="lbs",5,2.5))))),"")</f>
        <v/>
      </c>
      <c s="70"/>
      <c s="63"/>
      <c s="97"/>
      <c s="44" t="str">
        <f>IFERROR(__xludf.DUMMYFUNCTION("IF(AK19=MAX(FILTER(AK$10:AK$199,LOOKUP(ROW(AE$10:AE$199),FILTER(ROW(AE$10:AE$199),AE$10:AE$199&lt;&gt;AE$9:AE$198))=LOOKUP(ROW(AE19),FILTER(ROW(AE$10:AE$199),AE$10:AE$199&lt;&gt;AE$9:AE$198)))),AL19,)"),"")</f>
        <v/>
      </c>
      <c s="42"/>
      <c s="81"/>
      <c s="64" t="str">
        <f t="shared" si="17"/>
        <v/>
      </c>
      <c s="65" t="str">
        <f>IFERROR(__xludf.DUMMYFUNCTION("""COMPUTED_VALUE"""),"")</f>
        <v/>
      </c>
      <c s="66">
        <f ca="1"/>
        <v>45229</v>
      </c>
      <c s="93" t="str">
        <f t="shared" si="124" ref="AU19:AV19">IF(ISBLANK(AG19),"",AG19)</f>
        <v/>
      </c>
      <c s="94" t="str">
        <f t="shared" si="124"/>
        <v/>
      </c>
      <c s="95" t="str">
        <f t="shared" si="125" ref="AW19:AW21">IF(OR(ISBLANK(AI19),AI19=""),"",AI19)</f>
        <v/>
      </c>
      <c s="98" t="str">
        <f t="shared" si="93"/>
        <v/>
      </c>
      <c s="97" t="str">
        <f t="array" ref="AY19">IFERROR(IF(AS19="ac"+ISNUMBER(SEARCH("'",AX19))+AW19="","",IF(ISNUMBER(SEARCH("lw",AX19)),AK19+SUBSTITUTE(AX19,"lw+",""),MROUND(_xlfn.SWITCH(AS19,"sq",AW$7,"bn",AX$7,"dl",AY$7,"")*IF(AX19&gt;10,AX19/100,VLOOKUP(AX19,_rpe,SUBSTITUTE(AW19,"+","")+1,0)),IF(_xlfn.SWITCH(AS19,"sq",AW$7,"bn",AX$7,"dl",AY$7,"")&lt;IF(_uom="lbs",175,80),1.25,IF(_uom="lbs",5,2.5))))),"")</f>
        <v/>
      </c>
      <c s="70"/>
      <c s="63"/>
      <c s="97"/>
      <c s="44" t="str">
        <f>IFERROR(__xludf.DUMMYFUNCTION("IF(AY19=MAX(FILTER(AY$10:AY$199,LOOKUP(ROW(AS$10:AS$199),FILTER(ROW(AS$10:AS$199),AS$10:AS$199&lt;&gt;AS$9:AS$198))=LOOKUP(ROW(AS19),FILTER(ROW(AS$10:AS$199),AS$10:AS$199&lt;&gt;AS$9:AS$198)))),AZ19,)"),"")</f>
        <v/>
      </c>
      <c s="42"/>
      <c s="81"/>
      <c s="64" t="str">
        <f t="shared" si="19"/>
        <v/>
      </c>
      <c s="65" t="str">
        <f>IFERROR(__xludf.DUMMYFUNCTION("""COMPUTED_VALUE"""),"")</f>
        <v/>
      </c>
      <c s="66">
        <f ca="1"/>
        <v>45236</v>
      </c>
      <c s="93" t="str">
        <f t="shared" si="20"/>
        <v/>
      </c>
      <c s="94" t="str">
        <f t="shared" si="126" ref="BJ19:BJ21">IF(ISBLANK(AV19),"",AV19)</f>
        <v/>
      </c>
      <c s="95" t="str">
        <f t="shared" si="127" ref="BK19:BK21">IF(OR(ISBLANK(AW19),AW19=""),"",AW19)</f>
        <v/>
      </c>
      <c s="98" t="str">
        <f t="shared" si="128" ref="BL19:BL21">IF(ISBLANK(AX19),"",AX19)</f>
        <v/>
      </c>
      <c s="97" t="str">
        <f t="array" ref="BM19">IFERROR(IF(BG19="ac"+ISNUMBER(SEARCH("'",BL19))+BK19="","",IF(ISNUMBER(SEARCH("lw",BL19)),AY19+SUBSTITUTE(BL19,"lw+",""),MROUND(_xlfn.SWITCH(BG19,"sq",BK$7,"bn",BL$7,"dl",BM$7,"")*IF(BL19&gt;10,BL19/100,VLOOKUP(BL19,_rpe,SUBSTITUTE(BK19,"+","")+1,0)),IF(_xlfn.SWITCH(BG19,"sq",BK$7,"bn",BL$7,"dl",BM$7,"")&lt;IF(_uom="lbs",175,80),1.25,IF(_uom="lbs",5,2.5))))),"")</f>
        <v/>
      </c>
      <c s="70"/>
      <c s="63"/>
      <c s="97"/>
      <c s="44" t="str">
        <f>IFERROR(__xludf.DUMMYFUNCTION("IF(BM19=MAX(FILTER(BM$10:BM$199,LOOKUP(ROW(BG$10:BG$199),FILTER(ROW(BG$10:BG$199),BG$10:BG$199&lt;&gt;BG$9:BG$198))=LOOKUP(ROW(BG19),FILTER(ROW(BG$10:BG$199),BG$10:BG$199&lt;&gt;BG$9:BG$198)))),BN19,)"),"")</f>
        <v/>
      </c>
      <c s="42"/>
      <c s="81"/>
      <c s="64" t="str">
        <f t="shared" si="21"/>
        <v/>
      </c>
      <c s="65" t="str">
        <f>IFERROR(__xludf.DUMMYFUNCTION("""COMPUTED_VALUE"""),"")</f>
        <v/>
      </c>
      <c s="66">
        <f ca="1"/>
        <v>45243</v>
      </c>
      <c s="93" t="str">
        <f t="shared" si="22"/>
        <v/>
      </c>
      <c s="94" t="str">
        <f t="shared" si="129" ref="BX19:BX21">IF(ISBLANK(BJ19),"",BJ19)</f>
        <v/>
      </c>
      <c s="95" t="str">
        <f t="shared" si="130" ref="BY19:BY21">IF(OR(ISBLANK(BK19),BK19=""),"",BK19)</f>
        <v/>
      </c>
      <c s="98" t="str">
        <f t="shared" si="131" ref="BZ19:BZ21">IF(ISBLANK(BL19),"",BL19)</f>
        <v/>
      </c>
      <c s="97" t="str">
        <f t="array" ref="CA19">IFERROR(IF(BU19="ac"+ISNUMBER(SEARCH("'",BZ19))+BY19="","",IF(ISNUMBER(SEARCH("lw",BZ19)),BM19+SUBSTITUTE(BZ19,"lw+",""),MROUND(_xlfn.SWITCH(BU19,"sq",BY$7,"bn",BZ$7,"dl",CA$7,"")*IF(BZ19&gt;10,BZ19/100,VLOOKUP(BZ19,_rpe,SUBSTITUTE(BY19,"+","")+1,0)),IF(_xlfn.SWITCH(BU19,"sq",BY$7,"bn",BZ$7,"dl",CA$7,"")&lt;IF(_uom="lbs",175,80),1.25,IF(_uom="lbs",5,2.5))))),"")</f>
        <v/>
      </c>
      <c s="70"/>
      <c s="63"/>
      <c s="97"/>
      <c s="44" t="str">
        <f>IFERROR(__xludf.DUMMYFUNCTION("IF(CA19=MAX(FILTER(CA$10:CA$199,LOOKUP(ROW(BU$10:BU$199),FILTER(ROW(BU$10:BU$199),BU$10:BU$199&lt;&gt;BU$9:BU$198))=LOOKUP(ROW(BU19),FILTER(ROW(BU$10:BU$199),BU$10:BU$199&lt;&gt;BU$9:BU$198)))),CB19,)"),"")</f>
        <v/>
      </c>
      <c s="42"/>
      <c s="81"/>
      <c s="64" t="str">
        <f t="shared" si="24"/>
        <v/>
      </c>
      <c s="65" t="str">
        <f>IFERROR(__xludf.DUMMYFUNCTION("""COMPUTED_VALUE"""),"")</f>
        <v/>
      </c>
      <c s="66">
        <f ca="1"/>
        <v>45250</v>
      </c>
      <c s="93" t="str">
        <f t="shared" si="44"/>
        <v/>
      </c>
      <c s="94" t="str">
        <f t="shared" si="62"/>
        <v/>
      </c>
      <c s="95" t="str">
        <f t="shared" si="132" ref="CM19:CM21">IF(OR(ISBLANK(BY19),BY19=""),"",BY19)</f>
        <v/>
      </c>
      <c s="98" t="str">
        <f t="shared" si="133" ref="CN19:CN21">IF(ISBLANK(BZ19),"",BZ19)</f>
        <v/>
      </c>
      <c s="97" t="str">
        <f t="array" ref="CO19">IFERROR(IF(CI19="ac"+ISNUMBER(SEARCH("'",CN19))+CM19="","",IF(ISNUMBER(SEARCH("lw",CN19)),CA19+SUBSTITUTE(CN19,"lw+",""),MROUND(_xlfn.SWITCH(CI19,"sq",CM$7,"bn",CN$7,"dl",CO$7,"")*IF(CN19&gt;10,CN19/100,VLOOKUP(CN19,_rpe,SUBSTITUTE(CM19,"+","")+1,0)),IF(_xlfn.SWITCH(CI19,"sq",CM$7,"bn",CN$7,"dl",CO$7,"")&lt;IF(_uom="lbs",175,80),1.25,IF(_uom="lbs",5,2.5))))),"")</f>
        <v/>
      </c>
      <c s="70"/>
      <c s="63"/>
      <c s="97"/>
      <c s="44" t="str">
        <f>IFERROR(__xludf.DUMMYFUNCTION("IF(CO19=MAX(FILTER(CO$10:CO$199,LOOKUP(ROW(CI$10:CI$199),FILTER(ROW(CI$10:CI$199),CI$10:CI$199&lt;&gt;CI$9:CI$198))=LOOKUP(ROW(CI19),FILTER(ROW(CI$10:CI$199),CI$10:CI$199&lt;&gt;CI$9:CI$198)))),CP19,)"),"")</f>
        <v/>
      </c>
      <c s="42"/>
      <c s="81"/>
      <c s="64" t="str">
        <f t="shared" si="27"/>
        <v/>
      </c>
      <c s="65" t="str">
        <f>IFERROR(__xludf.DUMMYFUNCTION("""COMPUTED_VALUE"""),"")</f>
        <v/>
      </c>
      <c s="66">
        <f ca="1"/>
        <v>45257</v>
      </c>
      <c s="93" t="str">
        <f t="shared" si="45"/>
        <v/>
      </c>
      <c s="94" t="str">
        <f t="shared" si="64"/>
        <v/>
      </c>
      <c s="95" t="str">
        <f t="shared" si="134" ref="DA19:DA21">IF(OR(ISBLANK(CM19),CM19=""),"",CM19)</f>
        <v/>
      </c>
      <c s="98" t="str">
        <f t="shared" si="99"/>
        <v/>
      </c>
      <c s="97" t="str">
        <f t="array" ref="DC19">IFERROR(IF(CW19="ac"+ISNUMBER(SEARCH("'",DB19))+DA19="","",IF(ISNUMBER(SEARCH("lw",DB19)),CO19+SUBSTITUTE(DB19,"lw+",""),MROUND(_xlfn.SWITCH(CW19,"sq",DA$7,"bn",DB$7,"dl",DC$7,"")*IF(DB19&gt;10,DB19/100,VLOOKUP(DB19,_rpe,SUBSTITUTE(DA19,"+","")+1,0)),IF(_xlfn.SWITCH(CW19,"sq",DA$7,"bn",DB$7,"dl",DC$7,"")&lt;IF(_uom="lbs",175,80),1.25,IF(_uom="lbs",5,2.5))))),"")</f>
        <v/>
      </c>
      <c s="70"/>
      <c s="63"/>
      <c s="97"/>
      <c s="44" t="str">
        <f>IFERROR(__xludf.DUMMYFUNCTION("IF(DC19=MAX(FILTER(DC$10:DC$199,LOOKUP(ROW(CW$10:CW$199),FILTER(ROW(CW$10:CW$199),CW$10:CW$199&lt;&gt;CW$9:CW$198))=LOOKUP(ROW(CW19),FILTER(ROW(CW$10:CW$199),CW$10:CW$199&lt;&gt;CW$9:CW$198)))),DD19,)"),"")</f>
        <v/>
      </c>
      <c s="42"/>
      <c s="81"/>
      <c s="64" t="str">
        <f t="shared" si="30"/>
        <v/>
      </c>
      <c s="65" t="str">
        <f>IFERROR(__xludf.DUMMYFUNCTION("""COMPUTED_VALUE"""),"")</f>
        <v/>
      </c>
      <c s="66">
        <f ca="1"/>
        <v>45264</v>
      </c>
      <c s="93" t="str">
        <f t="shared" si="46"/>
        <v/>
      </c>
      <c s="94" t="str">
        <f t="shared" si="100"/>
        <v/>
      </c>
      <c s="95" t="str">
        <f t="shared" si="135" ref="DO19:DO21">IF(OR(ISBLANK(DA19),DA19=""),"",DA19)</f>
        <v/>
      </c>
      <c s="98" t="str">
        <f t="shared" si="136" ref="DP19:DP21">IF(ISBLANK(DB19),"",DB19)</f>
        <v/>
      </c>
      <c s="97" t="str">
        <f t="array" ref="DQ19">IFERROR(IF(DK19="ac"+ISNUMBER(SEARCH("'",DP19))+DO19="","",IF(ISNUMBER(SEARCH("lw",DP19)),DC19+SUBSTITUTE(DP19,"lw+",""),MROUND(_xlfn.SWITCH(DK19,"sq",DO$7,"bn",DP$7,"dl",DQ$7,"")*IF(DP19&gt;10,DP19/100,VLOOKUP(DP19,_rpe,SUBSTITUTE(DO19,"+","")+1,0)),IF(_xlfn.SWITCH(DK19,"sq",DO$7,"bn",DP$7,"dl",DQ$7,"")&lt;IF(_uom="lbs",175,80),1.25,IF(_uom="lbs",5,2.5))))),"")</f>
        <v/>
      </c>
      <c s="70"/>
      <c s="63"/>
      <c s="97"/>
      <c s="44" t="str">
        <f>IFERROR(__xludf.DUMMYFUNCTION("IF(DQ19=MAX(FILTER(DQ$10:DQ$199,LOOKUP(ROW(DK$10:DK$199),FILTER(ROW(DK$10:DK$199),DK$10:DK$199&lt;&gt;DK$9:DK$198))=LOOKUP(ROW(DK19),FILTER(ROW(DK$10:DK$199),DK$10:DK$199&lt;&gt;DK$9:DK$198)))),DR19,)"),"")</f>
        <v/>
      </c>
      <c s="42"/>
      <c s="81"/>
      <c s="64" t="str">
        <f t="shared" si="32"/>
        <v/>
      </c>
      <c s="65" t="str">
        <f>IFERROR(__xludf.DUMMYFUNCTION("""COMPUTED_VALUE"""),"")</f>
        <v/>
      </c>
      <c s="66">
        <f ca="1"/>
        <v>45271</v>
      </c>
      <c s="93" t="str">
        <f t="shared" si="47"/>
        <v/>
      </c>
      <c s="94" t="str">
        <f t="shared" si="86"/>
        <v/>
      </c>
      <c s="95" t="str">
        <f t="shared" si="137" ref="EC19:EC21">IF(OR(ISBLANK(DO19),DO19=""),"",DO19)</f>
        <v/>
      </c>
      <c s="98" t="str">
        <f t="shared" si="138" ref="ED19:ED21">IF(ISBLANK(DP19),"",DP19)</f>
        <v/>
      </c>
      <c s="97" t="str">
        <f t="array" ref="EE19">IFERROR(IF(DY19="ac"+ISNUMBER(SEARCH("'",ED19))+EC19="","",IF(ISNUMBER(SEARCH("lw",ED19)),DQ19+SUBSTITUTE(ED19,"lw+",""),MROUND(_xlfn.SWITCH(DY19,"sq",EC$7,"bn",ED$7,"dl",EE$7,"")*IF(ED19&gt;10,ED19/100,VLOOKUP(ED19,_rpe,SUBSTITUTE(EC19,"+","")+1,0)),IF(_xlfn.SWITCH(DY19,"sq",EC$7,"bn",ED$7,"dl",EE$7,"")&lt;IF(_uom="lbs",175,80),1.25,IF(_uom="lbs",5,2.5))))),"")</f>
        <v/>
      </c>
      <c s="70"/>
      <c s="63"/>
      <c s="97"/>
      <c s="44" t="str">
        <f>IFERROR(__xludf.DUMMYFUNCTION("IF(EE19=MAX(FILTER(EE$10:EE$199,LOOKUP(ROW(DY$10:DY$199),FILTER(ROW(DY$10:DY$199),DY$10:DY$199&lt;&gt;DY$9:DY$198))=LOOKUP(ROW(DY19),FILTER(ROW(DY$10:DY$199),DY$10:DY$199&lt;&gt;DY$9:DY$198)))),EF19,)"),"")</f>
        <v/>
      </c>
      <c s="42"/>
      <c s="81"/>
      <c s="64" t="str">
        <f t="shared" si="34"/>
        <v/>
      </c>
      <c s="65" t="str">
        <f>IFERROR(__xludf.DUMMYFUNCTION("""COMPUTED_VALUE"""),"")</f>
        <v/>
      </c>
      <c s="66">
        <f ca="1"/>
        <v>45278</v>
      </c>
      <c s="93" t="str">
        <f t="shared" si="48"/>
        <v/>
      </c>
      <c s="94" t="str">
        <f t="shared" si="105"/>
        <v/>
      </c>
      <c s="95" t="str">
        <f t="shared" si="139" ref="EQ19:EQ21">IF(OR(ISBLANK(EC19),EC19=""),"",EC19)</f>
        <v/>
      </c>
      <c s="98" t="str">
        <f t="shared" si="107"/>
        <v/>
      </c>
      <c s="97" t="str">
        <f t="array" ref="ES19">IFERROR(IF(EM19="ac"+ISNUMBER(SEARCH("'",ER19))+EQ19="","",IF(ISNUMBER(SEARCH("lw",ER19)),EE19+SUBSTITUTE(ER19,"lw+",""),MROUND(_xlfn.SWITCH(EM19,"sq",EQ$7,"bn",ER$7,"dl",ES$7,"")*IF(ER19&gt;10,ER19/100,VLOOKUP(ER19,_rpe,SUBSTITUTE(EQ19,"+","")+1,0)),IF(_xlfn.SWITCH(EM19,"sq",EQ$7,"bn",ER$7,"dl",ES$7,"")&lt;IF(_uom="lbs",175,80),1.25,IF(_uom="lbs",5,2.5))))),"")</f>
        <v/>
      </c>
      <c s="70"/>
      <c s="63"/>
      <c s="97"/>
      <c s="44" t="str">
        <f>IFERROR(__xludf.DUMMYFUNCTION("IF(ES19=MAX(FILTER(ES$10:ES$199,LOOKUP(ROW(EM$10:EM$199),FILTER(ROW(EM$10:EM$199),EM$10:EM$199&lt;&gt;EM$9:EM$198))=LOOKUP(ROW(EM19),FILTER(ROW(EM$10:EM$199),EM$10:EM$199&lt;&gt;EM$9:EM$198)))),ET19,)"),"")</f>
        <v/>
      </c>
      <c s="42"/>
      <c s="81"/>
      <c s="64" t="str">
        <f t="shared" si="36"/>
        <v/>
      </c>
      <c s="65" t="str">
        <f>IFERROR(__xludf.DUMMYFUNCTION("""COMPUTED_VALUE"""),"")</f>
        <v/>
      </c>
      <c s="66">
        <f ca="1"/>
        <v>45285</v>
      </c>
      <c s="93" t="str">
        <f t="shared" si="49"/>
        <v/>
      </c>
      <c s="94" t="str">
        <f t="shared" si="108"/>
        <v/>
      </c>
      <c s="95" t="str">
        <f t="shared" si="140" ref="FE19:FE21">IF(OR(ISBLANK(EQ19),EQ19=""),"",EQ19)</f>
        <v/>
      </c>
      <c s="98" t="str">
        <f t="shared" si="110"/>
        <v/>
      </c>
      <c s="97" t="str">
        <f t="array" ref="FG19">IFERROR(IF(FA19="ac"+ISNUMBER(SEARCH("'",FF19))+FE19="","",IF(ISNUMBER(SEARCH("lw",FF19)),ES19+SUBSTITUTE(FF19,"lw+",""),MROUND(_xlfn.SWITCH(FA19,"sq",FE$7,"bn",FF$7,"dl",FG$7,"")*IF(FF19&gt;10,FF19/100,VLOOKUP(FF19,_rpe,SUBSTITUTE(FE19,"+","")+1,0)),IF(_xlfn.SWITCH(FA19,"sq",FE$7,"bn",FF$7,"dl",FG$7,"")&lt;IF(_uom="lbs",175,80),1.25,IF(_uom="lbs",5,2.5))))),"")</f>
        <v/>
      </c>
      <c s="70"/>
      <c s="63"/>
      <c s="97"/>
      <c s="44" t="str">
        <f>IFERROR(__xludf.DUMMYFUNCTION("IF(FG19=MAX(FILTER(FG$10:FG$199,LOOKUP(ROW(FA$10:FA$199),FILTER(ROW(FA$10:FA$199),FA$10:FA$199&lt;&gt;FA$9:FA$198))=LOOKUP(ROW(FA19),FILTER(ROW(FA$10:FA$199),FA$10:FA$199&lt;&gt;FA$9:FA$198)))),FH19,)"),"")</f>
        <v/>
      </c>
      <c s="42"/>
      <c s="81"/>
      <c s="64" t="str">
        <f t="shared" si="38"/>
        <v/>
      </c>
      <c s="65" t="str">
        <f>IFERROR(__xludf.DUMMYFUNCTION("""COMPUTED_VALUE"""),"")</f>
        <v/>
      </c>
      <c s="66">
        <f ca="1"/>
        <v>45292</v>
      </c>
      <c s="93"/>
      <c s="94"/>
      <c s="95"/>
      <c s="98"/>
      <c s="97" t="str">
        <f t="array" ref="FU19">IFERROR(IF(FO19="ac"+ISNUMBER(SEARCH("'",FT19))+FS19="","",IF(ISNUMBER(SEARCH("lw",FT19)),FG19+SUBSTITUTE(FT19,"lw+",""),MROUND(_xlfn.SWITCH(FO19,"sq",FS$7,"bn",FT$7,"dl",FU$7,"")*IF(FT19&gt;10,FT19/100,VLOOKUP(FT19,_rpe,SUBSTITUTE(FS19,"+","")+1,0)),IF(_xlfn.SWITCH(FO19,"sq",FS$7,"bn",FT$7,"dl",FU$7,"")&lt;IF(_uom="lbs",175,80),1.25,IF(_uom="lbs",5,2.5))))),"")</f>
        <v/>
      </c>
      <c s="70"/>
      <c s="63"/>
      <c s="97"/>
      <c s="44" t="str">
        <f>IFERROR(__xludf.DUMMYFUNCTION("IF(FU19=MAX(FILTER(FU$10:FU$199,LOOKUP(ROW(FO$10:FO$199),FILTER(ROW(FO$10:FO$199),FO$10:FO$199&lt;&gt;FO$9:FO$198))=LOOKUP(ROW(FO19),FILTER(ROW(FO$10:FO$199),FO$10:FO$199&lt;&gt;FO$9:FO$198)))),FV19,)"),"")</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20" spans="1:259" ht="15.75" hidden="1" outlineLevel="1">
      <c r="A20" s="63"/>
      <c s="64"/>
      <c s="65" t="str">
        <f>IFERROR(__xludf.DUMMYFUNCTION("""COMPUTED_VALUE"""),"")</f>
        <v/>
      </c>
      <c s="66">
        <f ca="1"/>
        <v>45208</v>
      </c>
      <c s="93"/>
      <c s="94"/>
      <c s="95"/>
      <c s="96"/>
      <c s="97" t="str">
        <f t="array" ref="I20">IFERROR(IF(C20="ac"+ISNUMBER(SEARCH("'",H20))+G20="","",MROUND(_xlfn.SWITCH(C20,"sq",'Personal Info'!$O$15,"bn",'Personal Info'!$S$15,"dl",'Personal Info'!$W$15,"")*IF(H20&gt;10,H20/100,VLOOKUP(H20,_rpe,SUBSTITUTE(G20,"+","")+1,0)),IF(_xlfn.SWITCH(C20:C210,"sq",'Personal Info'!$O$15,"bn",'Personal Info'!$S$15,"dl",'Personal Info'!$W$15,"")&lt;IF(_uom="lbs",175,80),1.25,IF(_uom="lbs",5,2.5)))),"")</f>
        <v/>
      </c>
      <c s="70"/>
      <c s="65"/>
      <c s="97"/>
      <c s="44" t="str">
        <f>IFERROR(__xludf.DUMMYFUNCTION("IF(I20=MAX(FILTER(I$10:I$199,LOOKUP(ROW(C$10:C$199),FILTER(ROW(C$10:C$199),C$10:C$199&lt;&gt;C$9:C$198))=LOOKUP(ROW(C20),FILTER(ROW(C$10:C$199),C$10:C$199&lt;&gt;C$9:C$198)))),J20,)"),"")</f>
        <v/>
      </c>
      <c s="42"/>
      <c s="65"/>
      <c s="64" t="str">
        <f t="shared" si="11"/>
        <v/>
      </c>
      <c s="65" t="str">
        <f>IFERROR(__xludf.DUMMYFUNCTION("""COMPUTED_VALUE"""),"")</f>
        <v/>
      </c>
      <c s="66">
        <f ca="1"/>
        <v>45215</v>
      </c>
      <c s="93" t="str">
        <f t="shared" si="12"/>
        <v/>
      </c>
      <c s="94" t="str">
        <f t="shared" si="118"/>
        <v/>
      </c>
      <c s="95" t="str">
        <f t="shared" si="119"/>
        <v/>
      </c>
      <c s="98" t="str">
        <f t="shared" si="120"/>
        <v/>
      </c>
      <c s="97" t="str">
        <f t="array" ref="W20">IFERROR(IF(Q20="ac"+ISNUMBER(SEARCH("'",V20))+U20="","",IF(ISNUMBER(SEARCH("lw",V20)),I20+SUBSTITUTE(V20,"lw+",""),MROUND(_xlfn.SWITCH(Q20,"sq",U$7,"bn",V$7,"dl",W$7,"")*IF(V20&gt;10,V20/100,VLOOKUP(V20,_rpe,SUBSTITUTE(U20,"+","")+1,0)),IF(_xlfn.SWITCH(Q20,"sq",U$7,"bn",V$7,"dl",W$7,"")&lt;IF(_uom="lbs",175,80),1.25,IF(_uom="lbs",5,2.5))))),"")</f>
        <v/>
      </c>
      <c s="70"/>
      <c s="65"/>
      <c s="97"/>
      <c s="44" t="str">
        <f>IFERROR(__xludf.DUMMYFUNCTION("IF(W20=MAX(FILTER(W$10:W$199,LOOKUP(ROW(Q$10:Q$199),FILTER(ROW(Q$10:Q$199),Q$10:Q$199&lt;&gt;Q$9:Q$198))=LOOKUP(ROW(Q20),FILTER(ROW(Q$10:Q$199),Q$10:Q$199&lt;&gt;Q$9:Q$198)))),X20,)"),"")</f>
        <v/>
      </c>
      <c s="42"/>
      <c s="65"/>
      <c s="64" t="str">
        <f t="shared" si="14"/>
        <v/>
      </c>
      <c s="65" t="str">
        <f>IFERROR(__xludf.DUMMYFUNCTION("""COMPUTED_VALUE"""),"")</f>
        <v/>
      </c>
      <c s="66">
        <f ca="1"/>
        <v>45222</v>
      </c>
      <c s="93" t="str">
        <f t="shared" si="141" ref="AG20:AH20">IF(ISBLANK(S20),"",S20)</f>
        <v/>
      </c>
      <c s="94" t="str">
        <f t="shared" si="141"/>
        <v/>
      </c>
      <c s="95" t="str">
        <f t="shared" si="122"/>
        <v/>
      </c>
      <c s="98" t="str">
        <f t="shared" si="123"/>
        <v/>
      </c>
      <c s="97" t="str">
        <f t="array" ref="AK20">IFERROR(IF(AE20="ac"+ISNUMBER(SEARCH("'",AJ20))+AI20="","",IF(ISNUMBER(SEARCH("lw",AJ20)),W20+SUBSTITUTE(AJ20,"lw+",""),MROUND(_xlfn.SWITCH(AE20,"sq",AI$7,"bn",AJ$7,"dl",AK$7,"")*IF(AJ20&gt;10,AJ20/100,VLOOKUP(AJ20,_rpe,SUBSTITUTE(AI20,"+","")+1,0)),IF(_xlfn.SWITCH(AE20,"sq",AI$7,"bn",AJ$7,"dl",AK$7,"")&lt;IF(_uom="lbs",175,80),1.25,IF(_uom="lbs",5,2.5))))),"")</f>
        <v/>
      </c>
      <c s="70"/>
      <c s="65"/>
      <c s="97"/>
      <c s="44" t="str">
        <f>IFERROR(__xludf.DUMMYFUNCTION("IF(AK20=MAX(FILTER(AK$10:AK$199,LOOKUP(ROW(AE$10:AE$199),FILTER(ROW(AE$10:AE$199),AE$10:AE$199&lt;&gt;AE$9:AE$198))=LOOKUP(ROW(AE20),FILTER(ROW(AE$10:AE$199),AE$10:AE$199&lt;&gt;AE$9:AE$198)))),AL20,)"),"")</f>
        <v/>
      </c>
      <c s="42"/>
      <c s="65"/>
      <c s="64" t="str">
        <f t="shared" si="17"/>
        <v/>
      </c>
      <c s="65" t="str">
        <f>IFERROR(__xludf.DUMMYFUNCTION("""COMPUTED_VALUE"""),"")</f>
        <v/>
      </c>
      <c s="66">
        <f ca="1"/>
        <v>45229</v>
      </c>
      <c s="93" t="str">
        <f t="shared" si="142" ref="AU20:AV20">IF(ISBLANK(AG20),"",AG20)</f>
        <v/>
      </c>
      <c s="94" t="str">
        <f t="shared" si="142"/>
        <v/>
      </c>
      <c s="95" t="str">
        <f t="shared" si="125"/>
        <v/>
      </c>
      <c s="98" t="str">
        <f t="shared" si="93"/>
        <v/>
      </c>
      <c s="97" t="str">
        <f t="array" ref="AY20">IFERROR(IF(AS20="ac"+ISNUMBER(SEARCH("'",AX20))+AW20="","",IF(ISNUMBER(SEARCH("lw",AX20)),AK20+SUBSTITUTE(AX20,"lw+",""),MROUND(_xlfn.SWITCH(AS20,"sq",AW$7,"bn",AX$7,"dl",AY$7,"")*IF(AX20&gt;10,AX20/100,VLOOKUP(AX20,_rpe,SUBSTITUTE(AW20,"+","")+1,0)),IF(_xlfn.SWITCH(AS20,"sq",AW$7,"bn",AX$7,"dl",AY$7,"")&lt;IF(_uom="lbs",175,80),1.25,IF(_uom="lbs",5,2.5))))),"")</f>
        <v/>
      </c>
      <c s="70"/>
      <c s="65"/>
      <c s="97"/>
      <c s="44" t="str">
        <f>IFERROR(__xludf.DUMMYFUNCTION("IF(AY20=MAX(FILTER(AY$10:AY$199,LOOKUP(ROW(AS$10:AS$199),FILTER(ROW(AS$10:AS$199),AS$10:AS$199&lt;&gt;AS$9:AS$198))=LOOKUP(ROW(AS20),FILTER(ROW(AS$10:AS$199),AS$10:AS$199&lt;&gt;AS$9:AS$198)))),AZ20,)"),"")</f>
        <v/>
      </c>
      <c s="42"/>
      <c s="65"/>
      <c s="64" t="str">
        <f t="shared" si="19"/>
        <v/>
      </c>
      <c s="65" t="str">
        <f>IFERROR(__xludf.DUMMYFUNCTION("""COMPUTED_VALUE"""),"")</f>
        <v/>
      </c>
      <c s="66">
        <f ca="1"/>
        <v>45236</v>
      </c>
      <c s="93" t="str">
        <f t="shared" si="20"/>
        <v/>
      </c>
      <c s="94" t="str">
        <f t="shared" si="126"/>
        <v/>
      </c>
      <c s="95" t="str">
        <f t="shared" si="127"/>
        <v/>
      </c>
      <c s="98" t="str">
        <f t="shared" si="128"/>
        <v/>
      </c>
      <c s="97" t="str">
        <f t="array" ref="BM20">IFERROR(IF(BG20="ac"+ISNUMBER(SEARCH("'",BL20))+BK20="","",IF(ISNUMBER(SEARCH("lw",BL20)),AY20+SUBSTITUTE(BL20,"lw+",""),MROUND(_xlfn.SWITCH(BG20,"sq",BK$7,"bn",BL$7,"dl",BM$7,"")*IF(BL20&gt;10,BL20/100,VLOOKUP(BL20,_rpe,SUBSTITUTE(BK20,"+","")+1,0)),IF(_xlfn.SWITCH(BG20,"sq",BK$7,"bn",BL$7,"dl",BM$7,"")&lt;IF(_uom="lbs",175,80),1.25,IF(_uom="lbs",5,2.5))))),"")</f>
        <v/>
      </c>
      <c s="70"/>
      <c s="65"/>
      <c s="97"/>
      <c s="44" t="str">
        <f>IFERROR(__xludf.DUMMYFUNCTION("IF(BM20=MAX(FILTER(BM$10:BM$199,LOOKUP(ROW(BG$10:BG$199),FILTER(ROW(BG$10:BG$199),BG$10:BG$199&lt;&gt;BG$9:BG$198))=LOOKUP(ROW(BG20),FILTER(ROW(BG$10:BG$199),BG$10:BG$199&lt;&gt;BG$9:BG$198)))),BN20,)"),"")</f>
        <v/>
      </c>
      <c s="42"/>
      <c s="65"/>
      <c s="64" t="str">
        <f t="shared" si="21"/>
        <v/>
      </c>
      <c s="65" t="str">
        <f>IFERROR(__xludf.DUMMYFUNCTION("""COMPUTED_VALUE"""),"")</f>
        <v/>
      </c>
      <c s="66">
        <f ca="1"/>
        <v>45243</v>
      </c>
      <c s="93" t="str">
        <f t="shared" si="22"/>
        <v/>
      </c>
      <c s="94" t="str">
        <f t="shared" si="129"/>
        <v/>
      </c>
      <c s="95" t="str">
        <f t="shared" si="130"/>
        <v/>
      </c>
      <c s="98" t="str">
        <f t="shared" si="131"/>
        <v/>
      </c>
      <c s="97" t="str">
        <f t="array" ref="CA20">IFERROR(IF(BU20="ac"+ISNUMBER(SEARCH("'",BZ20))+BY20="","",IF(ISNUMBER(SEARCH("lw",BZ20)),BM20+SUBSTITUTE(BZ20,"lw+",""),MROUND(_xlfn.SWITCH(BU20,"sq",BY$7,"bn",BZ$7,"dl",CA$7,"")*IF(BZ20&gt;10,BZ20/100,VLOOKUP(BZ20,_rpe,SUBSTITUTE(BY20,"+","")+1,0)),IF(_xlfn.SWITCH(BU20,"sq",BY$7,"bn",BZ$7,"dl",CA$7,"")&lt;IF(_uom="lbs",175,80),1.25,IF(_uom="lbs",5,2.5))))),"")</f>
        <v/>
      </c>
      <c s="70"/>
      <c s="65"/>
      <c s="97"/>
      <c s="44" t="str">
        <f>IFERROR(__xludf.DUMMYFUNCTION("IF(CA20=MAX(FILTER(CA$10:CA$199,LOOKUP(ROW(BU$10:BU$199),FILTER(ROW(BU$10:BU$199),BU$10:BU$199&lt;&gt;BU$9:BU$198))=LOOKUP(ROW(BU20),FILTER(ROW(BU$10:BU$199),BU$10:BU$199&lt;&gt;BU$9:BU$198)))),CB20,)"),"")</f>
        <v/>
      </c>
      <c s="42"/>
      <c s="65"/>
      <c s="64" t="str">
        <f t="shared" si="24"/>
        <v/>
      </c>
      <c s="65" t="str">
        <f>IFERROR(__xludf.DUMMYFUNCTION("""COMPUTED_VALUE"""),"")</f>
        <v/>
      </c>
      <c s="66">
        <f ca="1"/>
        <v>45250</v>
      </c>
      <c s="93" t="str">
        <f t="shared" si="44"/>
        <v/>
      </c>
      <c s="94" t="str">
        <f t="shared" si="62"/>
        <v/>
      </c>
      <c s="95" t="str">
        <f t="shared" si="132"/>
        <v/>
      </c>
      <c s="98" t="str">
        <f t="shared" si="133"/>
        <v/>
      </c>
      <c s="97" t="str">
        <f t="array" ref="CO20">IFERROR(IF(CI20="ac"+ISNUMBER(SEARCH("'",CN20))+CM20="","",IF(ISNUMBER(SEARCH("lw",CN20)),CA20+SUBSTITUTE(CN20,"lw+",""),MROUND(_xlfn.SWITCH(CI20,"sq",CM$7,"bn",CN$7,"dl",CO$7,"")*IF(CN20&gt;10,CN20/100,VLOOKUP(CN20,_rpe,SUBSTITUTE(CM20,"+","")+1,0)),IF(_xlfn.SWITCH(CI20,"sq",CM$7,"bn",CN$7,"dl",CO$7,"")&lt;IF(_uom="lbs",175,80),1.25,IF(_uom="lbs",5,2.5))))),"")</f>
        <v/>
      </c>
      <c s="70"/>
      <c s="65"/>
      <c s="97"/>
      <c s="44" t="str">
        <f>IFERROR(__xludf.DUMMYFUNCTION("IF(CO20=MAX(FILTER(CO$10:CO$199,LOOKUP(ROW(CI$10:CI$199),FILTER(ROW(CI$10:CI$199),CI$10:CI$199&lt;&gt;CI$9:CI$198))=LOOKUP(ROW(CI20),FILTER(ROW(CI$10:CI$199),CI$10:CI$199&lt;&gt;CI$9:CI$198)))),CP20,)"),"")</f>
        <v/>
      </c>
      <c s="42"/>
      <c s="65"/>
      <c s="64" t="str">
        <f t="shared" si="27"/>
        <v/>
      </c>
      <c s="65" t="str">
        <f>IFERROR(__xludf.DUMMYFUNCTION("""COMPUTED_VALUE"""),"")</f>
        <v/>
      </c>
      <c s="66">
        <f ca="1"/>
        <v>45257</v>
      </c>
      <c s="93" t="str">
        <f t="shared" si="45"/>
        <v/>
      </c>
      <c s="94" t="str">
        <f t="shared" si="64"/>
        <v/>
      </c>
      <c s="95" t="str">
        <f t="shared" si="134"/>
        <v/>
      </c>
      <c s="98" t="str">
        <f t="shared" si="99"/>
        <v/>
      </c>
      <c s="97" t="str">
        <f t="array" ref="DC20">IFERROR(IF(CW20="ac"+ISNUMBER(SEARCH("'",DB20))+DA20="","",IF(ISNUMBER(SEARCH("lw",DB20)),CO20+SUBSTITUTE(DB20,"lw+",""),MROUND(_xlfn.SWITCH(CW20,"sq",DA$7,"bn",DB$7,"dl",DC$7,"")*IF(DB20&gt;10,DB20/100,VLOOKUP(DB20,_rpe,SUBSTITUTE(DA20,"+","")+1,0)),IF(_xlfn.SWITCH(CW20,"sq",DA$7,"bn",DB$7,"dl",DC$7,"")&lt;IF(_uom="lbs",175,80),1.25,IF(_uom="lbs",5,2.5))))),"")</f>
        <v/>
      </c>
      <c s="70"/>
      <c s="65"/>
      <c s="97"/>
      <c s="44" t="str">
        <f>IFERROR(__xludf.DUMMYFUNCTION("IF(DC20=MAX(FILTER(DC$10:DC$199,LOOKUP(ROW(CW$10:CW$199),FILTER(ROW(CW$10:CW$199),CW$10:CW$199&lt;&gt;CW$9:CW$198))=LOOKUP(ROW(CW20),FILTER(ROW(CW$10:CW$199),CW$10:CW$199&lt;&gt;CW$9:CW$198)))),DD20,)"),"")</f>
        <v/>
      </c>
      <c s="42"/>
      <c s="65"/>
      <c s="64" t="str">
        <f t="shared" si="30"/>
        <v/>
      </c>
      <c s="65" t="str">
        <f>IFERROR(__xludf.DUMMYFUNCTION("""COMPUTED_VALUE"""),"")</f>
        <v/>
      </c>
      <c s="66">
        <f ca="1"/>
        <v>45264</v>
      </c>
      <c s="93" t="str">
        <f t="shared" si="46"/>
        <v/>
      </c>
      <c s="94" t="str">
        <f t="shared" si="100"/>
        <v/>
      </c>
      <c s="95" t="str">
        <f t="shared" si="135"/>
        <v/>
      </c>
      <c s="98" t="str">
        <f t="shared" si="136"/>
        <v/>
      </c>
      <c s="97" t="str">
        <f t="array" ref="DQ20">IFERROR(IF(DK20="ac"+ISNUMBER(SEARCH("'",DP20))+DO20="","",IF(ISNUMBER(SEARCH("lw",DP20)),DC20+SUBSTITUTE(DP20,"lw+",""),MROUND(_xlfn.SWITCH(DK20,"sq",DO$7,"bn",DP$7,"dl",DQ$7,"")*IF(DP20&gt;10,DP20/100,VLOOKUP(DP20,_rpe,SUBSTITUTE(DO20,"+","")+1,0)),IF(_xlfn.SWITCH(DK20,"sq",DO$7,"bn",DP$7,"dl",DQ$7,"")&lt;IF(_uom="lbs",175,80),1.25,IF(_uom="lbs",5,2.5))))),"")</f>
        <v/>
      </c>
      <c s="70"/>
      <c s="65"/>
      <c s="97"/>
      <c s="44" t="str">
        <f>IFERROR(__xludf.DUMMYFUNCTION("IF(DQ20=MAX(FILTER(DQ$10:DQ$199,LOOKUP(ROW(DK$10:DK$199),FILTER(ROW(DK$10:DK$199),DK$10:DK$199&lt;&gt;DK$9:DK$198))=LOOKUP(ROW(DK20),FILTER(ROW(DK$10:DK$199),DK$10:DK$199&lt;&gt;DK$9:DK$198)))),DR20,)"),"")</f>
        <v/>
      </c>
      <c s="42"/>
      <c s="65"/>
      <c s="64" t="str">
        <f t="shared" si="32"/>
        <v/>
      </c>
      <c s="65" t="str">
        <f>IFERROR(__xludf.DUMMYFUNCTION("""COMPUTED_VALUE"""),"")</f>
        <v/>
      </c>
      <c s="66">
        <f ca="1"/>
        <v>45271</v>
      </c>
      <c s="93" t="str">
        <f t="shared" si="47"/>
        <v/>
      </c>
      <c s="94" t="str">
        <f t="shared" si="86"/>
        <v/>
      </c>
      <c s="95" t="str">
        <f t="shared" si="137"/>
        <v/>
      </c>
      <c s="98" t="str">
        <f t="shared" si="138"/>
        <v/>
      </c>
      <c s="97" t="str">
        <f t="array" ref="EE20">IFERROR(IF(DY20="ac"+ISNUMBER(SEARCH("'",ED20))+EC20="","",IF(ISNUMBER(SEARCH("lw",ED20)),DQ20+SUBSTITUTE(ED20,"lw+",""),MROUND(_xlfn.SWITCH(DY20,"sq",EC$7,"bn",ED$7,"dl",EE$7,"")*IF(ED20&gt;10,ED20/100,VLOOKUP(ED20,_rpe,SUBSTITUTE(EC20,"+","")+1,0)),IF(_xlfn.SWITCH(DY20,"sq",EC$7,"bn",ED$7,"dl",EE$7,"")&lt;IF(_uom="lbs",175,80),1.25,IF(_uom="lbs",5,2.5))))),"")</f>
        <v/>
      </c>
      <c s="70"/>
      <c s="65"/>
      <c s="97"/>
      <c s="44" t="str">
        <f>IFERROR(__xludf.DUMMYFUNCTION("IF(EE20=MAX(FILTER(EE$10:EE$199,LOOKUP(ROW(DY$10:DY$199),FILTER(ROW(DY$10:DY$199),DY$10:DY$199&lt;&gt;DY$9:DY$198))=LOOKUP(ROW(DY20),FILTER(ROW(DY$10:DY$199),DY$10:DY$199&lt;&gt;DY$9:DY$198)))),EF20,)"),"")</f>
        <v/>
      </c>
      <c s="42"/>
      <c s="65"/>
      <c s="64" t="str">
        <f t="shared" si="34"/>
        <v/>
      </c>
      <c s="65" t="str">
        <f>IFERROR(__xludf.DUMMYFUNCTION("""COMPUTED_VALUE"""),"")</f>
        <v/>
      </c>
      <c s="66">
        <f ca="1"/>
        <v>45278</v>
      </c>
      <c s="93" t="str">
        <f t="shared" si="48"/>
        <v/>
      </c>
      <c s="94" t="str">
        <f t="shared" si="105"/>
        <v/>
      </c>
      <c s="95" t="str">
        <f t="shared" si="139"/>
        <v/>
      </c>
      <c s="98" t="str">
        <f t="shared" si="107"/>
        <v/>
      </c>
      <c s="97" t="str">
        <f t="array" ref="ES20">IFERROR(IF(EM20="ac"+ISNUMBER(SEARCH("'",ER20))+EQ20="","",IF(ISNUMBER(SEARCH("lw",ER20)),EE20+SUBSTITUTE(ER20,"lw+",""),MROUND(_xlfn.SWITCH(EM20,"sq",EQ$7,"bn",ER$7,"dl",ES$7,"")*IF(ER20&gt;10,ER20/100,VLOOKUP(ER20,_rpe,SUBSTITUTE(EQ20,"+","")+1,0)),IF(_xlfn.SWITCH(EM20,"sq",EQ$7,"bn",ER$7,"dl",ES$7,"")&lt;IF(_uom="lbs",175,80),1.25,IF(_uom="lbs",5,2.5))))),"")</f>
        <v/>
      </c>
      <c s="70"/>
      <c s="65"/>
      <c s="97"/>
      <c s="44" t="str">
        <f>IFERROR(__xludf.DUMMYFUNCTION("IF(ES20=MAX(FILTER(ES$10:ES$199,LOOKUP(ROW(EM$10:EM$199),FILTER(ROW(EM$10:EM$199),EM$10:EM$199&lt;&gt;EM$9:EM$198))=LOOKUP(ROW(EM20),FILTER(ROW(EM$10:EM$199),EM$10:EM$199&lt;&gt;EM$9:EM$198)))),ET20,)"),"")</f>
        <v/>
      </c>
      <c s="42"/>
      <c s="65"/>
      <c s="64" t="str">
        <f t="shared" si="36"/>
        <v/>
      </c>
      <c s="65" t="str">
        <f>IFERROR(__xludf.DUMMYFUNCTION("""COMPUTED_VALUE"""),"")</f>
        <v/>
      </c>
      <c s="66">
        <f ca="1"/>
        <v>45285</v>
      </c>
      <c s="93" t="str">
        <f t="shared" si="49"/>
        <v/>
      </c>
      <c s="94" t="str">
        <f t="shared" si="108"/>
        <v/>
      </c>
      <c s="95" t="str">
        <f t="shared" si="140"/>
        <v/>
      </c>
      <c s="98" t="str">
        <f t="shared" si="110"/>
        <v/>
      </c>
      <c s="97" t="str">
        <f t="array" ref="FG20">IFERROR(IF(FA20="ac"+ISNUMBER(SEARCH("'",FF20))+FE20="","",IF(ISNUMBER(SEARCH("lw",FF20)),ES20+SUBSTITUTE(FF20,"lw+",""),MROUND(_xlfn.SWITCH(FA20,"sq",FE$7,"bn",FF$7,"dl",FG$7,"")*IF(FF20&gt;10,FF20/100,VLOOKUP(FF20,_rpe,SUBSTITUTE(FE20,"+","")+1,0)),IF(_xlfn.SWITCH(FA20,"sq",FE$7,"bn",FF$7,"dl",FG$7,"")&lt;IF(_uom="lbs",175,80),1.25,IF(_uom="lbs",5,2.5))))),"")</f>
        <v/>
      </c>
      <c s="70"/>
      <c s="65"/>
      <c s="97"/>
      <c s="44" t="str">
        <f>IFERROR(__xludf.DUMMYFUNCTION("IF(FG20=MAX(FILTER(FG$10:FG$199,LOOKUP(ROW(FA$10:FA$199),FILTER(ROW(FA$10:FA$199),FA$10:FA$199&lt;&gt;FA$9:FA$198))=LOOKUP(ROW(FA20),FILTER(ROW(FA$10:FA$199),FA$10:FA$199&lt;&gt;FA$9:FA$198)))),FH20,)"),"")</f>
        <v/>
      </c>
      <c s="42"/>
      <c s="65"/>
      <c s="64" t="str">
        <f t="shared" si="38"/>
        <v/>
      </c>
      <c s="65" t="str">
        <f>IFERROR(__xludf.DUMMYFUNCTION("""COMPUTED_VALUE"""),"")</f>
        <v/>
      </c>
      <c s="66">
        <f ca="1"/>
        <v>45292</v>
      </c>
      <c s="93"/>
      <c s="94"/>
      <c s="95"/>
      <c s="98"/>
      <c s="97" t="str">
        <f t="array" ref="FU20">IFERROR(IF(FO20="ac"+ISNUMBER(SEARCH("'",FT20))+FS20="","",IF(ISNUMBER(SEARCH("lw",FT20)),FG20+SUBSTITUTE(FT20,"lw+",""),MROUND(_xlfn.SWITCH(FO20,"sq",FS$7,"bn",FT$7,"dl",FU$7,"")*IF(FT20&gt;10,FT20/100,VLOOKUP(FT20,_rpe,SUBSTITUTE(FS20,"+","")+1,0)),IF(_xlfn.SWITCH(FO20,"sq",FS$7,"bn",FT$7,"dl",FU$7,"")&lt;IF(_uom="lbs",175,80),1.25,IF(_uom="lbs",5,2.5))))),"")</f>
        <v/>
      </c>
      <c s="70"/>
      <c s="65"/>
      <c s="97"/>
      <c s="44" t="str">
        <f>IFERROR(__xludf.DUMMYFUNCTION("IF(FU20=MAX(FILTER(FU$10:FU$199,LOOKUP(ROW(FO$10:FO$199),FILTER(ROW(FO$10:FO$199),FO$10:FO$199&lt;&gt;FO$9:FO$198))=LOOKUP(ROW(FO20),FILTER(ROW(FO$10:FO$199),FO$10:FO$199&lt;&gt;FO$9:FO$198)))),FV20,)"),"")</f>
        <v/>
      </c>
      <c s="42"/>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64" t="str">
        <f t="shared" si="41"/>
        <v>#REF!</v>
      </c>
      <c s="65"/>
      <c s="66" t="e">
        <f ca="1"/>
        <v>#REF!</v>
      </c>
    </row>
    <row r="21" spans="1:259" ht="15.75" hidden="1" outlineLevel="1">
      <c r="A21" s="63"/>
      <c s="64"/>
      <c s="65" t="str">
        <f>IFERROR(__xludf.DUMMYFUNCTION("""COMPUTED_VALUE"""),"")</f>
        <v/>
      </c>
      <c s="66">
        <f ca="1"/>
        <v>45208</v>
      </c>
      <c s="93"/>
      <c s="94"/>
      <c s="95"/>
      <c s="96"/>
      <c s="97" t="str">
        <f t="array" ref="I21">IFERROR(IF(C21="ac"+ISNUMBER(SEARCH("'",H21))+G21="","",MROUND(_xlfn.SWITCH(C21,"sq",'Personal Info'!$O$15,"bn",'Personal Info'!$S$15,"dl",'Personal Info'!$W$15,"")*IF(H21&gt;10,H21/100,VLOOKUP(H21,_rpe,SUBSTITUTE(G21,"+","")+1,0)),IF(_xlfn.SWITCH(C21:C210,"sq",'Personal Info'!$O$15,"bn",'Personal Info'!$S$15,"dl",'Personal Info'!$W$15,"")&lt;IF(_uom="lbs",175,80),1.25,IF(_uom="lbs",5,2.5)))),"")</f>
        <v/>
      </c>
      <c s="70"/>
      <c s="63"/>
      <c s="97"/>
      <c s="44" t="str">
        <f>IFERROR(__xludf.DUMMYFUNCTION("IF(I21=MAX(FILTER(I$10:I$199,LOOKUP(ROW(C$10:C$199),FILTER(ROW(C$10:C$199),C$10:C$199&lt;&gt;C$9:C$198))=LOOKUP(ROW(C21),FILTER(ROW(C$10:C$199),C$10:C$199&lt;&gt;C$9:C$198)))),J21,)"),"")</f>
        <v/>
      </c>
      <c s="42"/>
      <c s="65"/>
      <c s="64" t="str">
        <f t="shared" si="11"/>
        <v/>
      </c>
      <c s="65" t="str">
        <f>IFERROR(__xludf.DUMMYFUNCTION("""COMPUTED_VALUE"""),"")</f>
        <v/>
      </c>
      <c s="66">
        <f ca="1"/>
        <v>45215</v>
      </c>
      <c s="93" t="str">
        <f t="shared" si="12"/>
        <v/>
      </c>
      <c s="94" t="str">
        <f t="shared" si="118"/>
        <v/>
      </c>
      <c s="95" t="str">
        <f t="shared" si="119"/>
        <v/>
      </c>
      <c s="98" t="str">
        <f t="shared" si="120"/>
        <v/>
      </c>
      <c s="97" t="str">
        <f t="array" ref="W21">IFERROR(IF(Q21="ac"+ISNUMBER(SEARCH("'",V21))+U21="","",IF(ISNUMBER(SEARCH("lw",V21)),I21+SUBSTITUTE(V21,"lw+",""),MROUND(_xlfn.SWITCH(Q21,"sq",U$7,"bn",V$7,"dl",W$7,"")*IF(V21&gt;10,V21/100,VLOOKUP(V21,_rpe,SUBSTITUTE(U21,"+","")+1,0)),IF(_xlfn.SWITCH(Q21,"sq",U$7,"bn",V$7,"dl",W$7,"")&lt;IF(_uom="lbs",175,80),1.25,IF(_uom="lbs",5,2.5))))),"")</f>
        <v/>
      </c>
      <c s="70"/>
      <c s="63"/>
      <c s="97"/>
      <c s="44" t="str">
        <f>IFERROR(__xludf.DUMMYFUNCTION("IF(W21=MAX(FILTER(W$10:W$199,LOOKUP(ROW(Q$10:Q$199),FILTER(ROW(Q$10:Q$199),Q$10:Q$199&lt;&gt;Q$9:Q$198))=LOOKUP(ROW(Q21),FILTER(ROW(Q$10:Q$199),Q$10:Q$199&lt;&gt;Q$9:Q$198)))),X21,)"),"")</f>
        <v/>
      </c>
      <c s="42"/>
      <c s="65"/>
      <c s="64" t="str">
        <f t="shared" si="14"/>
        <v/>
      </c>
      <c s="65" t="str">
        <f>IFERROR(__xludf.DUMMYFUNCTION("""COMPUTED_VALUE"""),"")</f>
        <v/>
      </c>
      <c s="66">
        <f ca="1"/>
        <v>45222</v>
      </c>
      <c s="93" t="str">
        <f t="shared" si="143" ref="AG21:AH21">IF(ISBLANK(S21),"",S21)</f>
        <v/>
      </c>
      <c s="94" t="str">
        <f t="shared" si="143"/>
        <v/>
      </c>
      <c s="95" t="str">
        <f t="shared" si="122"/>
        <v/>
      </c>
      <c s="98" t="str">
        <f t="shared" si="123"/>
        <v/>
      </c>
      <c s="97" t="str">
        <f t="array" ref="AK21">IFERROR(IF(AE21="ac"+ISNUMBER(SEARCH("'",AJ21))+AI21="","",IF(ISNUMBER(SEARCH("lw",AJ21)),W21+SUBSTITUTE(AJ21,"lw+",""),MROUND(_xlfn.SWITCH(AE21,"sq",AI$7,"bn",AJ$7,"dl",AK$7,"")*IF(AJ21&gt;10,AJ21/100,VLOOKUP(AJ21,_rpe,SUBSTITUTE(AI21,"+","")+1,0)),IF(_xlfn.SWITCH(AE21,"sq",AI$7,"bn",AJ$7,"dl",AK$7,"")&lt;IF(_uom="lbs",175,80),1.25,IF(_uom="lbs",5,2.5))))),"")</f>
        <v/>
      </c>
      <c s="70"/>
      <c s="63"/>
      <c s="97"/>
      <c s="44" t="str">
        <f>IFERROR(__xludf.DUMMYFUNCTION("IF(AK21=MAX(FILTER(AK$10:AK$199,LOOKUP(ROW(AE$10:AE$199),FILTER(ROW(AE$10:AE$199),AE$10:AE$199&lt;&gt;AE$9:AE$198))=LOOKUP(ROW(AE21),FILTER(ROW(AE$10:AE$199),AE$10:AE$199&lt;&gt;AE$9:AE$198)))),AL21,)"),"")</f>
        <v/>
      </c>
      <c s="42"/>
      <c s="65"/>
      <c s="64" t="str">
        <f t="shared" si="17"/>
        <v/>
      </c>
      <c s="65" t="str">
        <f>IFERROR(__xludf.DUMMYFUNCTION("""COMPUTED_VALUE"""),"")</f>
        <v/>
      </c>
      <c s="66">
        <f ca="1"/>
        <v>45229</v>
      </c>
      <c s="93" t="str">
        <f t="shared" si="144" ref="AU21:AV21">IF(ISBLANK(AG21),"",AG21)</f>
        <v/>
      </c>
      <c s="94" t="str">
        <f t="shared" si="144"/>
        <v/>
      </c>
      <c s="95" t="str">
        <f t="shared" si="125"/>
        <v/>
      </c>
      <c s="98" t="str">
        <f t="shared" si="93"/>
        <v/>
      </c>
      <c s="97" t="str">
        <f t="array" ref="AY21">IFERROR(IF(AS21="ac"+ISNUMBER(SEARCH("'",AX21))+AW21="","",IF(ISNUMBER(SEARCH("lw",AX21)),AK21+SUBSTITUTE(AX21,"lw+",""),MROUND(_xlfn.SWITCH(AS21,"sq",AW$7,"bn",AX$7,"dl",AY$7,"")*IF(AX21&gt;10,AX21/100,VLOOKUP(AX21,_rpe,SUBSTITUTE(AW21,"+","")+1,0)),IF(_xlfn.SWITCH(AS21,"sq",AW$7,"bn",AX$7,"dl",AY$7,"")&lt;IF(_uom="lbs",175,80),1.25,IF(_uom="lbs",5,2.5))))),"")</f>
        <v/>
      </c>
      <c s="70"/>
      <c s="63"/>
      <c s="97"/>
      <c s="44" t="str">
        <f>IFERROR(__xludf.DUMMYFUNCTION("IF(AY21=MAX(FILTER(AY$10:AY$199,LOOKUP(ROW(AS$10:AS$199),FILTER(ROW(AS$10:AS$199),AS$10:AS$199&lt;&gt;AS$9:AS$198))=LOOKUP(ROW(AS21),FILTER(ROW(AS$10:AS$199),AS$10:AS$199&lt;&gt;AS$9:AS$198)))),AZ21,)"),"")</f>
        <v/>
      </c>
      <c s="42"/>
      <c s="65"/>
      <c s="64" t="str">
        <f t="shared" si="19"/>
        <v/>
      </c>
      <c s="65" t="str">
        <f>IFERROR(__xludf.DUMMYFUNCTION("""COMPUTED_VALUE"""),"")</f>
        <v/>
      </c>
      <c s="66">
        <f ca="1"/>
        <v>45236</v>
      </c>
      <c s="93" t="str">
        <f t="shared" si="20"/>
        <v/>
      </c>
      <c s="94" t="str">
        <f t="shared" si="126"/>
        <v/>
      </c>
      <c s="95" t="str">
        <f t="shared" si="127"/>
        <v/>
      </c>
      <c s="98" t="str">
        <f t="shared" si="128"/>
        <v/>
      </c>
      <c s="97" t="str">
        <f t="array" ref="BM21">IFERROR(IF(BG21="ac"+ISNUMBER(SEARCH("'",BL21))+BK21="","",IF(ISNUMBER(SEARCH("lw",BL21)),AY21+SUBSTITUTE(BL21,"lw+",""),MROUND(_xlfn.SWITCH(BG21,"sq",BK$7,"bn",BL$7,"dl",BM$7,"")*IF(BL21&gt;10,BL21/100,VLOOKUP(BL21,_rpe,SUBSTITUTE(BK21,"+","")+1,0)),IF(_xlfn.SWITCH(BG21,"sq",BK$7,"bn",BL$7,"dl",BM$7,"")&lt;IF(_uom="lbs",175,80),1.25,IF(_uom="lbs",5,2.5))))),"")</f>
        <v/>
      </c>
      <c s="70"/>
      <c s="63"/>
      <c s="97"/>
      <c s="44" t="str">
        <f>IFERROR(__xludf.DUMMYFUNCTION("IF(BM21=MAX(FILTER(BM$10:BM$199,LOOKUP(ROW(BG$10:BG$199),FILTER(ROW(BG$10:BG$199),BG$10:BG$199&lt;&gt;BG$9:BG$198))=LOOKUP(ROW(BG21),FILTER(ROW(BG$10:BG$199),BG$10:BG$199&lt;&gt;BG$9:BG$198)))),BN21,)"),"")</f>
        <v/>
      </c>
      <c s="42"/>
      <c s="65"/>
      <c s="64" t="str">
        <f t="shared" si="21"/>
        <v/>
      </c>
      <c s="65" t="str">
        <f>IFERROR(__xludf.DUMMYFUNCTION("""COMPUTED_VALUE"""),"")</f>
        <v/>
      </c>
      <c s="66">
        <f ca="1"/>
        <v>45243</v>
      </c>
      <c s="93" t="str">
        <f t="shared" si="22"/>
        <v/>
      </c>
      <c s="94" t="str">
        <f t="shared" si="129"/>
        <v/>
      </c>
      <c s="95" t="str">
        <f t="shared" si="130"/>
        <v/>
      </c>
      <c s="98" t="str">
        <f t="shared" si="131"/>
        <v/>
      </c>
      <c s="97" t="str">
        <f t="array" ref="CA21">IFERROR(IF(BU21="ac"+ISNUMBER(SEARCH("'",BZ21))+BY21="","",IF(ISNUMBER(SEARCH("lw",BZ21)),BM21+SUBSTITUTE(BZ21,"lw+",""),MROUND(_xlfn.SWITCH(BU21,"sq",BY$7,"bn",BZ$7,"dl",CA$7,"")*IF(BZ21&gt;10,BZ21/100,VLOOKUP(BZ21,_rpe,SUBSTITUTE(BY21,"+","")+1,0)),IF(_xlfn.SWITCH(BU21,"sq",BY$7,"bn",BZ$7,"dl",CA$7,"")&lt;IF(_uom="lbs",175,80),1.25,IF(_uom="lbs",5,2.5))))),"")</f>
        <v/>
      </c>
      <c s="70"/>
      <c s="63"/>
      <c s="97"/>
      <c s="44" t="str">
        <f>IFERROR(__xludf.DUMMYFUNCTION("IF(CA21=MAX(FILTER(CA$10:CA$199,LOOKUP(ROW(BU$10:BU$199),FILTER(ROW(BU$10:BU$199),BU$10:BU$199&lt;&gt;BU$9:BU$198))=LOOKUP(ROW(BU21),FILTER(ROW(BU$10:BU$199),BU$10:BU$199&lt;&gt;BU$9:BU$198)))),CB21,)"),"")</f>
        <v/>
      </c>
      <c s="42"/>
      <c s="65"/>
      <c s="64" t="str">
        <f t="shared" si="24"/>
        <v/>
      </c>
      <c s="65" t="str">
        <f>IFERROR(__xludf.DUMMYFUNCTION("""COMPUTED_VALUE"""),"")</f>
        <v/>
      </c>
      <c s="66">
        <f ca="1"/>
        <v>45250</v>
      </c>
      <c s="93" t="str">
        <f t="shared" si="44"/>
        <v/>
      </c>
      <c s="94" t="str">
        <f t="shared" si="62"/>
        <v/>
      </c>
      <c s="95" t="str">
        <f t="shared" si="132"/>
        <v/>
      </c>
      <c s="98" t="str">
        <f t="shared" si="133"/>
        <v/>
      </c>
      <c s="97" t="str">
        <f t="array" ref="CO21">IFERROR(IF(CI21="ac"+ISNUMBER(SEARCH("'",CN21))+CM21="","",IF(ISNUMBER(SEARCH("lw",CN21)),CA21+SUBSTITUTE(CN21,"lw+",""),MROUND(_xlfn.SWITCH(CI21,"sq",CM$7,"bn",CN$7,"dl",CO$7,"")*IF(CN21&gt;10,CN21/100,VLOOKUP(CN21,_rpe,SUBSTITUTE(CM21,"+","")+1,0)),IF(_xlfn.SWITCH(CI21,"sq",CM$7,"bn",CN$7,"dl",CO$7,"")&lt;IF(_uom="lbs",175,80),1.25,IF(_uom="lbs",5,2.5))))),"")</f>
        <v/>
      </c>
      <c s="70"/>
      <c s="63"/>
      <c s="97"/>
      <c s="44" t="str">
        <f>IFERROR(__xludf.DUMMYFUNCTION("IF(CO21=MAX(FILTER(CO$10:CO$199,LOOKUP(ROW(CI$10:CI$199),FILTER(ROW(CI$10:CI$199),CI$10:CI$199&lt;&gt;CI$9:CI$198))=LOOKUP(ROW(CI21),FILTER(ROW(CI$10:CI$199),CI$10:CI$199&lt;&gt;CI$9:CI$198)))),CP21,)"),"")</f>
        <v/>
      </c>
      <c s="42"/>
      <c s="65"/>
      <c s="64" t="str">
        <f t="shared" si="27"/>
        <v/>
      </c>
      <c s="65" t="str">
        <f>IFERROR(__xludf.DUMMYFUNCTION("""COMPUTED_VALUE"""),"")</f>
        <v/>
      </c>
      <c s="66">
        <f ca="1"/>
        <v>45257</v>
      </c>
      <c s="93" t="str">
        <f t="shared" si="45"/>
        <v/>
      </c>
      <c s="94" t="str">
        <f t="shared" si="64"/>
        <v/>
      </c>
      <c s="95" t="str">
        <f t="shared" si="134"/>
        <v/>
      </c>
      <c s="98" t="str">
        <f t="shared" si="99"/>
        <v/>
      </c>
      <c s="97" t="str">
        <f t="array" ref="DC21">IFERROR(IF(CW21="ac"+ISNUMBER(SEARCH("'",DB21))+DA21="","",IF(ISNUMBER(SEARCH("lw",DB21)),CO21+SUBSTITUTE(DB21,"lw+",""),MROUND(_xlfn.SWITCH(CW21,"sq",DA$7,"bn",DB$7,"dl",DC$7,"")*IF(DB21&gt;10,DB21/100,VLOOKUP(DB21,_rpe,SUBSTITUTE(DA21,"+","")+1,0)),IF(_xlfn.SWITCH(CW21,"sq",DA$7,"bn",DB$7,"dl",DC$7,"")&lt;IF(_uom="lbs",175,80),1.25,IF(_uom="lbs",5,2.5))))),"")</f>
        <v/>
      </c>
      <c s="70"/>
      <c s="63"/>
      <c s="97"/>
      <c s="44" t="str">
        <f>IFERROR(__xludf.DUMMYFUNCTION("IF(DC21=MAX(FILTER(DC$10:DC$199,LOOKUP(ROW(CW$10:CW$199),FILTER(ROW(CW$10:CW$199),CW$10:CW$199&lt;&gt;CW$9:CW$198))=LOOKUP(ROW(CW21),FILTER(ROW(CW$10:CW$199),CW$10:CW$199&lt;&gt;CW$9:CW$198)))),DD21,)"),"")</f>
        <v/>
      </c>
      <c s="42"/>
      <c s="65"/>
      <c s="64" t="str">
        <f t="shared" si="30"/>
        <v/>
      </c>
      <c s="65" t="str">
        <f>IFERROR(__xludf.DUMMYFUNCTION("""COMPUTED_VALUE"""),"")</f>
        <v/>
      </c>
      <c s="66">
        <f ca="1"/>
        <v>45264</v>
      </c>
      <c s="93" t="str">
        <f t="shared" si="46"/>
        <v/>
      </c>
      <c s="94" t="str">
        <f t="shared" si="100"/>
        <v/>
      </c>
      <c s="95" t="str">
        <f t="shared" si="135"/>
        <v/>
      </c>
      <c s="98" t="str">
        <f t="shared" si="136"/>
        <v/>
      </c>
      <c s="97" t="str">
        <f t="array" ref="DQ21">IFERROR(IF(DK21="ac"+ISNUMBER(SEARCH("'",DP21))+DO21="","",IF(ISNUMBER(SEARCH("lw",DP21)),DC21+SUBSTITUTE(DP21,"lw+",""),MROUND(_xlfn.SWITCH(DK21,"sq",DO$7,"bn",DP$7,"dl",DQ$7,"")*IF(DP21&gt;10,DP21/100,VLOOKUP(DP21,_rpe,SUBSTITUTE(DO21,"+","")+1,0)),IF(_xlfn.SWITCH(DK21,"sq",DO$7,"bn",DP$7,"dl",DQ$7,"")&lt;IF(_uom="lbs",175,80),1.25,IF(_uom="lbs",5,2.5))))),"")</f>
        <v/>
      </c>
      <c s="70"/>
      <c s="63"/>
      <c s="97"/>
      <c s="44" t="str">
        <f>IFERROR(__xludf.DUMMYFUNCTION("IF(DQ21=MAX(FILTER(DQ$10:DQ$199,LOOKUP(ROW(DK$10:DK$199),FILTER(ROW(DK$10:DK$199),DK$10:DK$199&lt;&gt;DK$9:DK$198))=LOOKUP(ROW(DK21),FILTER(ROW(DK$10:DK$199),DK$10:DK$199&lt;&gt;DK$9:DK$198)))),DR21,)"),"")</f>
        <v/>
      </c>
      <c s="42"/>
      <c s="65"/>
      <c s="64" t="str">
        <f t="shared" si="32"/>
        <v/>
      </c>
      <c s="65" t="str">
        <f>IFERROR(__xludf.DUMMYFUNCTION("""COMPUTED_VALUE"""),"")</f>
        <v/>
      </c>
      <c s="66">
        <f ca="1"/>
        <v>45271</v>
      </c>
      <c s="93" t="str">
        <f t="shared" si="47"/>
        <v/>
      </c>
      <c s="94" t="str">
        <f t="shared" si="86"/>
        <v/>
      </c>
      <c s="95" t="str">
        <f t="shared" si="137"/>
        <v/>
      </c>
      <c s="98" t="str">
        <f t="shared" si="138"/>
        <v/>
      </c>
      <c s="97" t="str">
        <f t="array" ref="EE21">IFERROR(IF(DY21="ac"+ISNUMBER(SEARCH("'",ED21))+EC21="","",IF(ISNUMBER(SEARCH("lw",ED21)),DQ21+SUBSTITUTE(ED21,"lw+",""),MROUND(_xlfn.SWITCH(DY21,"sq",EC$7,"bn",ED$7,"dl",EE$7,"")*IF(ED21&gt;10,ED21/100,VLOOKUP(ED21,_rpe,SUBSTITUTE(EC21,"+","")+1,0)),IF(_xlfn.SWITCH(DY21,"sq",EC$7,"bn",ED$7,"dl",EE$7,"")&lt;IF(_uom="lbs",175,80),1.25,IF(_uom="lbs",5,2.5))))),"")</f>
        <v/>
      </c>
      <c s="70"/>
      <c s="63"/>
      <c s="97"/>
      <c s="44" t="str">
        <f>IFERROR(__xludf.DUMMYFUNCTION("IF(EE21=MAX(FILTER(EE$10:EE$199,LOOKUP(ROW(DY$10:DY$199),FILTER(ROW(DY$10:DY$199),DY$10:DY$199&lt;&gt;DY$9:DY$198))=LOOKUP(ROW(DY21),FILTER(ROW(DY$10:DY$199),DY$10:DY$199&lt;&gt;DY$9:DY$198)))),EF21,)"),"")</f>
        <v/>
      </c>
      <c s="42"/>
      <c s="65"/>
      <c s="64" t="str">
        <f t="shared" si="34"/>
        <v/>
      </c>
      <c s="65" t="str">
        <f>IFERROR(__xludf.DUMMYFUNCTION("""COMPUTED_VALUE"""),"")</f>
        <v/>
      </c>
      <c s="66">
        <f ca="1"/>
        <v>45278</v>
      </c>
      <c s="93" t="str">
        <f t="shared" si="48"/>
        <v/>
      </c>
      <c s="94" t="str">
        <f t="shared" si="105"/>
        <v/>
      </c>
      <c s="95" t="str">
        <f t="shared" si="139"/>
        <v/>
      </c>
      <c s="98" t="str">
        <f t="shared" si="107"/>
        <v/>
      </c>
      <c s="97" t="str">
        <f t="array" ref="ES21">IFERROR(IF(EM21="ac"+ISNUMBER(SEARCH("'",ER21))+EQ21="","",IF(ISNUMBER(SEARCH("lw",ER21)),EE21+SUBSTITUTE(ER21,"lw+",""),MROUND(_xlfn.SWITCH(EM21,"sq",EQ$7,"bn",ER$7,"dl",ES$7,"")*IF(ER21&gt;10,ER21/100,VLOOKUP(ER21,_rpe,SUBSTITUTE(EQ21,"+","")+1,0)),IF(_xlfn.SWITCH(EM21,"sq",EQ$7,"bn",ER$7,"dl",ES$7,"")&lt;IF(_uom="lbs",175,80),1.25,IF(_uom="lbs",5,2.5))))),"")</f>
        <v/>
      </c>
      <c s="70"/>
      <c s="63"/>
      <c s="97"/>
      <c s="44" t="str">
        <f>IFERROR(__xludf.DUMMYFUNCTION("IF(ES21=MAX(FILTER(ES$10:ES$199,LOOKUP(ROW(EM$10:EM$199),FILTER(ROW(EM$10:EM$199),EM$10:EM$199&lt;&gt;EM$9:EM$198))=LOOKUP(ROW(EM21),FILTER(ROW(EM$10:EM$199),EM$10:EM$199&lt;&gt;EM$9:EM$198)))),ET21,)"),"")</f>
        <v/>
      </c>
      <c s="42"/>
      <c s="65"/>
      <c s="64" t="str">
        <f t="shared" si="36"/>
        <v/>
      </c>
      <c s="65" t="str">
        <f>IFERROR(__xludf.DUMMYFUNCTION("""COMPUTED_VALUE"""),"")</f>
        <v/>
      </c>
      <c s="66">
        <f ca="1"/>
        <v>45285</v>
      </c>
      <c s="93" t="str">
        <f t="shared" si="49"/>
        <v/>
      </c>
      <c s="94" t="str">
        <f t="shared" si="108"/>
        <v/>
      </c>
      <c s="95" t="str">
        <f t="shared" si="140"/>
        <v/>
      </c>
      <c s="98" t="str">
        <f t="shared" si="110"/>
        <v/>
      </c>
      <c s="97" t="str">
        <f t="array" ref="FG21">IFERROR(IF(FA21="ac"+ISNUMBER(SEARCH("'",FF21))+FE21="","",IF(ISNUMBER(SEARCH("lw",FF21)),ES21+SUBSTITUTE(FF21,"lw+",""),MROUND(_xlfn.SWITCH(FA21,"sq",FE$7,"bn",FF$7,"dl",FG$7,"")*IF(FF21&gt;10,FF21/100,VLOOKUP(FF21,_rpe,SUBSTITUTE(FE21,"+","")+1,0)),IF(_xlfn.SWITCH(FA21,"sq",FE$7,"bn",FF$7,"dl",FG$7,"")&lt;IF(_uom="lbs",175,80),1.25,IF(_uom="lbs",5,2.5))))),"")</f>
        <v/>
      </c>
      <c s="70"/>
      <c s="63"/>
      <c s="97"/>
      <c s="44" t="str">
        <f>IFERROR(__xludf.DUMMYFUNCTION("IF(FG21=MAX(FILTER(FG$10:FG$199,LOOKUP(ROW(FA$10:FA$199),FILTER(ROW(FA$10:FA$199),FA$10:FA$199&lt;&gt;FA$9:FA$198))=LOOKUP(ROW(FA21),FILTER(ROW(FA$10:FA$199),FA$10:FA$199&lt;&gt;FA$9:FA$198)))),FH21,)"),"")</f>
        <v/>
      </c>
      <c s="42"/>
      <c s="65"/>
      <c s="64" t="str">
        <f t="shared" si="38"/>
        <v/>
      </c>
      <c s="65" t="str">
        <f>IFERROR(__xludf.DUMMYFUNCTION("""COMPUTED_VALUE"""),"")</f>
        <v/>
      </c>
      <c s="66">
        <f ca="1"/>
        <v>45292</v>
      </c>
      <c s="93"/>
      <c s="94"/>
      <c s="95"/>
      <c s="98"/>
      <c s="97" t="str">
        <f t="array" ref="FU21">IFERROR(IF(FO21="ac"+ISNUMBER(SEARCH("'",FT21))+FS21="","",IF(ISNUMBER(SEARCH("lw",FT21)),FG21+SUBSTITUTE(FT21,"lw+",""),MROUND(_xlfn.SWITCH(FO21,"sq",FS$7,"bn",FT$7,"dl",FU$7,"")*IF(FT21&gt;10,FT21/100,VLOOKUP(FT21,_rpe,SUBSTITUTE(FS21,"+","")+1,0)),IF(_xlfn.SWITCH(FO21,"sq",FS$7,"bn",FT$7,"dl",FU$7,"")&lt;IF(_uom="lbs",175,80),1.25,IF(_uom="lbs",5,2.5))))),"")</f>
        <v/>
      </c>
      <c s="70"/>
      <c s="63"/>
      <c s="97"/>
      <c s="44" t="str">
        <f>IFERROR(__xludf.DUMMYFUNCTION("IF(FU21=MAX(FILTER(FU$10:FU$199,LOOKUP(ROW(FO$10:FO$199),FILTER(ROW(FO$10:FO$199),FO$10:FO$199&lt;&gt;FO$9:FO$198))=LOOKUP(ROW(FO21),FILTER(ROW(FO$10:FO$199),FO$10:FO$199&lt;&gt;FO$9:FO$198)))),FV21,)"),"")</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22" spans="1:259" ht="15.75">
      <c r="A22" s="63"/>
      <c s="64" t="s">
        <v>144</v>
      </c>
      <c s="65" t="str">
        <f>IFERROR(__xludf.DUMMYFUNCTION("""COMPUTED_VALUE"""),"ac")</f>
        <v>ac</v>
      </c>
      <c s="66">
        <f ca="1"/>
        <v>45208</v>
      </c>
      <c s="93" t="s">
        <v>145</v>
      </c>
      <c s="94">
        <v>3</v>
      </c>
      <c s="95">
        <v>12</v>
      </c>
      <c s="106" t="s">
        <v>146</v>
      </c>
      <c s="97" t="str">
        <f t="array" ref="I22">IFERROR(IF(C22="ac"+ISNUMBER(SEARCH("'",H22))+G22="","",MROUND(_xlfn.SWITCH(C22,"sq",'Personal Info'!$O$15,"bn",'Personal Info'!$S$15,"dl",'Personal Info'!$W$15,"")*IF(H22&gt;10,H22/100,VLOOKUP(H22,_rpe,SUBSTITUTE(G22,"+","")+1,0)),IF(_xlfn.SWITCH(C22:C210,"sq",'Personal Info'!$O$15,"bn",'Personal Info'!$S$15,"dl",'Personal Info'!$W$15,"")&lt;IF(_uom="lbs",175,80),1.25,IF(_uom="lbs",5,2.5)))),"")</f>
        <v/>
      </c>
      <c s="70"/>
      <c s="65"/>
      <c s="97"/>
      <c s="44" t="str">
        <f>IFERROR(__xludf.DUMMYFUNCTION("IF(I22=MAX(FILTER(I$10:I$199,LOOKUP(ROW(C$10:C$199),FILTER(ROW(C$10:C$199),C$10:C$199&lt;&gt;C$9:C$198))=LOOKUP(ROW(C22),FILTER(ROW(C$10:C$199),C$10:C$199&lt;&gt;C$9:C$198)))),J22,)"),"")</f>
        <v/>
      </c>
      <c s="42"/>
      <c s="65"/>
      <c s="64" t="str">
        <f t="shared" si="11"/>
        <v>lats - horizontal</v>
      </c>
      <c s="65" t="str">
        <f>IFERROR(__xludf.DUMMYFUNCTION("""COMPUTED_VALUE"""),"ac")</f>
        <v>ac</v>
      </c>
      <c s="66">
        <f ca="1"/>
        <v>45215</v>
      </c>
      <c s="93" t="str">
        <f t="shared" si="12"/>
        <v>Machine Row</v>
      </c>
      <c s="94">
        <f>IF(OR(gen="SELECT",gen="MALE"),3,4)</f>
        <v>3</v>
      </c>
      <c s="95">
        <v>11</v>
      </c>
      <c s="106" t="s">
        <v>141</v>
      </c>
      <c s="97" t="str">
        <f t="array" ref="W22">IFERROR(IF(Q22="ac"+ISNUMBER(SEARCH("'",V22))+U22="","",IF(ISNUMBER(SEARCH("lw",V22)),I22+SUBSTITUTE(V22,"lw+",""),MROUND(_xlfn.SWITCH(Q22,"sq",U$7,"bn",V$7,"dl",W$7,"")*IF(V22&gt;10,V22/100,VLOOKUP(V22,_rpe,SUBSTITUTE(U22,"+","")+1,0)),IF(_xlfn.SWITCH(Q22,"sq",U$7,"bn",V$7,"dl",W$7,"")&lt;IF(_uom="lbs",175,80),1.25,IF(_uom="lbs",5,2.5))))),"")</f>
        <v/>
      </c>
      <c s="70"/>
      <c s="65"/>
      <c s="97"/>
      <c s="44" t="str">
        <f>IFERROR(__xludf.DUMMYFUNCTION("IF(W22=MAX(FILTER(W$10:W$199,LOOKUP(ROW(Q$10:Q$199),FILTER(ROW(Q$10:Q$199),Q$10:Q$199&lt;&gt;Q$9:Q$198))=LOOKUP(ROW(Q22),FILTER(ROW(Q$10:Q$199),Q$10:Q$199&lt;&gt;Q$9:Q$198)))),X22,)"),"")</f>
        <v/>
      </c>
      <c s="42"/>
      <c s="65"/>
      <c s="64" t="str">
        <f t="shared" si="14"/>
        <v>lats - horizontal</v>
      </c>
      <c s="65" t="str">
        <f>IFERROR(__xludf.DUMMYFUNCTION("""COMPUTED_VALUE"""),"ac")</f>
        <v>ac</v>
      </c>
      <c s="66">
        <f ca="1"/>
        <v>45222</v>
      </c>
      <c s="93" t="str">
        <f t="shared" si="145" ref="AG22:AH22">IF(ISBLANK(S22),"",S22)</f>
        <v>Machine Row</v>
      </c>
      <c s="94">
        <f t="shared" si="145"/>
        <v>3</v>
      </c>
      <c s="95">
        <v>10</v>
      </c>
      <c s="98" t="str">
        <f t="shared" si="123"/>
        <v>@8-9</v>
      </c>
      <c s="97" t="str">
        <f t="array" ref="AK22">IFERROR(IF(AE22="ac"+ISNUMBER(SEARCH("'",AJ22))+AI22="","",IF(ISNUMBER(SEARCH("lw",AJ22)),W22+SUBSTITUTE(AJ22,"lw+",""),MROUND(_xlfn.SWITCH(AE22,"sq",AI$7,"bn",AJ$7,"dl",AK$7,"")*IF(AJ22&gt;10,AJ22/100,VLOOKUP(AJ22,_rpe,SUBSTITUTE(AI22,"+","")+1,0)),IF(_xlfn.SWITCH(AE22,"sq",AI$7,"bn",AJ$7,"dl",AK$7,"")&lt;IF(_uom="lbs",175,80),1.25,IF(_uom="lbs",5,2.5))))),"")</f>
        <v/>
      </c>
      <c s="70"/>
      <c s="65"/>
      <c s="97"/>
      <c s="44" t="str">
        <f>IFERROR(__xludf.DUMMYFUNCTION("IF(AK22=MAX(FILTER(AK$10:AK$199,LOOKUP(ROW(AE$10:AE$199),FILTER(ROW(AE$10:AE$199),AE$10:AE$199&lt;&gt;AE$9:AE$198))=LOOKUP(ROW(AE22),FILTER(ROW(AE$10:AE$199),AE$10:AE$199&lt;&gt;AE$9:AE$198)))),AL22,)"),"")</f>
        <v/>
      </c>
      <c s="42"/>
      <c s="65"/>
      <c s="64" t="str">
        <f t="shared" si="17"/>
        <v>lats - horizontal</v>
      </c>
      <c s="65" t="str">
        <f>IFERROR(__xludf.DUMMYFUNCTION("""COMPUTED_VALUE"""),"ac")</f>
        <v>ac</v>
      </c>
      <c s="66">
        <f ca="1"/>
        <v>45229</v>
      </c>
      <c s="93" t="str">
        <f t="shared" si="146" ref="AU22:AV22">IF(ISBLANK(AG22),"",AG22)</f>
        <v>Machine Row</v>
      </c>
      <c s="94">
        <f t="shared" si="146"/>
        <v>3</v>
      </c>
      <c s="95">
        <v>9</v>
      </c>
      <c s="98" t="str">
        <f t="shared" si="93"/>
        <v>@8-9</v>
      </c>
      <c s="97" t="str">
        <f t="array" ref="AY22">IFERROR(IF(AS22="ac"+ISNUMBER(SEARCH("'",AX22))+AW22="","",IF(ISNUMBER(SEARCH("lw",AX22)),AK22+SUBSTITUTE(AX22,"lw+",""),MROUND(_xlfn.SWITCH(AS22,"sq",AW$7,"bn",AX$7,"dl",AY$7,"")*IF(AX22&gt;10,AX22/100,VLOOKUP(AX22,_rpe,SUBSTITUTE(AW22,"+","")+1,0)),IF(_xlfn.SWITCH(AS22,"sq",AW$7,"bn",AX$7,"dl",AY$7,"")&lt;IF(_uom="lbs",175,80),1.25,IF(_uom="lbs",5,2.5))))),"")</f>
        <v/>
      </c>
      <c s="70"/>
      <c s="65"/>
      <c s="97"/>
      <c s="44" t="str">
        <f>IFERROR(__xludf.DUMMYFUNCTION("IF(AY22=MAX(FILTER(AY$10:AY$199,LOOKUP(ROW(AS$10:AS$199),FILTER(ROW(AS$10:AS$199),AS$10:AS$199&lt;&gt;AS$9:AS$198))=LOOKUP(ROW(AS22),FILTER(ROW(AS$10:AS$199),AS$10:AS$199&lt;&gt;AS$9:AS$198)))),AZ22,)"),"")</f>
        <v/>
      </c>
      <c s="42"/>
      <c s="65"/>
      <c s="64" t="str">
        <f t="shared" si="19"/>
        <v>lats - horizontal</v>
      </c>
      <c s="65" t="str">
        <f>IFERROR(__xludf.DUMMYFUNCTION("""COMPUTED_VALUE"""),"ac")</f>
        <v>ac</v>
      </c>
      <c s="66">
        <f ca="1"/>
        <v>45236</v>
      </c>
      <c s="93" t="str">
        <f t="shared" si="20"/>
        <v>Machine Row</v>
      </c>
      <c s="94">
        <v>2</v>
      </c>
      <c s="95">
        <v>12</v>
      </c>
      <c s="106" t="s">
        <v>142</v>
      </c>
      <c s="97" t="str">
        <f t="array" ref="BM22">IFERROR(IF(BG22="ac"+ISNUMBER(SEARCH("'",BL22))+BK22="","",IF(ISNUMBER(SEARCH("lw",BL22)),AY22+SUBSTITUTE(BL22,"lw+",""),MROUND(_xlfn.SWITCH(BG22,"sq",BK$7,"bn",BL$7,"dl",BM$7,"")*IF(BL22&gt;10,BL22/100,VLOOKUP(BL22,_rpe,SUBSTITUTE(BK22,"+","")+1,0)),IF(_xlfn.SWITCH(BG22,"sq",BK$7,"bn",BL$7,"dl",BM$7,"")&lt;IF(_uom="lbs",175,80),1.25,IF(_uom="lbs",5,2.5))))),"")</f>
        <v/>
      </c>
      <c s="70"/>
      <c s="65"/>
      <c s="97"/>
      <c s="44" t="str">
        <f>IFERROR(__xludf.DUMMYFUNCTION("IF(BM22=MAX(FILTER(BM$10:BM$199,LOOKUP(ROW(BG$10:BG$199),FILTER(ROW(BG$10:BG$199),BG$10:BG$199&lt;&gt;BG$9:BG$198))=LOOKUP(ROW(BG22),FILTER(ROW(BG$10:BG$199),BG$10:BG$199&lt;&gt;BG$9:BG$198)))),BN22,)"),"")</f>
        <v/>
      </c>
      <c s="42"/>
      <c s="65"/>
      <c s="64" t="str">
        <f t="shared" si="21"/>
        <v>lats - horizontal</v>
      </c>
      <c s="65" t="str">
        <f>IFERROR(__xludf.DUMMYFUNCTION("""COMPUTED_VALUE"""),"ac")</f>
        <v>ac</v>
      </c>
      <c s="66">
        <f ca="1"/>
        <v>45243</v>
      </c>
      <c s="93" t="str">
        <f t="shared" si="22"/>
        <v>Machine Row</v>
      </c>
      <c s="94">
        <v>3</v>
      </c>
      <c s="95">
        <v>11</v>
      </c>
      <c s="106" t="s">
        <v>140</v>
      </c>
      <c s="97" t="str">
        <f t="array" ref="CA22">IFERROR(IF(BU22="ac"+ISNUMBER(SEARCH("'",BZ22))+BY22="","",IF(ISNUMBER(SEARCH("lw",BZ22)),BM22+SUBSTITUTE(BZ22,"lw+",""),MROUND(_xlfn.SWITCH(BU22,"sq",BY$7,"bn",BZ$7,"dl",CA$7,"")*IF(BZ22&gt;10,BZ22/100,VLOOKUP(BZ22,_rpe,SUBSTITUTE(BY22,"+","")+1,0)),IF(_xlfn.SWITCH(BU22,"sq",BY$7,"bn",BZ$7,"dl",CA$7,"")&lt;IF(_uom="lbs",175,80),1.25,IF(_uom="lbs",5,2.5))))),"")</f>
        <v/>
      </c>
      <c s="70"/>
      <c s="65"/>
      <c s="97"/>
      <c s="44" t="str">
        <f>IFERROR(__xludf.DUMMYFUNCTION("IF(CA22=MAX(FILTER(CA$10:CA$199,LOOKUP(ROW(BU$10:BU$199),FILTER(ROW(BU$10:BU$199),BU$10:BU$199&lt;&gt;BU$9:BU$198))=LOOKUP(ROW(BU22),FILTER(ROW(BU$10:BU$199),BU$10:BU$199&lt;&gt;BU$9:BU$198)))),CB22,)"),"")</f>
        <v/>
      </c>
      <c s="42"/>
      <c s="65"/>
      <c s="64" t="str">
        <f t="shared" si="24"/>
        <v>lats - horizontal</v>
      </c>
      <c s="65" t="str">
        <f>IFERROR(__xludf.DUMMYFUNCTION("""COMPUTED_VALUE"""),"ac")</f>
        <v>ac</v>
      </c>
      <c s="66">
        <f ca="1"/>
        <v>45250</v>
      </c>
      <c s="93" t="str">
        <f t="shared" si="44"/>
        <v>Machine Row</v>
      </c>
      <c s="94">
        <f t="shared" si="62"/>
        <v>3</v>
      </c>
      <c s="95">
        <v>10</v>
      </c>
      <c s="106" t="s">
        <v>141</v>
      </c>
      <c s="97" t="str">
        <f t="array" ref="CO22">IFERROR(IF(CI22="ac"+ISNUMBER(SEARCH("'",CN22))+CM22="","",IF(ISNUMBER(SEARCH("lw",CN22)),CA22+SUBSTITUTE(CN22,"lw+",""),MROUND(_xlfn.SWITCH(CI22,"sq",CM$7,"bn",CN$7,"dl",CO$7,"")*IF(CN22&gt;10,CN22/100,VLOOKUP(CN22,_rpe,SUBSTITUTE(CM22,"+","")+1,0)),IF(_xlfn.SWITCH(CI22,"sq",CM$7,"bn",CN$7,"dl",CO$7,"")&lt;IF(_uom="lbs",175,80),1.25,IF(_uom="lbs",5,2.5))))),"")</f>
        <v/>
      </c>
      <c s="70"/>
      <c s="65"/>
      <c s="97"/>
      <c s="44" t="str">
        <f>IFERROR(__xludf.DUMMYFUNCTION("IF(CO22=MAX(FILTER(CO$10:CO$199,LOOKUP(ROW(CI$10:CI$199),FILTER(ROW(CI$10:CI$199),CI$10:CI$199&lt;&gt;CI$9:CI$198))=LOOKUP(ROW(CI22),FILTER(ROW(CI$10:CI$199),CI$10:CI$199&lt;&gt;CI$9:CI$198)))),CP22,)"),"")</f>
        <v/>
      </c>
      <c s="42"/>
      <c s="65"/>
      <c s="64" t="str">
        <f t="shared" si="27"/>
        <v>lats - horizontal</v>
      </c>
      <c s="65" t="str">
        <f>IFERROR(__xludf.DUMMYFUNCTION("""COMPUTED_VALUE"""),"ac")</f>
        <v>ac</v>
      </c>
      <c s="66">
        <f ca="1"/>
        <v>45257</v>
      </c>
      <c s="93" t="str">
        <f t="shared" si="45"/>
        <v>Machine Row</v>
      </c>
      <c s="94">
        <f t="shared" si="64"/>
        <v>3</v>
      </c>
      <c s="95">
        <v>9</v>
      </c>
      <c s="98" t="str">
        <f t="shared" si="99"/>
        <v>@8-9</v>
      </c>
      <c s="97" t="str">
        <f t="array" ref="DC22">IFERROR(IF(CW22="ac"+ISNUMBER(SEARCH("'",DB22))+DA22="","",IF(ISNUMBER(SEARCH("lw",DB22)),CO22+SUBSTITUTE(DB22,"lw+",""),MROUND(_xlfn.SWITCH(CW22,"sq",DA$7,"bn",DB$7,"dl",DC$7,"")*IF(DB22&gt;10,DB22/100,VLOOKUP(DB22,_rpe,SUBSTITUTE(DA22,"+","")+1,0)),IF(_xlfn.SWITCH(CW22,"sq",DA$7,"bn",DB$7,"dl",DC$7,"")&lt;IF(_uom="lbs",175,80),1.25,IF(_uom="lbs",5,2.5))))),"")</f>
        <v/>
      </c>
      <c s="70"/>
      <c s="65"/>
      <c s="97"/>
      <c s="44" t="str">
        <f>IFERROR(__xludf.DUMMYFUNCTION("IF(DC22=MAX(FILTER(DC$10:DC$199,LOOKUP(ROW(CW$10:CW$199),FILTER(ROW(CW$10:CW$199),CW$10:CW$199&lt;&gt;CW$9:CW$198))=LOOKUP(ROW(CW22),FILTER(ROW(CW$10:CW$199),CW$10:CW$199&lt;&gt;CW$9:CW$198)))),DD22,)"),"")</f>
        <v/>
      </c>
      <c s="42"/>
      <c s="65"/>
      <c s="64" t="str">
        <f t="shared" si="30"/>
        <v>lats - horizontal</v>
      </c>
      <c s="65" t="str">
        <f>IFERROR(__xludf.DUMMYFUNCTION("""COMPUTED_VALUE"""),"ac")</f>
        <v>ac</v>
      </c>
      <c s="66">
        <f ca="1"/>
        <v>45264</v>
      </c>
      <c s="93" t="str">
        <f t="shared" si="46"/>
        <v>Machine Row</v>
      </c>
      <c s="94">
        <f t="shared" si="100"/>
        <v>3</v>
      </c>
      <c s="95">
        <v>8</v>
      </c>
      <c s="106" t="s">
        <v>143</v>
      </c>
      <c s="97" t="str">
        <f t="array" ref="DQ22">IFERROR(IF(DK22="ac"+ISNUMBER(SEARCH("'",DP22))+DO22="","",IF(ISNUMBER(SEARCH("lw",DP22)),DC22+SUBSTITUTE(DP22,"lw+",""),MROUND(_xlfn.SWITCH(DK22,"sq",DO$7,"bn",DP$7,"dl",DQ$7,"")*IF(DP22&gt;10,DP22/100,VLOOKUP(DP22,_rpe,SUBSTITUTE(DO22,"+","")+1,0)),IF(_xlfn.SWITCH(DK22,"sq",DO$7,"bn",DP$7,"dl",DQ$7,"")&lt;IF(_uom="lbs",175,80),1.25,IF(_uom="lbs",5,2.5))))),"")</f>
        <v/>
      </c>
      <c s="70"/>
      <c s="65"/>
      <c s="97"/>
      <c s="44" t="str">
        <f>IFERROR(__xludf.DUMMYFUNCTION("IF(DQ22=MAX(FILTER(DQ$10:DQ$199,LOOKUP(ROW(DK$10:DK$199),FILTER(ROW(DK$10:DK$199),DK$10:DK$199&lt;&gt;DK$9:DK$198))=LOOKUP(ROW(DK22),FILTER(ROW(DK$10:DK$199),DK$10:DK$199&lt;&gt;DK$9:DK$198)))),DR22,)"),"")</f>
        <v/>
      </c>
      <c s="42"/>
      <c s="65"/>
      <c s="64" t="str">
        <f t="shared" si="32"/>
        <v>lats - horizontal</v>
      </c>
      <c s="65" t="str">
        <f>IFERROR(__xludf.DUMMYFUNCTION("""COMPUTED_VALUE"""),"ac")</f>
        <v>ac</v>
      </c>
      <c s="66">
        <f ca="1"/>
        <v>45271</v>
      </c>
      <c s="93" t="str">
        <f t="shared" si="47"/>
        <v>Machine Row</v>
      </c>
      <c s="94">
        <f t="shared" si="86"/>
        <v>3</v>
      </c>
      <c s="95">
        <v>10</v>
      </c>
      <c s="106" t="s">
        <v>141</v>
      </c>
      <c s="97" t="str">
        <f t="array" ref="EE22">IFERROR(IF(DY22="ac"+ISNUMBER(SEARCH("'",ED22))+EC22="","",IF(ISNUMBER(SEARCH("lw",ED22)),DQ22+SUBSTITUTE(ED22,"lw+",""),MROUND(_xlfn.SWITCH(DY22,"sq",EC$7,"bn",ED$7,"dl",EE$7,"")*IF(ED22&gt;10,ED22/100,VLOOKUP(ED22,_rpe,SUBSTITUTE(EC22,"+","")+1,0)),IF(_xlfn.SWITCH(DY22,"sq",EC$7,"bn",ED$7,"dl",EE$7,"")&lt;IF(_uom="lbs",175,80),1.25,IF(_uom="lbs",5,2.5))))),"")</f>
        <v/>
      </c>
      <c s="70"/>
      <c s="65"/>
      <c s="97"/>
      <c s="44" t="str">
        <f>IFERROR(__xludf.DUMMYFUNCTION("IF(EE22=MAX(FILTER(EE$10:EE$199,LOOKUP(ROW(DY$10:DY$199),FILTER(ROW(DY$10:DY$199),DY$10:DY$199&lt;&gt;DY$9:DY$198))=LOOKUP(ROW(DY22),FILTER(ROW(DY$10:DY$199),DY$10:DY$199&lt;&gt;DY$9:DY$198)))),EF22,)"),"")</f>
        <v/>
      </c>
      <c s="42"/>
      <c s="65"/>
      <c s="64" t="str">
        <f t="shared" si="34"/>
        <v>lats - horizontal</v>
      </c>
      <c s="65" t="str">
        <f>IFERROR(__xludf.DUMMYFUNCTION("""COMPUTED_VALUE"""),"ac")</f>
        <v>ac</v>
      </c>
      <c s="66">
        <f ca="1"/>
        <v>45278</v>
      </c>
      <c s="93" t="str">
        <f t="shared" si="48"/>
        <v>Machine Row</v>
      </c>
      <c s="94">
        <f t="shared" si="105"/>
        <v>3</v>
      </c>
      <c s="95">
        <v>9</v>
      </c>
      <c s="98" t="str">
        <f t="shared" si="107"/>
        <v>@8-9</v>
      </c>
      <c s="97" t="str">
        <f t="array" ref="ES22">IFERROR(IF(EM22="ac"+ISNUMBER(SEARCH("'",ER22))+EQ22="","",IF(ISNUMBER(SEARCH("lw",ER22)),EE22+SUBSTITUTE(ER22,"lw+",""),MROUND(_xlfn.SWITCH(EM22,"sq",EQ$7,"bn",ER$7,"dl",ES$7,"")*IF(ER22&gt;10,ER22/100,VLOOKUP(ER22,_rpe,SUBSTITUTE(EQ22,"+","")+1,0)),IF(_xlfn.SWITCH(EM22,"sq",EQ$7,"bn",ER$7,"dl",ES$7,"")&lt;IF(_uom="lbs",175,80),1.25,IF(_uom="lbs",5,2.5))))),"")</f>
        <v/>
      </c>
      <c s="70"/>
      <c s="65"/>
      <c s="97"/>
      <c s="44" t="str">
        <f>IFERROR(__xludf.DUMMYFUNCTION("IF(ES22=MAX(FILTER(ES$10:ES$199,LOOKUP(ROW(EM$10:EM$199),FILTER(ROW(EM$10:EM$199),EM$10:EM$199&lt;&gt;EM$9:EM$198))=LOOKUP(ROW(EM22),FILTER(ROW(EM$10:EM$199),EM$10:EM$199&lt;&gt;EM$9:EM$198)))),ET22,)"),"")</f>
        <v/>
      </c>
      <c s="42"/>
      <c s="65"/>
      <c s="64" t="str">
        <f t="shared" si="36"/>
        <v>lats - horizontal</v>
      </c>
      <c s="65" t="str">
        <f>IFERROR(__xludf.DUMMYFUNCTION("""COMPUTED_VALUE"""),"ac")</f>
        <v>ac</v>
      </c>
      <c s="66">
        <f ca="1"/>
        <v>45285</v>
      </c>
      <c s="93" t="str">
        <f t="shared" si="49"/>
        <v>Machine Row</v>
      </c>
      <c s="94">
        <f t="shared" si="108"/>
        <v>3</v>
      </c>
      <c s="95">
        <v>8</v>
      </c>
      <c s="98" t="str">
        <f t="shared" si="110"/>
        <v>@8-9</v>
      </c>
      <c s="97" t="str">
        <f t="array" ref="FG22">IFERROR(IF(FA22="ac"+ISNUMBER(SEARCH("'",FF22))+FE22="","",IF(ISNUMBER(SEARCH("lw",FF22)),ES22+SUBSTITUTE(FF22,"lw+",""),MROUND(_xlfn.SWITCH(FA22,"sq",FE$7,"bn",FF$7,"dl",FG$7,"")*IF(FF22&gt;10,FF22/100,VLOOKUP(FF22,_rpe,SUBSTITUTE(FE22,"+","")+1,0)),IF(_xlfn.SWITCH(FA22,"sq",FE$7,"bn",FF$7,"dl",FG$7,"")&lt;IF(_uom="lbs",175,80),1.25,IF(_uom="lbs",5,2.5))))),"")</f>
        <v/>
      </c>
      <c s="70"/>
      <c s="65"/>
      <c s="97"/>
      <c s="44" t="str">
        <f>IFERROR(__xludf.DUMMYFUNCTION("IF(FG22=MAX(FILTER(FG$10:FG$199,LOOKUP(ROW(FA$10:FA$199),FILTER(ROW(FA$10:FA$199),FA$10:FA$199&lt;&gt;FA$9:FA$198))=LOOKUP(ROW(FA22),FILTER(ROW(FA$10:FA$199),FA$10:FA$199&lt;&gt;FA$9:FA$198)))),FH22,)"),"")</f>
        <v/>
      </c>
      <c s="42"/>
      <c s="65"/>
      <c s="64" t="str">
        <f t="shared" si="38"/>
        <v>lats - horizontal</v>
      </c>
      <c s="65" t="str">
        <f>IFERROR(__xludf.DUMMYFUNCTION("""COMPUTED_VALUE"""),"")</f>
        <v/>
      </c>
      <c s="66">
        <f ca="1"/>
        <v>45292</v>
      </c>
      <c s="93"/>
      <c s="94"/>
      <c s="95"/>
      <c s="98"/>
      <c s="97" t="str">
        <f t="array" ref="FU22">IFERROR(IF(FO22="ac"+ISNUMBER(SEARCH("'",FT22))+FS22="","",IF(ISNUMBER(SEARCH("lw",FT22)),FG22+SUBSTITUTE(FT22,"lw+",""),MROUND(_xlfn.SWITCH(FO22,"sq",FS$7,"bn",FT$7,"dl",FU$7,"")*IF(FT22&gt;10,FT22/100,VLOOKUP(FT22,_rpe,SUBSTITUTE(FS22,"+","")+1,0)),IF(_xlfn.SWITCH(FO22,"sq",FS$7,"bn",FT$7,"dl",FU$7,"")&lt;IF(_uom="lbs",175,80),1.25,IF(_uom="lbs",5,2.5))))),"")</f>
        <v/>
      </c>
      <c s="70"/>
      <c s="65"/>
      <c s="97"/>
      <c s="44" t="str">
        <f>IFERROR(__xludf.DUMMYFUNCTION("IF(FU22=MAX(FILTER(FU$10:FU$199,LOOKUP(ROW(FO$10:FO$199),FILTER(ROW(FO$10:FO$199),FO$10:FO$199&lt;&gt;FO$9:FO$198))=LOOKUP(ROW(FO22),FILTER(ROW(FO$10:FO$199),FO$10:FO$199&lt;&gt;FO$9:FO$198)))),FV22,)"),"")</f>
        <v/>
      </c>
      <c s="42"/>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64" t="str">
        <f t="shared" si="41"/>
        <v>#REF!</v>
      </c>
      <c s="65"/>
      <c s="66" t="e">
        <f ca="1"/>
        <v>#REF!</v>
      </c>
    </row>
    <row r="23" spans="1:259" ht="15.75">
      <c r="A23" s="63"/>
      <c s="64" t="s">
        <v>147</v>
      </c>
      <c s="65" t="str">
        <f>IFERROR(__xludf.DUMMYFUNCTION("""COMPUTED_VALUE"""),"ac")</f>
        <v>ac</v>
      </c>
      <c s="66">
        <f ca="1"/>
        <v>45208</v>
      </c>
      <c s="93" t="s">
        <v>148</v>
      </c>
      <c s="94">
        <v>3</v>
      </c>
      <c s="95">
        <v>15</v>
      </c>
      <c s="106" t="s">
        <v>146</v>
      </c>
      <c s="97" t="str">
        <f t="array" ref="I23">IFERROR(IF(C23="ac"+ISNUMBER(SEARCH("'",H23))+G23="","",MROUND(_xlfn.SWITCH(C23,"sq",'Personal Info'!$O$15,"bn",'Personal Info'!$S$15,"dl",'Personal Info'!$W$15,"")*IF(H23&gt;10,H23/100,VLOOKUP(H23,_rpe,SUBSTITUTE(G23,"+","")+1,0)),IF(_xlfn.SWITCH(C23:C210,"sq",'Personal Info'!$O$15,"bn",'Personal Info'!$S$15,"dl",'Personal Info'!$W$15,"")&lt;IF(_uom="lbs",175,80),1.25,IF(_uom="lbs",5,2.5)))),"")</f>
        <v/>
      </c>
      <c s="70"/>
      <c s="65"/>
      <c s="97"/>
      <c s="44" t="str">
        <f>IFERROR(__xludf.DUMMYFUNCTION("IF(I23=MAX(FILTER(I$10:I$199,LOOKUP(ROW(C$10:C$199),FILTER(ROW(C$10:C$199),C$10:C$199&lt;&gt;C$9:C$198))=LOOKUP(ROW(C23),FILTER(ROW(C$10:C$199),C$10:C$199&lt;&gt;C$9:C$198)))),J23,)"),"")</f>
        <v/>
      </c>
      <c s="42"/>
      <c s="65"/>
      <c s="64" t="str">
        <f t="shared" si="11"/>
        <v>core</v>
      </c>
      <c s="65" t="str">
        <f>IFERROR(__xludf.DUMMYFUNCTION("""COMPUTED_VALUE"""),"ac")</f>
        <v>ac</v>
      </c>
      <c s="66">
        <f ca="1"/>
        <v>45215</v>
      </c>
      <c s="93" t="str">
        <f t="shared" si="12"/>
        <v>Decline Weighted Situp</v>
      </c>
      <c s="94">
        <v>3</v>
      </c>
      <c s="95">
        <v>14</v>
      </c>
      <c s="106" t="s">
        <v>141</v>
      </c>
      <c s="97" t="str">
        <f t="array" ref="W23">IFERROR(IF(Q23="ac"+ISNUMBER(SEARCH("'",V23))+U23="","",IF(ISNUMBER(SEARCH("lw",V23)),I23+SUBSTITUTE(V23,"lw+",""),MROUND(_xlfn.SWITCH(Q23,"sq",U$7,"bn",V$7,"dl",W$7,"")*IF(V23&gt;10,V23/100,VLOOKUP(V23,_rpe,SUBSTITUTE(U23,"+","")+1,0)),IF(_xlfn.SWITCH(Q23,"sq",U$7,"bn",V$7,"dl",W$7,"")&lt;IF(_uom="lbs",175,80),1.25,IF(_uom="lbs",5,2.5))))),"")</f>
        <v/>
      </c>
      <c s="70"/>
      <c s="65"/>
      <c s="97"/>
      <c s="44" t="str">
        <f>IFERROR(__xludf.DUMMYFUNCTION("IF(W23=MAX(FILTER(W$10:W$199,LOOKUP(ROW(Q$10:Q$199),FILTER(ROW(Q$10:Q$199),Q$10:Q$199&lt;&gt;Q$9:Q$198))=LOOKUP(ROW(Q23),FILTER(ROW(Q$10:Q$199),Q$10:Q$199&lt;&gt;Q$9:Q$198)))),X23,)"),"")</f>
        <v/>
      </c>
      <c s="42"/>
      <c s="65"/>
      <c s="64" t="str">
        <f t="shared" si="14"/>
        <v>core</v>
      </c>
      <c s="65" t="str">
        <f>IFERROR(__xludf.DUMMYFUNCTION("""COMPUTED_VALUE"""),"ac")</f>
        <v>ac</v>
      </c>
      <c s="66">
        <f ca="1"/>
        <v>45222</v>
      </c>
      <c s="93" t="str">
        <f t="shared" si="147" ref="AG23:AH23">IF(ISBLANK(S23),"",S23)</f>
        <v>Decline Weighted Situp</v>
      </c>
      <c s="94">
        <f t="shared" si="147"/>
        <v>3</v>
      </c>
      <c s="95">
        <v>13</v>
      </c>
      <c s="98" t="str">
        <f t="shared" si="123"/>
        <v>@8-9</v>
      </c>
      <c s="97" t="str">
        <f t="array" ref="AK23">IFERROR(IF(AE23="ac"+ISNUMBER(SEARCH("'",AJ23))+AI23="","",IF(ISNUMBER(SEARCH("lw",AJ23)),W23+SUBSTITUTE(AJ23,"lw+",""),MROUND(_xlfn.SWITCH(AE23,"sq",AI$7,"bn",AJ$7,"dl",AK$7,"")*IF(AJ23&gt;10,AJ23/100,VLOOKUP(AJ23,_rpe,SUBSTITUTE(AI23,"+","")+1,0)),IF(_xlfn.SWITCH(AE23,"sq",AI$7,"bn",AJ$7,"dl",AK$7,"")&lt;IF(_uom="lbs",175,80),1.25,IF(_uom="lbs",5,2.5))))),"")</f>
        <v/>
      </c>
      <c s="70"/>
      <c s="65"/>
      <c s="97"/>
      <c s="44" t="str">
        <f>IFERROR(__xludf.DUMMYFUNCTION("IF(AK23=MAX(FILTER(AK$10:AK$199,LOOKUP(ROW(AE$10:AE$199),FILTER(ROW(AE$10:AE$199),AE$10:AE$199&lt;&gt;AE$9:AE$198))=LOOKUP(ROW(AE23),FILTER(ROW(AE$10:AE$199),AE$10:AE$199&lt;&gt;AE$9:AE$198)))),AL23,)"),"")</f>
        <v/>
      </c>
      <c s="42"/>
      <c s="65"/>
      <c s="64" t="str">
        <f t="shared" si="17"/>
        <v>core</v>
      </c>
      <c s="65" t="str">
        <f>IFERROR(__xludf.DUMMYFUNCTION("""COMPUTED_VALUE"""),"ac")</f>
        <v>ac</v>
      </c>
      <c s="66">
        <f ca="1"/>
        <v>45229</v>
      </c>
      <c s="93" t="str">
        <f t="shared" si="148" ref="AU23:AV23">IF(ISBLANK(AG23),"",AG23)</f>
        <v>Decline Weighted Situp</v>
      </c>
      <c s="94">
        <f t="shared" si="148"/>
        <v>3</v>
      </c>
      <c s="95">
        <v>12</v>
      </c>
      <c s="98" t="str">
        <f t="shared" si="93"/>
        <v>@8-9</v>
      </c>
      <c s="97" t="str">
        <f t="array" ref="AY23">IFERROR(IF(AS23="ac"+ISNUMBER(SEARCH("'",AX23))+AW23="","",IF(ISNUMBER(SEARCH("lw",AX23)),AK23+SUBSTITUTE(AX23,"lw+",""),MROUND(_xlfn.SWITCH(AS23,"sq",AW$7,"bn",AX$7,"dl",AY$7,"")*IF(AX23&gt;10,AX23/100,VLOOKUP(AX23,_rpe,SUBSTITUTE(AW23,"+","")+1,0)),IF(_xlfn.SWITCH(AS23,"sq",AW$7,"bn",AX$7,"dl",AY$7,"")&lt;IF(_uom="lbs",175,80),1.25,IF(_uom="lbs",5,2.5))))),"")</f>
        <v/>
      </c>
      <c s="70"/>
      <c s="65"/>
      <c s="97"/>
      <c s="44" t="str">
        <f>IFERROR(__xludf.DUMMYFUNCTION("IF(AY23=MAX(FILTER(AY$10:AY$199,LOOKUP(ROW(AS$10:AS$199),FILTER(ROW(AS$10:AS$199),AS$10:AS$199&lt;&gt;AS$9:AS$198))=LOOKUP(ROW(AS23),FILTER(ROW(AS$10:AS$199),AS$10:AS$199&lt;&gt;AS$9:AS$198)))),AZ23,)"),"")</f>
        <v/>
      </c>
      <c s="42"/>
      <c s="65"/>
      <c s="64" t="str">
        <f t="shared" si="19"/>
        <v>core</v>
      </c>
      <c s="65" t="str">
        <f>IFERROR(__xludf.DUMMYFUNCTION("""COMPUTED_VALUE"""),"ac")</f>
        <v>ac</v>
      </c>
      <c s="66">
        <f ca="1"/>
        <v>45236</v>
      </c>
      <c s="93" t="str">
        <f t="shared" si="20"/>
        <v>Decline Weighted Situp</v>
      </c>
      <c s="94">
        <v>2</v>
      </c>
      <c s="95">
        <v>15</v>
      </c>
      <c s="106" t="s">
        <v>142</v>
      </c>
      <c s="97" t="str">
        <f t="array" ref="BM23">IFERROR(IF(BG23="ac"+ISNUMBER(SEARCH("'",BL23))+BK23="","",IF(ISNUMBER(SEARCH("lw",BL23)),AY23+SUBSTITUTE(BL23,"lw+",""),MROUND(_xlfn.SWITCH(BG23,"sq",BK$7,"bn",BL$7,"dl",BM$7,"")*IF(BL23&gt;10,BL23/100,VLOOKUP(BL23,_rpe,SUBSTITUTE(BK23,"+","")+1,0)),IF(_xlfn.SWITCH(BG23,"sq",BK$7,"bn",BL$7,"dl",BM$7,"")&lt;IF(_uom="lbs",175,80),1.25,IF(_uom="lbs",5,2.5))))),"")</f>
        <v/>
      </c>
      <c s="70"/>
      <c s="65"/>
      <c s="97"/>
      <c s="44" t="str">
        <f>IFERROR(__xludf.DUMMYFUNCTION("IF(BM23=MAX(FILTER(BM$10:BM$199,LOOKUP(ROW(BG$10:BG$199),FILTER(ROW(BG$10:BG$199),BG$10:BG$199&lt;&gt;BG$9:BG$198))=LOOKUP(ROW(BG23),FILTER(ROW(BG$10:BG$199),BG$10:BG$199&lt;&gt;BG$9:BG$198)))),BN23,)"),"")</f>
        <v/>
      </c>
      <c s="42"/>
      <c s="65"/>
      <c s="64" t="str">
        <f t="shared" si="21"/>
        <v>core</v>
      </c>
      <c s="65" t="str">
        <f>IFERROR(__xludf.DUMMYFUNCTION("""COMPUTED_VALUE"""),"ac")</f>
        <v>ac</v>
      </c>
      <c s="66">
        <f ca="1"/>
        <v>45243</v>
      </c>
      <c s="93" t="str">
        <f t="shared" si="22"/>
        <v>Decline Weighted Situp</v>
      </c>
      <c s="94">
        <v>3</v>
      </c>
      <c s="95">
        <f t="shared" si="149" ref="BY23:BY36">IF(OR(ISBLANK(BK23),BK23=""),"",BK23)</f>
        <v>15</v>
      </c>
      <c s="106" t="s">
        <v>140</v>
      </c>
      <c s="97" t="str">
        <f t="array" ref="CA23">IFERROR(IF(BU23="ac"+ISNUMBER(SEARCH("'",BZ23))+BY23="","",IF(ISNUMBER(SEARCH("lw",BZ23)),BM23+SUBSTITUTE(BZ23,"lw+",""),MROUND(_xlfn.SWITCH(BU23,"sq",BY$7,"bn",BZ$7,"dl",CA$7,"")*IF(BZ23&gt;10,BZ23/100,VLOOKUP(BZ23,_rpe,SUBSTITUTE(BY23,"+","")+1,0)),IF(_xlfn.SWITCH(BU23,"sq",BY$7,"bn",BZ$7,"dl",CA$7,"")&lt;IF(_uom="lbs",175,80),1.25,IF(_uom="lbs",5,2.5))))),"")</f>
        <v/>
      </c>
      <c s="70"/>
      <c s="65"/>
      <c s="97"/>
      <c s="44" t="str">
        <f>IFERROR(__xludf.DUMMYFUNCTION("IF(CA23=MAX(FILTER(CA$10:CA$199,LOOKUP(ROW(BU$10:BU$199),FILTER(ROW(BU$10:BU$199),BU$10:BU$199&lt;&gt;BU$9:BU$198))=LOOKUP(ROW(BU23),FILTER(ROW(BU$10:BU$199),BU$10:BU$199&lt;&gt;BU$9:BU$198)))),CB23,)"),"")</f>
        <v/>
      </c>
      <c s="42"/>
      <c s="65"/>
      <c s="64" t="str">
        <f t="shared" si="24"/>
        <v>core</v>
      </c>
      <c s="65" t="str">
        <f>IFERROR(__xludf.DUMMYFUNCTION("""COMPUTED_VALUE"""),"ac")</f>
        <v>ac</v>
      </c>
      <c s="66">
        <f ca="1"/>
        <v>45250</v>
      </c>
      <c s="93" t="str">
        <f t="shared" si="44"/>
        <v>Decline Weighted Situp</v>
      </c>
      <c s="94">
        <f t="shared" si="62"/>
        <v>3</v>
      </c>
      <c s="95">
        <f t="shared" si="150" ref="CM23:CM39">IF(OR(ISBLANK(BY23),BY23=""),"",BY23)</f>
        <v>15</v>
      </c>
      <c s="106" t="s">
        <v>141</v>
      </c>
      <c s="97" t="str">
        <f t="array" ref="CO23">IFERROR(IF(CI23="ac"+ISNUMBER(SEARCH("'",CN23))+CM23="","",IF(ISNUMBER(SEARCH("lw",CN23)),CA23+SUBSTITUTE(CN23,"lw+",""),MROUND(_xlfn.SWITCH(CI23,"sq",CM$7,"bn",CN$7,"dl",CO$7,"")*IF(CN23&gt;10,CN23/100,VLOOKUP(CN23,_rpe,SUBSTITUTE(CM23,"+","")+1,0)),IF(_xlfn.SWITCH(CI23,"sq",CM$7,"bn",CN$7,"dl",CO$7,"")&lt;IF(_uom="lbs",175,80),1.25,IF(_uom="lbs",5,2.5))))),"")</f>
        <v/>
      </c>
      <c s="70"/>
      <c s="65"/>
      <c s="97"/>
      <c s="44" t="str">
        <f>IFERROR(__xludf.DUMMYFUNCTION("IF(CO23=MAX(FILTER(CO$10:CO$199,LOOKUP(ROW(CI$10:CI$199),FILTER(ROW(CI$10:CI$199),CI$10:CI$199&lt;&gt;CI$9:CI$198))=LOOKUP(ROW(CI23),FILTER(ROW(CI$10:CI$199),CI$10:CI$199&lt;&gt;CI$9:CI$198)))),CP23,)"),"")</f>
        <v/>
      </c>
      <c s="42"/>
      <c s="65"/>
      <c s="64" t="str">
        <f t="shared" si="27"/>
        <v>core</v>
      </c>
      <c s="65" t="str">
        <f>IFERROR(__xludf.DUMMYFUNCTION("""COMPUTED_VALUE"""),"ac")</f>
        <v>ac</v>
      </c>
      <c s="66">
        <f ca="1"/>
        <v>45257</v>
      </c>
      <c s="93" t="str">
        <f t="shared" si="45"/>
        <v>Decline Weighted Situp</v>
      </c>
      <c s="94">
        <f t="shared" si="64"/>
        <v>3</v>
      </c>
      <c s="95">
        <f t="shared" si="151" ref="DA23:DA31">IF(OR(ISBLANK(CM23),CM23=""),"",CM23)</f>
        <v>15</v>
      </c>
      <c s="98" t="str">
        <f t="shared" si="99"/>
        <v>@8-9</v>
      </c>
      <c s="97" t="str">
        <f t="array" ref="DC23">IFERROR(IF(CW23="ac"+ISNUMBER(SEARCH("'",DB23))+DA23="","",IF(ISNUMBER(SEARCH("lw",DB23)),CO23+SUBSTITUTE(DB23,"lw+",""),MROUND(_xlfn.SWITCH(CW23,"sq",DA$7,"bn",DB$7,"dl",DC$7,"")*IF(DB23&gt;10,DB23/100,VLOOKUP(DB23,_rpe,SUBSTITUTE(DA23,"+","")+1,0)),IF(_xlfn.SWITCH(CW23,"sq",DA$7,"bn",DB$7,"dl",DC$7,"")&lt;IF(_uom="lbs",175,80),1.25,IF(_uom="lbs",5,2.5))))),"")</f>
        <v/>
      </c>
      <c s="70"/>
      <c s="65"/>
      <c s="97"/>
      <c s="44" t="str">
        <f>IFERROR(__xludf.DUMMYFUNCTION("IF(DC23=MAX(FILTER(DC$10:DC$199,LOOKUP(ROW(CW$10:CW$199),FILTER(ROW(CW$10:CW$199),CW$10:CW$199&lt;&gt;CW$9:CW$198))=LOOKUP(ROW(CW23),FILTER(ROW(CW$10:CW$199),CW$10:CW$199&lt;&gt;CW$9:CW$198)))),DD23,)"),"")</f>
        <v/>
      </c>
      <c s="42"/>
      <c s="65"/>
      <c s="64" t="str">
        <f t="shared" si="30"/>
        <v>core</v>
      </c>
      <c s="65" t="str">
        <f>IFERROR(__xludf.DUMMYFUNCTION("""COMPUTED_VALUE"""),"ac")</f>
        <v>ac</v>
      </c>
      <c s="66">
        <f ca="1"/>
        <v>45264</v>
      </c>
      <c s="93" t="str">
        <f t="shared" si="46"/>
        <v>Decline Weighted Situp</v>
      </c>
      <c s="94">
        <f t="shared" si="100"/>
        <v>3</v>
      </c>
      <c s="95">
        <f t="shared" si="152" ref="DO23:DO31">IF(OR(ISBLANK(DA23),DA23=""),"",DA23)</f>
        <v>15</v>
      </c>
      <c s="106" t="s">
        <v>143</v>
      </c>
      <c s="97" t="str">
        <f t="array" ref="DQ23">IFERROR(IF(DK23="ac"+ISNUMBER(SEARCH("'",DP23))+DO23="","",IF(ISNUMBER(SEARCH("lw",DP23)),DC23+SUBSTITUTE(DP23,"lw+",""),MROUND(_xlfn.SWITCH(DK23,"sq",DO$7,"bn",DP$7,"dl",DQ$7,"")*IF(DP23&gt;10,DP23/100,VLOOKUP(DP23,_rpe,SUBSTITUTE(DO23,"+","")+1,0)),IF(_xlfn.SWITCH(DK23,"sq",DO$7,"bn",DP$7,"dl",DQ$7,"")&lt;IF(_uom="lbs",175,80),1.25,IF(_uom="lbs",5,2.5))))),"")</f>
        <v/>
      </c>
      <c s="70"/>
      <c s="65"/>
      <c s="97"/>
      <c s="44" t="str">
        <f>IFERROR(__xludf.DUMMYFUNCTION("IF(DQ23=MAX(FILTER(DQ$10:DQ$199,LOOKUP(ROW(DK$10:DK$199),FILTER(ROW(DK$10:DK$199),DK$10:DK$199&lt;&gt;DK$9:DK$198))=LOOKUP(ROW(DK23),FILTER(ROW(DK$10:DK$199),DK$10:DK$199&lt;&gt;DK$9:DK$198)))),DR23,)"),"")</f>
        <v/>
      </c>
      <c s="42"/>
      <c s="65"/>
      <c s="64" t="str">
        <f t="shared" si="32"/>
        <v>core</v>
      </c>
      <c s="65" t="str">
        <f>IFERROR(__xludf.DUMMYFUNCTION("""COMPUTED_VALUE"""),"ac")</f>
        <v>ac</v>
      </c>
      <c s="66">
        <f ca="1"/>
        <v>45271</v>
      </c>
      <c s="93" t="str">
        <f t="shared" si="47"/>
        <v>Decline Weighted Situp</v>
      </c>
      <c s="94">
        <f t="shared" si="86"/>
        <v>3</v>
      </c>
      <c s="95">
        <f t="shared" si="153" ref="EC23:EC31">IF(OR(ISBLANK(DO23),DO23=""),"",DO23)</f>
        <v>15</v>
      </c>
      <c s="106" t="s">
        <v>141</v>
      </c>
      <c s="97" t="str">
        <f t="array" ref="EE23">IFERROR(IF(DY23="ac"+ISNUMBER(SEARCH("'",ED23))+EC23="","",IF(ISNUMBER(SEARCH("lw",ED23)),DQ23+SUBSTITUTE(ED23,"lw+",""),MROUND(_xlfn.SWITCH(DY23,"sq",EC$7,"bn",ED$7,"dl",EE$7,"")*IF(ED23&gt;10,ED23/100,VLOOKUP(ED23,_rpe,SUBSTITUTE(EC23,"+","")+1,0)),IF(_xlfn.SWITCH(DY23,"sq",EC$7,"bn",ED$7,"dl",EE$7,"")&lt;IF(_uom="lbs",175,80),1.25,IF(_uom="lbs",5,2.5))))),"")</f>
        <v/>
      </c>
      <c s="70"/>
      <c s="65"/>
      <c s="97"/>
      <c s="44" t="str">
        <f>IFERROR(__xludf.DUMMYFUNCTION("IF(EE23=MAX(FILTER(EE$10:EE$199,LOOKUP(ROW(DY$10:DY$199),FILTER(ROW(DY$10:DY$199),DY$10:DY$199&lt;&gt;DY$9:DY$198))=LOOKUP(ROW(DY23),FILTER(ROW(DY$10:DY$199),DY$10:DY$199&lt;&gt;DY$9:DY$198)))),EF23,)"),"")</f>
        <v/>
      </c>
      <c s="42"/>
      <c s="65"/>
      <c s="64" t="str">
        <f t="shared" si="34"/>
        <v>core</v>
      </c>
      <c s="65" t="str">
        <f>IFERROR(__xludf.DUMMYFUNCTION("""COMPUTED_VALUE"""),"ac")</f>
        <v>ac</v>
      </c>
      <c s="66">
        <f ca="1"/>
        <v>45278</v>
      </c>
      <c s="93" t="str">
        <f t="shared" si="48"/>
        <v>Decline Weighted Situp</v>
      </c>
      <c s="94">
        <f t="shared" si="105"/>
        <v>3</v>
      </c>
      <c s="95">
        <f t="shared" si="154" ref="EQ23:EQ31">IF(OR(ISBLANK(EC23),EC23=""),"",EC23)</f>
        <v>15</v>
      </c>
      <c s="98" t="str">
        <f t="shared" si="107"/>
        <v>@8-9</v>
      </c>
      <c s="97" t="str">
        <f t="array" ref="ES23">IFERROR(IF(EM23="ac"+ISNUMBER(SEARCH("'",ER23))+EQ23="","",IF(ISNUMBER(SEARCH("lw",ER23)),EE23+SUBSTITUTE(ER23,"lw+",""),MROUND(_xlfn.SWITCH(EM23,"sq",EQ$7,"bn",ER$7,"dl",ES$7,"")*IF(ER23&gt;10,ER23/100,VLOOKUP(ER23,_rpe,SUBSTITUTE(EQ23,"+","")+1,0)),IF(_xlfn.SWITCH(EM23,"sq",EQ$7,"bn",ER$7,"dl",ES$7,"")&lt;IF(_uom="lbs",175,80),1.25,IF(_uom="lbs",5,2.5))))),"")</f>
        <v/>
      </c>
      <c s="70"/>
      <c s="65"/>
      <c s="97"/>
      <c s="44" t="str">
        <f>IFERROR(__xludf.DUMMYFUNCTION("IF(ES23=MAX(FILTER(ES$10:ES$199,LOOKUP(ROW(EM$10:EM$199),FILTER(ROW(EM$10:EM$199),EM$10:EM$199&lt;&gt;EM$9:EM$198))=LOOKUP(ROW(EM23),FILTER(ROW(EM$10:EM$199),EM$10:EM$199&lt;&gt;EM$9:EM$198)))),ET23,)"),"")</f>
        <v/>
      </c>
      <c s="42"/>
      <c s="65"/>
      <c s="64" t="str">
        <f t="shared" si="36"/>
        <v>core</v>
      </c>
      <c s="65" t="str">
        <f>IFERROR(__xludf.DUMMYFUNCTION("""COMPUTED_VALUE"""),"ac")</f>
        <v>ac</v>
      </c>
      <c s="66">
        <f ca="1"/>
        <v>45285</v>
      </c>
      <c s="93" t="str">
        <f t="shared" si="49"/>
        <v>Decline Weighted Situp</v>
      </c>
      <c s="94">
        <f t="shared" si="108"/>
        <v>3</v>
      </c>
      <c s="95">
        <f t="shared" si="155" ref="FE23:FE31">IF(OR(ISBLANK(EQ23),EQ23=""),"",EQ23)</f>
        <v>15</v>
      </c>
      <c s="98" t="str">
        <f t="shared" si="110"/>
        <v>@8-9</v>
      </c>
      <c s="97" t="str">
        <f t="array" ref="FG23">IFERROR(IF(FA23="ac"+ISNUMBER(SEARCH("'",FF23))+FE23="","",IF(ISNUMBER(SEARCH("lw",FF23)),ES23+SUBSTITUTE(FF23,"lw+",""),MROUND(_xlfn.SWITCH(FA23,"sq",FE$7,"bn",FF$7,"dl",FG$7,"")*IF(FF23&gt;10,FF23/100,VLOOKUP(FF23,_rpe,SUBSTITUTE(FE23,"+","")+1,0)),IF(_xlfn.SWITCH(FA23,"sq",FE$7,"bn",FF$7,"dl",FG$7,"")&lt;IF(_uom="lbs",175,80),1.25,IF(_uom="lbs",5,2.5))))),"")</f>
        <v/>
      </c>
      <c s="70"/>
      <c s="65"/>
      <c s="97"/>
      <c s="44" t="str">
        <f>IFERROR(__xludf.DUMMYFUNCTION("IF(FG23=MAX(FILTER(FG$10:FG$199,LOOKUP(ROW(FA$10:FA$199),FILTER(ROW(FA$10:FA$199),FA$10:FA$199&lt;&gt;FA$9:FA$198))=LOOKUP(ROW(FA23),FILTER(ROW(FA$10:FA$199),FA$10:FA$199&lt;&gt;FA$9:FA$198)))),FH23,)"),"")</f>
        <v/>
      </c>
      <c s="42"/>
      <c s="65"/>
      <c s="64" t="str">
        <f t="shared" si="38"/>
        <v>core</v>
      </c>
      <c s="65" t="str">
        <f>IFERROR(__xludf.DUMMYFUNCTION("""COMPUTED_VALUE"""),"")</f>
        <v/>
      </c>
      <c s="66">
        <f ca="1"/>
        <v>45292</v>
      </c>
      <c s="93"/>
      <c s="94"/>
      <c s="95"/>
      <c s="98"/>
      <c s="97" t="str">
        <f t="array" ref="FU23">IFERROR(IF(FO23="ac"+ISNUMBER(SEARCH("'",FT23))+FS23="","",IF(ISNUMBER(SEARCH("lw",FT23)),FG23+SUBSTITUTE(FT23,"lw+",""),MROUND(_xlfn.SWITCH(FO23,"sq",FS$7,"bn",FT$7,"dl",FU$7,"")*IF(FT23&gt;10,FT23/100,VLOOKUP(FT23,_rpe,SUBSTITUTE(FS23,"+","")+1,0)),IF(_xlfn.SWITCH(FO23,"sq",FS$7,"bn",FT$7,"dl",FU$7,"")&lt;IF(_uom="lbs",175,80),1.25,IF(_uom="lbs",5,2.5))))),"")</f>
        <v/>
      </c>
      <c s="70"/>
      <c s="65"/>
      <c s="97"/>
      <c s="44" t="str">
        <f>IFERROR(__xludf.DUMMYFUNCTION("IF(FU23=MAX(FILTER(FU$10:FU$199,LOOKUP(ROW(FO$10:FO$199),FILTER(ROW(FO$10:FO$199),FO$10:FO$199&lt;&gt;FO$9:FO$198))=LOOKUP(ROW(FO23),FILTER(ROW(FO$10:FO$199),FO$10:FO$199&lt;&gt;FO$9:FO$198)))),FV23,)"),"")</f>
        <v/>
      </c>
      <c s="42"/>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74"/>
      <c s="100"/>
      <c s="101"/>
      <c s="102"/>
      <c s="78"/>
      <c s="70"/>
      <c s="65"/>
      <c s="78"/>
      <c s="70"/>
      <c s="63"/>
      <c s="65"/>
      <c s="64"/>
      <c s="65"/>
      <c s="66"/>
      <c s="64" t="str">
        <f t="shared" si="41"/>
        <v>#REF!</v>
      </c>
      <c s="65"/>
      <c s="66" t="e">
        <f ca="1"/>
        <v>#REF!</v>
      </c>
    </row>
    <row r="24" spans="1:259" ht="15.75">
      <c r="A24" s="63"/>
      <c s="64"/>
      <c s="65" t="str">
        <f>IFERROR(__xludf.DUMMYFUNCTION("""COMPUTED_VALUE"""),"ac")</f>
        <v>ac</v>
      </c>
      <c s="66">
        <f ca="1"/>
        <v>45208</v>
      </c>
      <c s="93" t="s">
        <v>149</v>
      </c>
      <c s="94"/>
      <c s="95"/>
      <c s="96"/>
      <c s="97" t="str">
        <f t="array" ref="I24">IFERROR(IF(C24="ac"+ISNUMBER(SEARCH("'",H24))+G24="","",MROUND(_xlfn.SWITCH(C24,"sq",'Personal Info'!$O$15,"bn",'Personal Info'!$S$15,"dl",'Personal Info'!$W$15,"")*IF(H24&gt;10,H24/100,VLOOKUP(H24,_rpe,SUBSTITUTE(G24,"+","")+1,0)),IF(_xlfn.SWITCH(C24:C210,"sq",'Personal Info'!$O$15,"bn",'Personal Info'!$S$15,"dl",'Personal Info'!$W$15,"")&lt;IF(_uom="lbs",175,80),1.25,IF(_uom="lbs",5,2.5)))),"")</f>
        <v/>
      </c>
      <c s="70"/>
      <c s="63"/>
      <c s="97"/>
      <c s="44" t="str">
        <f>IFERROR(__xludf.DUMMYFUNCTION("IF(I24=MAX(FILTER(I$10:I$199,LOOKUP(ROW(C$10:C$199),FILTER(ROW(C$10:C$199),C$10:C$199&lt;&gt;C$9:C$198))=LOOKUP(ROW(C24),FILTER(ROW(C$10:C$199),C$10:C$199&lt;&gt;C$9:C$198)))),J24,)"),"")</f>
        <v/>
      </c>
      <c s="42"/>
      <c s="65"/>
      <c s="64" t="str">
        <f t="shared" si="11"/>
        <v/>
      </c>
      <c s="65" t="str">
        <f>IFERROR(__xludf.DUMMYFUNCTION("""COMPUTED_VALUE"""),"ac")</f>
        <v>ac</v>
      </c>
      <c s="66">
        <f ca="1"/>
        <v>45215</v>
      </c>
      <c s="93" t="str">
        <f t="shared" si="12"/>
        <v>note: if shoulder/bicep/elbow pain, squat high bar</v>
      </c>
      <c s="94"/>
      <c s="95"/>
      <c s="98"/>
      <c s="97" t="str">
        <f t="array" ref="W24">IFERROR(IF(Q24="ac"+ISNUMBER(SEARCH("'",V24))+U24="","",IF(ISNUMBER(SEARCH("lw",V24)),I24+SUBSTITUTE(V24,"lw+",""),MROUND(_xlfn.SWITCH(Q24,"sq",U$7,"bn",V$7,"dl",W$7,"")*IF(V24&gt;10,V24/100,VLOOKUP(V24,_rpe,SUBSTITUTE(U24,"+","")+1,0)),IF(_xlfn.SWITCH(Q24,"sq",U$7,"bn",V$7,"dl",W$7,"")&lt;IF(_uom="lbs",175,80),1.25,IF(_uom="lbs",5,2.5))))),"")</f>
        <v/>
      </c>
      <c s="70"/>
      <c s="63"/>
      <c s="97"/>
      <c s="44" t="str">
        <f>IFERROR(__xludf.DUMMYFUNCTION("IF(W24=MAX(FILTER(W$10:W$199,LOOKUP(ROW(Q$10:Q$199),FILTER(ROW(Q$10:Q$199),Q$10:Q$199&lt;&gt;Q$9:Q$198))=LOOKUP(ROW(Q24),FILTER(ROW(Q$10:Q$199),Q$10:Q$199&lt;&gt;Q$9:Q$198)))),X24,)"),"")</f>
        <v/>
      </c>
      <c s="42"/>
      <c s="65"/>
      <c s="64" t="str">
        <f t="shared" si="14"/>
        <v/>
      </c>
      <c s="65" t="str">
        <f>IFERROR(__xludf.DUMMYFUNCTION("""COMPUTED_VALUE"""),"ac")</f>
        <v>ac</v>
      </c>
      <c s="66">
        <f ca="1"/>
        <v>45222</v>
      </c>
      <c s="93" t="str">
        <f t="shared" si="156" ref="AG24:AG199">IF(ISBLANK(S24),"",S24)</f>
        <v>note: if shoulder/bicep/elbow pain, squat high bar</v>
      </c>
      <c s="94"/>
      <c s="95"/>
      <c s="98"/>
      <c s="97" t="str">
        <f t="array" ref="AK24">IFERROR(IF(AE24="ac"+ISNUMBER(SEARCH("'",AJ24))+AI24="","",IF(ISNUMBER(SEARCH("lw",AJ24)),W24+SUBSTITUTE(AJ24,"lw+",""),MROUND(_xlfn.SWITCH(AE24,"sq",AI$7,"bn",AJ$7,"dl",AK$7,"")*IF(AJ24&gt;10,AJ24/100,VLOOKUP(AJ24,_rpe,SUBSTITUTE(AI24,"+","")+1,0)),IF(_xlfn.SWITCH(AE24,"sq",AI$7,"bn",AJ$7,"dl",AK$7,"")&lt;IF(_uom="lbs",175,80),1.25,IF(_uom="lbs",5,2.5))))),"")</f>
        <v/>
      </c>
      <c s="70"/>
      <c s="63"/>
      <c s="97"/>
      <c s="44" t="str">
        <f>IFERROR(__xludf.DUMMYFUNCTION("IF(AK24=MAX(FILTER(AK$10:AK$199,LOOKUP(ROW(AE$10:AE$199),FILTER(ROW(AE$10:AE$199),AE$10:AE$199&lt;&gt;AE$9:AE$198))=LOOKUP(ROW(AE24),FILTER(ROW(AE$10:AE$199),AE$10:AE$199&lt;&gt;AE$9:AE$198)))),AL24,)"),"")</f>
        <v/>
      </c>
      <c s="42"/>
      <c s="65"/>
      <c s="64" t="str">
        <f t="shared" si="17"/>
        <v/>
      </c>
      <c s="65" t="str">
        <f>IFERROR(__xludf.DUMMYFUNCTION("""COMPUTED_VALUE"""),"ac")</f>
        <v>ac</v>
      </c>
      <c s="66">
        <f ca="1"/>
        <v>45229</v>
      </c>
      <c s="93" t="str">
        <f t="shared" si="157" ref="AU24:AU199">IF(ISBLANK(AG24),"",AG24)</f>
        <v>note: if shoulder/bicep/elbow pain, squat high bar</v>
      </c>
      <c s="94"/>
      <c s="95"/>
      <c s="98"/>
      <c s="97" t="str">
        <f t="array" ref="AY24">IFERROR(IF(AS24="ac"+ISNUMBER(SEARCH("'",AX24))+AW24="","",IF(ISNUMBER(SEARCH("lw",AX24)),AK24+SUBSTITUTE(AX24,"lw+",""),MROUND(_xlfn.SWITCH(AS24,"sq",AW$7,"bn",AX$7,"dl",AY$7,"")*IF(AX24&gt;10,AX24/100,VLOOKUP(AX24,_rpe,SUBSTITUTE(AW24,"+","")+1,0)),IF(_xlfn.SWITCH(AS24,"sq",AW$7,"bn",AX$7,"dl",AY$7,"")&lt;IF(_uom="lbs",175,80),1.25,IF(_uom="lbs",5,2.5))))),"")</f>
        <v/>
      </c>
      <c s="70"/>
      <c s="63"/>
      <c s="97"/>
      <c s="44" t="str">
        <f>IFERROR(__xludf.DUMMYFUNCTION("IF(AY24=MAX(FILTER(AY$10:AY$199,LOOKUP(ROW(AS$10:AS$199),FILTER(ROW(AS$10:AS$199),AS$10:AS$199&lt;&gt;AS$9:AS$198))=LOOKUP(ROW(AS24),FILTER(ROW(AS$10:AS$199),AS$10:AS$199&lt;&gt;AS$9:AS$198)))),AZ24,)"),"")</f>
        <v/>
      </c>
      <c s="42"/>
      <c s="65"/>
      <c s="64" t="str">
        <f t="shared" si="19"/>
        <v/>
      </c>
      <c s="65" t="str">
        <f>IFERROR(__xludf.DUMMYFUNCTION("""COMPUTED_VALUE"""),"ac")</f>
        <v>ac</v>
      </c>
      <c s="66">
        <f ca="1"/>
        <v>45236</v>
      </c>
      <c s="93" t="str">
        <f t="shared" si="20"/>
        <v>note: if shoulder/bicep/elbow pain, squat high bar</v>
      </c>
      <c s="94" t="str">
        <f t="shared" si="158" ref="BJ24:BJ31">IF(ISBLANK(AV24),"",AV24)</f>
        <v/>
      </c>
      <c s="95" t="str">
        <f t="shared" si="159" ref="BK24:BK31">IF(OR(ISBLANK(AW24),AW24=""),"",AW24)</f>
        <v/>
      </c>
      <c s="98" t="str">
        <f t="shared" si="160" ref="BL24:BL31">IF(ISBLANK(AX24),"",AX24)</f>
        <v/>
      </c>
      <c s="97" t="str">
        <f t="array" ref="BM24">IFERROR(IF(BG24="ac"+ISNUMBER(SEARCH("'",BL24))+BK24="","",IF(ISNUMBER(SEARCH("lw",BL24)),AY24+SUBSTITUTE(BL24,"lw+",""),MROUND(_xlfn.SWITCH(BG24,"sq",BK$7,"bn",BL$7,"dl",BM$7,"")*IF(BL24&gt;10,BL24/100,VLOOKUP(BL24,_rpe,SUBSTITUTE(BK24,"+","")+1,0)),IF(_xlfn.SWITCH(BG24,"sq",BK$7,"bn",BL$7,"dl",BM$7,"")&lt;IF(_uom="lbs",175,80),1.25,IF(_uom="lbs",5,2.5))))),"")</f>
        <v/>
      </c>
      <c s="70"/>
      <c s="63"/>
      <c s="97"/>
      <c s="44" t="str">
        <f>IFERROR(__xludf.DUMMYFUNCTION("IF(BM24=MAX(FILTER(BM$10:BM$199,LOOKUP(ROW(BG$10:BG$199),FILTER(ROW(BG$10:BG$199),BG$10:BG$199&lt;&gt;BG$9:BG$198))=LOOKUP(ROW(BG24),FILTER(ROW(BG$10:BG$199),BG$10:BG$199&lt;&gt;BG$9:BG$198)))),BN24,)"),"")</f>
        <v/>
      </c>
      <c s="42"/>
      <c s="65"/>
      <c s="64" t="str">
        <f t="shared" si="21"/>
        <v/>
      </c>
      <c s="65" t="str">
        <f>IFERROR(__xludf.DUMMYFUNCTION("""COMPUTED_VALUE"""),"ac")</f>
        <v>ac</v>
      </c>
      <c s="66">
        <f ca="1"/>
        <v>45243</v>
      </c>
      <c s="93" t="str">
        <f t="shared" si="22"/>
        <v>note: if shoulder/bicep/elbow pain, squat high bar</v>
      </c>
      <c s="94" t="str">
        <f t="shared" si="161" ref="BX24:BX31">IF(ISBLANK(BJ24),"",BJ24)</f>
        <v/>
      </c>
      <c s="95" t="str">
        <f t="shared" si="149"/>
        <v/>
      </c>
      <c s="98" t="str">
        <f t="shared" si="162" ref="BZ24:BZ31">IF(ISBLANK(BL24),"",BL24)</f>
        <v/>
      </c>
      <c s="97" t="str">
        <f t="array" ref="CA24">IFERROR(IF(BU24="ac"+ISNUMBER(SEARCH("'",BZ24))+BY24="","",IF(ISNUMBER(SEARCH("lw",BZ24)),BM24+SUBSTITUTE(BZ24,"lw+",""),MROUND(_xlfn.SWITCH(BU24,"sq",BY$7,"bn",BZ$7,"dl",CA$7,"")*IF(BZ24&gt;10,BZ24/100,VLOOKUP(BZ24,_rpe,SUBSTITUTE(BY24,"+","")+1,0)),IF(_xlfn.SWITCH(BU24,"sq",BY$7,"bn",BZ$7,"dl",CA$7,"")&lt;IF(_uom="lbs",175,80),1.25,IF(_uom="lbs",5,2.5))))),"")</f>
        <v/>
      </c>
      <c s="70"/>
      <c s="63"/>
      <c s="97"/>
      <c s="44" t="str">
        <f>IFERROR(__xludf.DUMMYFUNCTION("IF(CA24=MAX(FILTER(CA$10:CA$199,LOOKUP(ROW(BU$10:BU$199),FILTER(ROW(BU$10:BU$199),BU$10:BU$199&lt;&gt;BU$9:BU$198))=LOOKUP(ROW(BU24),FILTER(ROW(BU$10:BU$199),BU$10:BU$199&lt;&gt;BU$9:BU$198)))),CB24,)"),"")</f>
        <v/>
      </c>
      <c s="42"/>
      <c s="65"/>
      <c s="64" t="str">
        <f t="shared" si="24"/>
        <v/>
      </c>
      <c s="65" t="str">
        <f>IFERROR(__xludf.DUMMYFUNCTION("""COMPUTED_VALUE"""),"ac")</f>
        <v>ac</v>
      </c>
      <c s="66">
        <f ca="1"/>
        <v>45250</v>
      </c>
      <c s="93" t="str">
        <f t="shared" si="44"/>
        <v>note: if shoulder/bicep/elbow pain, squat high bar</v>
      </c>
      <c s="94" t="str">
        <f t="shared" si="62"/>
        <v/>
      </c>
      <c s="95" t="str">
        <f t="shared" si="150"/>
        <v/>
      </c>
      <c s="98" t="str">
        <f t="shared" si="163" ref="CN24:CN31">IF(ISBLANK(BZ24),"",BZ24)</f>
        <v/>
      </c>
      <c s="97" t="str">
        <f t="array" ref="CO24">IFERROR(IF(CI24="ac"+ISNUMBER(SEARCH("'",CN24))+CM24="","",IF(ISNUMBER(SEARCH("lw",CN24)),CA24+SUBSTITUTE(CN24,"lw+",""),MROUND(_xlfn.SWITCH(CI24,"sq",CM$7,"bn",CN$7,"dl",CO$7,"")*IF(CN24&gt;10,CN24/100,VLOOKUP(CN24,_rpe,SUBSTITUTE(CM24,"+","")+1,0)),IF(_xlfn.SWITCH(CI24,"sq",CM$7,"bn",CN$7,"dl",CO$7,"")&lt;IF(_uom="lbs",175,80),1.25,IF(_uom="lbs",5,2.5))))),"")</f>
        <v/>
      </c>
      <c s="70"/>
      <c s="63"/>
      <c s="97"/>
      <c s="44" t="str">
        <f>IFERROR(__xludf.DUMMYFUNCTION("IF(CO24=MAX(FILTER(CO$10:CO$199,LOOKUP(ROW(CI$10:CI$199),FILTER(ROW(CI$10:CI$199),CI$10:CI$199&lt;&gt;CI$9:CI$198))=LOOKUP(ROW(CI24),FILTER(ROW(CI$10:CI$199),CI$10:CI$199&lt;&gt;CI$9:CI$198)))),CP24,)"),"")</f>
        <v/>
      </c>
      <c s="42"/>
      <c s="65"/>
      <c s="64" t="str">
        <f t="shared" si="27"/>
        <v/>
      </c>
      <c s="65" t="str">
        <f>IFERROR(__xludf.DUMMYFUNCTION("""COMPUTED_VALUE"""),"ac")</f>
        <v>ac</v>
      </c>
      <c s="66">
        <f ca="1"/>
        <v>45257</v>
      </c>
      <c s="93" t="str">
        <f t="shared" si="45"/>
        <v>note: if shoulder/bicep/elbow pain, squat high bar</v>
      </c>
      <c s="94" t="str">
        <f t="shared" si="64"/>
        <v/>
      </c>
      <c s="95" t="str">
        <f t="shared" si="151"/>
        <v/>
      </c>
      <c s="98" t="str">
        <f t="shared" si="99"/>
        <v/>
      </c>
      <c s="97" t="str">
        <f t="array" ref="DC24">IFERROR(IF(CW24="ac"+ISNUMBER(SEARCH("'",DB24))+DA24="","",IF(ISNUMBER(SEARCH("lw",DB24)),CO24+SUBSTITUTE(DB24,"lw+",""),MROUND(_xlfn.SWITCH(CW24,"sq",DA$7,"bn",DB$7,"dl",DC$7,"")*IF(DB24&gt;10,DB24/100,VLOOKUP(DB24,_rpe,SUBSTITUTE(DA24,"+","")+1,0)),IF(_xlfn.SWITCH(CW24,"sq",DA$7,"bn",DB$7,"dl",DC$7,"")&lt;IF(_uom="lbs",175,80),1.25,IF(_uom="lbs",5,2.5))))),"")</f>
        <v/>
      </c>
      <c s="70"/>
      <c s="63"/>
      <c s="97"/>
      <c s="44" t="str">
        <f>IFERROR(__xludf.DUMMYFUNCTION("IF(DC24=MAX(FILTER(DC$10:DC$199,LOOKUP(ROW(CW$10:CW$199),FILTER(ROW(CW$10:CW$199),CW$10:CW$199&lt;&gt;CW$9:CW$198))=LOOKUP(ROW(CW24),FILTER(ROW(CW$10:CW$199),CW$10:CW$199&lt;&gt;CW$9:CW$198)))),DD24,)"),"")</f>
        <v/>
      </c>
      <c s="42"/>
      <c s="65"/>
      <c s="64" t="str">
        <f t="shared" si="30"/>
        <v/>
      </c>
      <c s="65" t="str">
        <f>IFERROR(__xludf.DUMMYFUNCTION("""COMPUTED_VALUE"""),"ac")</f>
        <v>ac</v>
      </c>
      <c s="66">
        <f ca="1"/>
        <v>45264</v>
      </c>
      <c s="93" t="str">
        <f t="shared" si="46"/>
        <v>note: if shoulder/bicep/elbow pain, squat high bar</v>
      </c>
      <c s="94" t="str">
        <f t="shared" si="100"/>
        <v/>
      </c>
      <c s="95" t="str">
        <f t="shared" si="152"/>
        <v/>
      </c>
      <c s="98" t="str">
        <f t="shared" si="164" ref="DP24:DP31">IF(ISBLANK(DB24),"",DB24)</f>
        <v/>
      </c>
      <c s="97" t="str">
        <f t="array" ref="DQ24">IFERROR(IF(DK24="ac"+ISNUMBER(SEARCH("'",DP24))+DO24="","",IF(ISNUMBER(SEARCH("lw",DP24)),DC24+SUBSTITUTE(DP24,"lw+",""),MROUND(_xlfn.SWITCH(DK24,"sq",DO$7,"bn",DP$7,"dl",DQ$7,"")*IF(DP24&gt;10,DP24/100,VLOOKUP(DP24,_rpe,SUBSTITUTE(DO24,"+","")+1,0)),IF(_xlfn.SWITCH(DK24,"sq",DO$7,"bn",DP$7,"dl",DQ$7,"")&lt;IF(_uom="lbs",175,80),1.25,IF(_uom="lbs",5,2.5))))),"")</f>
        <v/>
      </c>
      <c s="70"/>
      <c s="63"/>
      <c s="97"/>
      <c s="44" t="str">
        <f>IFERROR(__xludf.DUMMYFUNCTION("IF(DQ24=MAX(FILTER(DQ$10:DQ$199,LOOKUP(ROW(DK$10:DK$199),FILTER(ROW(DK$10:DK$199),DK$10:DK$199&lt;&gt;DK$9:DK$198))=LOOKUP(ROW(DK24),FILTER(ROW(DK$10:DK$199),DK$10:DK$199&lt;&gt;DK$9:DK$198)))),DR24,)"),"")</f>
        <v/>
      </c>
      <c s="42"/>
      <c s="65"/>
      <c s="64" t="str">
        <f t="shared" si="32"/>
        <v/>
      </c>
      <c s="65" t="str">
        <f>IFERROR(__xludf.DUMMYFUNCTION("""COMPUTED_VALUE"""),"ac")</f>
        <v>ac</v>
      </c>
      <c s="66">
        <f ca="1"/>
        <v>45271</v>
      </c>
      <c s="93" t="str">
        <f t="shared" si="47"/>
        <v>note: if shoulder/bicep/elbow pain, squat high bar</v>
      </c>
      <c s="94" t="str">
        <f t="shared" si="86"/>
        <v/>
      </c>
      <c s="95" t="str">
        <f t="shared" si="153"/>
        <v/>
      </c>
      <c s="98" t="str">
        <f t="shared" si="165" ref="ED24:ED31">IF(ISBLANK(DP24),"",DP24)</f>
        <v/>
      </c>
      <c s="97" t="str">
        <f t="array" ref="EE24">IFERROR(IF(DY24="ac"+ISNUMBER(SEARCH("'",ED24))+EC24="","",IF(ISNUMBER(SEARCH("lw",ED24)),DQ24+SUBSTITUTE(ED24,"lw+",""),MROUND(_xlfn.SWITCH(DY24,"sq",EC$7,"bn",ED$7,"dl",EE$7,"")*IF(ED24&gt;10,ED24/100,VLOOKUP(ED24,_rpe,SUBSTITUTE(EC24,"+","")+1,0)),IF(_xlfn.SWITCH(DY24,"sq",EC$7,"bn",ED$7,"dl",EE$7,"")&lt;IF(_uom="lbs",175,80),1.25,IF(_uom="lbs",5,2.5))))),"")</f>
        <v/>
      </c>
      <c s="70"/>
      <c s="63"/>
      <c s="97"/>
      <c s="44" t="str">
        <f>IFERROR(__xludf.DUMMYFUNCTION("IF(EE24=MAX(FILTER(EE$10:EE$199,LOOKUP(ROW(DY$10:DY$199),FILTER(ROW(DY$10:DY$199),DY$10:DY$199&lt;&gt;DY$9:DY$198))=LOOKUP(ROW(DY24),FILTER(ROW(DY$10:DY$199),DY$10:DY$199&lt;&gt;DY$9:DY$198)))),EF24,)"),"")</f>
        <v/>
      </c>
      <c s="42"/>
      <c s="65"/>
      <c s="64" t="str">
        <f t="shared" si="34"/>
        <v/>
      </c>
      <c s="65" t="str">
        <f>IFERROR(__xludf.DUMMYFUNCTION("""COMPUTED_VALUE"""),"ac")</f>
        <v>ac</v>
      </c>
      <c s="66">
        <f ca="1"/>
        <v>45278</v>
      </c>
      <c s="93" t="str">
        <f t="shared" si="48"/>
        <v>note: if shoulder/bicep/elbow pain, squat high bar</v>
      </c>
      <c s="94" t="str">
        <f t="shared" si="105"/>
        <v/>
      </c>
      <c s="95" t="str">
        <f t="shared" si="154"/>
        <v/>
      </c>
      <c s="98" t="str">
        <f t="shared" si="107"/>
        <v/>
      </c>
      <c s="97" t="str">
        <f t="array" ref="ES24">IFERROR(IF(EM24="ac"+ISNUMBER(SEARCH("'",ER24))+EQ24="","",IF(ISNUMBER(SEARCH("lw",ER24)),EE24+SUBSTITUTE(ER24,"lw+",""),MROUND(_xlfn.SWITCH(EM24,"sq",EQ$7,"bn",ER$7,"dl",ES$7,"")*IF(ER24&gt;10,ER24/100,VLOOKUP(ER24,_rpe,SUBSTITUTE(EQ24,"+","")+1,0)),IF(_xlfn.SWITCH(EM24,"sq",EQ$7,"bn",ER$7,"dl",ES$7,"")&lt;IF(_uom="lbs",175,80),1.25,IF(_uom="lbs",5,2.5))))),"")</f>
        <v/>
      </c>
      <c s="70"/>
      <c s="63"/>
      <c s="97"/>
      <c s="44" t="str">
        <f>IFERROR(__xludf.DUMMYFUNCTION("IF(ES24=MAX(FILTER(ES$10:ES$199,LOOKUP(ROW(EM$10:EM$199),FILTER(ROW(EM$10:EM$199),EM$10:EM$199&lt;&gt;EM$9:EM$198))=LOOKUP(ROW(EM24),FILTER(ROW(EM$10:EM$199),EM$10:EM$199&lt;&gt;EM$9:EM$198)))),ET24,)"),"")</f>
        <v/>
      </c>
      <c s="42"/>
      <c s="65"/>
      <c s="64" t="str">
        <f t="shared" si="36"/>
        <v/>
      </c>
      <c s="65" t="str">
        <f>IFERROR(__xludf.DUMMYFUNCTION("""COMPUTED_VALUE"""),"ac")</f>
        <v>ac</v>
      </c>
      <c s="66">
        <f ca="1"/>
        <v>45285</v>
      </c>
      <c s="93" t="str">
        <f t="shared" si="49"/>
        <v>note: if shoulder/bicep/elbow pain, squat high bar</v>
      </c>
      <c s="94" t="str">
        <f t="shared" si="108"/>
        <v/>
      </c>
      <c s="95" t="str">
        <f t="shared" si="155"/>
        <v/>
      </c>
      <c s="98" t="str">
        <f t="shared" si="110"/>
        <v/>
      </c>
      <c s="97" t="str">
        <f t="array" ref="FG24">IFERROR(IF(FA24="ac"+ISNUMBER(SEARCH("'",FF24))+FE24="","",IF(ISNUMBER(SEARCH("lw",FF24)),ES24+SUBSTITUTE(FF24,"lw+",""),MROUND(_xlfn.SWITCH(FA24,"sq",FE$7,"bn",FF$7,"dl",FG$7,"")*IF(FF24&gt;10,FF24/100,VLOOKUP(FF24,_rpe,SUBSTITUTE(FE24,"+","")+1,0)),IF(_xlfn.SWITCH(FA24,"sq",FE$7,"bn",FF$7,"dl",FG$7,"")&lt;IF(_uom="lbs",175,80),1.25,IF(_uom="lbs",5,2.5))))),"")</f>
        <v/>
      </c>
      <c s="70"/>
      <c s="63"/>
      <c s="97"/>
      <c s="44" t="str">
        <f>IFERROR(__xludf.DUMMYFUNCTION("IF(FG24=MAX(FILTER(FG$10:FG$199,LOOKUP(ROW(FA$10:FA$199),FILTER(ROW(FA$10:FA$199),FA$10:FA$199&lt;&gt;FA$9:FA$198))=LOOKUP(ROW(FA24),FILTER(ROW(FA$10:FA$199),FA$10:FA$199&lt;&gt;FA$9:FA$198)))),FH24,)"),"")</f>
        <v/>
      </c>
      <c s="42"/>
      <c s="65"/>
      <c s="64" t="str">
        <f t="shared" si="38"/>
        <v/>
      </c>
      <c s="65" t="str">
        <f>IFERROR(__xludf.DUMMYFUNCTION("""COMPUTED_VALUE"""),"")</f>
        <v/>
      </c>
      <c s="66">
        <f ca="1"/>
        <v>45292</v>
      </c>
      <c s="93"/>
      <c s="94" t="str">
        <f>IF(ISBLANK(FD24),"",FD24)</f>
        <v/>
      </c>
      <c s="95" t="str">
        <f t="shared" si="166" ref="FS24:FS31">IF(OR(ISBLANK(FE24),FE24=""),"",FE24)</f>
        <v/>
      </c>
      <c s="98" t="str">
        <f t="shared" si="167" ref="FT24:FT31">IF(ISBLANK(FF24),"",FF24)</f>
        <v/>
      </c>
      <c s="97" t="str">
        <f t="array" ref="FU24">IFERROR(IF(FO24="ac"+ISNUMBER(SEARCH("'",FT24))+FS24="","",IF(ISNUMBER(SEARCH("lw",FT24)),FG24+SUBSTITUTE(FT24,"lw+",""),MROUND(_xlfn.SWITCH(FO24,"sq",FS$7,"bn",FT$7,"dl",FU$7,"")*IF(FT24&gt;10,FT24/100,VLOOKUP(FT24,_rpe,SUBSTITUTE(FS24,"+","")+1,0)),IF(_xlfn.SWITCH(FO24,"sq",FS$7,"bn",FT$7,"dl",FU$7,"")&lt;IF(_uom="lbs",175,80),1.25,IF(_uom="lbs",5,2.5))))),"")</f>
        <v/>
      </c>
      <c s="70"/>
      <c s="63"/>
      <c s="97"/>
      <c s="44" t="str">
        <f>IFERROR(__xludf.DUMMYFUNCTION("IF(FU24=MAX(FILTER(FU$10:FU$199,LOOKUP(ROW(FO$10:FO$199),FILTER(ROW(FO$10:FO$199),FO$10:FO$199&lt;&gt;FO$9:FO$198))=LOOKUP(ROW(FO24),FILTER(ROW(FO$10:FO$199),FO$10:FO$199&lt;&gt;FO$9:FO$198)))),FV24,)"),"")</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25" spans="1:259" ht="15.75" hidden="1">
      <c r="A25" s="63"/>
      <c s="64"/>
      <c s="65" t="str">
        <f>IFERROR(__xludf.DUMMYFUNCTION("""COMPUTED_VALUE"""),"")</f>
        <v/>
      </c>
      <c s="66">
        <f ca="1"/>
        <v>45208</v>
      </c>
      <c s="93"/>
      <c s="94"/>
      <c s="95"/>
      <c s="97"/>
      <c s="97" t="str">
        <f t="array" ref="I25">IFERROR(IF(C25="ac"+ISNUMBER(SEARCH("'",H25))+G25="","",MROUND(_xlfn.SWITCH(C25,"sq",'Personal Info'!$O$15,"bn",'Personal Info'!$S$15,"dl",'Personal Info'!$W$15,"")*IF(H25&gt;10,H25/100,VLOOKUP(H25,_rpe,SUBSTITUTE(G25,"+","")+1,0)),IF(_xlfn.SWITCH(C25:C210,"sq",'Personal Info'!$O$15,"bn",'Personal Info'!$S$15,"dl",'Personal Info'!$W$15,"")&lt;IF(_uom="lbs",175,80),1.25,IF(_uom="lbs",5,2.5)))),"")</f>
        <v/>
      </c>
      <c s="70"/>
      <c s="63"/>
      <c s="97"/>
      <c s="44" t="str">
        <f>IFERROR(__xludf.DUMMYFUNCTION("IF(I25=MAX(FILTER(I$10:I$199,LOOKUP(ROW(C$10:C$199),FILTER(ROW(C$10:C$199),C$10:C$199&lt;&gt;C$9:C$198))=LOOKUP(ROW(C25),FILTER(ROW(C$10:C$199),C$10:C$199&lt;&gt;C$9:C$198)))),J25,)"),"")</f>
        <v/>
      </c>
      <c s="42"/>
      <c s="65"/>
      <c s="64" t="str">
        <f t="shared" si="11"/>
        <v/>
      </c>
      <c s="65" t="str">
        <f>IFERROR(__xludf.DUMMYFUNCTION("""COMPUTED_VALUE"""),"")</f>
        <v/>
      </c>
      <c s="66">
        <f ca="1"/>
        <v>45215</v>
      </c>
      <c s="93" t="str">
        <f t="shared" si="12"/>
        <v/>
      </c>
      <c s="94" t="str">
        <f t="shared" si="168" ref="T25:T31">IF(ISBLANK(F25),"",F25)</f>
        <v/>
      </c>
      <c s="95" t="str">
        <f t="shared" si="169" ref="U25:U43">IF(OR(ISBLANK(G25),G25=""),"",G25)</f>
        <v/>
      </c>
      <c s="98" t="str">
        <f t="shared" si="170" ref="V25:V31">IF(ISBLANK(H25),"",H25)</f>
        <v/>
      </c>
      <c s="97" t="str">
        <f t="array" ref="W25">IFERROR(IF(Q25="ac"+ISNUMBER(SEARCH("'",V25))+U25="","",IF(ISNUMBER(SEARCH("lw",V25)),I25+SUBSTITUTE(V25,"lw+",""),MROUND(_xlfn.SWITCH(Q25,"sq",U$7,"bn",V$7,"dl",W$7,"")*IF(V25&gt;10,V25/100,VLOOKUP(V25,_rpe,SUBSTITUTE(U25,"+","")+1,0)),IF(_xlfn.SWITCH(Q25,"sq",U$7,"bn",V$7,"dl",W$7,"")&lt;IF(_uom="lbs",175,80),1.25,IF(_uom="lbs",5,2.5))))),"")</f>
        <v/>
      </c>
      <c s="70"/>
      <c s="63"/>
      <c s="97"/>
      <c s="44" t="str">
        <f>IFERROR(__xludf.DUMMYFUNCTION("IF(W25=MAX(FILTER(W$10:W$199,LOOKUP(ROW(Q$10:Q$199),FILTER(ROW(Q$10:Q$199),Q$10:Q$199&lt;&gt;Q$9:Q$198))=LOOKUP(ROW(Q25),FILTER(ROW(Q$10:Q$199),Q$10:Q$199&lt;&gt;Q$9:Q$198)))),X25,)"),"")</f>
        <v/>
      </c>
      <c s="42"/>
      <c s="65"/>
      <c s="64" t="str">
        <f t="shared" si="14"/>
        <v/>
      </c>
      <c s="65" t="str">
        <f>IFERROR(__xludf.DUMMYFUNCTION("""COMPUTED_VALUE"""),"")</f>
        <v/>
      </c>
      <c s="66">
        <f ca="1"/>
        <v>45222</v>
      </c>
      <c s="93" t="str">
        <f t="shared" si="156"/>
        <v/>
      </c>
      <c s="94" t="str">
        <f t="shared" si="171" ref="AH25:AH31">IF(ISBLANK(T25),"",T25)</f>
        <v/>
      </c>
      <c s="95" t="str">
        <f t="shared" si="172" ref="AI25:AI39">IF(OR(ISBLANK(U25),U25=""),"",U25)</f>
        <v/>
      </c>
      <c s="98" t="str">
        <f t="shared" si="173" ref="AJ25:AJ31">IF(ISBLANK(V25),"",V25)</f>
        <v/>
      </c>
      <c s="97" t="str">
        <f t="array" ref="AK25">IFERROR(IF(AE25="ac"+ISNUMBER(SEARCH("'",AJ25))+AI25="","",IF(ISNUMBER(SEARCH("lw",AJ25)),W25+SUBSTITUTE(AJ25,"lw+",""),MROUND(_xlfn.SWITCH(AE25,"sq",AI$7,"bn",AJ$7,"dl",AK$7,"")*IF(AJ25&gt;10,AJ25/100,VLOOKUP(AJ25,_rpe,SUBSTITUTE(AI25,"+","")+1,0)),IF(_xlfn.SWITCH(AE25,"sq",AI$7,"bn",AJ$7,"dl",AK$7,"")&lt;IF(_uom="lbs",175,80),1.25,IF(_uom="lbs",5,2.5))))),"")</f>
        <v/>
      </c>
      <c s="70"/>
      <c s="63"/>
      <c s="97"/>
      <c s="44" t="str">
        <f>IFERROR(__xludf.DUMMYFUNCTION("IF(AK25=MAX(FILTER(AK$10:AK$199,LOOKUP(ROW(AE$10:AE$199),FILTER(ROW(AE$10:AE$199),AE$10:AE$199&lt;&gt;AE$9:AE$198))=LOOKUP(ROW(AE25),FILTER(ROW(AE$10:AE$199),AE$10:AE$199&lt;&gt;AE$9:AE$198)))),AL25,)"),"")</f>
        <v/>
      </c>
      <c s="42"/>
      <c s="65"/>
      <c s="64" t="str">
        <f t="shared" si="17"/>
        <v/>
      </c>
      <c s="65" t="str">
        <f>IFERROR(__xludf.DUMMYFUNCTION("""COMPUTED_VALUE"""),"")</f>
        <v/>
      </c>
      <c s="66">
        <f ca="1"/>
        <v>45229</v>
      </c>
      <c s="93" t="str">
        <f t="shared" si="157"/>
        <v/>
      </c>
      <c s="94" t="str">
        <f t="shared" si="174" ref="AV25:AV31">IF(ISBLANK(AH25),"",AH25)</f>
        <v/>
      </c>
      <c s="95" t="str">
        <f t="shared" si="175" ref="AW25:AW39">IF(OR(ISBLANK(AI25),AI25=""),"",AI25)</f>
        <v/>
      </c>
      <c s="98" t="str">
        <f t="shared" si="176" ref="AX25:AX31">IF(ISBLANK(AJ25),"",AJ25)</f>
        <v/>
      </c>
      <c s="97" t="str">
        <f t="array" ref="AY25">IFERROR(IF(AS25="ac"+ISNUMBER(SEARCH("'",AX25))+AW25="","",IF(ISNUMBER(SEARCH("lw",AX25)),AK25+SUBSTITUTE(AX25,"lw+",""),MROUND(_xlfn.SWITCH(AS25,"sq",AW$7,"bn",AX$7,"dl",AY$7,"")*IF(AX25&gt;10,AX25/100,VLOOKUP(AX25,_rpe,SUBSTITUTE(AW25,"+","")+1,0)),IF(_xlfn.SWITCH(AS25,"sq",AW$7,"bn",AX$7,"dl",AY$7,"")&lt;IF(_uom="lbs",175,80),1.25,IF(_uom="lbs",5,2.5))))),"")</f>
        <v/>
      </c>
      <c s="70"/>
      <c s="63"/>
      <c s="97"/>
      <c s="44" t="str">
        <f>IFERROR(__xludf.DUMMYFUNCTION("IF(AY25=MAX(FILTER(AY$10:AY$199,LOOKUP(ROW(AS$10:AS$199),FILTER(ROW(AS$10:AS$199),AS$10:AS$199&lt;&gt;AS$9:AS$198))=LOOKUP(ROW(AS25),FILTER(ROW(AS$10:AS$199),AS$10:AS$199&lt;&gt;AS$9:AS$198)))),AZ25,)"),"")</f>
        <v/>
      </c>
      <c s="42"/>
      <c s="65"/>
      <c s="64" t="str">
        <f t="shared" si="19"/>
        <v/>
      </c>
      <c s="65" t="str">
        <f>IFERROR(__xludf.DUMMYFUNCTION("""COMPUTED_VALUE"""),"")</f>
        <v/>
      </c>
      <c s="66">
        <f ca="1"/>
        <v>45236</v>
      </c>
      <c s="93" t="str">
        <f t="shared" si="20"/>
        <v/>
      </c>
      <c s="94" t="str">
        <f t="shared" si="158"/>
        <v/>
      </c>
      <c s="95" t="str">
        <f t="shared" si="159"/>
        <v/>
      </c>
      <c s="98" t="str">
        <f t="shared" si="160"/>
        <v/>
      </c>
      <c s="97" t="str">
        <f t="array" ref="BM25">IFERROR(IF(BG25="ac"+ISNUMBER(SEARCH("'",BL25))+BK25="","",IF(ISNUMBER(SEARCH("lw",BL25)),AY25+SUBSTITUTE(BL25,"lw+",""),MROUND(_xlfn.SWITCH(BG25,"sq",BK$7,"bn",BL$7,"dl",BM$7,"")*IF(BL25&gt;10,BL25/100,VLOOKUP(BL25,_rpe,SUBSTITUTE(BK25,"+","")+1,0)),IF(_xlfn.SWITCH(BG25,"sq",BK$7,"bn",BL$7,"dl",BM$7,"")&lt;IF(_uom="lbs",175,80),1.25,IF(_uom="lbs",5,2.5))))),"")</f>
        <v/>
      </c>
      <c s="70"/>
      <c s="63"/>
      <c s="97"/>
      <c s="44" t="str">
        <f>IFERROR(__xludf.DUMMYFUNCTION("IF(BM25=MAX(FILTER(BM$10:BM$199,LOOKUP(ROW(BG$10:BG$199),FILTER(ROW(BG$10:BG$199),BG$10:BG$199&lt;&gt;BG$9:BG$198))=LOOKUP(ROW(BG25),FILTER(ROW(BG$10:BG$199),BG$10:BG$199&lt;&gt;BG$9:BG$198)))),BN25,)"),"")</f>
        <v/>
      </c>
      <c s="42"/>
      <c s="65"/>
      <c s="64" t="str">
        <f t="shared" si="21"/>
        <v/>
      </c>
      <c s="65" t="str">
        <f>IFERROR(__xludf.DUMMYFUNCTION("""COMPUTED_VALUE"""),"")</f>
        <v/>
      </c>
      <c s="66">
        <f ca="1"/>
        <v>45243</v>
      </c>
      <c s="93" t="str">
        <f t="shared" si="22"/>
        <v/>
      </c>
      <c s="94" t="str">
        <f t="shared" si="161"/>
        <v/>
      </c>
      <c s="95" t="str">
        <f t="shared" si="149"/>
        <v/>
      </c>
      <c s="98" t="str">
        <f t="shared" si="162"/>
        <v/>
      </c>
      <c s="97" t="str">
        <f t="array" ref="CA25">IFERROR(IF(BU25="ac"+ISNUMBER(SEARCH("'",BZ25))+BY25="","",IF(ISNUMBER(SEARCH("lw",BZ25)),BM25+SUBSTITUTE(BZ25,"lw+",""),MROUND(_xlfn.SWITCH(BU25,"sq",BY$7,"bn",BZ$7,"dl",CA$7,"")*IF(BZ25&gt;10,BZ25/100,VLOOKUP(BZ25,_rpe,SUBSTITUTE(BY25,"+","")+1,0)),IF(_xlfn.SWITCH(BU25,"sq",BY$7,"bn",BZ$7,"dl",CA$7,"")&lt;IF(_uom="lbs",175,80),1.25,IF(_uom="lbs",5,2.5))))),"")</f>
        <v/>
      </c>
      <c s="70"/>
      <c s="63"/>
      <c s="97"/>
      <c s="44" t="str">
        <f>IFERROR(__xludf.DUMMYFUNCTION("IF(CA25=MAX(FILTER(CA$10:CA$199,LOOKUP(ROW(BU$10:BU$199),FILTER(ROW(BU$10:BU$199),BU$10:BU$199&lt;&gt;BU$9:BU$198))=LOOKUP(ROW(BU25),FILTER(ROW(BU$10:BU$199),BU$10:BU$199&lt;&gt;BU$9:BU$198)))),CB25,)"),"")</f>
        <v/>
      </c>
      <c s="42"/>
      <c s="65"/>
      <c s="64" t="str">
        <f t="shared" si="24"/>
        <v/>
      </c>
      <c s="65" t="str">
        <f>IFERROR(__xludf.DUMMYFUNCTION("""COMPUTED_VALUE"""),"")</f>
        <v/>
      </c>
      <c s="66">
        <f ca="1"/>
        <v>45250</v>
      </c>
      <c s="93" t="str">
        <f t="shared" si="44"/>
        <v/>
      </c>
      <c s="94" t="str">
        <f t="shared" si="62"/>
        <v/>
      </c>
      <c s="95" t="str">
        <f t="shared" si="150"/>
        <v/>
      </c>
      <c s="98" t="str">
        <f t="shared" si="163"/>
        <v/>
      </c>
      <c s="97" t="str">
        <f t="array" ref="CO25">IFERROR(IF(CI25="ac"+ISNUMBER(SEARCH("'",CN25))+CM25="","",IF(ISNUMBER(SEARCH("lw",CN25)),CA25+SUBSTITUTE(CN25,"lw+",""),MROUND(_xlfn.SWITCH(CI25,"sq",CM$7,"bn",CN$7,"dl",CO$7,"")*IF(CN25&gt;10,CN25/100,VLOOKUP(CN25,_rpe,SUBSTITUTE(CM25,"+","")+1,0)),IF(_xlfn.SWITCH(CI25,"sq",CM$7,"bn",CN$7,"dl",CO$7,"")&lt;IF(_uom="lbs",175,80),1.25,IF(_uom="lbs",5,2.5))))),"")</f>
        <v/>
      </c>
      <c s="70"/>
      <c s="63"/>
      <c s="97"/>
      <c s="44" t="str">
        <f>IFERROR(__xludf.DUMMYFUNCTION("IF(CO25=MAX(FILTER(CO$10:CO$199,LOOKUP(ROW(CI$10:CI$199),FILTER(ROW(CI$10:CI$199),CI$10:CI$199&lt;&gt;CI$9:CI$198))=LOOKUP(ROW(CI25),FILTER(ROW(CI$10:CI$199),CI$10:CI$199&lt;&gt;CI$9:CI$198)))),CP25,)"),"")</f>
        <v/>
      </c>
      <c s="42"/>
      <c s="65"/>
      <c s="64" t="str">
        <f t="shared" si="27"/>
        <v/>
      </c>
      <c s="65" t="str">
        <f>IFERROR(__xludf.DUMMYFUNCTION("""COMPUTED_VALUE"""),"")</f>
        <v/>
      </c>
      <c s="66">
        <f ca="1"/>
        <v>45257</v>
      </c>
      <c s="93" t="str">
        <f t="shared" si="45"/>
        <v/>
      </c>
      <c s="94" t="str">
        <f t="shared" si="64"/>
        <v/>
      </c>
      <c s="95" t="str">
        <f t="shared" si="151"/>
        <v/>
      </c>
      <c s="98" t="str">
        <f t="shared" si="99"/>
        <v/>
      </c>
      <c s="97" t="str">
        <f t="array" ref="DC25">IFERROR(IF(CW25="ac"+ISNUMBER(SEARCH("'",DB25))+DA25="","",IF(ISNUMBER(SEARCH("lw",DB25)),CO25+SUBSTITUTE(DB25,"lw+",""),MROUND(_xlfn.SWITCH(CW25,"sq",DA$7,"bn",DB$7,"dl",DC$7,"")*IF(DB25&gt;10,DB25/100,VLOOKUP(DB25,_rpe,SUBSTITUTE(DA25,"+","")+1,0)),IF(_xlfn.SWITCH(CW25,"sq",DA$7,"bn",DB$7,"dl",DC$7,"")&lt;IF(_uom="lbs",175,80),1.25,IF(_uom="lbs",5,2.5))))),"")</f>
        <v/>
      </c>
      <c s="70"/>
      <c s="63"/>
      <c s="97"/>
      <c s="44" t="str">
        <f>IFERROR(__xludf.DUMMYFUNCTION("IF(DC25=MAX(FILTER(DC$10:DC$199,LOOKUP(ROW(CW$10:CW$199),FILTER(ROW(CW$10:CW$199),CW$10:CW$199&lt;&gt;CW$9:CW$198))=LOOKUP(ROW(CW25),FILTER(ROW(CW$10:CW$199),CW$10:CW$199&lt;&gt;CW$9:CW$198)))),DD25,)"),"")</f>
        <v/>
      </c>
      <c s="42"/>
      <c s="65"/>
      <c s="64" t="str">
        <f t="shared" si="30"/>
        <v/>
      </c>
      <c s="65" t="str">
        <f>IFERROR(__xludf.DUMMYFUNCTION("""COMPUTED_VALUE"""),"")</f>
        <v/>
      </c>
      <c s="66">
        <f ca="1"/>
        <v>45264</v>
      </c>
      <c s="93" t="str">
        <f t="shared" si="46"/>
        <v/>
      </c>
      <c s="94" t="str">
        <f t="shared" si="100"/>
        <v/>
      </c>
      <c s="95" t="str">
        <f t="shared" si="152"/>
        <v/>
      </c>
      <c s="98" t="str">
        <f t="shared" si="164"/>
        <v/>
      </c>
      <c s="97" t="str">
        <f t="array" ref="DQ25">IFERROR(IF(DK25="ac"+ISNUMBER(SEARCH("'",DP25))+DO25="","",IF(ISNUMBER(SEARCH("lw",DP25)),DC25+SUBSTITUTE(DP25,"lw+",""),MROUND(_xlfn.SWITCH(DK25,"sq",DO$7,"bn",DP$7,"dl",DQ$7,"")*IF(DP25&gt;10,DP25/100,VLOOKUP(DP25,_rpe,SUBSTITUTE(DO25,"+","")+1,0)),IF(_xlfn.SWITCH(DK25,"sq",DO$7,"bn",DP$7,"dl",DQ$7,"")&lt;IF(_uom="lbs",175,80),1.25,IF(_uom="lbs",5,2.5))))),"")</f>
        <v/>
      </c>
      <c s="70"/>
      <c s="63"/>
      <c s="97"/>
      <c s="44" t="str">
        <f>IFERROR(__xludf.DUMMYFUNCTION("IF(DQ25=MAX(FILTER(DQ$10:DQ$199,LOOKUP(ROW(DK$10:DK$199),FILTER(ROW(DK$10:DK$199),DK$10:DK$199&lt;&gt;DK$9:DK$198))=LOOKUP(ROW(DK25),FILTER(ROW(DK$10:DK$199),DK$10:DK$199&lt;&gt;DK$9:DK$198)))),DR25,)"),"")</f>
        <v/>
      </c>
      <c s="42"/>
      <c s="65"/>
      <c s="64" t="str">
        <f t="shared" si="32"/>
        <v/>
      </c>
      <c s="65" t="str">
        <f>IFERROR(__xludf.DUMMYFUNCTION("""COMPUTED_VALUE"""),"")</f>
        <v/>
      </c>
      <c s="66">
        <f ca="1"/>
        <v>45271</v>
      </c>
      <c s="93" t="str">
        <f t="shared" si="47"/>
        <v/>
      </c>
      <c s="94" t="str">
        <f t="shared" si="86"/>
        <v/>
      </c>
      <c s="95" t="str">
        <f t="shared" si="153"/>
        <v/>
      </c>
      <c s="98" t="str">
        <f t="shared" si="165"/>
        <v/>
      </c>
      <c s="97" t="str">
        <f t="array" ref="EE25">IFERROR(IF(DY25="ac"+ISNUMBER(SEARCH("'",ED25))+EC25="","",IF(ISNUMBER(SEARCH("lw",ED25)),DQ25+SUBSTITUTE(ED25,"lw+",""),MROUND(_xlfn.SWITCH(DY25,"sq",EC$7,"bn",ED$7,"dl",EE$7,"")*IF(ED25&gt;10,ED25/100,VLOOKUP(ED25,_rpe,SUBSTITUTE(EC25,"+","")+1,0)),IF(_xlfn.SWITCH(DY25,"sq",EC$7,"bn",ED$7,"dl",EE$7,"")&lt;IF(_uom="lbs",175,80),1.25,IF(_uom="lbs",5,2.5))))),"")</f>
        <v/>
      </c>
      <c s="70"/>
      <c s="63"/>
      <c s="97"/>
      <c s="44" t="str">
        <f>IFERROR(__xludf.DUMMYFUNCTION("IF(EE25=MAX(FILTER(EE$10:EE$199,LOOKUP(ROW(DY$10:DY$199),FILTER(ROW(DY$10:DY$199),DY$10:DY$199&lt;&gt;DY$9:DY$198))=LOOKUP(ROW(DY25),FILTER(ROW(DY$10:DY$199),DY$10:DY$199&lt;&gt;DY$9:DY$198)))),EF25,)"),"")</f>
        <v/>
      </c>
      <c s="42"/>
      <c s="65"/>
      <c s="64" t="str">
        <f t="shared" si="34"/>
        <v/>
      </c>
      <c s="65" t="str">
        <f>IFERROR(__xludf.DUMMYFUNCTION("""COMPUTED_VALUE"""),"")</f>
        <v/>
      </c>
      <c s="66">
        <f ca="1"/>
        <v>45278</v>
      </c>
      <c s="93" t="str">
        <f t="shared" si="48"/>
        <v/>
      </c>
      <c s="94" t="str">
        <f t="shared" si="105"/>
        <v/>
      </c>
      <c s="95" t="str">
        <f t="shared" si="154"/>
        <v/>
      </c>
      <c s="98" t="str">
        <f t="shared" si="107"/>
        <v/>
      </c>
      <c s="97" t="str">
        <f t="array" ref="ES25">IFERROR(IF(EM25="ac"+ISNUMBER(SEARCH("'",ER25))+EQ25="","",IF(ISNUMBER(SEARCH("lw",ER25)),EE25+SUBSTITUTE(ER25,"lw+",""),MROUND(_xlfn.SWITCH(EM25,"sq",EQ$7,"bn",ER$7,"dl",ES$7,"")*IF(ER25&gt;10,ER25/100,VLOOKUP(ER25,_rpe,SUBSTITUTE(EQ25,"+","")+1,0)),IF(_xlfn.SWITCH(EM25,"sq",EQ$7,"bn",ER$7,"dl",ES$7,"")&lt;IF(_uom="lbs",175,80),1.25,IF(_uom="lbs",5,2.5))))),"")</f>
        <v/>
      </c>
      <c s="70"/>
      <c s="63"/>
      <c s="97"/>
      <c s="44" t="str">
        <f>IFERROR(__xludf.DUMMYFUNCTION("IF(ES25=MAX(FILTER(ES$10:ES$199,LOOKUP(ROW(EM$10:EM$199),FILTER(ROW(EM$10:EM$199),EM$10:EM$199&lt;&gt;EM$9:EM$198))=LOOKUP(ROW(EM25),FILTER(ROW(EM$10:EM$199),EM$10:EM$199&lt;&gt;EM$9:EM$198)))),ET25,)"),"")</f>
        <v/>
      </c>
      <c s="42"/>
      <c s="65"/>
      <c s="64" t="str">
        <f t="shared" si="36"/>
        <v/>
      </c>
      <c s="65" t="str">
        <f>IFERROR(__xludf.DUMMYFUNCTION("""COMPUTED_VALUE"""),"")</f>
        <v/>
      </c>
      <c s="66">
        <f ca="1"/>
        <v>45285</v>
      </c>
      <c s="93" t="str">
        <f t="shared" si="49"/>
        <v/>
      </c>
      <c s="94" t="str">
        <f t="shared" si="108"/>
        <v/>
      </c>
      <c s="95" t="str">
        <f t="shared" si="155"/>
        <v/>
      </c>
      <c s="98" t="str">
        <f t="shared" si="110"/>
        <v/>
      </c>
      <c s="97" t="str">
        <f t="array" ref="FG25">IFERROR(IF(FA25="ac"+ISNUMBER(SEARCH("'",FF25))+FE25="","",IF(ISNUMBER(SEARCH("lw",FF25)),ES25+SUBSTITUTE(FF25,"lw+",""),MROUND(_xlfn.SWITCH(FA25,"sq",FE$7,"bn",FF$7,"dl",FG$7,"")*IF(FF25&gt;10,FF25/100,VLOOKUP(FF25,_rpe,SUBSTITUTE(FE25,"+","")+1,0)),IF(_xlfn.SWITCH(FA25,"sq",FE$7,"bn",FF$7,"dl",FG$7,"")&lt;IF(_uom="lbs",175,80),1.25,IF(_uom="lbs",5,2.5))))),"")</f>
        <v/>
      </c>
      <c s="70"/>
      <c s="63"/>
      <c s="97"/>
      <c s="44" t="str">
        <f>IFERROR(__xludf.DUMMYFUNCTION("IF(FG25=MAX(FILTER(FG$10:FG$199,LOOKUP(ROW(FA$10:FA$199),FILTER(ROW(FA$10:FA$199),FA$10:FA$199&lt;&gt;FA$9:FA$198))=LOOKUP(ROW(FA25),FILTER(ROW(FA$10:FA$199),FA$10:FA$199&lt;&gt;FA$9:FA$198)))),FH25,)"),"")</f>
        <v/>
      </c>
      <c s="42"/>
      <c s="65"/>
      <c s="64" t="str">
        <f t="shared" si="38"/>
        <v/>
      </c>
      <c s="65" t="str">
        <f>IFERROR(__xludf.DUMMYFUNCTION("""COMPUTED_VALUE"""),"")</f>
        <v/>
      </c>
      <c s="66">
        <f ca="1"/>
        <v>45292</v>
      </c>
      <c s="93" t="str">
        <f t="shared" si="177" ref="FQ25:FR25">IF(ISBLANK(FC25),"",FC25)</f>
        <v/>
      </c>
      <c s="94" t="str">
        <f t="shared" si="177"/>
        <v/>
      </c>
      <c s="95" t="str">
        <f t="shared" si="166"/>
        <v/>
      </c>
      <c s="98" t="str">
        <f t="shared" si="167"/>
        <v/>
      </c>
      <c s="97" t="str">
        <f t="array" ref="FU25">IFERROR(IF(FO25="ac"+ISNUMBER(SEARCH("'",FT25))+FS25="","",IF(ISNUMBER(SEARCH("lw",FT25)),FG25+SUBSTITUTE(FT25,"lw+",""),MROUND(_xlfn.SWITCH(FO25,"sq",FS$7,"bn",FT$7,"dl",FU$7,"")*IF(FT25&gt;10,FT25/100,VLOOKUP(FT25,_rpe,SUBSTITUTE(FS25,"+","")+1,0)),IF(_xlfn.SWITCH(FO25,"sq",FS$7,"bn",FT$7,"dl",FU$7,"")&lt;IF(_uom="lbs",175,80),1.25,IF(_uom="lbs",5,2.5))))),"")</f>
        <v/>
      </c>
      <c s="70"/>
      <c s="63"/>
      <c s="97"/>
      <c s="44" t="str">
        <f>IFERROR(__xludf.DUMMYFUNCTION("IF(FU25=MAX(FILTER(FU$10:FU$199,LOOKUP(ROW(FO$10:FO$199),FILTER(ROW(FO$10:FO$199),FO$10:FO$199&lt;&gt;FO$9:FO$198))=LOOKUP(ROW(FO25),FILTER(ROW(FO$10:FO$199),FO$10:FO$199&lt;&gt;FO$9:FO$198)))),FV25,)"),"")</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26" spans="1:259" ht="15.75" hidden="1">
      <c r="A26" s="63"/>
      <c s="64"/>
      <c s="65" t="str">
        <f>IFERROR(__xludf.DUMMYFUNCTION("""COMPUTED_VALUE"""),"")</f>
        <v/>
      </c>
      <c s="66">
        <f ca="1"/>
        <v>45208</v>
      </c>
      <c s="93"/>
      <c s="94"/>
      <c s="95"/>
      <c s="96"/>
      <c s="97" t="str">
        <f t="array" ref="I26">IFERROR(IF(C26="ac"+ISNUMBER(SEARCH("'",H26))+G26="","",MROUND(_xlfn.SWITCH(C26,"sq",'Personal Info'!$O$15,"bn",'Personal Info'!$S$15,"dl",'Personal Info'!$W$15,"")*IF(H26&gt;10,H26/100,VLOOKUP(H26,_rpe,SUBSTITUTE(G26,"+","")+1,0)),IF(_xlfn.SWITCH(C26:C210,"sq",'Personal Info'!$O$15,"bn",'Personal Info'!$S$15,"dl",'Personal Info'!$W$15,"")&lt;IF(_uom="lbs",175,80),1.25,IF(_uom="lbs",5,2.5)))),"")</f>
        <v/>
      </c>
      <c s="70"/>
      <c s="63"/>
      <c s="97"/>
      <c s="44" t="str">
        <f>IFERROR(__xludf.DUMMYFUNCTION("IF(I26=MAX(FILTER(I$10:I$199,LOOKUP(ROW(C$10:C$199),FILTER(ROW(C$10:C$199),C$10:C$199&lt;&gt;C$9:C$198))=LOOKUP(ROW(C26),FILTER(ROW(C$10:C$199),C$10:C$199&lt;&gt;C$9:C$198)))),J26,)"),"")</f>
        <v/>
      </c>
      <c s="42"/>
      <c s="65"/>
      <c s="64" t="str">
        <f t="shared" si="11"/>
        <v/>
      </c>
      <c s="65" t="str">
        <f>IFERROR(__xludf.DUMMYFUNCTION("""COMPUTED_VALUE"""),"")</f>
        <v/>
      </c>
      <c s="66">
        <f ca="1"/>
        <v>45215</v>
      </c>
      <c s="93" t="str">
        <f t="shared" si="12"/>
        <v/>
      </c>
      <c s="94" t="str">
        <f t="shared" si="168"/>
        <v/>
      </c>
      <c s="95" t="str">
        <f t="shared" si="169"/>
        <v/>
      </c>
      <c s="98" t="str">
        <f t="shared" si="170"/>
        <v/>
      </c>
      <c s="97" t="str">
        <f t="array" ref="W26">IFERROR(IF(Q26="ac"+ISNUMBER(SEARCH("'",V26))+U26="","",IF(ISNUMBER(SEARCH("lw",V26)),I26+SUBSTITUTE(V26,"lw+",""),MROUND(_xlfn.SWITCH(Q26,"sq",U$7,"bn",V$7,"dl",W$7,"")*IF(V26&gt;10,V26/100,VLOOKUP(V26,_rpe,SUBSTITUTE(U26,"+","")+1,0)),IF(_xlfn.SWITCH(Q26,"sq",U$7,"bn",V$7,"dl",W$7,"")&lt;IF(_uom="lbs",175,80),1.25,IF(_uom="lbs",5,2.5))))),"")</f>
        <v/>
      </c>
      <c s="70"/>
      <c s="63"/>
      <c s="97"/>
      <c s="44" t="str">
        <f>IFERROR(__xludf.DUMMYFUNCTION("IF(W26=MAX(FILTER(W$10:W$199,LOOKUP(ROW(Q$10:Q$199),FILTER(ROW(Q$10:Q$199),Q$10:Q$199&lt;&gt;Q$9:Q$198))=LOOKUP(ROW(Q26),FILTER(ROW(Q$10:Q$199),Q$10:Q$199&lt;&gt;Q$9:Q$198)))),X26,)"),"")</f>
        <v/>
      </c>
      <c s="42"/>
      <c s="65"/>
      <c s="64" t="str">
        <f t="shared" si="14"/>
        <v/>
      </c>
      <c s="65" t="str">
        <f>IFERROR(__xludf.DUMMYFUNCTION("""COMPUTED_VALUE"""),"")</f>
        <v/>
      </c>
      <c s="66">
        <f ca="1"/>
        <v>45222</v>
      </c>
      <c s="93" t="str">
        <f t="shared" si="156"/>
        <v/>
      </c>
      <c s="94" t="str">
        <f t="shared" si="171"/>
        <v/>
      </c>
      <c s="95" t="str">
        <f t="shared" si="172"/>
        <v/>
      </c>
      <c s="98" t="str">
        <f t="shared" si="173"/>
        <v/>
      </c>
      <c s="97" t="str">
        <f t="array" ref="AK26">IFERROR(IF(AE26="ac"+ISNUMBER(SEARCH("'",AJ26))+AI26="","",IF(ISNUMBER(SEARCH("lw",AJ26)),W26+SUBSTITUTE(AJ26,"lw+",""),MROUND(_xlfn.SWITCH(AE26,"sq",AI$7,"bn",AJ$7,"dl",AK$7,"")*IF(AJ26&gt;10,AJ26/100,VLOOKUP(AJ26,_rpe,SUBSTITUTE(AI26,"+","")+1,0)),IF(_xlfn.SWITCH(AE26,"sq",AI$7,"bn",AJ$7,"dl",AK$7,"")&lt;IF(_uom="lbs",175,80),1.25,IF(_uom="lbs",5,2.5))))),"")</f>
        <v/>
      </c>
      <c s="70"/>
      <c s="63"/>
      <c s="97"/>
      <c s="44" t="str">
        <f>IFERROR(__xludf.DUMMYFUNCTION("IF(AK26=MAX(FILTER(AK$10:AK$199,LOOKUP(ROW(AE$10:AE$199),FILTER(ROW(AE$10:AE$199),AE$10:AE$199&lt;&gt;AE$9:AE$198))=LOOKUP(ROW(AE26),FILTER(ROW(AE$10:AE$199),AE$10:AE$199&lt;&gt;AE$9:AE$198)))),AL26,)"),"")</f>
        <v/>
      </c>
      <c s="42"/>
      <c s="65"/>
      <c s="64" t="str">
        <f t="shared" si="17"/>
        <v/>
      </c>
      <c s="65" t="str">
        <f>IFERROR(__xludf.DUMMYFUNCTION("""COMPUTED_VALUE"""),"")</f>
        <v/>
      </c>
      <c s="66">
        <f ca="1"/>
        <v>45229</v>
      </c>
      <c s="93" t="str">
        <f t="shared" si="157"/>
        <v/>
      </c>
      <c s="94" t="str">
        <f t="shared" si="174"/>
        <v/>
      </c>
      <c s="95" t="str">
        <f t="shared" si="175"/>
        <v/>
      </c>
      <c s="98" t="str">
        <f t="shared" si="176"/>
        <v/>
      </c>
      <c s="97" t="str">
        <f t="array" ref="AY26">IFERROR(IF(AS26="ac"+ISNUMBER(SEARCH("'",AX26))+AW26="","",IF(ISNUMBER(SEARCH("lw",AX26)),AK26+SUBSTITUTE(AX26,"lw+",""),MROUND(_xlfn.SWITCH(AS26,"sq",AW$7,"bn",AX$7,"dl",AY$7,"")*IF(AX26&gt;10,AX26/100,VLOOKUP(AX26,_rpe,SUBSTITUTE(AW26,"+","")+1,0)),IF(_xlfn.SWITCH(AS26,"sq",AW$7,"bn",AX$7,"dl",AY$7,"")&lt;IF(_uom="lbs",175,80),1.25,IF(_uom="lbs",5,2.5))))),"")</f>
        <v/>
      </c>
      <c s="70"/>
      <c s="63"/>
      <c s="97"/>
      <c s="44" t="str">
        <f>IFERROR(__xludf.DUMMYFUNCTION("IF(AY26=MAX(FILTER(AY$10:AY$199,LOOKUP(ROW(AS$10:AS$199),FILTER(ROW(AS$10:AS$199),AS$10:AS$199&lt;&gt;AS$9:AS$198))=LOOKUP(ROW(AS26),FILTER(ROW(AS$10:AS$199),AS$10:AS$199&lt;&gt;AS$9:AS$198)))),AZ26,)"),"")</f>
        <v/>
      </c>
      <c s="42"/>
      <c s="65"/>
      <c s="64" t="str">
        <f t="shared" si="19"/>
        <v/>
      </c>
      <c s="65" t="str">
        <f>IFERROR(__xludf.DUMMYFUNCTION("""COMPUTED_VALUE"""),"")</f>
        <v/>
      </c>
      <c s="66">
        <f ca="1"/>
        <v>45236</v>
      </c>
      <c s="93" t="str">
        <f t="shared" si="20"/>
        <v/>
      </c>
      <c s="94" t="str">
        <f t="shared" si="158"/>
        <v/>
      </c>
      <c s="95" t="str">
        <f t="shared" si="159"/>
        <v/>
      </c>
      <c s="98" t="str">
        <f t="shared" si="160"/>
        <v/>
      </c>
      <c s="97" t="str">
        <f t="array" ref="BM26">IFERROR(IF(BG26="ac"+ISNUMBER(SEARCH("'",BL26))+BK26="","",IF(ISNUMBER(SEARCH("lw",BL26)),AY26+SUBSTITUTE(BL26,"lw+",""),MROUND(_xlfn.SWITCH(BG26,"sq",BK$7,"bn",BL$7,"dl",BM$7,"")*IF(BL26&gt;10,BL26/100,VLOOKUP(BL26,_rpe,SUBSTITUTE(BK26,"+","")+1,0)),IF(_xlfn.SWITCH(BG26,"sq",BK$7,"bn",BL$7,"dl",BM$7,"")&lt;IF(_uom="lbs",175,80),1.25,IF(_uom="lbs",5,2.5))))),"")</f>
        <v/>
      </c>
      <c s="70"/>
      <c s="63"/>
      <c s="97"/>
      <c s="44" t="str">
        <f>IFERROR(__xludf.DUMMYFUNCTION("IF(BM26=MAX(FILTER(BM$10:BM$199,LOOKUP(ROW(BG$10:BG$199),FILTER(ROW(BG$10:BG$199),BG$10:BG$199&lt;&gt;BG$9:BG$198))=LOOKUP(ROW(BG26),FILTER(ROW(BG$10:BG$199),BG$10:BG$199&lt;&gt;BG$9:BG$198)))),BN26,)"),"")</f>
        <v/>
      </c>
      <c s="42"/>
      <c s="65"/>
      <c s="64" t="str">
        <f t="shared" si="21"/>
        <v/>
      </c>
      <c s="65" t="str">
        <f>IFERROR(__xludf.DUMMYFUNCTION("""COMPUTED_VALUE"""),"")</f>
        <v/>
      </c>
      <c s="66">
        <f ca="1"/>
        <v>45243</v>
      </c>
      <c s="93" t="str">
        <f t="shared" si="22"/>
        <v/>
      </c>
      <c s="94" t="str">
        <f t="shared" si="161"/>
        <v/>
      </c>
      <c s="95" t="str">
        <f t="shared" si="149"/>
        <v/>
      </c>
      <c s="98" t="str">
        <f t="shared" si="162"/>
        <v/>
      </c>
      <c s="97" t="str">
        <f t="array" ref="CA26">IFERROR(IF(BU26="ac"+ISNUMBER(SEARCH("'",BZ26))+BY26="","",IF(ISNUMBER(SEARCH("lw",BZ26)),BM26+SUBSTITUTE(BZ26,"lw+",""),MROUND(_xlfn.SWITCH(BU26,"sq",BY$7,"bn",BZ$7,"dl",CA$7,"")*IF(BZ26&gt;10,BZ26/100,VLOOKUP(BZ26,_rpe,SUBSTITUTE(BY26,"+","")+1,0)),IF(_xlfn.SWITCH(BU26,"sq",BY$7,"bn",BZ$7,"dl",CA$7,"")&lt;IF(_uom="lbs",175,80),1.25,IF(_uom="lbs",5,2.5))))),"")</f>
        <v/>
      </c>
      <c s="70"/>
      <c s="63"/>
      <c s="97"/>
      <c s="44" t="str">
        <f>IFERROR(__xludf.DUMMYFUNCTION("IF(CA26=MAX(FILTER(CA$10:CA$199,LOOKUP(ROW(BU$10:BU$199),FILTER(ROW(BU$10:BU$199),BU$10:BU$199&lt;&gt;BU$9:BU$198))=LOOKUP(ROW(BU26),FILTER(ROW(BU$10:BU$199),BU$10:BU$199&lt;&gt;BU$9:BU$198)))),CB26,)"),"")</f>
        <v/>
      </c>
      <c s="42"/>
      <c s="65"/>
      <c s="64" t="str">
        <f t="shared" si="24"/>
        <v/>
      </c>
      <c s="65" t="str">
        <f>IFERROR(__xludf.DUMMYFUNCTION("""COMPUTED_VALUE"""),"")</f>
        <v/>
      </c>
      <c s="66">
        <f ca="1"/>
        <v>45250</v>
      </c>
      <c s="93" t="str">
        <f t="shared" si="44"/>
        <v/>
      </c>
      <c s="94" t="str">
        <f t="shared" si="62"/>
        <v/>
      </c>
      <c s="95" t="str">
        <f t="shared" si="150"/>
        <v/>
      </c>
      <c s="98" t="str">
        <f t="shared" si="163"/>
        <v/>
      </c>
      <c s="97" t="str">
        <f t="array" ref="CO26">IFERROR(IF(CI26="ac"+ISNUMBER(SEARCH("'",CN26))+CM26="","",IF(ISNUMBER(SEARCH("lw",CN26)),CA26+SUBSTITUTE(CN26,"lw+",""),MROUND(_xlfn.SWITCH(CI26,"sq",CM$7,"bn",CN$7,"dl",CO$7,"")*IF(CN26&gt;10,CN26/100,VLOOKUP(CN26,_rpe,SUBSTITUTE(CM26,"+","")+1,0)),IF(_xlfn.SWITCH(CI26,"sq",CM$7,"bn",CN$7,"dl",CO$7,"")&lt;IF(_uom="lbs",175,80),1.25,IF(_uom="lbs",5,2.5))))),"")</f>
        <v/>
      </c>
      <c s="70"/>
      <c s="63"/>
      <c s="97"/>
      <c s="44" t="str">
        <f>IFERROR(__xludf.DUMMYFUNCTION("IF(CO26=MAX(FILTER(CO$10:CO$199,LOOKUP(ROW(CI$10:CI$199),FILTER(ROW(CI$10:CI$199),CI$10:CI$199&lt;&gt;CI$9:CI$198))=LOOKUP(ROW(CI26),FILTER(ROW(CI$10:CI$199),CI$10:CI$199&lt;&gt;CI$9:CI$198)))),CP26,)"),"")</f>
        <v/>
      </c>
      <c s="42"/>
      <c s="65"/>
      <c s="64" t="str">
        <f t="shared" si="27"/>
        <v/>
      </c>
      <c s="65" t="str">
        <f>IFERROR(__xludf.DUMMYFUNCTION("""COMPUTED_VALUE"""),"")</f>
        <v/>
      </c>
      <c s="66">
        <f ca="1"/>
        <v>45257</v>
      </c>
      <c s="93" t="str">
        <f t="shared" si="45"/>
        <v/>
      </c>
      <c s="94" t="str">
        <f t="shared" si="64"/>
        <v/>
      </c>
      <c s="95" t="str">
        <f t="shared" si="151"/>
        <v/>
      </c>
      <c s="98" t="str">
        <f t="shared" si="99"/>
        <v/>
      </c>
      <c s="97" t="str">
        <f t="array" ref="DC26">IFERROR(IF(CW26="ac"+ISNUMBER(SEARCH("'",DB26))+DA26="","",IF(ISNUMBER(SEARCH("lw",DB26)),CO26+SUBSTITUTE(DB26,"lw+",""),MROUND(_xlfn.SWITCH(CW26,"sq",DA$7,"bn",DB$7,"dl",DC$7,"")*IF(DB26&gt;10,DB26/100,VLOOKUP(DB26,_rpe,SUBSTITUTE(DA26,"+","")+1,0)),IF(_xlfn.SWITCH(CW26,"sq",DA$7,"bn",DB$7,"dl",DC$7,"")&lt;IF(_uom="lbs",175,80),1.25,IF(_uom="lbs",5,2.5))))),"")</f>
        <v/>
      </c>
      <c s="70"/>
      <c s="63"/>
      <c s="97"/>
      <c s="44" t="str">
        <f>IFERROR(__xludf.DUMMYFUNCTION("IF(DC26=MAX(FILTER(DC$10:DC$199,LOOKUP(ROW(CW$10:CW$199),FILTER(ROW(CW$10:CW$199),CW$10:CW$199&lt;&gt;CW$9:CW$198))=LOOKUP(ROW(CW26),FILTER(ROW(CW$10:CW$199),CW$10:CW$199&lt;&gt;CW$9:CW$198)))),DD26,)"),"")</f>
        <v/>
      </c>
      <c s="42"/>
      <c s="65"/>
      <c s="64" t="str">
        <f t="shared" si="30"/>
        <v/>
      </c>
      <c s="65" t="str">
        <f>IFERROR(__xludf.DUMMYFUNCTION("""COMPUTED_VALUE"""),"")</f>
        <v/>
      </c>
      <c s="66">
        <f ca="1"/>
        <v>45264</v>
      </c>
      <c s="93" t="str">
        <f t="shared" si="46"/>
        <v/>
      </c>
      <c s="94" t="str">
        <f t="shared" si="100"/>
        <v/>
      </c>
      <c s="95" t="str">
        <f t="shared" si="152"/>
        <v/>
      </c>
      <c s="98" t="str">
        <f t="shared" si="164"/>
        <v/>
      </c>
      <c s="97" t="str">
        <f t="array" ref="DQ26">IFERROR(IF(DK26="ac"+ISNUMBER(SEARCH("'",DP26))+DO26="","",IF(ISNUMBER(SEARCH("lw",DP26)),DC26+SUBSTITUTE(DP26,"lw+",""),MROUND(_xlfn.SWITCH(DK26,"sq",DO$7,"bn",DP$7,"dl",DQ$7,"")*IF(DP26&gt;10,DP26/100,VLOOKUP(DP26,_rpe,SUBSTITUTE(DO26,"+","")+1,0)),IF(_xlfn.SWITCH(DK26,"sq",DO$7,"bn",DP$7,"dl",DQ$7,"")&lt;IF(_uom="lbs",175,80),1.25,IF(_uom="lbs",5,2.5))))),"")</f>
        <v/>
      </c>
      <c s="70"/>
      <c s="63"/>
      <c s="97"/>
      <c s="44" t="str">
        <f>IFERROR(__xludf.DUMMYFUNCTION("IF(DQ26=MAX(FILTER(DQ$10:DQ$199,LOOKUP(ROW(DK$10:DK$199),FILTER(ROW(DK$10:DK$199),DK$10:DK$199&lt;&gt;DK$9:DK$198))=LOOKUP(ROW(DK26),FILTER(ROW(DK$10:DK$199),DK$10:DK$199&lt;&gt;DK$9:DK$198)))),DR26,)"),"")</f>
        <v/>
      </c>
      <c s="42"/>
      <c s="65"/>
      <c s="64" t="str">
        <f t="shared" si="32"/>
        <v/>
      </c>
      <c s="65" t="str">
        <f>IFERROR(__xludf.DUMMYFUNCTION("""COMPUTED_VALUE"""),"")</f>
        <v/>
      </c>
      <c s="66">
        <f ca="1"/>
        <v>45271</v>
      </c>
      <c s="93" t="str">
        <f t="shared" si="47"/>
        <v/>
      </c>
      <c s="94" t="str">
        <f t="shared" si="86"/>
        <v/>
      </c>
      <c s="95" t="str">
        <f t="shared" si="153"/>
        <v/>
      </c>
      <c s="98" t="str">
        <f t="shared" si="165"/>
        <v/>
      </c>
      <c s="97" t="str">
        <f t="array" ref="EE26">IFERROR(IF(DY26="ac"+ISNUMBER(SEARCH("'",ED26))+EC26="","",IF(ISNUMBER(SEARCH("lw",ED26)),DQ26+SUBSTITUTE(ED26,"lw+",""),MROUND(_xlfn.SWITCH(DY26,"sq",EC$7,"bn",ED$7,"dl",EE$7,"")*IF(ED26&gt;10,ED26/100,VLOOKUP(ED26,_rpe,SUBSTITUTE(EC26,"+","")+1,0)),IF(_xlfn.SWITCH(DY26,"sq",EC$7,"bn",ED$7,"dl",EE$7,"")&lt;IF(_uom="lbs",175,80),1.25,IF(_uom="lbs",5,2.5))))),"")</f>
        <v/>
      </c>
      <c s="70"/>
      <c s="63"/>
      <c s="97"/>
      <c s="44" t="str">
        <f>IFERROR(__xludf.DUMMYFUNCTION("IF(EE26=MAX(FILTER(EE$10:EE$199,LOOKUP(ROW(DY$10:DY$199),FILTER(ROW(DY$10:DY$199),DY$10:DY$199&lt;&gt;DY$9:DY$198))=LOOKUP(ROW(DY26),FILTER(ROW(DY$10:DY$199),DY$10:DY$199&lt;&gt;DY$9:DY$198)))),EF26,)"),"")</f>
        <v/>
      </c>
      <c s="42"/>
      <c s="65"/>
      <c s="64" t="str">
        <f t="shared" si="34"/>
        <v/>
      </c>
      <c s="65" t="str">
        <f>IFERROR(__xludf.DUMMYFUNCTION("""COMPUTED_VALUE"""),"")</f>
        <v/>
      </c>
      <c s="66">
        <f ca="1"/>
        <v>45278</v>
      </c>
      <c s="93" t="str">
        <f t="shared" si="48"/>
        <v/>
      </c>
      <c s="94" t="str">
        <f t="shared" si="105"/>
        <v/>
      </c>
      <c s="95" t="str">
        <f t="shared" si="154"/>
        <v/>
      </c>
      <c s="98" t="str">
        <f t="shared" si="107"/>
        <v/>
      </c>
      <c s="97" t="str">
        <f t="array" ref="ES26">IFERROR(IF(EM26="ac"+ISNUMBER(SEARCH("'",ER26))+EQ26="","",IF(ISNUMBER(SEARCH("lw",ER26)),EE26+SUBSTITUTE(ER26,"lw+",""),MROUND(_xlfn.SWITCH(EM26,"sq",EQ$7,"bn",ER$7,"dl",ES$7,"")*IF(ER26&gt;10,ER26/100,VLOOKUP(ER26,_rpe,SUBSTITUTE(EQ26,"+","")+1,0)),IF(_xlfn.SWITCH(EM26,"sq",EQ$7,"bn",ER$7,"dl",ES$7,"")&lt;IF(_uom="lbs",175,80),1.25,IF(_uom="lbs",5,2.5))))),"")</f>
        <v/>
      </c>
      <c s="70"/>
      <c s="63"/>
      <c s="97"/>
      <c s="44" t="str">
        <f>IFERROR(__xludf.DUMMYFUNCTION("IF(ES26=MAX(FILTER(ES$10:ES$199,LOOKUP(ROW(EM$10:EM$199),FILTER(ROW(EM$10:EM$199),EM$10:EM$199&lt;&gt;EM$9:EM$198))=LOOKUP(ROW(EM26),FILTER(ROW(EM$10:EM$199),EM$10:EM$199&lt;&gt;EM$9:EM$198)))),ET26,)"),"")</f>
        <v/>
      </c>
      <c s="42"/>
      <c s="65"/>
      <c s="64" t="str">
        <f t="shared" si="36"/>
        <v/>
      </c>
      <c s="65" t="str">
        <f>IFERROR(__xludf.DUMMYFUNCTION("""COMPUTED_VALUE"""),"")</f>
        <v/>
      </c>
      <c s="66">
        <f ca="1"/>
        <v>45285</v>
      </c>
      <c s="93" t="str">
        <f t="shared" si="49"/>
        <v/>
      </c>
      <c s="94" t="str">
        <f t="shared" si="108"/>
        <v/>
      </c>
      <c s="95" t="str">
        <f t="shared" si="155"/>
        <v/>
      </c>
      <c s="98" t="str">
        <f t="shared" si="110"/>
        <v/>
      </c>
      <c s="97" t="str">
        <f t="array" ref="FG26">IFERROR(IF(FA26="ac"+ISNUMBER(SEARCH("'",FF26))+FE26="","",IF(ISNUMBER(SEARCH("lw",FF26)),ES26+SUBSTITUTE(FF26,"lw+",""),MROUND(_xlfn.SWITCH(FA26,"sq",FE$7,"bn",FF$7,"dl",FG$7,"")*IF(FF26&gt;10,FF26/100,VLOOKUP(FF26,_rpe,SUBSTITUTE(FE26,"+","")+1,0)),IF(_xlfn.SWITCH(FA26,"sq",FE$7,"bn",FF$7,"dl",FG$7,"")&lt;IF(_uom="lbs",175,80),1.25,IF(_uom="lbs",5,2.5))))),"")</f>
        <v/>
      </c>
      <c s="70"/>
      <c s="63"/>
      <c s="97"/>
      <c s="44" t="str">
        <f>IFERROR(__xludf.DUMMYFUNCTION("IF(FG26=MAX(FILTER(FG$10:FG$199,LOOKUP(ROW(FA$10:FA$199),FILTER(ROW(FA$10:FA$199),FA$10:FA$199&lt;&gt;FA$9:FA$198))=LOOKUP(ROW(FA26),FILTER(ROW(FA$10:FA$199),FA$10:FA$199&lt;&gt;FA$9:FA$198)))),FH26,)"),"")</f>
        <v/>
      </c>
      <c s="42"/>
      <c s="65"/>
      <c s="64" t="str">
        <f t="shared" si="38"/>
        <v/>
      </c>
      <c s="65" t="str">
        <f>IFERROR(__xludf.DUMMYFUNCTION("""COMPUTED_VALUE"""),"")</f>
        <v/>
      </c>
      <c s="66">
        <f ca="1"/>
        <v>45292</v>
      </c>
      <c s="93" t="str">
        <f t="shared" si="178" ref="FQ26:FR26">IF(ISBLANK(FC26),"",FC26)</f>
        <v/>
      </c>
      <c s="94" t="str">
        <f t="shared" si="178"/>
        <v/>
      </c>
      <c s="95" t="str">
        <f t="shared" si="166"/>
        <v/>
      </c>
      <c s="98" t="str">
        <f t="shared" si="167"/>
        <v/>
      </c>
      <c s="97" t="str">
        <f t="array" ref="FU26">IFERROR(IF(FO26="ac"+ISNUMBER(SEARCH("'",FT26))+FS26="","",IF(ISNUMBER(SEARCH("lw",FT26)),FG26+SUBSTITUTE(FT26,"lw+",""),MROUND(_xlfn.SWITCH(FO26,"sq",FS$7,"bn",FT$7,"dl",FU$7,"")*IF(FT26&gt;10,FT26/100,VLOOKUP(FT26,_rpe,SUBSTITUTE(FS26,"+","")+1,0)),IF(_xlfn.SWITCH(FO26,"sq",FS$7,"bn",FT$7,"dl",FU$7,"")&lt;IF(_uom="lbs",175,80),1.25,IF(_uom="lbs",5,2.5))))),"")</f>
        <v/>
      </c>
      <c s="70"/>
      <c s="63"/>
      <c s="97"/>
      <c s="44" t="str">
        <f>IFERROR(__xludf.DUMMYFUNCTION("IF(FU26=MAX(FILTER(FU$10:FU$199,LOOKUP(ROW(FO$10:FO$199),FILTER(ROW(FO$10:FO$199),FO$10:FO$199&lt;&gt;FO$9:FO$198))=LOOKUP(ROW(FO26),FILTER(ROW(FO$10:FO$199),FO$10:FO$199&lt;&gt;FO$9:FO$198)))),FV26,)"),"")</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27" spans="1:259" ht="15.75" hidden="1">
      <c r="A27" s="63"/>
      <c s="64"/>
      <c s="65" t="str">
        <f>IFERROR(__xludf.DUMMYFUNCTION("""COMPUTED_VALUE"""),"")</f>
        <v/>
      </c>
      <c s="66">
        <f ca="1"/>
        <v>45208</v>
      </c>
      <c s="93"/>
      <c s="94"/>
      <c s="95"/>
      <c s="96"/>
      <c s="97" t="str">
        <f t="array" ref="I27">IFERROR(IF(C27="ac"+ISNUMBER(SEARCH("'",H27))+G27="","",MROUND(_xlfn.SWITCH(C27,"sq",'Personal Info'!$O$15,"bn",'Personal Info'!$S$15,"dl",'Personal Info'!$W$15,"")*IF(H27&gt;10,H27/100,VLOOKUP(H27,_rpe,SUBSTITUTE(G27,"+","")+1,0)),IF(_xlfn.SWITCH(C27:C210,"sq",'Personal Info'!$O$15,"bn",'Personal Info'!$S$15,"dl",'Personal Info'!$W$15,"")&lt;IF(_uom="lbs",175,80),1.25,IF(_uom="lbs",5,2.5)))),"")</f>
        <v/>
      </c>
      <c s="70"/>
      <c s="63"/>
      <c s="97"/>
      <c s="44" t="str">
        <f>IFERROR(__xludf.DUMMYFUNCTION("IF(I27=MAX(FILTER(I$10:I$199,LOOKUP(ROW(C$10:C$199),FILTER(ROW(C$10:C$199),C$10:C$199&lt;&gt;C$9:C$198))=LOOKUP(ROW(C27),FILTER(ROW(C$10:C$199),C$10:C$199&lt;&gt;C$9:C$198)))),J27,)"),"")</f>
        <v/>
      </c>
      <c s="42"/>
      <c s="65"/>
      <c s="64" t="str">
        <f t="shared" si="11"/>
        <v/>
      </c>
      <c s="65" t="str">
        <f>IFERROR(__xludf.DUMMYFUNCTION("""COMPUTED_VALUE"""),"")</f>
        <v/>
      </c>
      <c s="66">
        <f ca="1"/>
        <v>45215</v>
      </c>
      <c s="93" t="str">
        <f t="shared" si="12"/>
        <v/>
      </c>
      <c s="94" t="str">
        <f t="shared" si="168"/>
        <v/>
      </c>
      <c s="95" t="str">
        <f t="shared" si="169"/>
        <v/>
      </c>
      <c s="98" t="str">
        <f t="shared" si="170"/>
        <v/>
      </c>
      <c s="97" t="str">
        <f t="array" ref="W27">IFERROR(IF(Q27="ac"+ISNUMBER(SEARCH("'",V27))+U27="","",IF(ISNUMBER(SEARCH("lw",V27)),I27+SUBSTITUTE(V27,"lw+",""),MROUND(_xlfn.SWITCH(Q27,"sq",U$7,"bn",V$7,"dl",W$7,"")*IF(V27&gt;10,V27/100,VLOOKUP(V27,_rpe,SUBSTITUTE(U27,"+","")+1,0)),IF(_xlfn.SWITCH(Q27,"sq",U$7,"bn",V$7,"dl",W$7,"")&lt;IF(_uom="lbs",175,80),1.25,IF(_uom="lbs",5,2.5))))),"")</f>
        <v/>
      </c>
      <c s="70"/>
      <c s="63"/>
      <c s="97"/>
      <c s="44" t="str">
        <f>IFERROR(__xludf.DUMMYFUNCTION("IF(W27=MAX(FILTER(W$10:W$199,LOOKUP(ROW(Q$10:Q$199),FILTER(ROW(Q$10:Q$199),Q$10:Q$199&lt;&gt;Q$9:Q$198))=LOOKUP(ROW(Q27),FILTER(ROW(Q$10:Q$199),Q$10:Q$199&lt;&gt;Q$9:Q$198)))),X27,)"),"")</f>
        <v/>
      </c>
      <c s="42"/>
      <c s="65"/>
      <c s="64" t="str">
        <f t="shared" si="14"/>
        <v/>
      </c>
      <c s="65" t="str">
        <f>IFERROR(__xludf.DUMMYFUNCTION("""COMPUTED_VALUE"""),"")</f>
        <v/>
      </c>
      <c s="66">
        <f ca="1"/>
        <v>45222</v>
      </c>
      <c s="93" t="str">
        <f t="shared" si="156"/>
        <v/>
      </c>
      <c s="94" t="str">
        <f t="shared" si="171"/>
        <v/>
      </c>
      <c s="95" t="str">
        <f t="shared" si="172"/>
        <v/>
      </c>
      <c s="98" t="str">
        <f t="shared" si="173"/>
        <v/>
      </c>
      <c s="97" t="str">
        <f t="array" ref="AK27">IFERROR(IF(AE27="ac"+ISNUMBER(SEARCH("'",AJ27))+AI27="","",IF(ISNUMBER(SEARCH("lw",AJ27)),W27+SUBSTITUTE(AJ27,"lw+",""),MROUND(_xlfn.SWITCH(AE27,"sq",AI$7,"bn",AJ$7,"dl",AK$7,"")*IF(AJ27&gt;10,AJ27/100,VLOOKUP(AJ27,_rpe,SUBSTITUTE(AI27,"+","")+1,0)),IF(_xlfn.SWITCH(AE27,"sq",AI$7,"bn",AJ$7,"dl",AK$7,"")&lt;IF(_uom="lbs",175,80),1.25,IF(_uom="lbs",5,2.5))))),"")</f>
        <v/>
      </c>
      <c s="70"/>
      <c s="63"/>
      <c s="97"/>
      <c s="44" t="str">
        <f>IFERROR(__xludf.DUMMYFUNCTION("IF(AK27=MAX(FILTER(AK$10:AK$199,LOOKUP(ROW(AE$10:AE$199),FILTER(ROW(AE$10:AE$199),AE$10:AE$199&lt;&gt;AE$9:AE$198))=LOOKUP(ROW(AE27),FILTER(ROW(AE$10:AE$199),AE$10:AE$199&lt;&gt;AE$9:AE$198)))),AL27,)"),"")</f>
        <v/>
      </c>
      <c s="42"/>
      <c s="65"/>
      <c s="64" t="str">
        <f t="shared" si="17"/>
        <v/>
      </c>
      <c s="65" t="str">
        <f>IFERROR(__xludf.DUMMYFUNCTION("""COMPUTED_VALUE"""),"")</f>
        <v/>
      </c>
      <c s="66">
        <f ca="1"/>
        <v>45229</v>
      </c>
      <c s="93" t="str">
        <f t="shared" si="157"/>
        <v/>
      </c>
      <c s="94" t="str">
        <f t="shared" si="174"/>
        <v/>
      </c>
      <c s="95" t="str">
        <f t="shared" si="175"/>
        <v/>
      </c>
      <c s="98" t="str">
        <f t="shared" si="176"/>
        <v/>
      </c>
      <c s="97" t="str">
        <f t="array" ref="AY27">IFERROR(IF(AS27="ac"+ISNUMBER(SEARCH("'",AX27))+AW27="","",IF(ISNUMBER(SEARCH("lw",AX27)),AK27+SUBSTITUTE(AX27,"lw+",""),MROUND(_xlfn.SWITCH(AS27,"sq",AW$7,"bn",AX$7,"dl",AY$7,"")*IF(AX27&gt;10,AX27/100,VLOOKUP(AX27,_rpe,SUBSTITUTE(AW27,"+","")+1,0)),IF(_xlfn.SWITCH(AS27,"sq",AW$7,"bn",AX$7,"dl",AY$7,"")&lt;IF(_uom="lbs",175,80),1.25,IF(_uom="lbs",5,2.5))))),"")</f>
        <v/>
      </c>
      <c s="70"/>
      <c s="63"/>
      <c s="97"/>
      <c s="44" t="str">
        <f>IFERROR(__xludf.DUMMYFUNCTION("IF(AY27=MAX(FILTER(AY$10:AY$199,LOOKUP(ROW(AS$10:AS$199),FILTER(ROW(AS$10:AS$199),AS$10:AS$199&lt;&gt;AS$9:AS$198))=LOOKUP(ROW(AS27),FILTER(ROW(AS$10:AS$199),AS$10:AS$199&lt;&gt;AS$9:AS$198)))),AZ27,)"),"")</f>
        <v/>
      </c>
      <c s="42"/>
      <c s="65"/>
      <c s="64" t="str">
        <f t="shared" si="19"/>
        <v/>
      </c>
      <c s="65" t="str">
        <f>IFERROR(__xludf.DUMMYFUNCTION("""COMPUTED_VALUE"""),"")</f>
        <v/>
      </c>
      <c s="66">
        <f ca="1"/>
        <v>45236</v>
      </c>
      <c s="93" t="str">
        <f t="shared" si="20"/>
        <v/>
      </c>
      <c s="94" t="str">
        <f t="shared" si="158"/>
        <v/>
      </c>
      <c s="95" t="str">
        <f t="shared" si="159"/>
        <v/>
      </c>
      <c s="98" t="str">
        <f t="shared" si="160"/>
        <v/>
      </c>
      <c s="97" t="str">
        <f t="array" ref="BM27">IFERROR(IF(BG27="ac"+ISNUMBER(SEARCH("'",BL27))+BK27="","",IF(ISNUMBER(SEARCH("lw",BL27)),AY27+SUBSTITUTE(BL27,"lw+",""),MROUND(_xlfn.SWITCH(BG27,"sq",BK$7,"bn",BL$7,"dl",BM$7,"")*IF(BL27&gt;10,BL27/100,VLOOKUP(BL27,_rpe,SUBSTITUTE(BK27,"+","")+1,0)),IF(_xlfn.SWITCH(BG27,"sq",BK$7,"bn",BL$7,"dl",BM$7,"")&lt;IF(_uom="lbs",175,80),1.25,IF(_uom="lbs",5,2.5))))),"")</f>
        <v/>
      </c>
      <c s="70"/>
      <c s="63"/>
      <c s="97"/>
      <c s="44" t="str">
        <f>IFERROR(__xludf.DUMMYFUNCTION("IF(BM27=MAX(FILTER(BM$10:BM$199,LOOKUP(ROW(BG$10:BG$199),FILTER(ROW(BG$10:BG$199),BG$10:BG$199&lt;&gt;BG$9:BG$198))=LOOKUP(ROW(BG27),FILTER(ROW(BG$10:BG$199),BG$10:BG$199&lt;&gt;BG$9:BG$198)))),BN27,)"),"")</f>
        <v/>
      </c>
      <c s="42"/>
      <c s="65"/>
      <c s="64" t="str">
        <f t="shared" si="21"/>
        <v/>
      </c>
      <c s="65" t="str">
        <f>IFERROR(__xludf.DUMMYFUNCTION("""COMPUTED_VALUE"""),"")</f>
        <v/>
      </c>
      <c s="66">
        <f ca="1"/>
        <v>45243</v>
      </c>
      <c s="93" t="str">
        <f t="shared" si="22"/>
        <v/>
      </c>
      <c s="94" t="str">
        <f t="shared" si="161"/>
        <v/>
      </c>
      <c s="95" t="str">
        <f t="shared" si="149"/>
        <v/>
      </c>
      <c s="98" t="str">
        <f t="shared" si="162"/>
        <v/>
      </c>
      <c s="97" t="str">
        <f t="array" ref="CA27">IFERROR(IF(BU27="ac"+ISNUMBER(SEARCH("'",BZ27))+BY27="","",IF(ISNUMBER(SEARCH("lw",BZ27)),BM27+SUBSTITUTE(BZ27,"lw+",""),MROUND(_xlfn.SWITCH(BU27,"sq",BY$7,"bn",BZ$7,"dl",CA$7,"")*IF(BZ27&gt;10,BZ27/100,VLOOKUP(BZ27,_rpe,SUBSTITUTE(BY27,"+","")+1,0)),IF(_xlfn.SWITCH(BU27,"sq",BY$7,"bn",BZ$7,"dl",CA$7,"")&lt;IF(_uom="lbs",175,80),1.25,IF(_uom="lbs",5,2.5))))),"")</f>
        <v/>
      </c>
      <c s="70"/>
      <c s="63"/>
      <c s="97"/>
      <c s="44" t="str">
        <f>IFERROR(__xludf.DUMMYFUNCTION("IF(CA27=MAX(FILTER(CA$10:CA$199,LOOKUP(ROW(BU$10:BU$199),FILTER(ROW(BU$10:BU$199),BU$10:BU$199&lt;&gt;BU$9:BU$198))=LOOKUP(ROW(BU27),FILTER(ROW(BU$10:BU$199),BU$10:BU$199&lt;&gt;BU$9:BU$198)))),CB27,)"),"")</f>
        <v/>
      </c>
      <c s="42"/>
      <c s="65"/>
      <c s="64" t="str">
        <f t="shared" si="24"/>
        <v/>
      </c>
      <c s="65" t="str">
        <f>IFERROR(__xludf.DUMMYFUNCTION("""COMPUTED_VALUE"""),"")</f>
        <v/>
      </c>
      <c s="66">
        <f ca="1"/>
        <v>45250</v>
      </c>
      <c s="93" t="str">
        <f t="shared" si="44"/>
        <v/>
      </c>
      <c s="94" t="str">
        <f t="shared" si="62"/>
        <v/>
      </c>
      <c s="95" t="str">
        <f t="shared" si="150"/>
        <v/>
      </c>
      <c s="98" t="str">
        <f t="shared" si="163"/>
        <v/>
      </c>
      <c s="97" t="str">
        <f t="array" ref="CO27">IFERROR(IF(CI27="ac"+ISNUMBER(SEARCH("'",CN27))+CM27="","",IF(ISNUMBER(SEARCH("lw",CN27)),CA27+SUBSTITUTE(CN27,"lw+",""),MROUND(_xlfn.SWITCH(CI27,"sq",CM$7,"bn",CN$7,"dl",CO$7,"")*IF(CN27&gt;10,CN27/100,VLOOKUP(CN27,_rpe,SUBSTITUTE(CM27,"+","")+1,0)),IF(_xlfn.SWITCH(CI27,"sq",CM$7,"bn",CN$7,"dl",CO$7,"")&lt;IF(_uom="lbs",175,80),1.25,IF(_uom="lbs",5,2.5))))),"")</f>
        <v/>
      </c>
      <c s="70"/>
      <c s="63"/>
      <c s="97"/>
      <c s="44" t="str">
        <f>IFERROR(__xludf.DUMMYFUNCTION("IF(CO27=MAX(FILTER(CO$10:CO$199,LOOKUP(ROW(CI$10:CI$199),FILTER(ROW(CI$10:CI$199),CI$10:CI$199&lt;&gt;CI$9:CI$198))=LOOKUP(ROW(CI27),FILTER(ROW(CI$10:CI$199),CI$10:CI$199&lt;&gt;CI$9:CI$198)))),CP27,)"),"")</f>
        <v/>
      </c>
      <c s="42"/>
      <c s="65"/>
      <c s="64" t="str">
        <f t="shared" si="27"/>
        <v/>
      </c>
      <c s="65" t="str">
        <f>IFERROR(__xludf.DUMMYFUNCTION("""COMPUTED_VALUE"""),"")</f>
        <v/>
      </c>
      <c s="66">
        <f ca="1"/>
        <v>45257</v>
      </c>
      <c s="93" t="str">
        <f t="shared" si="45"/>
        <v/>
      </c>
      <c s="94" t="str">
        <f t="shared" si="64"/>
        <v/>
      </c>
      <c s="95" t="str">
        <f t="shared" si="151"/>
        <v/>
      </c>
      <c s="98" t="str">
        <f t="shared" si="99"/>
        <v/>
      </c>
      <c s="97" t="str">
        <f t="array" ref="DC27">IFERROR(IF(CW27="ac"+ISNUMBER(SEARCH("'",DB27))+DA27="","",IF(ISNUMBER(SEARCH("lw",DB27)),CO27+SUBSTITUTE(DB27,"lw+",""),MROUND(_xlfn.SWITCH(CW27,"sq",DA$7,"bn",DB$7,"dl",DC$7,"")*IF(DB27&gt;10,DB27/100,VLOOKUP(DB27,_rpe,SUBSTITUTE(DA27,"+","")+1,0)),IF(_xlfn.SWITCH(CW27,"sq",DA$7,"bn",DB$7,"dl",DC$7,"")&lt;IF(_uom="lbs",175,80),1.25,IF(_uom="lbs",5,2.5))))),"")</f>
        <v/>
      </c>
      <c s="70"/>
      <c s="63"/>
      <c s="97"/>
      <c s="44" t="str">
        <f>IFERROR(__xludf.DUMMYFUNCTION("IF(DC27=MAX(FILTER(DC$10:DC$199,LOOKUP(ROW(CW$10:CW$199),FILTER(ROW(CW$10:CW$199),CW$10:CW$199&lt;&gt;CW$9:CW$198))=LOOKUP(ROW(CW27),FILTER(ROW(CW$10:CW$199),CW$10:CW$199&lt;&gt;CW$9:CW$198)))),DD27,)"),"")</f>
        <v/>
      </c>
      <c s="42"/>
      <c s="65"/>
      <c s="64" t="str">
        <f t="shared" si="30"/>
        <v/>
      </c>
      <c s="65" t="str">
        <f>IFERROR(__xludf.DUMMYFUNCTION("""COMPUTED_VALUE"""),"")</f>
        <v/>
      </c>
      <c s="66">
        <f ca="1"/>
        <v>45264</v>
      </c>
      <c s="93" t="str">
        <f t="shared" si="46"/>
        <v/>
      </c>
      <c s="94" t="str">
        <f t="shared" si="100"/>
        <v/>
      </c>
      <c s="95" t="str">
        <f t="shared" si="152"/>
        <v/>
      </c>
      <c s="98" t="str">
        <f t="shared" si="164"/>
        <v/>
      </c>
      <c s="97" t="str">
        <f t="array" ref="DQ27">IFERROR(IF(DK27="ac"+ISNUMBER(SEARCH("'",DP27))+DO27="","",IF(ISNUMBER(SEARCH("lw",DP27)),DC27+SUBSTITUTE(DP27,"lw+",""),MROUND(_xlfn.SWITCH(DK27,"sq",DO$7,"bn",DP$7,"dl",DQ$7,"")*IF(DP27&gt;10,DP27/100,VLOOKUP(DP27,_rpe,SUBSTITUTE(DO27,"+","")+1,0)),IF(_xlfn.SWITCH(DK27,"sq",DO$7,"bn",DP$7,"dl",DQ$7,"")&lt;IF(_uom="lbs",175,80),1.25,IF(_uom="lbs",5,2.5))))),"")</f>
        <v/>
      </c>
      <c s="70"/>
      <c s="63"/>
      <c s="97"/>
      <c s="44" t="str">
        <f>IFERROR(__xludf.DUMMYFUNCTION("IF(DQ27=MAX(FILTER(DQ$10:DQ$199,LOOKUP(ROW(DK$10:DK$199),FILTER(ROW(DK$10:DK$199),DK$10:DK$199&lt;&gt;DK$9:DK$198))=LOOKUP(ROW(DK27),FILTER(ROW(DK$10:DK$199),DK$10:DK$199&lt;&gt;DK$9:DK$198)))),DR27,)"),"")</f>
        <v/>
      </c>
      <c s="42"/>
      <c s="65"/>
      <c s="64" t="str">
        <f t="shared" si="32"/>
        <v/>
      </c>
      <c s="65" t="str">
        <f>IFERROR(__xludf.DUMMYFUNCTION("""COMPUTED_VALUE"""),"")</f>
        <v/>
      </c>
      <c s="66">
        <f ca="1"/>
        <v>45271</v>
      </c>
      <c s="93" t="str">
        <f t="shared" si="47"/>
        <v/>
      </c>
      <c s="94" t="str">
        <f t="shared" si="86"/>
        <v/>
      </c>
      <c s="95" t="str">
        <f t="shared" si="153"/>
        <v/>
      </c>
      <c s="98" t="str">
        <f t="shared" si="165"/>
        <v/>
      </c>
      <c s="97" t="str">
        <f t="array" ref="EE27">IFERROR(IF(DY27="ac"+ISNUMBER(SEARCH("'",ED27))+EC27="","",IF(ISNUMBER(SEARCH("lw",ED27)),DQ27+SUBSTITUTE(ED27,"lw+",""),MROUND(_xlfn.SWITCH(DY27,"sq",EC$7,"bn",ED$7,"dl",EE$7,"")*IF(ED27&gt;10,ED27/100,VLOOKUP(ED27,_rpe,SUBSTITUTE(EC27,"+","")+1,0)),IF(_xlfn.SWITCH(DY27,"sq",EC$7,"bn",ED$7,"dl",EE$7,"")&lt;IF(_uom="lbs",175,80),1.25,IF(_uom="lbs",5,2.5))))),"")</f>
        <v/>
      </c>
      <c s="70"/>
      <c s="63"/>
      <c s="97"/>
      <c s="44" t="str">
        <f>IFERROR(__xludf.DUMMYFUNCTION("IF(EE27=MAX(FILTER(EE$10:EE$199,LOOKUP(ROW(DY$10:DY$199),FILTER(ROW(DY$10:DY$199),DY$10:DY$199&lt;&gt;DY$9:DY$198))=LOOKUP(ROW(DY27),FILTER(ROW(DY$10:DY$199),DY$10:DY$199&lt;&gt;DY$9:DY$198)))),EF27,)"),"")</f>
        <v/>
      </c>
      <c s="42"/>
      <c s="65"/>
      <c s="64" t="str">
        <f t="shared" si="34"/>
        <v/>
      </c>
      <c s="65" t="str">
        <f>IFERROR(__xludf.DUMMYFUNCTION("""COMPUTED_VALUE"""),"")</f>
        <v/>
      </c>
      <c s="66">
        <f ca="1"/>
        <v>45278</v>
      </c>
      <c s="93" t="str">
        <f t="shared" si="48"/>
        <v/>
      </c>
      <c s="94" t="str">
        <f t="shared" si="105"/>
        <v/>
      </c>
      <c s="95" t="str">
        <f t="shared" si="154"/>
        <v/>
      </c>
      <c s="98" t="str">
        <f t="shared" si="107"/>
        <v/>
      </c>
      <c s="97" t="str">
        <f t="array" ref="ES27">IFERROR(IF(EM27="ac"+ISNUMBER(SEARCH("'",ER27))+EQ27="","",IF(ISNUMBER(SEARCH("lw",ER27)),EE27+SUBSTITUTE(ER27,"lw+",""),MROUND(_xlfn.SWITCH(EM27,"sq",EQ$7,"bn",ER$7,"dl",ES$7,"")*IF(ER27&gt;10,ER27/100,VLOOKUP(ER27,_rpe,SUBSTITUTE(EQ27,"+","")+1,0)),IF(_xlfn.SWITCH(EM27,"sq",EQ$7,"bn",ER$7,"dl",ES$7,"")&lt;IF(_uom="lbs",175,80),1.25,IF(_uom="lbs",5,2.5))))),"")</f>
        <v/>
      </c>
      <c s="70"/>
      <c s="63"/>
      <c s="97"/>
      <c s="44" t="str">
        <f>IFERROR(__xludf.DUMMYFUNCTION("IF(ES27=MAX(FILTER(ES$10:ES$199,LOOKUP(ROW(EM$10:EM$199),FILTER(ROW(EM$10:EM$199),EM$10:EM$199&lt;&gt;EM$9:EM$198))=LOOKUP(ROW(EM27),FILTER(ROW(EM$10:EM$199),EM$10:EM$199&lt;&gt;EM$9:EM$198)))),ET27,)"),"")</f>
        <v/>
      </c>
      <c s="42"/>
      <c s="65"/>
      <c s="64" t="str">
        <f t="shared" si="36"/>
        <v/>
      </c>
      <c s="65" t="str">
        <f>IFERROR(__xludf.DUMMYFUNCTION("""COMPUTED_VALUE"""),"")</f>
        <v/>
      </c>
      <c s="66">
        <f ca="1"/>
        <v>45285</v>
      </c>
      <c s="93" t="str">
        <f t="shared" si="49"/>
        <v/>
      </c>
      <c s="94" t="str">
        <f t="shared" si="108"/>
        <v/>
      </c>
      <c s="95" t="str">
        <f t="shared" si="155"/>
        <v/>
      </c>
      <c s="98" t="str">
        <f t="shared" si="110"/>
        <v/>
      </c>
      <c s="97" t="str">
        <f t="array" ref="FG27">IFERROR(IF(FA27="ac"+ISNUMBER(SEARCH("'",FF27))+FE27="","",IF(ISNUMBER(SEARCH("lw",FF27)),ES27+SUBSTITUTE(FF27,"lw+",""),MROUND(_xlfn.SWITCH(FA27,"sq",FE$7,"bn",FF$7,"dl",FG$7,"")*IF(FF27&gt;10,FF27/100,VLOOKUP(FF27,_rpe,SUBSTITUTE(FE27,"+","")+1,0)),IF(_xlfn.SWITCH(FA27,"sq",FE$7,"bn",FF$7,"dl",FG$7,"")&lt;IF(_uom="lbs",175,80),1.25,IF(_uom="lbs",5,2.5))))),"")</f>
        <v/>
      </c>
      <c s="70"/>
      <c s="63"/>
      <c s="97"/>
      <c s="44" t="str">
        <f>IFERROR(__xludf.DUMMYFUNCTION("IF(FG27=MAX(FILTER(FG$10:FG$199,LOOKUP(ROW(FA$10:FA$199),FILTER(ROW(FA$10:FA$199),FA$10:FA$199&lt;&gt;FA$9:FA$198))=LOOKUP(ROW(FA27),FILTER(ROW(FA$10:FA$199),FA$10:FA$199&lt;&gt;FA$9:FA$198)))),FH27,)"),"")</f>
        <v/>
      </c>
      <c s="42"/>
      <c s="65"/>
      <c s="64" t="str">
        <f t="shared" si="38"/>
        <v/>
      </c>
      <c s="65" t="str">
        <f>IFERROR(__xludf.DUMMYFUNCTION("""COMPUTED_VALUE"""),"")</f>
        <v/>
      </c>
      <c s="66">
        <f ca="1"/>
        <v>45292</v>
      </c>
      <c s="93" t="str">
        <f t="shared" si="179" ref="FQ27:FR27">IF(ISBLANK(FC27),"",FC27)</f>
        <v/>
      </c>
      <c s="94" t="str">
        <f t="shared" si="179"/>
        <v/>
      </c>
      <c s="95" t="str">
        <f t="shared" si="166"/>
        <v/>
      </c>
      <c s="98" t="str">
        <f t="shared" si="167"/>
        <v/>
      </c>
      <c s="97" t="str">
        <f t="array" ref="FU27">IFERROR(IF(FO27="ac"+ISNUMBER(SEARCH("'",FT27))+FS27="","",IF(ISNUMBER(SEARCH("lw",FT27)),FG27+SUBSTITUTE(FT27,"lw+",""),MROUND(_xlfn.SWITCH(FO27,"sq",FS$7,"bn",FT$7,"dl",FU$7,"")*IF(FT27&gt;10,FT27/100,VLOOKUP(FT27,_rpe,SUBSTITUTE(FS27,"+","")+1,0)),IF(_xlfn.SWITCH(FO27,"sq",FS$7,"bn",FT$7,"dl",FU$7,"")&lt;IF(_uom="lbs",175,80),1.25,IF(_uom="lbs",5,2.5))))),"")</f>
        <v/>
      </c>
      <c s="70"/>
      <c s="63"/>
      <c s="97"/>
      <c s="44" t="str">
        <f>IFERROR(__xludf.DUMMYFUNCTION("IF(FU27=MAX(FILTER(FU$10:FU$199,LOOKUP(ROW(FO$10:FO$199),FILTER(ROW(FO$10:FO$199),FO$10:FO$199&lt;&gt;FO$9:FO$198))=LOOKUP(ROW(FO27),FILTER(ROW(FO$10:FO$199),FO$10:FO$199&lt;&gt;FO$9:FO$198)))),FV27,)"),"")</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28" spans="1:259" ht="15.75" hidden="1">
      <c r="A28" s="63"/>
      <c s="64"/>
      <c s="65" t="str">
        <f>IFERROR(__xludf.DUMMYFUNCTION("""COMPUTED_VALUE"""),"")</f>
        <v/>
      </c>
      <c s="66">
        <f ca="1"/>
        <v>45208</v>
      </c>
      <c s="93"/>
      <c s="94"/>
      <c s="95"/>
      <c s="96"/>
      <c s="97" t="str">
        <f t="array" ref="I28">IFERROR(IF(C28="ac"+ISNUMBER(SEARCH("'",H28))+G28="","",MROUND(_xlfn.SWITCH(C28,"sq",'Personal Info'!$O$15,"bn",'Personal Info'!$S$15,"dl",'Personal Info'!$W$15,"")*IF(H28&gt;10,H28/100,VLOOKUP(H28,_rpe,SUBSTITUTE(G28,"+","")+1,0)),IF(_xlfn.SWITCH(C28:C210,"sq",'Personal Info'!$O$15,"bn",'Personal Info'!$S$15,"dl",'Personal Info'!$W$15,"")&lt;IF(_uom="lbs",175,80),1.25,IF(_uom="lbs",5,2.5)))),"")</f>
        <v/>
      </c>
      <c s="70"/>
      <c s="63"/>
      <c s="97"/>
      <c s="44" t="str">
        <f>IFERROR(__xludf.DUMMYFUNCTION("IF(I28=MAX(FILTER(I$10:I$199,LOOKUP(ROW(C$10:C$199),FILTER(ROW(C$10:C$199),C$10:C$199&lt;&gt;C$9:C$198))=LOOKUP(ROW(C28),FILTER(ROW(C$10:C$199),C$10:C$199&lt;&gt;C$9:C$198)))),J28,)"),"")</f>
        <v/>
      </c>
      <c s="42"/>
      <c s="65"/>
      <c s="64" t="str">
        <f t="shared" si="11"/>
        <v/>
      </c>
      <c s="65" t="str">
        <f>IFERROR(__xludf.DUMMYFUNCTION("""COMPUTED_VALUE"""),"")</f>
        <v/>
      </c>
      <c s="66">
        <f ca="1"/>
        <v>45215</v>
      </c>
      <c s="93" t="str">
        <f t="shared" si="12"/>
        <v/>
      </c>
      <c s="94" t="str">
        <f t="shared" si="168"/>
        <v/>
      </c>
      <c s="95" t="str">
        <f t="shared" si="169"/>
        <v/>
      </c>
      <c s="98" t="str">
        <f t="shared" si="170"/>
        <v/>
      </c>
      <c s="97" t="str">
        <f t="array" ref="W28">IFERROR(IF(Q28="ac"+ISNUMBER(SEARCH("'",V28))+U28="","",IF(ISNUMBER(SEARCH("lw",V28)),I28+SUBSTITUTE(V28,"lw+",""),MROUND(_xlfn.SWITCH(Q28,"sq",U$7,"bn",V$7,"dl",W$7,"")*IF(V28&gt;10,V28/100,VLOOKUP(V28,_rpe,SUBSTITUTE(U28,"+","")+1,0)),IF(_xlfn.SWITCH(Q28,"sq",U$7,"bn",V$7,"dl",W$7,"")&lt;IF(_uom="lbs",175,80),1.25,IF(_uom="lbs",5,2.5))))),"")</f>
        <v/>
      </c>
      <c s="70"/>
      <c s="63"/>
      <c s="97"/>
      <c s="44" t="str">
        <f>IFERROR(__xludf.DUMMYFUNCTION("IF(W28=MAX(FILTER(W$10:W$199,LOOKUP(ROW(Q$10:Q$199),FILTER(ROW(Q$10:Q$199),Q$10:Q$199&lt;&gt;Q$9:Q$198))=LOOKUP(ROW(Q28),FILTER(ROW(Q$10:Q$199),Q$10:Q$199&lt;&gt;Q$9:Q$198)))),X28,)"),"")</f>
        <v/>
      </c>
      <c s="42"/>
      <c s="65"/>
      <c s="64" t="str">
        <f t="shared" si="14"/>
        <v/>
      </c>
      <c s="65" t="str">
        <f>IFERROR(__xludf.DUMMYFUNCTION("""COMPUTED_VALUE"""),"")</f>
        <v/>
      </c>
      <c s="66">
        <f ca="1"/>
        <v>45222</v>
      </c>
      <c s="93" t="str">
        <f t="shared" si="156"/>
        <v/>
      </c>
      <c s="94" t="str">
        <f t="shared" si="171"/>
        <v/>
      </c>
      <c s="95" t="str">
        <f t="shared" si="172"/>
        <v/>
      </c>
      <c s="98" t="str">
        <f t="shared" si="173"/>
        <v/>
      </c>
      <c s="97" t="str">
        <f t="array" ref="AK28">IFERROR(IF(AE28="ac"+ISNUMBER(SEARCH("'",AJ28))+AI28="","",IF(ISNUMBER(SEARCH("lw",AJ28)),W28+SUBSTITUTE(AJ28,"lw+",""),MROUND(_xlfn.SWITCH(AE28,"sq",AI$7,"bn",AJ$7,"dl",AK$7,"")*IF(AJ28&gt;10,AJ28/100,VLOOKUP(AJ28,_rpe,SUBSTITUTE(AI28,"+","")+1,0)),IF(_xlfn.SWITCH(AE28,"sq",AI$7,"bn",AJ$7,"dl",AK$7,"")&lt;IF(_uom="lbs",175,80),1.25,IF(_uom="lbs",5,2.5))))),"")</f>
        <v/>
      </c>
      <c s="70"/>
      <c s="63"/>
      <c s="97"/>
      <c s="44" t="str">
        <f>IFERROR(__xludf.DUMMYFUNCTION("IF(AK28=MAX(FILTER(AK$10:AK$199,LOOKUP(ROW(AE$10:AE$199),FILTER(ROW(AE$10:AE$199),AE$10:AE$199&lt;&gt;AE$9:AE$198))=LOOKUP(ROW(AE28),FILTER(ROW(AE$10:AE$199),AE$10:AE$199&lt;&gt;AE$9:AE$198)))),AL28,)"),"")</f>
        <v/>
      </c>
      <c s="42"/>
      <c s="65"/>
      <c s="64" t="str">
        <f t="shared" si="17"/>
        <v/>
      </c>
      <c s="65" t="str">
        <f>IFERROR(__xludf.DUMMYFUNCTION("""COMPUTED_VALUE"""),"")</f>
        <v/>
      </c>
      <c s="66">
        <f ca="1"/>
        <v>45229</v>
      </c>
      <c s="93" t="str">
        <f t="shared" si="157"/>
        <v/>
      </c>
      <c s="94" t="str">
        <f t="shared" si="174"/>
        <v/>
      </c>
      <c s="95" t="str">
        <f t="shared" si="175"/>
        <v/>
      </c>
      <c s="98" t="str">
        <f t="shared" si="176"/>
        <v/>
      </c>
      <c s="97" t="str">
        <f t="array" ref="AY28">IFERROR(IF(AS28="ac"+ISNUMBER(SEARCH("'",AX28))+AW28="","",IF(ISNUMBER(SEARCH("lw",AX28)),AK28+SUBSTITUTE(AX28,"lw+",""),MROUND(_xlfn.SWITCH(AS28,"sq",AW$7,"bn",AX$7,"dl",AY$7,"")*IF(AX28&gt;10,AX28/100,VLOOKUP(AX28,_rpe,SUBSTITUTE(AW28,"+","")+1,0)),IF(_xlfn.SWITCH(AS28,"sq",AW$7,"bn",AX$7,"dl",AY$7,"")&lt;IF(_uom="lbs",175,80),1.25,IF(_uom="lbs",5,2.5))))),"")</f>
        <v/>
      </c>
      <c s="70"/>
      <c s="63"/>
      <c s="97"/>
      <c s="44" t="str">
        <f>IFERROR(__xludf.DUMMYFUNCTION("IF(AY28=MAX(FILTER(AY$10:AY$199,LOOKUP(ROW(AS$10:AS$199),FILTER(ROW(AS$10:AS$199),AS$10:AS$199&lt;&gt;AS$9:AS$198))=LOOKUP(ROW(AS28),FILTER(ROW(AS$10:AS$199),AS$10:AS$199&lt;&gt;AS$9:AS$198)))),AZ28,)"),"")</f>
        <v/>
      </c>
      <c s="42"/>
      <c s="65"/>
      <c s="64" t="str">
        <f t="shared" si="19"/>
        <v/>
      </c>
      <c s="65" t="str">
        <f>IFERROR(__xludf.DUMMYFUNCTION("""COMPUTED_VALUE"""),"")</f>
        <v/>
      </c>
      <c s="66">
        <f ca="1"/>
        <v>45236</v>
      </c>
      <c s="93" t="str">
        <f t="shared" si="20"/>
        <v/>
      </c>
      <c s="94" t="str">
        <f t="shared" si="158"/>
        <v/>
      </c>
      <c s="95" t="str">
        <f t="shared" si="159"/>
        <v/>
      </c>
      <c s="98" t="str">
        <f t="shared" si="160"/>
        <v/>
      </c>
      <c s="97" t="str">
        <f t="array" ref="BM28">IFERROR(IF(BG28="ac"+ISNUMBER(SEARCH("'",BL28))+BK28="","",IF(ISNUMBER(SEARCH("lw",BL28)),AY28+SUBSTITUTE(BL28,"lw+",""),MROUND(_xlfn.SWITCH(BG28,"sq",BK$7,"bn",BL$7,"dl",BM$7,"")*IF(BL28&gt;10,BL28/100,VLOOKUP(BL28,_rpe,SUBSTITUTE(BK28,"+","")+1,0)),IF(_xlfn.SWITCH(BG28,"sq",BK$7,"bn",BL$7,"dl",BM$7,"")&lt;IF(_uom="lbs",175,80),1.25,IF(_uom="lbs",5,2.5))))),"")</f>
        <v/>
      </c>
      <c s="70"/>
      <c s="63"/>
      <c s="97"/>
      <c s="44" t="str">
        <f>IFERROR(__xludf.DUMMYFUNCTION("IF(BM28=MAX(FILTER(BM$10:BM$199,LOOKUP(ROW(BG$10:BG$199),FILTER(ROW(BG$10:BG$199),BG$10:BG$199&lt;&gt;BG$9:BG$198))=LOOKUP(ROW(BG28),FILTER(ROW(BG$10:BG$199),BG$10:BG$199&lt;&gt;BG$9:BG$198)))),BN28,)"),"")</f>
        <v/>
      </c>
      <c s="42"/>
      <c s="65"/>
      <c s="64" t="str">
        <f t="shared" si="21"/>
        <v/>
      </c>
      <c s="65" t="str">
        <f>IFERROR(__xludf.DUMMYFUNCTION("""COMPUTED_VALUE"""),"")</f>
        <v/>
      </c>
      <c s="66">
        <f ca="1"/>
        <v>45243</v>
      </c>
      <c s="93" t="str">
        <f t="shared" si="22"/>
        <v/>
      </c>
      <c s="94" t="str">
        <f t="shared" si="161"/>
        <v/>
      </c>
      <c s="95" t="str">
        <f t="shared" si="149"/>
        <v/>
      </c>
      <c s="98" t="str">
        <f t="shared" si="162"/>
        <v/>
      </c>
      <c s="97" t="str">
        <f t="array" ref="CA28">IFERROR(IF(BU28="ac"+ISNUMBER(SEARCH("'",BZ28))+BY28="","",IF(ISNUMBER(SEARCH("lw",BZ28)),BM28+SUBSTITUTE(BZ28,"lw+",""),MROUND(_xlfn.SWITCH(BU28,"sq",BY$7,"bn",BZ$7,"dl",CA$7,"")*IF(BZ28&gt;10,BZ28/100,VLOOKUP(BZ28,_rpe,SUBSTITUTE(BY28,"+","")+1,0)),IF(_xlfn.SWITCH(BU28,"sq",BY$7,"bn",BZ$7,"dl",CA$7,"")&lt;IF(_uom="lbs",175,80),1.25,IF(_uom="lbs",5,2.5))))),"")</f>
        <v/>
      </c>
      <c s="70"/>
      <c s="63"/>
      <c s="97"/>
      <c s="44" t="str">
        <f>IFERROR(__xludf.DUMMYFUNCTION("IF(CA28=MAX(FILTER(CA$10:CA$199,LOOKUP(ROW(BU$10:BU$199),FILTER(ROW(BU$10:BU$199),BU$10:BU$199&lt;&gt;BU$9:BU$198))=LOOKUP(ROW(BU28),FILTER(ROW(BU$10:BU$199),BU$10:BU$199&lt;&gt;BU$9:BU$198)))),CB28,)"),"")</f>
        <v/>
      </c>
      <c s="42"/>
      <c s="65"/>
      <c s="64" t="str">
        <f t="shared" si="24"/>
        <v/>
      </c>
      <c s="65" t="str">
        <f>IFERROR(__xludf.DUMMYFUNCTION("""COMPUTED_VALUE"""),"")</f>
        <v/>
      </c>
      <c s="66">
        <f ca="1"/>
        <v>45250</v>
      </c>
      <c s="93" t="str">
        <f t="shared" si="44"/>
        <v/>
      </c>
      <c s="94" t="str">
        <f t="shared" si="62"/>
        <v/>
      </c>
      <c s="95" t="str">
        <f t="shared" si="150"/>
        <v/>
      </c>
      <c s="98" t="str">
        <f t="shared" si="163"/>
        <v/>
      </c>
      <c s="97" t="str">
        <f t="array" ref="CO28">IFERROR(IF(CI28="ac"+ISNUMBER(SEARCH("'",CN28))+CM28="","",IF(ISNUMBER(SEARCH("lw",CN28)),CA28+SUBSTITUTE(CN28,"lw+",""),MROUND(_xlfn.SWITCH(CI28,"sq",CM$7,"bn",CN$7,"dl",CO$7,"")*IF(CN28&gt;10,CN28/100,VLOOKUP(CN28,_rpe,SUBSTITUTE(CM28,"+","")+1,0)),IF(_xlfn.SWITCH(CI28,"sq",CM$7,"bn",CN$7,"dl",CO$7,"")&lt;IF(_uom="lbs",175,80),1.25,IF(_uom="lbs",5,2.5))))),"")</f>
        <v/>
      </c>
      <c s="70"/>
      <c s="63"/>
      <c s="97"/>
      <c s="44" t="str">
        <f>IFERROR(__xludf.DUMMYFUNCTION("IF(CO28=MAX(FILTER(CO$10:CO$199,LOOKUP(ROW(CI$10:CI$199),FILTER(ROW(CI$10:CI$199),CI$10:CI$199&lt;&gt;CI$9:CI$198))=LOOKUP(ROW(CI28),FILTER(ROW(CI$10:CI$199),CI$10:CI$199&lt;&gt;CI$9:CI$198)))),CP28,)"),"")</f>
        <v/>
      </c>
      <c s="42"/>
      <c s="65"/>
      <c s="64" t="str">
        <f t="shared" si="27"/>
        <v/>
      </c>
      <c s="65" t="str">
        <f>IFERROR(__xludf.DUMMYFUNCTION("""COMPUTED_VALUE"""),"")</f>
        <v/>
      </c>
      <c s="66">
        <f ca="1"/>
        <v>45257</v>
      </c>
      <c s="93" t="str">
        <f t="shared" si="45"/>
        <v/>
      </c>
      <c s="94" t="str">
        <f t="shared" si="64"/>
        <v/>
      </c>
      <c s="95" t="str">
        <f t="shared" si="151"/>
        <v/>
      </c>
      <c s="98" t="str">
        <f t="shared" si="99"/>
        <v/>
      </c>
      <c s="97" t="str">
        <f t="array" ref="DC28">IFERROR(IF(CW28="ac"+ISNUMBER(SEARCH("'",DB28))+DA28="","",IF(ISNUMBER(SEARCH("lw",DB28)),CO28+SUBSTITUTE(DB28,"lw+",""),MROUND(_xlfn.SWITCH(CW28,"sq",DA$7,"bn",DB$7,"dl",DC$7,"")*IF(DB28&gt;10,DB28/100,VLOOKUP(DB28,_rpe,SUBSTITUTE(DA28,"+","")+1,0)),IF(_xlfn.SWITCH(CW28,"sq",DA$7,"bn",DB$7,"dl",DC$7,"")&lt;IF(_uom="lbs",175,80),1.25,IF(_uom="lbs",5,2.5))))),"")</f>
        <v/>
      </c>
      <c s="70"/>
      <c s="63"/>
      <c s="97"/>
      <c s="44" t="str">
        <f>IFERROR(__xludf.DUMMYFUNCTION("IF(DC28=MAX(FILTER(DC$10:DC$199,LOOKUP(ROW(CW$10:CW$199),FILTER(ROW(CW$10:CW$199),CW$10:CW$199&lt;&gt;CW$9:CW$198))=LOOKUP(ROW(CW28),FILTER(ROW(CW$10:CW$199),CW$10:CW$199&lt;&gt;CW$9:CW$198)))),DD28,)"),"")</f>
        <v/>
      </c>
      <c s="42"/>
      <c s="65"/>
      <c s="64" t="str">
        <f t="shared" si="30"/>
        <v/>
      </c>
      <c s="65" t="str">
        <f>IFERROR(__xludf.DUMMYFUNCTION("""COMPUTED_VALUE"""),"")</f>
        <v/>
      </c>
      <c s="66">
        <f ca="1"/>
        <v>45264</v>
      </c>
      <c s="93" t="str">
        <f t="shared" si="46"/>
        <v/>
      </c>
      <c s="94" t="str">
        <f t="shared" si="100"/>
        <v/>
      </c>
      <c s="95" t="str">
        <f t="shared" si="152"/>
        <v/>
      </c>
      <c s="98" t="str">
        <f t="shared" si="164"/>
        <v/>
      </c>
      <c s="97" t="str">
        <f t="array" ref="DQ28">IFERROR(IF(DK28="ac"+ISNUMBER(SEARCH("'",DP28))+DO28="","",IF(ISNUMBER(SEARCH("lw",DP28)),DC28+SUBSTITUTE(DP28,"lw+",""),MROUND(_xlfn.SWITCH(DK28,"sq",DO$7,"bn",DP$7,"dl",DQ$7,"")*IF(DP28&gt;10,DP28/100,VLOOKUP(DP28,_rpe,SUBSTITUTE(DO28,"+","")+1,0)),IF(_xlfn.SWITCH(DK28,"sq",DO$7,"bn",DP$7,"dl",DQ$7,"")&lt;IF(_uom="lbs",175,80),1.25,IF(_uom="lbs",5,2.5))))),"")</f>
        <v/>
      </c>
      <c s="70"/>
      <c s="63"/>
      <c s="97"/>
      <c s="44" t="str">
        <f>IFERROR(__xludf.DUMMYFUNCTION("IF(DQ28=MAX(FILTER(DQ$10:DQ$199,LOOKUP(ROW(DK$10:DK$199),FILTER(ROW(DK$10:DK$199),DK$10:DK$199&lt;&gt;DK$9:DK$198))=LOOKUP(ROW(DK28),FILTER(ROW(DK$10:DK$199),DK$10:DK$199&lt;&gt;DK$9:DK$198)))),DR28,)"),"")</f>
        <v/>
      </c>
      <c s="42"/>
      <c s="65"/>
      <c s="64" t="str">
        <f t="shared" si="32"/>
        <v/>
      </c>
      <c s="65" t="str">
        <f>IFERROR(__xludf.DUMMYFUNCTION("""COMPUTED_VALUE"""),"")</f>
        <v/>
      </c>
      <c s="66">
        <f ca="1"/>
        <v>45271</v>
      </c>
      <c s="93" t="str">
        <f t="shared" si="47"/>
        <v/>
      </c>
      <c s="94" t="str">
        <f t="shared" si="86"/>
        <v/>
      </c>
      <c s="95" t="str">
        <f t="shared" si="153"/>
        <v/>
      </c>
      <c s="98" t="str">
        <f t="shared" si="165"/>
        <v/>
      </c>
      <c s="97" t="str">
        <f t="array" ref="EE28">IFERROR(IF(DY28="ac"+ISNUMBER(SEARCH("'",ED28))+EC28="","",IF(ISNUMBER(SEARCH("lw",ED28)),DQ28+SUBSTITUTE(ED28,"lw+",""),MROUND(_xlfn.SWITCH(DY28,"sq",EC$7,"bn",ED$7,"dl",EE$7,"")*IF(ED28&gt;10,ED28/100,VLOOKUP(ED28,_rpe,SUBSTITUTE(EC28,"+","")+1,0)),IF(_xlfn.SWITCH(DY28,"sq",EC$7,"bn",ED$7,"dl",EE$7,"")&lt;IF(_uom="lbs",175,80),1.25,IF(_uom="lbs",5,2.5))))),"")</f>
        <v/>
      </c>
      <c s="70"/>
      <c s="63"/>
      <c s="97"/>
      <c s="44" t="str">
        <f>IFERROR(__xludf.DUMMYFUNCTION("IF(EE28=MAX(FILTER(EE$10:EE$199,LOOKUP(ROW(DY$10:DY$199),FILTER(ROW(DY$10:DY$199),DY$10:DY$199&lt;&gt;DY$9:DY$198))=LOOKUP(ROW(DY28),FILTER(ROW(DY$10:DY$199),DY$10:DY$199&lt;&gt;DY$9:DY$198)))),EF28,)"),"")</f>
        <v/>
      </c>
      <c s="42"/>
      <c s="65"/>
      <c s="64" t="str">
        <f t="shared" si="34"/>
        <v/>
      </c>
      <c s="65" t="str">
        <f>IFERROR(__xludf.DUMMYFUNCTION("""COMPUTED_VALUE"""),"")</f>
        <v/>
      </c>
      <c s="66">
        <f ca="1"/>
        <v>45278</v>
      </c>
      <c s="93" t="str">
        <f t="shared" si="48"/>
        <v/>
      </c>
      <c s="94" t="str">
        <f t="shared" si="105"/>
        <v/>
      </c>
      <c s="95" t="str">
        <f t="shared" si="154"/>
        <v/>
      </c>
      <c s="98" t="str">
        <f t="shared" si="107"/>
        <v/>
      </c>
      <c s="97" t="str">
        <f t="array" ref="ES28">IFERROR(IF(EM28="ac"+ISNUMBER(SEARCH("'",ER28))+EQ28="","",IF(ISNUMBER(SEARCH("lw",ER28)),EE28+SUBSTITUTE(ER28,"lw+",""),MROUND(_xlfn.SWITCH(EM28,"sq",EQ$7,"bn",ER$7,"dl",ES$7,"")*IF(ER28&gt;10,ER28/100,VLOOKUP(ER28,_rpe,SUBSTITUTE(EQ28,"+","")+1,0)),IF(_xlfn.SWITCH(EM28,"sq",EQ$7,"bn",ER$7,"dl",ES$7,"")&lt;IF(_uom="lbs",175,80),1.25,IF(_uom="lbs",5,2.5))))),"")</f>
        <v/>
      </c>
      <c s="70"/>
      <c s="63"/>
      <c s="97"/>
      <c s="44" t="str">
        <f>IFERROR(__xludf.DUMMYFUNCTION("IF(ES28=MAX(FILTER(ES$10:ES$199,LOOKUP(ROW(EM$10:EM$199),FILTER(ROW(EM$10:EM$199),EM$10:EM$199&lt;&gt;EM$9:EM$198))=LOOKUP(ROW(EM28),FILTER(ROW(EM$10:EM$199),EM$10:EM$199&lt;&gt;EM$9:EM$198)))),ET28,)"),"")</f>
        <v/>
      </c>
      <c s="42"/>
      <c s="65"/>
      <c s="64" t="str">
        <f t="shared" si="36"/>
        <v/>
      </c>
      <c s="65" t="str">
        <f>IFERROR(__xludf.DUMMYFUNCTION("""COMPUTED_VALUE"""),"")</f>
        <v/>
      </c>
      <c s="66">
        <f ca="1"/>
        <v>45285</v>
      </c>
      <c s="93" t="str">
        <f t="shared" si="49"/>
        <v/>
      </c>
      <c s="94" t="str">
        <f t="shared" si="108"/>
        <v/>
      </c>
      <c s="95" t="str">
        <f t="shared" si="155"/>
        <v/>
      </c>
      <c s="98" t="str">
        <f t="shared" si="110"/>
        <v/>
      </c>
      <c s="97" t="str">
        <f t="array" ref="FG28">IFERROR(IF(FA28="ac"+ISNUMBER(SEARCH("'",FF28))+FE28="","",IF(ISNUMBER(SEARCH("lw",FF28)),ES28+SUBSTITUTE(FF28,"lw+",""),MROUND(_xlfn.SWITCH(FA28,"sq",FE$7,"bn",FF$7,"dl",FG$7,"")*IF(FF28&gt;10,FF28/100,VLOOKUP(FF28,_rpe,SUBSTITUTE(FE28,"+","")+1,0)),IF(_xlfn.SWITCH(FA28,"sq",FE$7,"bn",FF$7,"dl",FG$7,"")&lt;IF(_uom="lbs",175,80),1.25,IF(_uom="lbs",5,2.5))))),"")</f>
        <v/>
      </c>
      <c s="70"/>
      <c s="63"/>
      <c s="97"/>
      <c s="44" t="str">
        <f>IFERROR(__xludf.DUMMYFUNCTION("IF(FG28=MAX(FILTER(FG$10:FG$199,LOOKUP(ROW(FA$10:FA$199),FILTER(ROW(FA$10:FA$199),FA$10:FA$199&lt;&gt;FA$9:FA$198))=LOOKUP(ROW(FA28),FILTER(ROW(FA$10:FA$199),FA$10:FA$199&lt;&gt;FA$9:FA$198)))),FH28,)"),"")</f>
        <v/>
      </c>
      <c s="42"/>
      <c s="65"/>
      <c s="64" t="str">
        <f t="shared" si="38"/>
        <v/>
      </c>
      <c s="65" t="str">
        <f>IFERROR(__xludf.DUMMYFUNCTION("""COMPUTED_VALUE"""),"")</f>
        <v/>
      </c>
      <c s="66">
        <f ca="1"/>
        <v>45292</v>
      </c>
      <c s="93" t="str">
        <f t="shared" si="180" ref="FQ28:FR28">IF(ISBLANK(FC28),"",FC28)</f>
        <v/>
      </c>
      <c s="94" t="str">
        <f t="shared" si="180"/>
        <v/>
      </c>
      <c s="95" t="str">
        <f t="shared" si="166"/>
        <v/>
      </c>
      <c s="98" t="str">
        <f t="shared" si="167"/>
        <v/>
      </c>
      <c s="97" t="str">
        <f t="array" ref="FU28">IFERROR(IF(FO28="ac"+ISNUMBER(SEARCH("'",FT28))+FS28="","",IF(ISNUMBER(SEARCH("lw",FT28)),FG28+SUBSTITUTE(FT28,"lw+",""),MROUND(_xlfn.SWITCH(FO28,"sq",FS$7,"bn",FT$7,"dl",FU$7,"")*IF(FT28&gt;10,FT28/100,VLOOKUP(FT28,_rpe,SUBSTITUTE(FS28,"+","")+1,0)),IF(_xlfn.SWITCH(FO28,"sq",FS$7,"bn",FT$7,"dl",FU$7,"")&lt;IF(_uom="lbs",175,80),1.25,IF(_uom="lbs",5,2.5))))),"")</f>
        <v/>
      </c>
      <c s="70"/>
      <c s="63"/>
      <c s="97"/>
      <c s="44" t="str">
        <f>IFERROR(__xludf.DUMMYFUNCTION("IF(FU28=MAX(FILTER(FU$10:FU$199,LOOKUP(ROW(FO$10:FO$199),FILTER(ROW(FO$10:FO$199),FO$10:FO$199&lt;&gt;FO$9:FO$198))=LOOKUP(ROW(FO28),FILTER(ROW(FO$10:FO$199),FO$10:FO$199&lt;&gt;FO$9:FO$198)))),FV28,)"),"")</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29" spans="1:259" ht="15.75" hidden="1">
      <c r="A29" s="63"/>
      <c s="64"/>
      <c s="65" t="str">
        <f>IFERROR(__xludf.DUMMYFUNCTION("""COMPUTED_VALUE"""),"")</f>
        <v/>
      </c>
      <c s="66">
        <f ca="1"/>
        <v>45208</v>
      </c>
      <c s="93"/>
      <c s="94"/>
      <c s="95"/>
      <c s="96"/>
      <c s="97" t="str">
        <f t="array" ref="I29">IFERROR(IF(C29="ac"+ISNUMBER(SEARCH("'",H29))+G29="","",MROUND(_xlfn.SWITCH(C29,"sq",'Personal Info'!$O$15,"bn",'Personal Info'!$S$15,"dl",'Personal Info'!$W$15,"")*IF(H29&gt;10,H29/100,VLOOKUP(H29,_rpe,SUBSTITUTE(G29,"+","")+1,0)),IF(_xlfn.SWITCH(C29:C210,"sq",'Personal Info'!$O$15,"bn",'Personal Info'!$S$15,"dl",'Personal Info'!$W$15,"")&lt;IF(_uom="lbs",175,80),1.25,IF(_uom="lbs",5,2.5)))),"")</f>
        <v/>
      </c>
      <c s="70"/>
      <c s="63"/>
      <c s="97"/>
      <c s="44" t="str">
        <f>IFERROR(__xludf.DUMMYFUNCTION("IF(I29=MAX(FILTER(I$10:I$199,LOOKUP(ROW(C$10:C$199),FILTER(ROW(C$10:C$199),C$10:C$199&lt;&gt;C$9:C$198))=LOOKUP(ROW(C29),FILTER(ROW(C$10:C$199),C$10:C$199&lt;&gt;C$9:C$198)))),J29,)"),"")</f>
        <v/>
      </c>
      <c s="42"/>
      <c s="65"/>
      <c s="64" t="str">
        <f t="shared" si="11"/>
        <v/>
      </c>
      <c s="65" t="str">
        <f>IFERROR(__xludf.DUMMYFUNCTION("""COMPUTED_VALUE"""),"")</f>
        <v/>
      </c>
      <c s="66">
        <f ca="1"/>
        <v>45215</v>
      </c>
      <c s="93" t="str">
        <f t="shared" si="12"/>
        <v/>
      </c>
      <c s="94" t="str">
        <f t="shared" si="168"/>
        <v/>
      </c>
      <c s="95" t="str">
        <f t="shared" si="169"/>
        <v/>
      </c>
      <c s="98" t="str">
        <f t="shared" si="170"/>
        <v/>
      </c>
      <c s="97" t="str">
        <f t="array" ref="W29">IFERROR(IF(Q29="ac"+ISNUMBER(SEARCH("'",V29))+U29="","",IF(ISNUMBER(SEARCH("lw",V29)),I29+SUBSTITUTE(V29,"lw+",""),MROUND(_xlfn.SWITCH(Q29,"sq",U$7,"bn",V$7,"dl",W$7,"")*IF(V29&gt;10,V29/100,VLOOKUP(V29,_rpe,SUBSTITUTE(U29,"+","")+1,0)),IF(_xlfn.SWITCH(Q29,"sq",U$7,"bn",V$7,"dl",W$7,"")&lt;IF(_uom="lbs",175,80),1.25,IF(_uom="lbs",5,2.5))))),"")</f>
        <v/>
      </c>
      <c s="70"/>
      <c s="63"/>
      <c s="97"/>
      <c s="44" t="str">
        <f>IFERROR(__xludf.DUMMYFUNCTION("IF(W29=MAX(FILTER(W$10:W$199,LOOKUP(ROW(Q$10:Q$199),FILTER(ROW(Q$10:Q$199),Q$10:Q$199&lt;&gt;Q$9:Q$198))=LOOKUP(ROW(Q29),FILTER(ROW(Q$10:Q$199),Q$10:Q$199&lt;&gt;Q$9:Q$198)))),X29,)"),"")</f>
        <v/>
      </c>
      <c s="42"/>
      <c s="65"/>
      <c s="64" t="str">
        <f t="shared" si="14"/>
        <v/>
      </c>
      <c s="65" t="str">
        <f>IFERROR(__xludf.DUMMYFUNCTION("""COMPUTED_VALUE"""),"")</f>
        <v/>
      </c>
      <c s="66">
        <f ca="1"/>
        <v>45222</v>
      </c>
      <c s="93" t="str">
        <f t="shared" si="156"/>
        <v/>
      </c>
      <c s="94" t="str">
        <f t="shared" si="171"/>
        <v/>
      </c>
      <c s="95" t="str">
        <f t="shared" si="172"/>
        <v/>
      </c>
      <c s="98" t="str">
        <f t="shared" si="173"/>
        <v/>
      </c>
      <c s="97" t="str">
        <f t="array" ref="AK29">IFERROR(IF(AE29="ac"+ISNUMBER(SEARCH("'",AJ29))+AI29="","",IF(ISNUMBER(SEARCH("lw",AJ29)),W29+SUBSTITUTE(AJ29,"lw+",""),MROUND(_xlfn.SWITCH(AE29,"sq",AI$7,"bn",AJ$7,"dl",AK$7,"")*IF(AJ29&gt;10,AJ29/100,VLOOKUP(AJ29,_rpe,SUBSTITUTE(AI29,"+","")+1,0)),IF(_xlfn.SWITCH(AE29,"sq",AI$7,"bn",AJ$7,"dl",AK$7,"")&lt;IF(_uom="lbs",175,80),1.25,IF(_uom="lbs",5,2.5))))),"")</f>
        <v/>
      </c>
      <c s="70"/>
      <c s="63"/>
      <c s="97"/>
      <c s="44" t="str">
        <f>IFERROR(__xludf.DUMMYFUNCTION("IF(AK29=MAX(FILTER(AK$10:AK$199,LOOKUP(ROW(AE$10:AE$199),FILTER(ROW(AE$10:AE$199),AE$10:AE$199&lt;&gt;AE$9:AE$198))=LOOKUP(ROW(AE29),FILTER(ROW(AE$10:AE$199),AE$10:AE$199&lt;&gt;AE$9:AE$198)))),AL29,)"),"")</f>
        <v/>
      </c>
      <c s="42"/>
      <c s="65"/>
      <c s="64" t="str">
        <f t="shared" si="17"/>
        <v/>
      </c>
      <c s="65" t="str">
        <f>IFERROR(__xludf.DUMMYFUNCTION("""COMPUTED_VALUE"""),"")</f>
        <v/>
      </c>
      <c s="66">
        <f ca="1"/>
        <v>45229</v>
      </c>
      <c s="93" t="str">
        <f t="shared" si="157"/>
        <v/>
      </c>
      <c s="94" t="str">
        <f t="shared" si="174"/>
        <v/>
      </c>
      <c s="95" t="str">
        <f t="shared" si="175"/>
        <v/>
      </c>
      <c s="98" t="str">
        <f t="shared" si="176"/>
        <v/>
      </c>
      <c s="97" t="str">
        <f t="array" ref="AY29">IFERROR(IF(AS29="ac"+ISNUMBER(SEARCH("'",AX29))+AW29="","",IF(ISNUMBER(SEARCH("lw",AX29)),AK29+SUBSTITUTE(AX29,"lw+",""),MROUND(_xlfn.SWITCH(AS29,"sq",AW$7,"bn",AX$7,"dl",AY$7,"")*IF(AX29&gt;10,AX29/100,VLOOKUP(AX29,_rpe,SUBSTITUTE(AW29,"+","")+1,0)),IF(_xlfn.SWITCH(AS29,"sq",AW$7,"bn",AX$7,"dl",AY$7,"")&lt;IF(_uom="lbs",175,80),1.25,IF(_uom="lbs",5,2.5))))),"")</f>
        <v/>
      </c>
      <c s="70"/>
      <c s="63"/>
      <c s="97"/>
      <c s="44" t="str">
        <f>IFERROR(__xludf.DUMMYFUNCTION("IF(AY29=MAX(FILTER(AY$10:AY$199,LOOKUP(ROW(AS$10:AS$199),FILTER(ROW(AS$10:AS$199),AS$10:AS$199&lt;&gt;AS$9:AS$198))=LOOKUP(ROW(AS29),FILTER(ROW(AS$10:AS$199),AS$10:AS$199&lt;&gt;AS$9:AS$198)))),AZ29,)"),"")</f>
        <v/>
      </c>
      <c s="42"/>
      <c s="65"/>
      <c s="64" t="str">
        <f t="shared" si="19"/>
        <v/>
      </c>
      <c s="65" t="str">
        <f>IFERROR(__xludf.DUMMYFUNCTION("""COMPUTED_VALUE"""),"")</f>
        <v/>
      </c>
      <c s="66">
        <f ca="1"/>
        <v>45236</v>
      </c>
      <c s="93" t="str">
        <f t="shared" si="20"/>
        <v/>
      </c>
      <c s="94" t="str">
        <f t="shared" si="158"/>
        <v/>
      </c>
      <c s="95" t="str">
        <f t="shared" si="159"/>
        <v/>
      </c>
      <c s="98" t="str">
        <f t="shared" si="160"/>
        <v/>
      </c>
      <c s="97" t="str">
        <f t="array" ref="BM29">IFERROR(IF(BG29="ac"+ISNUMBER(SEARCH("'",BL29))+BK29="","",IF(ISNUMBER(SEARCH("lw",BL29)),AY29+SUBSTITUTE(BL29,"lw+",""),MROUND(_xlfn.SWITCH(BG29,"sq",BK$7,"bn",BL$7,"dl",BM$7,"")*IF(BL29&gt;10,BL29/100,VLOOKUP(BL29,_rpe,SUBSTITUTE(BK29,"+","")+1,0)),IF(_xlfn.SWITCH(BG29,"sq",BK$7,"bn",BL$7,"dl",BM$7,"")&lt;IF(_uom="lbs",175,80),1.25,IF(_uom="lbs",5,2.5))))),"")</f>
        <v/>
      </c>
      <c s="70"/>
      <c s="63"/>
      <c s="97"/>
      <c s="44" t="str">
        <f>IFERROR(__xludf.DUMMYFUNCTION("IF(BM29=MAX(FILTER(BM$10:BM$199,LOOKUP(ROW(BG$10:BG$199),FILTER(ROW(BG$10:BG$199),BG$10:BG$199&lt;&gt;BG$9:BG$198))=LOOKUP(ROW(BG29),FILTER(ROW(BG$10:BG$199),BG$10:BG$199&lt;&gt;BG$9:BG$198)))),BN29,)"),"")</f>
        <v/>
      </c>
      <c s="42"/>
      <c s="65"/>
      <c s="64" t="str">
        <f t="shared" si="21"/>
        <v/>
      </c>
      <c s="65" t="str">
        <f>IFERROR(__xludf.DUMMYFUNCTION("""COMPUTED_VALUE"""),"")</f>
        <v/>
      </c>
      <c s="66">
        <f ca="1"/>
        <v>45243</v>
      </c>
      <c s="93" t="str">
        <f t="shared" si="22"/>
        <v/>
      </c>
      <c s="94" t="str">
        <f t="shared" si="161"/>
        <v/>
      </c>
      <c s="95" t="str">
        <f t="shared" si="149"/>
        <v/>
      </c>
      <c s="98" t="str">
        <f t="shared" si="162"/>
        <v/>
      </c>
      <c s="97" t="str">
        <f t="array" ref="CA29">IFERROR(IF(BU29="ac"+ISNUMBER(SEARCH("'",BZ29))+BY29="","",IF(ISNUMBER(SEARCH("lw",BZ29)),BM29+SUBSTITUTE(BZ29,"lw+",""),MROUND(_xlfn.SWITCH(BU29,"sq",BY$7,"bn",BZ$7,"dl",CA$7,"")*IF(BZ29&gt;10,BZ29/100,VLOOKUP(BZ29,_rpe,SUBSTITUTE(BY29,"+","")+1,0)),IF(_xlfn.SWITCH(BU29,"sq",BY$7,"bn",BZ$7,"dl",CA$7,"")&lt;IF(_uom="lbs",175,80),1.25,IF(_uom="lbs",5,2.5))))),"")</f>
        <v/>
      </c>
      <c s="70"/>
      <c s="63"/>
      <c s="97"/>
      <c s="44" t="str">
        <f>IFERROR(__xludf.DUMMYFUNCTION("IF(CA29=MAX(FILTER(CA$10:CA$199,LOOKUP(ROW(BU$10:BU$199),FILTER(ROW(BU$10:BU$199),BU$10:BU$199&lt;&gt;BU$9:BU$198))=LOOKUP(ROW(BU29),FILTER(ROW(BU$10:BU$199),BU$10:BU$199&lt;&gt;BU$9:BU$198)))),CB29,)"),"")</f>
        <v/>
      </c>
      <c s="42"/>
      <c s="65"/>
      <c s="64" t="str">
        <f t="shared" si="24"/>
        <v/>
      </c>
      <c s="65" t="str">
        <f>IFERROR(__xludf.DUMMYFUNCTION("""COMPUTED_VALUE"""),"")</f>
        <v/>
      </c>
      <c s="66">
        <f ca="1"/>
        <v>45250</v>
      </c>
      <c s="93" t="str">
        <f t="shared" si="44"/>
        <v/>
      </c>
      <c s="94" t="str">
        <f t="shared" si="62"/>
        <v/>
      </c>
      <c s="95" t="str">
        <f t="shared" si="150"/>
        <v/>
      </c>
      <c s="98" t="str">
        <f t="shared" si="163"/>
        <v/>
      </c>
      <c s="97" t="str">
        <f t="array" ref="CO29">IFERROR(IF(CI29="ac"+ISNUMBER(SEARCH("'",CN29))+CM29="","",IF(ISNUMBER(SEARCH("lw",CN29)),CA29+SUBSTITUTE(CN29,"lw+",""),MROUND(_xlfn.SWITCH(CI29,"sq",CM$7,"bn",CN$7,"dl",CO$7,"")*IF(CN29&gt;10,CN29/100,VLOOKUP(CN29,_rpe,SUBSTITUTE(CM29,"+","")+1,0)),IF(_xlfn.SWITCH(CI29,"sq",CM$7,"bn",CN$7,"dl",CO$7,"")&lt;IF(_uom="lbs",175,80),1.25,IF(_uom="lbs",5,2.5))))),"")</f>
        <v/>
      </c>
      <c s="70"/>
      <c s="63"/>
      <c s="97"/>
      <c s="44" t="str">
        <f>IFERROR(__xludf.DUMMYFUNCTION("IF(CO29=MAX(FILTER(CO$10:CO$199,LOOKUP(ROW(CI$10:CI$199),FILTER(ROW(CI$10:CI$199),CI$10:CI$199&lt;&gt;CI$9:CI$198))=LOOKUP(ROW(CI29),FILTER(ROW(CI$10:CI$199),CI$10:CI$199&lt;&gt;CI$9:CI$198)))),CP29,)"),"")</f>
        <v/>
      </c>
      <c s="42"/>
      <c s="65"/>
      <c s="64" t="str">
        <f t="shared" si="27"/>
        <v/>
      </c>
      <c s="65" t="str">
        <f>IFERROR(__xludf.DUMMYFUNCTION("""COMPUTED_VALUE"""),"")</f>
        <v/>
      </c>
      <c s="66">
        <f ca="1"/>
        <v>45257</v>
      </c>
      <c s="93" t="str">
        <f t="shared" si="45"/>
        <v/>
      </c>
      <c s="94" t="str">
        <f t="shared" si="64"/>
        <v/>
      </c>
      <c s="95" t="str">
        <f t="shared" si="151"/>
        <v/>
      </c>
      <c s="98" t="str">
        <f t="shared" si="99"/>
        <v/>
      </c>
      <c s="97" t="str">
        <f t="array" ref="DC29">IFERROR(IF(CW29="ac"+ISNUMBER(SEARCH("'",DB29))+DA29="","",IF(ISNUMBER(SEARCH("lw",DB29)),CO29+SUBSTITUTE(DB29,"lw+",""),MROUND(_xlfn.SWITCH(CW29,"sq",DA$7,"bn",DB$7,"dl",DC$7,"")*IF(DB29&gt;10,DB29/100,VLOOKUP(DB29,_rpe,SUBSTITUTE(DA29,"+","")+1,0)),IF(_xlfn.SWITCH(CW29,"sq",DA$7,"bn",DB$7,"dl",DC$7,"")&lt;IF(_uom="lbs",175,80),1.25,IF(_uom="lbs",5,2.5))))),"")</f>
        <v/>
      </c>
      <c s="70"/>
      <c s="63"/>
      <c s="97"/>
      <c s="44" t="str">
        <f>IFERROR(__xludf.DUMMYFUNCTION("IF(DC29=MAX(FILTER(DC$10:DC$199,LOOKUP(ROW(CW$10:CW$199),FILTER(ROW(CW$10:CW$199),CW$10:CW$199&lt;&gt;CW$9:CW$198))=LOOKUP(ROW(CW29),FILTER(ROW(CW$10:CW$199),CW$10:CW$199&lt;&gt;CW$9:CW$198)))),DD29,)"),"")</f>
        <v/>
      </c>
      <c s="42"/>
      <c s="65"/>
      <c s="64" t="str">
        <f t="shared" si="30"/>
        <v/>
      </c>
      <c s="65" t="str">
        <f>IFERROR(__xludf.DUMMYFUNCTION("""COMPUTED_VALUE"""),"")</f>
        <v/>
      </c>
      <c s="66">
        <f ca="1"/>
        <v>45264</v>
      </c>
      <c s="93" t="str">
        <f t="shared" si="46"/>
        <v/>
      </c>
      <c s="94" t="str">
        <f t="shared" si="100"/>
        <v/>
      </c>
      <c s="95" t="str">
        <f t="shared" si="152"/>
        <v/>
      </c>
      <c s="98" t="str">
        <f t="shared" si="164"/>
        <v/>
      </c>
      <c s="97" t="str">
        <f t="array" ref="DQ29">IFERROR(IF(DK29="ac"+ISNUMBER(SEARCH("'",DP29))+DO29="","",IF(ISNUMBER(SEARCH("lw",DP29)),DC29+SUBSTITUTE(DP29,"lw+",""),MROUND(_xlfn.SWITCH(DK29,"sq",DO$7,"bn",DP$7,"dl",DQ$7,"")*IF(DP29&gt;10,DP29/100,VLOOKUP(DP29,_rpe,SUBSTITUTE(DO29,"+","")+1,0)),IF(_xlfn.SWITCH(DK29,"sq",DO$7,"bn",DP$7,"dl",DQ$7,"")&lt;IF(_uom="lbs",175,80),1.25,IF(_uom="lbs",5,2.5))))),"")</f>
        <v/>
      </c>
      <c s="70"/>
      <c s="63"/>
      <c s="97"/>
      <c s="44" t="str">
        <f>IFERROR(__xludf.DUMMYFUNCTION("IF(DQ29=MAX(FILTER(DQ$10:DQ$199,LOOKUP(ROW(DK$10:DK$199),FILTER(ROW(DK$10:DK$199),DK$10:DK$199&lt;&gt;DK$9:DK$198))=LOOKUP(ROW(DK29),FILTER(ROW(DK$10:DK$199),DK$10:DK$199&lt;&gt;DK$9:DK$198)))),DR29,)"),"")</f>
        <v/>
      </c>
      <c s="42"/>
      <c s="65"/>
      <c s="64" t="str">
        <f t="shared" si="32"/>
        <v/>
      </c>
      <c s="65" t="str">
        <f>IFERROR(__xludf.DUMMYFUNCTION("""COMPUTED_VALUE"""),"")</f>
        <v/>
      </c>
      <c s="66">
        <f ca="1"/>
        <v>45271</v>
      </c>
      <c s="93" t="str">
        <f t="shared" si="47"/>
        <v/>
      </c>
      <c s="94" t="str">
        <f t="shared" si="86"/>
        <v/>
      </c>
      <c s="95" t="str">
        <f t="shared" si="153"/>
        <v/>
      </c>
      <c s="98" t="str">
        <f t="shared" si="165"/>
        <v/>
      </c>
      <c s="97" t="str">
        <f t="array" ref="EE29">IFERROR(IF(DY29="ac"+ISNUMBER(SEARCH("'",ED29))+EC29="","",IF(ISNUMBER(SEARCH("lw",ED29)),DQ29+SUBSTITUTE(ED29,"lw+",""),MROUND(_xlfn.SWITCH(DY29,"sq",EC$7,"bn",ED$7,"dl",EE$7,"")*IF(ED29&gt;10,ED29/100,VLOOKUP(ED29,_rpe,SUBSTITUTE(EC29,"+","")+1,0)),IF(_xlfn.SWITCH(DY29,"sq",EC$7,"bn",ED$7,"dl",EE$7,"")&lt;IF(_uom="lbs",175,80),1.25,IF(_uom="lbs",5,2.5))))),"")</f>
        <v/>
      </c>
      <c s="70"/>
      <c s="63"/>
      <c s="97"/>
      <c s="44" t="str">
        <f>IFERROR(__xludf.DUMMYFUNCTION("IF(EE29=MAX(FILTER(EE$10:EE$199,LOOKUP(ROW(DY$10:DY$199),FILTER(ROW(DY$10:DY$199),DY$10:DY$199&lt;&gt;DY$9:DY$198))=LOOKUP(ROW(DY29),FILTER(ROW(DY$10:DY$199),DY$10:DY$199&lt;&gt;DY$9:DY$198)))),EF29,)"),"")</f>
        <v/>
      </c>
      <c s="42"/>
      <c s="65"/>
      <c s="64" t="str">
        <f t="shared" si="34"/>
        <v/>
      </c>
      <c s="65" t="str">
        <f>IFERROR(__xludf.DUMMYFUNCTION("""COMPUTED_VALUE"""),"")</f>
        <v/>
      </c>
      <c s="66">
        <f ca="1"/>
        <v>45278</v>
      </c>
      <c s="93" t="str">
        <f t="shared" si="48"/>
        <v/>
      </c>
      <c s="94" t="str">
        <f t="shared" si="105"/>
        <v/>
      </c>
      <c s="95" t="str">
        <f t="shared" si="154"/>
        <v/>
      </c>
      <c s="98" t="str">
        <f t="shared" si="107"/>
        <v/>
      </c>
      <c s="97" t="str">
        <f t="array" ref="ES29">IFERROR(IF(EM29="ac"+ISNUMBER(SEARCH("'",ER29))+EQ29="","",IF(ISNUMBER(SEARCH("lw",ER29)),EE29+SUBSTITUTE(ER29,"lw+",""),MROUND(_xlfn.SWITCH(EM29,"sq",EQ$7,"bn",ER$7,"dl",ES$7,"")*IF(ER29&gt;10,ER29/100,VLOOKUP(ER29,_rpe,SUBSTITUTE(EQ29,"+","")+1,0)),IF(_xlfn.SWITCH(EM29,"sq",EQ$7,"bn",ER$7,"dl",ES$7,"")&lt;IF(_uom="lbs",175,80),1.25,IF(_uom="lbs",5,2.5))))),"")</f>
        <v/>
      </c>
      <c s="70"/>
      <c s="63"/>
      <c s="97"/>
      <c s="44" t="str">
        <f>IFERROR(__xludf.DUMMYFUNCTION("IF(ES29=MAX(FILTER(ES$10:ES$199,LOOKUP(ROW(EM$10:EM$199),FILTER(ROW(EM$10:EM$199),EM$10:EM$199&lt;&gt;EM$9:EM$198))=LOOKUP(ROW(EM29),FILTER(ROW(EM$10:EM$199),EM$10:EM$199&lt;&gt;EM$9:EM$198)))),ET29,)"),"")</f>
        <v/>
      </c>
      <c s="42"/>
      <c s="65"/>
      <c s="64" t="str">
        <f t="shared" si="36"/>
        <v/>
      </c>
      <c s="65" t="str">
        <f>IFERROR(__xludf.DUMMYFUNCTION("""COMPUTED_VALUE"""),"")</f>
        <v/>
      </c>
      <c s="66">
        <f ca="1"/>
        <v>45285</v>
      </c>
      <c s="93" t="str">
        <f t="shared" si="49"/>
        <v/>
      </c>
      <c s="94" t="str">
        <f t="shared" si="108"/>
        <v/>
      </c>
      <c s="95" t="str">
        <f t="shared" si="155"/>
        <v/>
      </c>
      <c s="98" t="str">
        <f t="shared" si="110"/>
        <v/>
      </c>
      <c s="97" t="str">
        <f t="array" ref="FG29">IFERROR(IF(FA29="ac"+ISNUMBER(SEARCH("'",FF29))+FE29="","",IF(ISNUMBER(SEARCH("lw",FF29)),ES29+SUBSTITUTE(FF29,"lw+",""),MROUND(_xlfn.SWITCH(FA29,"sq",FE$7,"bn",FF$7,"dl",FG$7,"")*IF(FF29&gt;10,FF29/100,VLOOKUP(FF29,_rpe,SUBSTITUTE(FE29,"+","")+1,0)),IF(_xlfn.SWITCH(FA29,"sq",FE$7,"bn",FF$7,"dl",FG$7,"")&lt;IF(_uom="lbs",175,80),1.25,IF(_uom="lbs",5,2.5))))),"")</f>
        <v/>
      </c>
      <c s="70"/>
      <c s="63"/>
      <c s="97"/>
      <c s="44" t="str">
        <f>IFERROR(__xludf.DUMMYFUNCTION("IF(FG29=MAX(FILTER(FG$10:FG$199,LOOKUP(ROW(FA$10:FA$199),FILTER(ROW(FA$10:FA$199),FA$10:FA$199&lt;&gt;FA$9:FA$198))=LOOKUP(ROW(FA29),FILTER(ROW(FA$10:FA$199),FA$10:FA$199&lt;&gt;FA$9:FA$198)))),FH29,)"),"")</f>
        <v/>
      </c>
      <c s="42"/>
      <c s="65"/>
      <c s="64" t="str">
        <f t="shared" si="38"/>
        <v/>
      </c>
      <c s="65" t="str">
        <f>IFERROR(__xludf.DUMMYFUNCTION("""COMPUTED_VALUE"""),"")</f>
        <v/>
      </c>
      <c s="66">
        <f ca="1"/>
        <v>45292</v>
      </c>
      <c s="93" t="str">
        <f t="shared" si="181" ref="FQ29:FR29">IF(ISBLANK(FC29),"",FC29)</f>
        <v/>
      </c>
      <c s="94" t="str">
        <f t="shared" si="181"/>
        <v/>
      </c>
      <c s="95" t="str">
        <f t="shared" si="166"/>
        <v/>
      </c>
      <c s="98" t="str">
        <f t="shared" si="167"/>
        <v/>
      </c>
      <c s="97" t="str">
        <f t="array" ref="FU29">IFERROR(IF(FO29="ac"+ISNUMBER(SEARCH("'",FT29))+FS29="","",IF(ISNUMBER(SEARCH("lw",FT29)),FG29+SUBSTITUTE(FT29,"lw+",""),MROUND(_xlfn.SWITCH(FO29,"sq",FS$7,"bn",FT$7,"dl",FU$7,"")*IF(FT29&gt;10,FT29/100,VLOOKUP(FT29,_rpe,SUBSTITUTE(FS29,"+","")+1,0)),IF(_xlfn.SWITCH(FO29,"sq",FS$7,"bn",FT$7,"dl",FU$7,"")&lt;IF(_uom="lbs",175,80),1.25,IF(_uom="lbs",5,2.5))))),"")</f>
        <v/>
      </c>
      <c s="70"/>
      <c s="63"/>
      <c s="97"/>
      <c s="44" t="str">
        <f>IFERROR(__xludf.DUMMYFUNCTION("IF(FU29=MAX(FILTER(FU$10:FU$199,LOOKUP(ROW(FO$10:FO$199),FILTER(ROW(FO$10:FO$199),FO$10:FO$199&lt;&gt;FO$9:FO$198))=LOOKUP(ROW(FO29),FILTER(ROW(FO$10:FO$199),FO$10:FO$199&lt;&gt;FO$9:FO$198)))),FV29,)"),"")</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30" spans="1:259" ht="15.75">
      <c r="A30" s="63"/>
      <c s="64"/>
      <c s="65" t="str">
        <f>IFERROR(__xludf.DUMMYFUNCTION("""COMPUTED_VALUE"""),"")</f>
        <v/>
      </c>
      <c s="66">
        <f ca="1"/>
        <v>45208</v>
      </c>
      <c s="93"/>
      <c s="94"/>
      <c s="95"/>
      <c s="96"/>
      <c s="97" t="str">
        <f t="array" ref="I30">IFERROR(IF(C30="ac"+ISNUMBER(SEARCH("'",H30))+G30="","",MROUND(_xlfn.SWITCH(C30,"sq",'Personal Info'!$O$15,"bn",'Personal Info'!$S$15,"dl",'Personal Info'!$W$15,"")*IF(H30&gt;10,H30/100,VLOOKUP(H30,_rpe,SUBSTITUTE(G30,"+","")+1,0)),IF(_xlfn.SWITCH(C30:C210,"sq",'Personal Info'!$O$15,"bn",'Personal Info'!$S$15,"dl",'Personal Info'!$W$15,"")&lt;IF(_uom="lbs",175,80),1.25,IF(_uom="lbs",5,2.5)))),"")</f>
        <v/>
      </c>
      <c s="70"/>
      <c s="63"/>
      <c s="97"/>
      <c s="44" t="str">
        <f>IFERROR(__xludf.DUMMYFUNCTION("IF(I30=MAX(FILTER(I$10:I$199,LOOKUP(ROW(C$10:C$199),FILTER(ROW(C$10:C$199),C$10:C$199&lt;&gt;C$9:C$198))=LOOKUP(ROW(C30),FILTER(ROW(C$10:C$199),C$10:C$199&lt;&gt;C$9:C$198)))),J30,)"),"")</f>
        <v/>
      </c>
      <c s="42"/>
      <c s="65"/>
      <c s="64" t="str">
        <f t="shared" si="11"/>
        <v/>
      </c>
      <c s="65" t="str">
        <f>IFERROR(__xludf.DUMMYFUNCTION("""COMPUTED_VALUE"""),"")</f>
        <v/>
      </c>
      <c s="66">
        <f ca="1"/>
        <v>45215</v>
      </c>
      <c s="93" t="str">
        <f t="shared" si="12"/>
        <v/>
      </c>
      <c s="94" t="str">
        <f t="shared" si="168"/>
        <v/>
      </c>
      <c s="95" t="str">
        <f t="shared" si="169"/>
        <v/>
      </c>
      <c s="98" t="str">
        <f t="shared" si="170"/>
        <v/>
      </c>
      <c s="97" t="str">
        <f t="array" ref="W30">IFERROR(IF(Q30="ac"+ISNUMBER(SEARCH("'",V30))+U30="","",IF(ISNUMBER(SEARCH("lw",V30)),I30+SUBSTITUTE(V30,"lw+",""),MROUND(_xlfn.SWITCH(Q30,"sq",U$7,"bn",V$7,"dl",W$7,"")*IF(V30&gt;10,V30/100,VLOOKUP(V30,_rpe,SUBSTITUTE(U30,"+","")+1,0)),IF(_xlfn.SWITCH(Q30,"sq",U$7,"bn",V$7,"dl",W$7,"")&lt;IF(_uom="lbs",175,80),1.25,IF(_uom="lbs",5,2.5))))),"")</f>
        <v/>
      </c>
      <c s="70"/>
      <c s="63"/>
      <c s="97"/>
      <c s="44" t="str">
        <f>IFERROR(__xludf.DUMMYFUNCTION("IF(W30=MAX(FILTER(W$10:W$199,LOOKUP(ROW(Q$10:Q$199),FILTER(ROW(Q$10:Q$199),Q$10:Q$199&lt;&gt;Q$9:Q$198))=LOOKUP(ROW(Q30),FILTER(ROW(Q$10:Q$199),Q$10:Q$199&lt;&gt;Q$9:Q$198)))),X30,)"),"")</f>
        <v/>
      </c>
      <c s="42"/>
      <c s="65"/>
      <c s="64" t="str">
        <f t="shared" si="14"/>
        <v/>
      </c>
      <c s="65" t="str">
        <f>IFERROR(__xludf.DUMMYFUNCTION("""COMPUTED_VALUE"""),"")</f>
        <v/>
      </c>
      <c s="66">
        <f ca="1"/>
        <v>45222</v>
      </c>
      <c s="93" t="str">
        <f t="shared" si="156"/>
        <v/>
      </c>
      <c s="94" t="str">
        <f t="shared" si="171"/>
        <v/>
      </c>
      <c s="95" t="str">
        <f t="shared" si="172"/>
        <v/>
      </c>
      <c s="98" t="str">
        <f t="shared" si="173"/>
        <v/>
      </c>
      <c s="97" t="str">
        <f t="array" ref="AK30">IFERROR(IF(AE30="ac"+ISNUMBER(SEARCH("'",AJ30))+AI30="","",IF(ISNUMBER(SEARCH("lw",AJ30)),W30+SUBSTITUTE(AJ30,"lw+",""),MROUND(_xlfn.SWITCH(AE30,"sq",AI$7,"bn",AJ$7,"dl",AK$7,"")*IF(AJ30&gt;10,AJ30/100,VLOOKUP(AJ30,_rpe,SUBSTITUTE(AI30,"+","")+1,0)),IF(_xlfn.SWITCH(AE30,"sq",AI$7,"bn",AJ$7,"dl",AK$7,"")&lt;IF(_uom="lbs",175,80),1.25,IF(_uom="lbs",5,2.5))))),"")</f>
        <v/>
      </c>
      <c s="70"/>
      <c s="63"/>
      <c s="97"/>
      <c s="44" t="str">
        <f>IFERROR(__xludf.DUMMYFUNCTION("IF(AK30=MAX(FILTER(AK$10:AK$199,LOOKUP(ROW(AE$10:AE$199),FILTER(ROW(AE$10:AE$199),AE$10:AE$199&lt;&gt;AE$9:AE$198))=LOOKUP(ROW(AE30),FILTER(ROW(AE$10:AE$199),AE$10:AE$199&lt;&gt;AE$9:AE$198)))),AL30,)"),"")</f>
        <v/>
      </c>
      <c s="42"/>
      <c s="65"/>
      <c s="64" t="str">
        <f t="shared" si="17"/>
        <v/>
      </c>
      <c s="65" t="str">
        <f>IFERROR(__xludf.DUMMYFUNCTION("""COMPUTED_VALUE"""),"")</f>
        <v/>
      </c>
      <c s="66">
        <f ca="1"/>
        <v>45229</v>
      </c>
      <c s="93" t="str">
        <f t="shared" si="157"/>
        <v/>
      </c>
      <c s="94" t="str">
        <f t="shared" si="174"/>
        <v/>
      </c>
      <c s="95" t="str">
        <f t="shared" si="175"/>
        <v/>
      </c>
      <c s="98" t="str">
        <f t="shared" si="176"/>
        <v/>
      </c>
      <c s="97" t="str">
        <f t="array" ref="AY30">IFERROR(IF(AS30="ac"+ISNUMBER(SEARCH("'",AX30))+AW30="","",IF(ISNUMBER(SEARCH("lw",AX30)),AK30+SUBSTITUTE(AX30,"lw+",""),MROUND(_xlfn.SWITCH(AS30,"sq",AW$7,"bn",AX$7,"dl",AY$7,"")*IF(AX30&gt;10,AX30/100,VLOOKUP(AX30,_rpe,SUBSTITUTE(AW30,"+","")+1,0)),IF(_xlfn.SWITCH(AS30,"sq",AW$7,"bn",AX$7,"dl",AY$7,"")&lt;IF(_uom="lbs",175,80),1.25,IF(_uom="lbs",5,2.5))))),"")</f>
        <v/>
      </c>
      <c s="70"/>
      <c s="63"/>
      <c s="97"/>
      <c s="44" t="str">
        <f>IFERROR(__xludf.DUMMYFUNCTION("IF(AY30=MAX(FILTER(AY$10:AY$199,LOOKUP(ROW(AS$10:AS$199),FILTER(ROW(AS$10:AS$199),AS$10:AS$199&lt;&gt;AS$9:AS$198))=LOOKUP(ROW(AS30),FILTER(ROW(AS$10:AS$199),AS$10:AS$199&lt;&gt;AS$9:AS$198)))),AZ30,)"),"")</f>
        <v/>
      </c>
      <c s="42"/>
      <c s="65"/>
      <c s="64" t="str">
        <f t="shared" si="19"/>
        <v/>
      </c>
      <c s="65" t="str">
        <f>IFERROR(__xludf.DUMMYFUNCTION("""COMPUTED_VALUE"""),"")</f>
        <v/>
      </c>
      <c s="66">
        <f ca="1"/>
        <v>45236</v>
      </c>
      <c s="93" t="str">
        <f t="shared" si="20"/>
        <v/>
      </c>
      <c s="94" t="str">
        <f t="shared" si="158"/>
        <v/>
      </c>
      <c s="95" t="str">
        <f t="shared" si="159"/>
        <v/>
      </c>
      <c s="98" t="str">
        <f t="shared" si="160"/>
        <v/>
      </c>
      <c s="97" t="str">
        <f t="array" ref="BM30">IFERROR(IF(BG30="ac"+ISNUMBER(SEARCH("'",BL30))+BK30="","",IF(ISNUMBER(SEARCH("lw",BL30)),AY30+SUBSTITUTE(BL30,"lw+",""),MROUND(_xlfn.SWITCH(BG30,"sq",BK$7,"bn",BL$7,"dl",BM$7,"")*IF(BL30&gt;10,BL30/100,VLOOKUP(BL30,_rpe,SUBSTITUTE(BK30,"+","")+1,0)),IF(_xlfn.SWITCH(BG30,"sq",BK$7,"bn",BL$7,"dl",BM$7,"")&lt;IF(_uom="lbs",175,80),1.25,IF(_uom="lbs",5,2.5))))),"")</f>
        <v/>
      </c>
      <c s="70"/>
      <c s="63"/>
      <c s="97"/>
      <c s="44" t="str">
        <f>IFERROR(__xludf.DUMMYFUNCTION("IF(BM30=MAX(FILTER(BM$10:BM$199,LOOKUP(ROW(BG$10:BG$199),FILTER(ROW(BG$10:BG$199),BG$10:BG$199&lt;&gt;BG$9:BG$198))=LOOKUP(ROW(BG30),FILTER(ROW(BG$10:BG$199),BG$10:BG$199&lt;&gt;BG$9:BG$198)))),BN30,)"),"")</f>
        <v/>
      </c>
      <c s="42"/>
      <c s="65"/>
      <c s="64" t="str">
        <f t="shared" si="21"/>
        <v/>
      </c>
      <c s="65" t="str">
        <f>IFERROR(__xludf.DUMMYFUNCTION("""COMPUTED_VALUE"""),"")</f>
        <v/>
      </c>
      <c s="66">
        <f ca="1"/>
        <v>45243</v>
      </c>
      <c s="93" t="str">
        <f t="shared" si="22"/>
        <v/>
      </c>
      <c s="94" t="str">
        <f t="shared" si="161"/>
        <v/>
      </c>
      <c s="95" t="str">
        <f t="shared" si="149"/>
        <v/>
      </c>
      <c s="98" t="str">
        <f t="shared" si="162"/>
        <v/>
      </c>
      <c s="97" t="str">
        <f t="array" ref="CA30">IFERROR(IF(BU30="ac"+ISNUMBER(SEARCH("'",BZ30))+BY30="","",IF(ISNUMBER(SEARCH("lw",BZ30)),BM30+SUBSTITUTE(BZ30,"lw+",""),MROUND(_xlfn.SWITCH(BU30,"sq",BY$7,"bn",BZ$7,"dl",CA$7,"")*IF(BZ30&gt;10,BZ30/100,VLOOKUP(BZ30,_rpe,SUBSTITUTE(BY30,"+","")+1,0)),IF(_xlfn.SWITCH(BU30,"sq",BY$7,"bn",BZ$7,"dl",CA$7,"")&lt;IF(_uom="lbs",175,80),1.25,IF(_uom="lbs",5,2.5))))),"")</f>
        <v/>
      </c>
      <c s="70"/>
      <c s="63"/>
      <c s="97"/>
      <c s="44" t="str">
        <f>IFERROR(__xludf.DUMMYFUNCTION("IF(CA30=MAX(FILTER(CA$10:CA$199,LOOKUP(ROW(BU$10:BU$199),FILTER(ROW(BU$10:BU$199),BU$10:BU$199&lt;&gt;BU$9:BU$198))=LOOKUP(ROW(BU30),FILTER(ROW(BU$10:BU$199),BU$10:BU$199&lt;&gt;BU$9:BU$198)))),CB30,)"),"")</f>
        <v/>
      </c>
      <c s="42"/>
      <c s="65"/>
      <c s="64" t="str">
        <f t="shared" si="24"/>
        <v/>
      </c>
      <c s="65" t="str">
        <f>IFERROR(__xludf.DUMMYFUNCTION("""COMPUTED_VALUE"""),"")</f>
        <v/>
      </c>
      <c s="66">
        <f ca="1"/>
        <v>45250</v>
      </c>
      <c s="93" t="str">
        <f t="shared" si="44"/>
        <v/>
      </c>
      <c s="94" t="str">
        <f t="shared" si="62"/>
        <v/>
      </c>
      <c s="95" t="str">
        <f t="shared" si="150"/>
        <v/>
      </c>
      <c s="98" t="str">
        <f t="shared" si="163"/>
        <v/>
      </c>
      <c s="97" t="str">
        <f t="array" ref="CO30">IFERROR(IF(CI30="ac"+ISNUMBER(SEARCH("'",CN30))+CM30="","",IF(ISNUMBER(SEARCH("lw",CN30)),CA30+SUBSTITUTE(CN30,"lw+",""),MROUND(_xlfn.SWITCH(CI30,"sq",CM$7,"bn",CN$7,"dl",CO$7,"")*IF(CN30&gt;10,CN30/100,VLOOKUP(CN30,_rpe,SUBSTITUTE(CM30,"+","")+1,0)),IF(_xlfn.SWITCH(CI30,"sq",CM$7,"bn",CN$7,"dl",CO$7,"")&lt;IF(_uom="lbs",175,80),1.25,IF(_uom="lbs",5,2.5))))),"")</f>
        <v/>
      </c>
      <c s="70"/>
      <c s="63"/>
      <c s="97"/>
      <c s="44" t="str">
        <f>IFERROR(__xludf.DUMMYFUNCTION("IF(CO30=MAX(FILTER(CO$10:CO$199,LOOKUP(ROW(CI$10:CI$199),FILTER(ROW(CI$10:CI$199),CI$10:CI$199&lt;&gt;CI$9:CI$198))=LOOKUP(ROW(CI30),FILTER(ROW(CI$10:CI$199),CI$10:CI$199&lt;&gt;CI$9:CI$198)))),CP30,)"),"")</f>
        <v/>
      </c>
      <c s="42"/>
      <c s="65"/>
      <c s="64" t="str">
        <f t="shared" si="27"/>
        <v/>
      </c>
      <c s="65" t="str">
        <f>IFERROR(__xludf.DUMMYFUNCTION("""COMPUTED_VALUE"""),"")</f>
        <v/>
      </c>
      <c s="66">
        <f ca="1"/>
        <v>45257</v>
      </c>
      <c s="93" t="str">
        <f t="shared" si="45"/>
        <v/>
      </c>
      <c s="94" t="str">
        <f t="shared" si="64"/>
        <v/>
      </c>
      <c s="95" t="str">
        <f t="shared" si="151"/>
        <v/>
      </c>
      <c s="98" t="str">
        <f t="shared" si="99"/>
        <v/>
      </c>
      <c s="97" t="str">
        <f t="array" ref="DC30">IFERROR(IF(CW30="ac"+ISNUMBER(SEARCH("'",DB30))+DA30="","",IF(ISNUMBER(SEARCH("lw",DB30)),CO30+SUBSTITUTE(DB30,"lw+",""),MROUND(_xlfn.SWITCH(CW30,"sq",DA$7,"bn",DB$7,"dl",DC$7,"")*IF(DB30&gt;10,DB30/100,VLOOKUP(DB30,_rpe,SUBSTITUTE(DA30,"+","")+1,0)),IF(_xlfn.SWITCH(CW30,"sq",DA$7,"bn",DB$7,"dl",DC$7,"")&lt;IF(_uom="lbs",175,80),1.25,IF(_uom="lbs",5,2.5))))),"")</f>
        <v/>
      </c>
      <c s="70"/>
      <c s="63"/>
      <c s="97"/>
      <c s="44" t="str">
        <f>IFERROR(__xludf.DUMMYFUNCTION("IF(DC30=MAX(FILTER(DC$10:DC$199,LOOKUP(ROW(CW$10:CW$199),FILTER(ROW(CW$10:CW$199),CW$10:CW$199&lt;&gt;CW$9:CW$198))=LOOKUP(ROW(CW30),FILTER(ROW(CW$10:CW$199),CW$10:CW$199&lt;&gt;CW$9:CW$198)))),DD30,)"),"")</f>
        <v/>
      </c>
      <c s="42"/>
      <c s="65"/>
      <c s="64" t="str">
        <f t="shared" si="30"/>
        <v/>
      </c>
      <c s="65" t="str">
        <f>IFERROR(__xludf.DUMMYFUNCTION("""COMPUTED_VALUE"""),"")</f>
        <v/>
      </c>
      <c s="66">
        <f ca="1"/>
        <v>45264</v>
      </c>
      <c s="93" t="str">
        <f t="shared" si="46"/>
        <v/>
      </c>
      <c s="94" t="str">
        <f t="shared" si="100"/>
        <v/>
      </c>
      <c s="95" t="str">
        <f t="shared" si="152"/>
        <v/>
      </c>
      <c s="98" t="str">
        <f t="shared" si="164"/>
        <v/>
      </c>
      <c s="97" t="str">
        <f t="array" ref="DQ30">IFERROR(IF(DK30="ac"+ISNUMBER(SEARCH("'",DP30))+DO30="","",IF(ISNUMBER(SEARCH("lw",DP30)),DC30+SUBSTITUTE(DP30,"lw+",""),MROUND(_xlfn.SWITCH(DK30,"sq",DO$7,"bn",DP$7,"dl",DQ$7,"")*IF(DP30&gt;10,DP30/100,VLOOKUP(DP30,_rpe,SUBSTITUTE(DO30,"+","")+1,0)),IF(_xlfn.SWITCH(DK30,"sq",DO$7,"bn",DP$7,"dl",DQ$7,"")&lt;IF(_uom="lbs",175,80),1.25,IF(_uom="lbs",5,2.5))))),"")</f>
        <v/>
      </c>
      <c s="70"/>
      <c s="63"/>
      <c s="97"/>
      <c s="44" t="str">
        <f>IFERROR(__xludf.DUMMYFUNCTION("IF(DQ30=MAX(FILTER(DQ$10:DQ$199,LOOKUP(ROW(DK$10:DK$199),FILTER(ROW(DK$10:DK$199),DK$10:DK$199&lt;&gt;DK$9:DK$198))=LOOKUP(ROW(DK30),FILTER(ROW(DK$10:DK$199),DK$10:DK$199&lt;&gt;DK$9:DK$198)))),DR30,)"),"")</f>
        <v/>
      </c>
      <c s="42"/>
      <c s="65"/>
      <c s="64" t="str">
        <f t="shared" si="32"/>
        <v/>
      </c>
      <c s="65" t="str">
        <f>IFERROR(__xludf.DUMMYFUNCTION("""COMPUTED_VALUE"""),"")</f>
        <v/>
      </c>
      <c s="66">
        <f ca="1"/>
        <v>45271</v>
      </c>
      <c s="93" t="str">
        <f t="shared" si="47"/>
        <v/>
      </c>
      <c s="94" t="str">
        <f t="shared" si="86"/>
        <v/>
      </c>
      <c s="95" t="str">
        <f t="shared" si="153"/>
        <v/>
      </c>
      <c s="98" t="str">
        <f t="shared" si="165"/>
        <v/>
      </c>
      <c s="97" t="str">
        <f t="array" ref="EE30">IFERROR(IF(DY30="ac"+ISNUMBER(SEARCH("'",ED30))+EC30="","",IF(ISNUMBER(SEARCH("lw",ED30)),DQ30+SUBSTITUTE(ED30,"lw+",""),MROUND(_xlfn.SWITCH(DY30,"sq",EC$7,"bn",ED$7,"dl",EE$7,"")*IF(ED30&gt;10,ED30/100,VLOOKUP(ED30,_rpe,SUBSTITUTE(EC30,"+","")+1,0)),IF(_xlfn.SWITCH(DY30,"sq",EC$7,"bn",ED$7,"dl",EE$7,"")&lt;IF(_uom="lbs",175,80),1.25,IF(_uom="lbs",5,2.5))))),"")</f>
        <v/>
      </c>
      <c s="70"/>
      <c s="63"/>
      <c s="97"/>
      <c s="44" t="str">
        <f>IFERROR(__xludf.DUMMYFUNCTION("IF(EE30=MAX(FILTER(EE$10:EE$199,LOOKUP(ROW(DY$10:DY$199),FILTER(ROW(DY$10:DY$199),DY$10:DY$199&lt;&gt;DY$9:DY$198))=LOOKUP(ROW(DY30),FILTER(ROW(DY$10:DY$199),DY$10:DY$199&lt;&gt;DY$9:DY$198)))),EF30,)"),"")</f>
        <v/>
      </c>
      <c s="42"/>
      <c s="65"/>
      <c s="64" t="str">
        <f t="shared" si="34"/>
        <v/>
      </c>
      <c s="65" t="str">
        <f>IFERROR(__xludf.DUMMYFUNCTION("""COMPUTED_VALUE"""),"")</f>
        <v/>
      </c>
      <c s="66">
        <f ca="1"/>
        <v>45278</v>
      </c>
      <c s="93" t="str">
        <f t="shared" si="48"/>
        <v/>
      </c>
      <c s="94" t="str">
        <f t="shared" si="105"/>
        <v/>
      </c>
      <c s="95" t="str">
        <f t="shared" si="154"/>
        <v/>
      </c>
      <c s="98" t="str">
        <f t="shared" si="107"/>
        <v/>
      </c>
      <c s="97" t="str">
        <f t="array" ref="ES30">IFERROR(IF(EM30="ac"+ISNUMBER(SEARCH("'",ER30))+EQ30="","",IF(ISNUMBER(SEARCH("lw",ER30)),EE30+SUBSTITUTE(ER30,"lw+",""),MROUND(_xlfn.SWITCH(EM30,"sq",EQ$7,"bn",ER$7,"dl",ES$7,"")*IF(ER30&gt;10,ER30/100,VLOOKUP(ER30,_rpe,SUBSTITUTE(EQ30,"+","")+1,0)),IF(_xlfn.SWITCH(EM30,"sq",EQ$7,"bn",ER$7,"dl",ES$7,"")&lt;IF(_uom="lbs",175,80),1.25,IF(_uom="lbs",5,2.5))))),"")</f>
        <v/>
      </c>
      <c s="70"/>
      <c s="63"/>
      <c s="97"/>
      <c s="44" t="str">
        <f>IFERROR(__xludf.DUMMYFUNCTION("IF(ES30=MAX(FILTER(ES$10:ES$199,LOOKUP(ROW(EM$10:EM$199),FILTER(ROW(EM$10:EM$199),EM$10:EM$199&lt;&gt;EM$9:EM$198))=LOOKUP(ROW(EM30),FILTER(ROW(EM$10:EM$199),EM$10:EM$199&lt;&gt;EM$9:EM$198)))),ET30,)"),"")</f>
        <v/>
      </c>
      <c s="42"/>
      <c s="65"/>
      <c s="64" t="str">
        <f t="shared" si="36"/>
        <v/>
      </c>
      <c s="65" t="str">
        <f>IFERROR(__xludf.DUMMYFUNCTION("""COMPUTED_VALUE"""),"")</f>
        <v/>
      </c>
      <c s="66">
        <f ca="1"/>
        <v>45285</v>
      </c>
      <c s="93" t="str">
        <f t="shared" si="49"/>
        <v/>
      </c>
      <c s="94" t="str">
        <f t="shared" si="108"/>
        <v/>
      </c>
      <c s="95" t="str">
        <f t="shared" si="155"/>
        <v/>
      </c>
      <c s="98" t="str">
        <f t="shared" si="110"/>
        <v/>
      </c>
      <c s="97" t="str">
        <f t="array" ref="FG30">IFERROR(IF(FA30="ac"+ISNUMBER(SEARCH("'",FF30))+FE30="","",IF(ISNUMBER(SEARCH("lw",FF30)),ES30+SUBSTITUTE(FF30,"lw+",""),MROUND(_xlfn.SWITCH(FA30,"sq",FE$7,"bn",FF$7,"dl",FG$7,"")*IF(FF30&gt;10,FF30/100,VLOOKUP(FF30,_rpe,SUBSTITUTE(FE30,"+","")+1,0)),IF(_xlfn.SWITCH(FA30,"sq",FE$7,"bn",FF$7,"dl",FG$7,"")&lt;IF(_uom="lbs",175,80),1.25,IF(_uom="lbs",5,2.5))))),"")</f>
        <v/>
      </c>
      <c s="70"/>
      <c s="63"/>
      <c s="97"/>
      <c s="44" t="str">
        <f>IFERROR(__xludf.DUMMYFUNCTION("IF(FG30=MAX(FILTER(FG$10:FG$199,LOOKUP(ROW(FA$10:FA$199),FILTER(ROW(FA$10:FA$199),FA$10:FA$199&lt;&gt;FA$9:FA$198))=LOOKUP(ROW(FA30),FILTER(ROW(FA$10:FA$199),FA$10:FA$199&lt;&gt;FA$9:FA$198)))),FH30,)"),"")</f>
        <v/>
      </c>
      <c s="42"/>
      <c s="65"/>
      <c s="64" t="str">
        <f t="shared" si="38"/>
        <v/>
      </c>
      <c s="65" t="str">
        <f>IFERROR(__xludf.DUMMYFUNCTION("""COMPUTED_VALUE"""),"")</f>
        <v/>
      </c>
      <c s="66">
        <f ca="1"/>
        <v>45292</v>
      </c>
      <c s="93" t="str">
        <f t="shared" si="182" ref="FQ30:FR30">IF(ISBLANK(FC30),"",FC30)</f>
        <v/>
      </c>
      <c s="94" t="str">
        <f t="shared" si="182"/>
        <v/>
      </c>
      <c s="95" t="str">
        <f t="shared" si="166"/>
        <v/>
      </c>
      <c s="98" t="str">
        <f t="shared" si="167"/>
        <v/>
      </c>
      <c s="97" t="str">
        <f t="array" ref="FU30">IFERROR(IF(FO30="ac"+ISNUMBER(SEARCH("'",FT30))+FS30="","",IF(ISNUMBER(SEARCH("lw",FT30)),FG30+SUBSTITUTE(FT30,"lw+",""),MROUND(_xlfn.SWITCH(FO30,"sq",FS$7,"bn",FT$7,"dl",FU$7,"")*IF(FT30&gt;10,FT30/100,VLOOKUP(FT30,_rpe,SUBSTITUTE(FS30,"+","")+1,0)),IF(_xlfn.SWITCH(FO30,"sq",FS$7,"bn",FT$7,"dl",FU$7,"")&lt;IF(_uom="lbs",175,80),1.25,IF(_uom="lbs",5,2.5))))),"")</f>
        <v/>
      </c>
      <c s="70"/>
      <c s="63"/>
      <c s="97"/>
      <c s="44" t="str">
        <f>IFERROR(__xludf.DUMMYFUNCTION("IF(FU30=MAX(FILTER(FU$10:FU$199,LOOKUP(ROW(FO$10:FO$199),FILTER(ROW(FO$10:FO$199),FO$10:FO$199&lt;&gt;FO$9:FO$198))=LOOKUP(ROW(FO30),FILTER(ROW(FO$10:FO$199),FO$10:FO$199&lt;&gt;FO$9:FO$198)))),FV30,)"),"")</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31" spans="1:259" ht="15.75">
      <c r="A31" s="63"/>
      <c s="64"/>
      <c s="65" t="str">
        <f>IFERROR(__xludf.DUMMYFUNCTION("""COMPUTED_VALUE"""),"ac")</f>
        <v>ac</v>
      </c>
      <c s="66">
        <f ca="1"/>
        <v>45208</v>
      </c>
      <c s="93" t="s">
        <v>150</v>
      </c>
      <c s="94"/>
      <c s="95"/>
      <c s="96"/>
      <c s="97" t="str">
        <f t="array" ref="I31">IFERROR(IF(C31="ac"+ISNUMBER(SEARCH("'",H31))+G31="","",MROUND(_xlfn.SWITCH(C31,"sq",'Personal Info'!$O$15,"bn",'Personal Info'!$S$15,"dl",'Personal Info'!$W$15,"")*IF(H31&gt;10,H31/100,VLOOKUP(H31,_rpe,SUBSTITUTE(G31,"+","")+1,0)),IF(_xlfn.SWITCH(C31:C210,"sq",'Personal Info'!$O$15,"bn",'Personal Info'!$S$15,"dl",'Personal Info'!$W$15,"")&lt;IF(_uom="lbs",175,80),1.25,IF(_uom="lbs",5,2.5)))),"")</f>
        <v/>
      </c>
      <c s="70"/>
      <c s="63"/>
      <c s="97"/>
      <c s="44" t="str">
        <f>IFERROR(__xludf.DUMMYFUNCTION("IF(I31=MAX(FILTER(I$10:I$199,LOOKUP(ROW(C$10:C$199),FILTER(ROW(C$10:C$199),C$10:C$199&lt;&gt;C$9:C$198))=LOOKUP(ROW(C31),FILTER(ROW(C$10:C$199),C$10:C$199&lt;&gt;C$9:C$198)))),J31,)"),"")</f>
        <v/>
      </c>
      <c s="42"/>
      <c s="65"/>
      <c s="64" t="str">
        <f t="shared" si="11"/>
        <v/>
      </c>
      <c s="65" t="str">
        <f>IFERROR(__xludf.DUMMYFUNCTION("""COMPUTED_VALUE"""),"ac")</f>
        <v>ac</v>
      </c>
      <c s="66">
        <f ca="1"/>
        <v>45215</v>
      </c>
      <c s="93" t="str">
        <f t="shared" si="12"/>
        <v>Day 2</v>
      </c>
      <c s="94" t="str">
        <f t="shared" si="168"/>
        <v/>
      </c>
      <c s="95" t="str">
        <f t="shared" si="169"/>
        <v/>
      </c>
      <c s="98" t="str">
        <f t="shared" si="170"/>
        <v/>
      </c>
      <c s="97" t="str">
        <f t="array" ref="W31">IFERROR(IF(Q31="ac"+ISNUMBER(SEARCH("'",V31))+U31="","",IF(ISNUMBER(SEARCH("lw",V31)),I31+SUBSTITUTE(V31,"lw+",""),MROUND(_xlfn.SWITCH(Q31,"sq",U$7,"bn",V$7,"dl",W$7,"")*IF(V31&gt;10,V31/100,VLOOKUP(V31,_rpe,SUBSTITUTE(U31,"+","")+1,0)),IF(_xlfn.SWITCH(Q31,"sq",U$7,"bn",V$7,"dl",W$7,"")&lt;IF(_uom="lbs",175,80),1.25,IF(_uom="lbs",5,2.5))))),"")</f>
        <v/>
      </c>
      <c s="70"/>
      <c s="63"/>
      <c s="97"/>
      <c s="44" t="str">
        <f>IFERROR(__xludf.DUMMYFUNCTION("IF(W31=MAX(FILTER(W$10:W$199,LOOKUP(ROW(Q$10:Q$199),FILTER(ROW(Q$10:Q$199),Q$10:Q$199&lt;&gt;Q$9:Q$198))=LOOKUP(ROW(Q31),FILTER(ROW(Q$10:Q$199),Q$10:Q$199&lt;&gt;Q$9:Q$198)))),X31,)"),"")</f>
        <v/>
      </c>
      <c s="42"/>
      <c s="65"/>
      <c s="64" t="str">
        <f t="shared" si="14"/>
        <v/>
      </c>
      <c s="65" t="str">
        <f>IFERROR(__xludf.DUMMYFUNCTION("""COMPUTED_VALUE"""),"ac")</f>
        <v>ac</v>
      </c>
      <c s="66">
        <f ca="1"/>
        <v>45222</v>
      </c>
      <c s="93" t="str">
        <f t="shared" si="156"/>
        <v>Day 2</v>
      </c>
      <c s="94" t="str">
        <f t="shared" si="171"/>
        <v/>
      </c>
      <c s="95" t="str">
        <f t="shared" si="172"/>
        <v/>
      </c>
      <c s="98" t="str">
        <f t="shared" si="173"/>
        <v/>
      </c>
      <c s="97" t="str">
        <f t="array" ref="AK31">IFERROR(IF(AE31="ac"+ISNUMBER(SEARCH("'",AJ31))+AI31="","",IF(ISNUMBER(SEARCH("lw",AJ31)),W31+SUBSTITUTE(AJ31,"lw+",""),MROUND(_xlfn.SWITCH(AE31,"sq",AI$7,"bn",AJ$7,"dl",AK$7,"")*IF(AJ31&gt;10,AJ31/100,VLOOKUP(AJ31,_rpe,SUBSTITUTE(AI31,"+","")+1,0)),IF(_xlfn.SWITCH(AE31,"sq",AI$7,"bn",AJ$7,"dl",AK$7,"")&lt;IF(_uom="lbs",175,80),1.25,IF(_uom="lbs",5,2.5))))),"")</f>
        <v/>
      </c>
      <c s="70"/>
      <c s="63"/>
      <c s="97"/>
      <c s="44" t="str">
        <f>IFERROR(__xludf.DUMMYFUNCTION("IF(AK31=MAX(FILTER(AK$10:AK$199,LOOKUP(ROW(AE$10:AE$199),FILTER(ROW(AE$10:AE$199),AE$10:AE$199&lt;&gt;AE$9:AE$198))=LOOKUP(ROW(AE31),FILTER(ROW(AE$10:AE$199),AE$10:AE$199&lt;&gt;AE$9:AE$198)))),AL31,)"),"")</f>
        <v/>
      </c>
      <c s="42"/>
      <c s="65"/>
      <c s="64" t="str">
        <f t="shared" si="17"/>
        <v/>
      </c>
      <c s="65" t="str">
        <f>IFERROR(__xludf.DUMMYFUNCTION("""COMPUTED_VALUE"""),"ac")</f>
        <v>ac</v>
      </c>
      <c s="66">
        <f ca="1"/>
        <v>45229</v>
      </c>
      <c s="93" t="str">
        <f t="shared" si="157"/>
        <v>Day 2</v>
      </c>
      <c s="94" t="str">
        <f t="shared" si="174"/>
        <v/>
      </c>
      <c s="95" t="str">
        <f t="shared" si="175"/>
        <v/>
      </c>
      <c s="98" t="str">
        <f t="shared" si="176"/>
        <v/>
      </c>
      <c s="97" t="str">
        <f t="array" ref="AY31">IFERROR(IF(AS31="ac"+ISNUMBER(SEARCH("'",AX31))+AW31="","",IF(ISNUMBER(SEARCH("lw",AX31)),AK31+SUBSTITUTE(AX31,"lw+",""),MROUND(_xlfn.SWITCH(AS31,"sq",AW$7,"bn",AX$7,"dl",AY$7,"")*IF(AX31&gt;10,AX31/100,VLOOKUP(AX31,_rpe,SUBSTITUTE(AW31,"+","")+1,0)),IF(_xlfn.SWITCH(AS31,"sq",AW$7,"bn",AX$7,"dl",AY$7,"")&lt;IF(_uom="lbs",175,80),1.25,IF(_uom="lbs",5,2.5))))),"")</f>
        <v/>
      </c>
      <c s="70"/>
      <c s="63"/>
      <c s="97"/>
      <c s="44" t="str">
        <f>IFERROR(__xludf.DUMMYFUNCTION("IF(AY31=MAX(FILTER(AY$10:AY$199,LOOKUP(ROW(AS$10:AS$199),FILTER(ROW(AS$10:AS$199),AS$10:AS$199&lt;&gt;AS$9:AS$198))=LOOKUP(ROW(AS31),FILTER(ROW(AS$10:AS$199),AS$10:AS$199&lt;&gt;AS$9:AS$198)))),AZ31,)"),"")</f>
        <v/>
      </c>
      <c s="42"/>
      <c s="65"/>
      <c s="64" t="str">
        <f t="shared" si="19"/>
        <v/>
      </c>
      <c s="65" t="str">
        <f>IFERROR(__xludf.DUMMYFUNCTION("""COMPUTED_VALUE"""),"ac")</f>
        <v>ac</v>
      </c>
      <c s="66">
        <f ca="1"/>
        <v>45236</v>
      </c>
      <c s="93" t="str">
        <f t="shared" si="20"/>
        <v>Day 2</v>
      </c>
      <c s="94" t="str">
        <f t="shared" si="158"/>
        <v/>
      </c>
      <c s="95" t="str">
        <f t="shared" si="159"/>
        <v/>
      </c>
      <c s="98" t="str">
        <f t="shared" si="160"/>
        <v/>
      </c>
      <c s="97" t="str">
        <f t="array" ref="BM31">IFERROR(IF(BG31="ac"+ISNUMBER(SEARCH("'",BL31))+BK31="","",IF(ISNUMBER(SEARCH("lw",BL31)),AY31+SUBSTITUTE(BL31,"lw+",""),MROUND(_xlfn.SWITCH(BG31,"sq",BK$7,"bn",BL$7,"dl",BM$7,"")*IF(BL31&gt;10,BL31/100,VLOOKUP(BL31,_rpe,SUBSTITUTE(BK31,"+","")+1,0)),IF(_xlfn.SWITCH(BG31,"sq",BK$7,"bn",BL$7,"dl",BM$7,"")&lt;IF(_uom="lbs",175,80),1.25,IF(_uom="lbs",5,2.5))))),"")</f>
        <v/>
      </c>
      <c s="70"/>
      <c s="63"/>
      <c s="97"/>
      <c s="44" t="str">
        <f>IFERROR(__xludf.DUMMYFUNCTION("IF(BM31=MAX(FILTER(BM$10:BM$199,LOOKUP(ROW(BG$10:BG$199),FILTER(ROW(BG$10:BG$199),BG$10:BG$199&lt;&gt;BG$9:BG$198))=LOOKUP(ROW(BG31),FILTER(ROW(BG$10:BG$199),BG$10:BG$199&lt;&gt;BG$9:BG$198)))),BN31,)"),"")</f>
        <v/>
      </c>
      <c s="42"/>
      <c s="65"/>
      <c s="64" t="str">
        <f t="shared" si="21"/>
        <v/>
      </c>
      <c s="65" t="str">
        <f>IFERROR(__xludf.DUMMYFUNCTION("""COMPUTED_VALUE"""),"ac")</f>
        <v>ac</v>
      </c>
      <c s="66">
        <f ca="1"/>
        <v>45243</v>
      </c>
      <c s="93" t="str">
        <f t="shared" si="22"/>
        <v>Day 2</v>
      </c>
      <c s="94" t="str">
        <f t="shared" si="161"/>
        <v/>
      </c>
      <c s="95" t="str">
        <f t="shared" si="149"/>
        <v/>
      </c>
      <c s="98" t="str">
        <f t="shared" si="162"/>
        <v/>
      </c>
      <c s="97" t="str">
        <f t="array" ref="CA31">IFERROR(IF(BU31="ac"+ISNUMBER(SEARCH("'",BZ31))+BY31="","",IF(ISNUMBER(SEARCH("lw",BZ31)),BM31+SUBSTITUTE(BZ31,"lw+",""),MROUND(_xlfn.SWITCH(BU31,"sq",BY$7,"bn",BZ$7,"dl",CA$7,"")*IF(BZ31&gt;10,BZ31/100,VLOOKUP(BZ31,_rpe,SUBSTITUTE(BY31,"+","")+1,0)),IF(_xlfn.SWITCH(BU31,"sq",BY$7,"bn",BZ$7,"dl",CA$7,"")&lt;IF(_uom="lbs",175,80),1.25,IF(_uom="lbs",5,2.5))))),"")</f>
        <v/>
      </c>
      <c s="70"/>
      <c s="63"/>
      <c s="97"/>
      <c s="44" t="str">
        <f>IFERROR(__xludf.DUMMYFUNCTION("IF(CA31=MAX(FILTER(CA$10:CA$199,LOOKUP(ROW(BU$10:BU$199),FILTER(ROW(BU$10:BU$199),BU$10:BU$199&lt;&gt;BU$9:BU$198))=LOOKUP(ROW(BU31),FILTER(ROW(BU$10:BU$199),BU$10:BU$199&lt;&gt;BU$9:BU$198)))),CB31,)"),"")</f>
        <v/>
      </c>
      <c s="42"/>
      <c s="65"/>
      <c s="64" t="str">
        <f t="shared" si="24"/>
        <v/>
      </c>
      <c s="65" t="str">
        <f>IFERROR(__xludf.DUMMYFUNCTION("""COMPUTED_VALUE"""),"ac")</f>
        <v>ac</v>
      </c>
      <c s="66">
        <f ca="1"/>
        <v>45250</v>
      </c>
      <c s="93" t="str">
        <f t="shared" si="44"/>
        <v>Day 2</v>
      </c>
      <c s="94" t="str">
        <f t="shared" si="62"/>
        <v/>
      </c>
      <c s="95" t="str">
        <f t="shared" si="150"/>
        <v/>
      </c>
      <c s="98" t="str">
        <f t="shared" si="163"/>
        <v/>
      </c>
      <c s="97" t="str">
        <f t="array" ref="CO31">IFERROR(IF(CI31="ac"+ISNUMBER(SEARCH("'",CN31))+CM31="","",IF(ISNUMBER(SEARCH("lw",CN31)),CA31+SUBSTITUTE(CN31,"lw+",""),MROUND(_xlfn.SWITCH(CI31,"sq",CM$7,"bn",CN$7,"dl",CO$7,"")*IF(CN31&gt;10,CN31/100,VLOOKUP(CN31,_rpe,SUBSTITUTE(CM31,"+","")+1,0)),IF(_xlfn.SWITCH(CI31,"sq",CM$7,"bn",CN$7,"dl",CO$7,"")&lt;IF(_uom="lbs",175,80),1.25,IF(_uom="lbs",5,2.5))))),"")</f>
        <v/>
      </c>
      <c s="70"/>
      <c s="63"/>
      <c s="97"/>
      <c s="44" t="str">
        <f>IFERROR(__xludf.DUMMYFUNCTION("IF(CO31=MAX(FILTER(CO$10:CO$199,LOOKUP(ROW(CI$10:CI$199),FILTER(ROW(CI$10:CI$199),CI$10:CI$199&lt;&gt;CI$9:CI$198))=LOOKUP(ROW(CI31),FILTER(ROW(CI$10:CI$199),CI$10:CI$199&lt;&gt;CI$9:CI$198)))),CP31,)"),"")</f>
        <v/>
      </c>
      <c s="42"/>
      <c s="65"/>
      <c s="64" t="str">
        <f t="shared" si="27"/>
        <v/>
      </c>
      <c s="65" t="str">
        <f>IFERROR(__xludf.DUMMYFUNCTION("""COMPUTED_VALUE"""),"ac")</f>
        <v>ac</v>
      </c>
      <c s="66">
        <f ca="1"/>
        <v>45257</v>
      </c>
      <c s="93" t="str">
        <f t="shared" si="45"/>
        <v>Day 2</v>
      </c>
      <c s="94" t="str">
        <f t="shared" si="64"/>
        <v/>
      </c>
      <c s="95" t="str">
        <f t="shared" si="151"/>
        <v/>
      </c>
      <c s="98" t="str">
        <f t="shared" si="99"/>
        <v/>
      </c>
      <c s="97" t="str">
        <f t="array" ref="DC31">IFERROR(IF(CW31="ac"+ISNUMBER(SEARCH("'",DB31))+DA31="","",IF(ISNUMBER(SEARCH("lw",DB31)),CO31+SUBSTITUTE(DB31,"lw+",""),MROUND(_xlfn.SWITCH(CW31,"sq",DA$7,"bn",DB$7,"dl",DC$7,"")*IF(DB31&gt;10,DB31/100,VLOOKUP(DB31,_rpe,SUBSTITUTE(DA31,"+","")+1,0)),IF(_xlfn.SWITCH(CW31,"sq",DA$7,"bn",DB$7,"dl",DC$7,"")&lt;IF(_uom="lbs",175,80),1.25,IF(_uom="lbs",5,2.5))))),"")</f>
        <v/>
      </c>
      <c s="70"/>
      <c s="63"/>
      <c s="97"/>
      <c s="44" t="str">
        <f>IFERROR(__xludf.DUMMYFUNCTION("IF(DC31=MAX(FILTER(DC$10:DC$199,LOOKUP(ROW(CW$10:CW$199),FILTER(ROW(CW$10:CW$199),CW$10:CW$199&lt;&gt;CW$9:CW$198))=LOOKUP(ROW(CW31),FILTER(ROW(CW$10:CW$199),CW$10:CW$199&lt;&gt;CW$9:CW$198)))),DD31,)"),"")</f>
        <v/>
      </c>
      <c s="42"/>
      <c s="65"/>
      <c s="64" t="str">
        <f t="shared" si="30"/>
        <v/>
      </c>
      <c s="65" t="str">
        <f>IFERROR(__xludf.DUMMYFUNCTION("""COMPUTED_VALUE"""),"ac")</f>
        <v>ac</v>
      </c>
      <c s="66">
        <f ca="1"/>
        <v>45264</v>
      </c>
      <c s="93" t="str">
        <f t="shared" si="46"/>
        <v>Day 2</v>
      </c>
      <c s="94" t="str">
        <f t="shared" si="100"/>
        <v/>
      </c>
      <c s="95" t="str">
        <f t="shared" si="152"/>
        <v/>
      </c>
      <c s="98" t="str">
        <f t="shared" si="164"/>
        <v/>
      </c>
      <c s="97" t="str">
        <f t="array" ref="DQ31">IFERROR(IF(DK31="ac"+ISNUMBER(SEARCH("'",DP31))+DO31="","",IF(ISNUMBER(SEARCH("lw",DP31)),DC31+SUBSTITUTE(DP31,"lw+",""),MROUND(_xlfn.SWITCH(DK31,"sq",DO$7,"bn",DP$7,"dl",DQ$7,"")*IF(DP31&gt;10,DP31/100,VLOOKUP(DP31,_rpe,SUBSTITUTE(DO31,"+","")+1,0)),IF(_xlfn.SWITCH(DK31,"sq",DO$7,"bn",DP$7,"dl",DQ$7,"")&lt;IF(_uom="lbs",175,80),1.25,IF(_uom="lbs",5,2.5))))),"")</f>
        <v/>
      </c>
      <c s="70"/>
      <c s="63"/>
      <c s="97"/>
      <c s="44" t="str">
        <f>IFERROR(__xludf.DUMMYFUNCTION("IF(DQ31=MAX(FILTER(DQ$10:DQ$199,LOOKUP(ROW(DK$10:DK$199),FILTER(ROW(DK$10:DK$199),DK$10:DK$199&lt;&gt;DK$9:DK$198))=LOOKUP(ROW(DK31),FILTER(ROW(DK$10:DK$199),DK$10:DK$199&lt;&gt;DK$9:DK$198)))),DR31,)"),"")</f>
        <v/>
      </c>
      <c s="42"/>
      <c s="65"/>
      <c s="64" t="str">
        <f t="shared" si="32"/>
        <v/>
      </c>
      <c s="65" t="str">
        <f>IFERROR(__xludf.DUMMYFUNCTION("""COMPUTED_VALUE"""),"ac")</f>
        <v>ac</v>
      </c>
      <c s="66">
        <f ca="1"/>
        <v>45271</v>
      </c>
      <c s="93" t="str">
        <f t="shared" si="47"/>
        <v>Day 2</v>
      </c>
      <c s="94" t="str">
        <f t="shared" si="86"/>
        <v/>
      </c>
      <c s="95" t="str">
        <f t="shared" si="153"/>
        <v/>
      </c>
      <c s="98" t="str">
        <f t="shared" si="165"/>
        <v/>
      </c>
      <c s="97" t="str">
        <f t="array" ref="EE31">IFERROR(IF(DY31="ac"+ISNUMBER(SEARCH("'",ED31))+EC31="","",IF(ISNUMBER(SEARCH("lw",ED31)),DQ31+SUBSTITUTE(ED31,"lw+",""),MROUND(_xlfn.SWITCH(DY31,"sq",EC$7,"bn",ED$7,"dl",EE$7,"")*IF(ED31&gt;10,ED31/100,VLOOKUP(ED31,_rpe,SUBSTITUTE(EC31,"+","")+1,0)),IF(_xlfn.SWITCH(DY31,"sq",EC$7,"bn",ED$7,"dl",EE$7,"")&lt;IF(_uom="lbs",175,80),1.25,IF(_uom="lbs",5,2.5))))),"")</f>
        <v/>
      </c>
      <c s="70"/>
      <c s="63"/>
      <c s="97"/>
      <c s="44" t="str">
        <f>IFERROR(__xludf.DUMMYFUNCTION("IF(EE31=MAX(FILTER(EE$10:EE$199,LOOKUP(ROW(DY$10:DY$199),FILTER(ROW(DY$10:DY$199),DY$10:DY$199&lt;&gt;DY$9:DY$198))=LOOKUP(ROW(DY31),FILTER(ROW(DY$10:DY$199),DY$10:DY$199&lt;&gt;DY$9:DY$198)))),EF31,)"),"")</f>
        <v/>
      </c>
      <c s="42"/>
      <c s="65"/>
      <c s="64" t="str">
        <f t="shared" si="34"/>
        <v/>
      </c>
      <c s="65" t="str">
        <f>IFERROR(__xludf.DUMMYFUNCTION("""COMPUTED_VALUE"""),"ac")</f>
        <v>ac</v>
      </c>
      <c s="66">
        <f ca="1"/>
        <v>45278</v>
      </c>
      <c s="93" t="str">
        <f t="shared" si="48"/>
        <v>Day 2</v>
      </c>
      <c s="94" t="str">
        <f t="shared" si="105"/>
        <v/>
      </c>
      <c s="95" t="str">
        <f t="shared" si="154"/>
        <v/>
      </c>
      <c s="98" t="str">
        <f t="shared" si="107"/>
        <v/>
      </c>
      <c s="97" t="str">
        <f t="array" ref="ES31">IFERROR(IF(EM31="ac"+ISNUMBER(SEARCH("'",ER31))+EQ31="","",IF(ISNUMBER(SEARCH("lw",ER31)),EE31+SUBSTITUTE(ER31,"lw+",""),MROUND(_xlfn.SWITCH(EM31,"sq",EQ$7,"bn",ER$7,"dl",ES$7,"")*IF(ER31&gt;10,ER31/100,VLOOKUP(ER31,_rpe,SUBSTITUTE(EQ31,"+","")+1,0)),IF(_xlfn.SWITCH(EM31,"sq",EQ$7,"bn",ER$7,"dl",ES$7,"")&lt;IF(_uom="lbs",175,80),1.25,IF(_uom="lbs",5,2.5))))),"")</f>
        <v/>
      </c>
      <c s="70"/>
      <c s="63"/>
      <c s="97"/>
      <c s="44" t="str">
        <f>IFERROR(__xludf.DUMMYFUNCTION("IF(ES31=MAX(FILTER(ES$10:ES$199,LOOKUP(ROW(EM$10:EM$199),FILTER(ROW(EM$10:EM$199),EM$10:EM$199&lt;&gt;EM$9:EM$198))=LOOKUP(ROW(EM31),FILTER(ROW(EM$10:EM$199),EM$10:EM$199&lt;&gt;EM$9:EM$198)))),ET31,)"),"")</f>
        <v/>
      </c>
      <c s="42"/>
      <c s="65"/>
      <c s="64" t="str">
        <f t="shared" si="36"/>
        <v/>
      </c>
      <c s="65" t="str">
        <f>IFERROR(__xludf.DUMMYFUNCTION("""COMPUTED_VALUE"""),"ac")</f>
        <v>ac</v>
      </c>
      <c s="66">
        <f ca="1"/>
        <v>45285</v>
      </c>
      <c s="93" t="str">
        <f t="shared" si="49"/>
        <v>Day 2</v>
      </c>
      <c s="94" t="str">
        <f t="shared" si="108"/>
        <v/>
      </c>
      <c s="95" t="str">
        <f t="shared" si="155"/>
        <v/>
      </c>
      <c s="98" t="str">
        <f t="shared" si="110"/>
        <v/>
      </c>
      <c s="97" t="str">
        <f t="array" ref="FG31">IFERROR(IF(FA31="ac"+ISNUMBER(SEARCH("'",FF31))+FE31="","",IF(ISNUMBER(SEARCH("lw",FF31)),ES31+SUBSTITUTE(FF31,"lw+",""),MROUND(_xlfn.SWITCH(FA31,"sq",FE$7,"bn",FF$7,"dl",FG$7,"")*IF(FF31&gt;10,FF31/100,VLOOKUP(FF31,_rpe,SUBSTITUTE(FE31,"+","")+1,0)),IF(_xlfn.SWITCH(FA31,"sq",FE$7,"bn",FF$7,"dl",FG$7,"")&lt;IF(_uom="lbs",175,80),1.25,IF(_uom="lbs",5,2.5))))),"")</f>
        <v/>
      </c>
      <c s="70"/>
      <c s="63"/>
      <c s="97"/>
      <c s="44" t="str">
        <f>IFERROR(__xludf.DUMMYFUNCTION("IF(FG31=MAX(FILTER(FG$10:FG$199,LOOKUP(ROW(FA$10:FA$199),FILTER(ROW(FA$10:FA$199),FA$10:FA$199&lt;&gt;FA$9:FA$198))=LOOKUP(ROW(FA31),FILTER(ROW(FA$10:FA$199),FA$10:FA$199&lt;&gt;FA$9:FA$198)))),FH31,)"),"")</f>
        <v/>
      </c>
      <c s="42"/>
      <c s="65"/>
      <c s="64" t="str">
        <f t="shared" si="38"/>
        <v/>
      </c>
      <c s="65" t="str">
        <f>IFERROR(__xludf.DUMMYFUNCTION("""COMPUTED_VALUE"""),"ac")</f>
        <v>ac</v>
      </c>
      <c s="66">
        <f ca="1"/>
        <v>45292</v>
      </c>
      <c s="93" t="s">
        <v>151</v>
      </c>
      <c s="94" t="str">
        <f t="shared" si="183" ref="FR31:FR32">IF(ISBLANK(FD31),"",FD31)</f>
        <v/>
      </c>
      <c s="95" t="str">
        <f t="shared" si="166"/>
        <v/>
      </c>
      <c s="98" t="str">
        <f t="shared" si="167"/>
        <v/>
      </c>
      <c s="97" t="str">
        <f t="array" ref="FU31">IFERROR(IF(FO31="ac"+ISNUMBER(SEARCH("'",FT31))+FS31="","",IF(ISNUMBER(SEARCH("lw",FT31)),FG31+SUBSTITUTE(FT31,"lw+",""),MROUND(_xlfn.SWITCH(FO31,"sq",FS$7,"bn",FT$7,"dl",FU$7,"")*IF(FT31&gt;10,FT31/100,VLOOKUP(FT31,_rpe,SUBSTITUTE(FS31,"+","")+1,0)),IF(_xlfn.SWITCH(FO31,"sq",FS$7,"bn",FT$7,"dl",FU$7,"")&lt;IF(_uom="lbs",175,80),1.25,IF(_uom="lbs",5,2.5))))),"")</f>
        <v/>
      </c>
      <c s="70"/>
      <c s="63"/>
      <c s="97"/>
      <c s="44" t="str">
        <f>IFERROR(__xludf.DUMMYFUNCTION("IF(FU31=MAX(FILTER(FU$10:FU$199,LOOKUP(ROW(FO$10:FO$199),FILTER(ROW(FO$10:FO$199),FO$10:FO$199&lt;&gt;FO$9:FO$198))=LOOKUP(ROW(FO31),FILTER(ROW(FO$10:FO$199),FO$10:FO$199&lt;&gt;FO$9:FO$198)))),FV31,)"),"")</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32" spans="1:259" ht="15.75" collapsed="1">
      <c r="A32" s="63"/>
      <c s="64" t="s">
        <v>152</v>
      </c>
      <c s="65" t="str">
        <f>IFERROR(__xludf.DUMMYFUNCTION("""COMPUTED_VALUE"""),"dl")</f>
        <v>dl</v>
      </c>
      <c s="66">
        <f ca="1"/>
        <v>45208</v>
      </c>
      <c s="93" t="s">
        <v>153</v>
      </c>
      <c s="94">
        <v>3</v>
      </c>
      <c s="95">
        <v>4</v>
      </c>
      <c s="96" t="str">
        <f>IF(OR(gen="SELECT",gen="MALE"),"65% or @6.5","66% or @6.5")</f>
        <v>65% or @6.5</v>
      </c>
      <c s="97" t="str">
        <f t="array" ref="I32">IFERROR(IF(C32="ac"+ISNUMBER(SEARCH("'",H32))+G32="","",MROUND(_xlfn.SWITCH(C32,"sq",'Personal Info'!$O$15,"bn",'Personal Info'!$S$15,"dl",'Personal Info'!$W$15,"")*IF(H32&gt;10,H32/100,VLOOKUP(H32,_rpe,SUBSTITUTE(G32,"+","")+1,0)),IF(_xlfn.SWITCH(C32:C210,"sq",'Personal Info'!$O$15,"bn",'Personal Info'!$S$15,"dl",'Personal Info'!$W$15,"")&lt;IF(_uom="lbs",175,80),1.25,IF(_uom="lbs",5,2.5)))),"")</f>
        <v/>
      </c>
      <c s="70"/>
      <c s="63"/>
      <c s="97"/>
      <c s="44" t="str">
        <f>IFERROR(__xludf.DUMMYFUNCTION("IF(I32=MAX(FILTER(I$10:I$199,LOOKUP(ROW(C$10:C$199),FILTER(ROW(C$10:C$199),C$10:C$199&lt;&gt;C$9:C$198))=LOOKUP(ROW(C32),FILTER(ROW(C$10:C$199),C$10:C$199&lt;&gt;C$9:C$198)))),J32,)"),"")</f>
        <v/>
      </c>
      <c s="42"/>
      <c s="65"/>
      <c s="64" t="str">
        <f t="shared" si="11"/>
        <v>DL 1: practice/mod int</v>
      </c>
      <c s="65" t="str">
        <f>IFERROR(__xludf.DUMMYFUNCTION("""COMPUTED_VALUE"""),"dl")</f>
        <v>dl</v>
      </c>
      <c s="66">
        <f ca="1"/>
        <v>45215</v>
      </c>
      <c s="93" t="str">
        <f t="shared" si="12"/>
        <v>Paused Deadlift</v>
      </c>
      <c s="94">
        <f>IF(OR(gen="SELECT",gen="MALE"),4,"4-5 x")</f>
        <v>4</v>
      </c>
      <c s="95">
        <f t="shared" si="169"/>
        <v>4</v>
      </c>
      <c s="98" t="s">
        <v>154</v>
      </c>
      <c s="97" t="str">
        <f t="array" ref="W32">IFERROR(IF(Q32="ac"+ISNUMBER(SEARCH("'",V32))+U32="","",IF(ISNUMBER(SEARCH("lw",V32)),I32+SUBSTITUTE(V32,"lw+",""),MROUND(_xlfn.SWITCH(Q32,"sq",U$7,"bn",V$7,"dl",W$7,"")*IF(V32&gt;10,V32/100,VLOOKUP(V32,_rpe,SUBSTITUTE(U32,"+","")+1,0)),IF(_xlfn.SWITCH(Q32,"sq",U$7,"bn",V$7,"dl",W$7,"")&lt;IF(_uom="lbs",175,80),1.25,IF(_uom="lbs",5,2.5))))),"")</f>
        <v/>
      </c>
      <c s="70"/>
      <c s="63"/>
      <c s="97"/>
      <c s="44" t="str">
        <f>IFERROR(__xludf.DUMMYFUNCTION("IF(W32=MAX(FILTER(W$10:W$199,LOOKUP(ROW(Q$10:Q$199),FILTER(ROW(Q$10:Q$199),Q$10:Q$199&lt;&gt;Q$9:Q$198))=LOOKUP(ROW(Q32),FILTER(ROW(Q$10:Q$199),Q$10:Q$199&lt;&gt;Q$9:Q$198)))),X32,)"),"")</f>
        <v/>
      </c>
      <c s="42"/>
      <c s="65"/>
      <c s="64" t="str">
        <f t="shared" si="14"/>
        <v>DL 1: practice/mod int</v>
      </c>
      <c s="65" t="str">
        <f>IFERROR(__xludf.DUMMYFUNCTION("""COMPUTED_VALUE"""),"dl")</f>
        <v>dl</v>
      </c>
      <c s="66">
        <f ca="1"/>
        <v>45222</v>
      </c>
      <c s="93" t="str">
        <f t="shared" si="156"/>
        <v>Paused Deadlift</v>
      </c>
      <c s="94">
        <f>IF(OR(gen="SELECT",gen="MALE"),4,"4-5 x")</f>
        <v>4</v>
      </c>
      <c s="95">
        <f t="shared" si="172"/>
        <v>4</v>
      </c>
      <c s="98" t="s">
        <v>155</v>
      </c>
      <c s="97" t="str">
        <f t="array" ref="AK32">IFERROR(IF(AE32="ac"+ISNUMBER(SEARCH("'",AJ32))+AI32="","",IF(ISNUMBER(SEARCH("lw",AJ32)),W32+SUBSTITUTE(AJ32,"lw+",""),MROUND(_xlfn.SWITCH(AE32,"sq",AI$7,"bn",AJ$7,"dl",AK$7,"")*IF(AJ32&gt;10,AJ32/100,VLOOKUP(AJ32,_rpe,SUBSTITUTE(AI32,"+","")+1,0)),IF(_xlfn.SWITCH(AE32,"sq",AI$7,"bn",AJ$7,"dl",AK$7,"")&lt;IF(_uom="lbs",175,80),1.25,IF(_uom="lbs",5,2.5))))),"")</f>
        <v/>
      </c>
      <c s="70"/>
      <c s="63"/>
      <c s="97"/>
      <c s="44" t="str">
        <f>IFERROR(__xludf.DUMMYFUNCTION("IF(AK32=MAX(FILTER(AK$10:AK$199,LOOKUP(ROW(AE$10:AE$199),FILTER(ROW(AE$10:AE$199),AE$10:AE$199&lt;&gt;AE$9:AE$198))=LOOKUP(ROW(AE32),FILTER(ROW(AE$10:AE$199),AE$10:AE$199&lt;&gt;AE$9:AE$198)))),AL32,)"),"")</f>
        <v/>
      </c>
      <c s="42"/>
      <c s="65"/>
      <c s="64" t="str">
        <f t="shared" si="17"/>
        <v>DL 1: practice/mod int</v>
      </c>
      <c s="65" t="str">
        <f>IFERROR(__xludf.DUMMYFUNCTION("""COMPUTED_VALUE"""),"dl")</f>
        <v>dl</v>
      </c>
      <c s="66">
        <f ca="1"/>
        <v>45229</v>
      </c>
      <c s="93" t="str">
        <f t="shared" si="157"/>
        <v>Paused Deadlift</v>
      </c>
      <c s="94">
        <f>IF(OR(gen="SELECT",gen="MALE"),4,"4-5 x")</f>
        <v>4</v>
      </c>
      <c s="95">
        <f t="shared" si="175"/>
        <v>4</v>
      </c>
      <c s="98" t="s">
        <v>156</v>
      </c>
      <c s="97" t="str">
        <f t="array" ref="AY32">IFERROR(IF(AS32="ac"+ISNUMBER(SEARCH("'",AX32))+AW32="","",IF(ISNUMBER(SEARCH("lw",AX32)),AK32+SUBSTITUTE(AX32,"lw+",""),MROUND(_xlfn.SWITCH(AS32,"sq",AW$7,"bn",AX$7,"dl",AY$7,"")*IF(AX32&gt;10,AX32/100,VLOOKUP(AX32,_rpe,SUBSTITUTE(AW32,"+","")+1,0)),IF(_xlfn.SWITCH(AS32,"sq",AW$7,"bn",AX$7,"dl",AY$7,"")&lt;IF(_uom="lbs",175,80),1.25,IF(_uom="lbs",5,2.5))))),"")</f>
        <v/>
      </c>
      <c s="70"/>
      <c s="63"/>
      <c s="97"/>
      <c s="44" t="str">
        <f>IFERROR(__xludf.DUMMYFUNCTION("IF(AY32=MAX(FILTER(AY$10:AY$199,LOOKUP(ROW(AS$10:AS$199),FILTER(ROW(AS$10:AS$199),AS$10:AS$199&lt;&gt;AS$9:AS$198))=LOOKUP(ROW(AS32),FILTER(ROW(AS$10:AS$199),AS$10:AS$199&lt;&gt;AS$9:AS$198)))),AZ32,)"),"")</f>
        <v/>
      </c>
      <c s="42"/>
      <c s="65"/>
      <c s="64" t="str">
        <f t="shared" si="19"/>
        <v>DL 1: practice/mod int</v>
      </c>
      <c s="65" t="str">
        <f>IFERROR(__xludf.DUMMYFUNCTION("""COMPUTED_VALUE"""),"dl")</f>
        <v>dl</v>
      </c>
      <c s="66">
        <f ca="1"/>
        <v>45236</v>
      </c>
      <c s="93" t="str">
        <f t="shared" si="20"/>
        <v>Paused Deadlift</v>
      </c>
      <c s="94">
        <v>3</v>
      </c>
      <c s="95">
        <v>3</v>
      </c>
      <c s="98" t="s">
        <v>157</v>
      </c>
      <c s="97" t="str">
        <f t="array" ref="BM32">IFERROR(IF(BG32="ac"+ISNUMBER(SEARCH("'",BL32))+BK32="","",IF(ISNUMBER(SEARCH("lw",BL32)),AY32+SUBSTITUTE(BL32,"lw+",""),MROUND(_xlfn.SWITCH(BG32,"sq",BK$7,"bn",BL$7,"dl",BM$7,"")*IF(BL32&gt;10,BL32/100,VLOOKUP(BL32,_rpe,SUBSTITUTE(BK32,"+","")+1,0)),IF(_xlfn.SWITCH(BG32,"sq",BK$7,"bn",BL$7,"dl",BM$7,"")&lt;IF(_uom="lbs",175,80),1.25,IF(_uom="lbs",5,2.5))))),"")</f>
        <v/>
      </c>
      <c s="70"/>
      <c s="63"/>
      <c s="97"/>
      <c s="44" t="str">
        <f>IFERROR(__xludf.DUMMYFUNCTION("IF(BM32=MAX(FILTER(BM$10:BM$199,LOOKUP(ROW(BG$10:BG$199),FILTER(ROW(BG$10:BG$199),BG$10:BG$199&lt;&gt;BG$9:BG$198))=LOOKUP(ROW(BG32),FILTER(ROW(BG$10:BG$199),BG$10:BG$199&lt;&gt;BG$9:BG$198)))),BN32,)"),"")</f>
        <v/>
      </c>
      <c s="42"/>
      <c s="65"/>
      <c s="64" t="str">
        <f t="shared" si="21"/>
        <v>DL 1: practice/mod int</v>
      </c>
      <c s="65" t="str">
        <f>IFERROR(__xludf.DUMMYFUNCTION("""COMPUTED_VALUE"""),"dl")</f>
        <v>dl</v>
      </c>
      <c s="66">
        <f ca="1"/>
        <v>45243</v>
      </c>
      <c s="93" t="str">
        <f t="shared" si="22"/>
        <v>Paused Deadlift</v>
      </c>
      <c s="94">
        <f>IF(OR(gen="SELECT",gen="MALE"),3,4)</f>
        <v>3</v>
      </c>
      <c s="95">
        <f t="shared" si="149"/>
        <v>3</v>
      </c>
      <c s="98" t="s">
        <v>158</v>
      </c>
      <c s="97" t="str">
        <f t="array" ref="CA32">IFERROR(IF(BU32="ac"+ISNUMBER(SEARCH("'",BZ32))+BY32="","",IF(ISNUMBER(SEARCH("lw",BZ32)),BM32+SUBSTITUTE(BZ32,"lw+",""),MROUND(_xlfn.SWITCH(BU32,"sq",BY$7,"bn",BZ$7,"dl",CA$7,"")*IF(BZ32&gt;10,BZ32/100,VLOOKUP(BZ32,_rpe,SUBSTITUTE(BY32,"+","")+1,0)),IF(_xlfn.SWITCH(BU32,"sq",BY$7,"bn",BZ$7,"dl",CA$7,"")&lt;IF(_uom="lbs",175,80),1.25,IF(_uom="lbs",5,2.5))))),"")</f>
        <v/>
      </c>
      <c s="70"/>
      <c s="63"/>
      <c s="97"/>
      <c s="44" t="str">
        <f>IFERROR(__xludf.DUMMYFUNCTION("IF(CA32=MAX(FILTER(CA$10:CA$199,LOOKUP(ROW(BU$10:BU$199),FILTER(ROW(BU$10:BU$199),BU$10:BU$199&lt;&gt;BU$9:BU$198))=LOOKUP(ROW(BU32),FILTER(ROW(BU$10:BU$199),BU$10:BU$199&lt;&gt;BU$9:BU$198)))),CB32,)"),"")</f>
        <v/>
      </c>
      <c s="42"/>
      <c s="65"/>
      <c s="64" t="str">
        <f t="shared" si="24"/>
        <v>DL 1: practice/mod int</v>
      </c>
      <c s="65" t="str">
        <f>IFERROR(__xludf.DUMMYFUNCTION("""COMPUTED_VALUE"""),"dl")</f>
        <v>dl</v>
      </c>
      <c s="66">
        <f ca="1"/>
        <v>45250</v>
      </c>
      <c s="93" t="str">
        <f t="shared" si="44"/>
        <v>Paused Deadlift</v>
      </c>
      <c s="94">
        <f t="shared" si="62"/>
        <v>3</v>
      </c>
      <c s="95">
        <f t="shared" si="150"/>
        <v>3</v>
      </c>
      <c s="98" t="s">
        <v>159</v>
      </c>
      <c s="97" t="str">
        <f t="array" ref="CO32">IFERROR(IF(CI32="ac"+ISNUMBER(SEARCH("'",CN32))+CM32="","",IF(ISNUMBER(SEARCH("lw",CN32)),CA32+SUBSTITUTE(CN32,"lw+",""),MROUND(_xlfn.SWITCH(CI32,"sq",CM$7,"bn",CN$7,"dl",CO$7,"")*IF(CN32&gt;10,CN32/100,VLOOKUP(CN32,_rpe,SUBSTITUTE(CM32,"+","")+1,0)),IF(_xlfn.SWITCH(CI32,"sq",CM$7,"bn",CN$7,"dl",CO$7,"")&lt;IF(_uom="lbs",175,80),1.25,IF(_uom="lbs",5,2.5))))),"")</f>
        <v/>
      </c>
      <c s="70"/>
      <c s="63"/>
      <c s="97"/>
      <c s="44" t="str">
        <f>IFERROR(__xludf.DUMMYFUNCTION("IF(CO32=MAX(FILTER(CO$10:CO$199,LOOKUP(ROW(CI$10:CI$199),FILTER(ROW(CI$10:CI$199),CI$10:CI$199&lt;&gt;CI$9:CI$198))=LOOKUP(ROW(CI32),FILTER(ROW(CI$10:CI$199),CI$10:CI$199&lt;&gt;CI$9:CI$198)))),CP32,)"),"")</f>
        <v/>
      </c>
      <c s="42"/>
      <c s="65"/>
      <c s="64" t="str">
        <f t="shared" si="27"/>
        <v>DL 1: practice/mod int</v>
      </c>
      <c s="65" t="str">
        <f>IFERROR(__xludf.DUMMYFUNCTION("""COMPUTED_VALUE"""),"dl")</f>
        <v>dl</v>
      </c>
      <c s="66">
        <f ca="1"/>
        <v>45257</v>
      </c>
      <c s="93" t="str">
        <f t="shared" si="45"/>
        <v>Paused Deadlift</v>
      </c>
      <c s="94">
        <v>4</v>
      </c>
      <c s="95">
        <v>2</v>
      </c>
      <c s="98" t="s">
        <v>160</v>
      </c>
      <c s="97" t="str">
        <f t="array" ref="DC32">IFERROR(IF(CW32="ac"+ISNUMBER(SEARCH("'",DB32))+DA32="","",IF(ISNUMBER(SEARCH("lw",DB32)),CO32+SUBSTITUTE(DB32,"lw+",""),MROUND(_xlfn.SWITCH(CW32,"sq",DA$7,"bn",DB$7,"dl",DC$7,"")*IF(DB32&gt;10,DB32/100,VLOOKUP(DB32,_rpe,SUBSTITUTE(DA32,"+","")+1,0)),IF(_xlfn.SWITCH(CW32,"sq",DA$7,"bn",DB$7,"dl",DC$7,"")&lt;IF(_uom="lbs",175,80),1.25,IF(_uom="lbs",5,2.5))))),"")</f>
        <v/>
      </c>
      <c s="70"/>
      <c s="63"/>
      <c s="97"/>
      <c s="44" t="str">
        <f>IFERROR(__xludf.DUMMYFUNCTION("IF(DC32=MAX(FILTER(DC$10:DC$199,LOOKUP(ROW(CW$10:CW$199),FILTER(ROW(CW$10:CW$199),CW$10:CW$199&lt;&gt;CW$9:CW$198))=LOOKUP(ROW(CW32),FILTER(ROW(CW$10:CW$199),CW$10:CW$199&lt;&gt;CW$9:CW$198)))),DD32,)"),"")</f>
        <v/>
      </c>
      <c s="42"/>
      <c s="65"/>
      <c s="64" t="str">
        <f t="shared" si="30"/>
        <v>DL 1: practice/mod int</v>
      </c>
      <c s="65" t="str">
        <f>IFERROR(__xludf.DUMMYFUNCTION("""COMPUTED_VALUE"""),"dl")</f>
        <v>dl</v>
      </c>
      <c s="66">
        <f ca="1"/>
        <v>45264</v>
      </c>
      <c s="93" t="str">
        <f t="shared" si="46"/>
        <v>Paused Deadlift</v>
      </c>
      <c s="94">
        <f t="shared" si="100"/>
        <v>4</v>
      </c>
      <c s="95">
        <v>1</v>
      </c>
      <c s="98" t="str">
        <f>IF(OR(gen="SELECT",gen="MALE"),"80% or @6-7","81% or @6-7")</f>
        <v>80% or @6-7</v>
      </c>
      <c s="97" t="str">
        <f t="array" ref="DQ32">IFERROR(IF(DK32="ac"+ISNUMBER(SEARCH("'",DP32))+DO32="","",IF(ISNUMBER(SEARCH("lw",DP32)),DC32+SUBSTITUTE(DP32,"lw+",""),MROUND(_xlfn.SWITCH(DK32,"sq",DO$7,"bn",DP$7,"dl",DQ$7,"")*IF(DP32&gt;10,DP32/100,VLOOKUP(DP32,_rpe,SUBSTITUTE(DO32,"+","")+1,0)),IF(_xlfn.SWITCH(DK32,"sq",DO$7,"bn",DP$7,"dl",DQ$7,"")&lt;IF(_uom="lbs",175,80),1.25,IF(_uom="lbs",5,2.5))))),"")</f>
        <v/>
      </c>
      <c s="70"/>
      <c s="63"/>
      <c s="97"/>
      <c s="44" t="str">
        <f>IFERROR(__xludf.DUMMYFUNCTION("IF(DQ32=MAX(FILTER(DQ$10:DQ$199,LOOKUP(ROW(DK$10:DK$199),FILTER(ROW(DK$10:DK$199),DK$10:DK$199&lt;&gt;DK$9:DK$198))=LOOKUP(ROW(DK32),FILTER(ROW(DK$10:DK$199),DK$10:DK$199&lt;&gt;DK$9:DK$198)))),DR32,)"),"")</f>
        <v/>
      </c>
      <c s="42"/>
      <c s="65"/>
      <c s="64" t="str">
        <f t="shared" si="32"/>
        <v>DL 1: practice/mod int</v>
      </c>
      <c s="65" t="str">
        <f>IFERROR(__xludf.DUMMYFUNCTION("""COMPUTED_VALUE"""),"dl")</f>
        <v>dl</v>
      </c>
      <c s="66">
        <f ca="1"/>
        <v>45271</v>
      </c>
      <c s="93" t="str">
        <f t="shared" si="47"/>
        <v>Paused Deadlift</v>
      </c>
      <c s="94">
        <f t="shared" si="86"/>
        <v>4</v>
      </c>
      <c s="95">
        <v>4</v>
      </c>
      <c s="98" t="str">
        <f>IF(OR(gen="SELECT",gen="MALE"),"74% or @6-7","75% or @6-7")</f>
        <v>74% or @6-7</v>
      </c>
      <c s="97" t="str">
        <f t="array" ref="EE32">IFERROR(IF(DY32="ac"+ISNUMBER(SEARCH("'",ED32))+EC32="","",IF(ISNUMBER(SEARCH("lw",ED32)),DQ32+SUBSTITUTE(ED32,"lw+",""),MROUND(_xlfn.SWITCH(DY32,"sq",EC$7,"bn",ED$7,"dl",EE$7,"")*IF(ED32&gt;10,ED32/100,VLOOKUP(ED32,_rpe,SUBSTITUTE(EC32,"+","")+1,0)),IF(_xlfn.SWITCH(DY32,"sq",EC$7,"bn",ED$7,"dl",EE$7,"")&lt;IF(_uom="lbs",175,80),1.25,IF(_uom="lbs",5,2.5))))),"")</f>
        <v/>
      </c>
      <c s="70"/>
      <c s="63"/>
      <c s="97"/>
      <c s="44" t="str">
        <f>IFERROR(__xludf.DUMMYFUNCTION("IF(EE32=MAX(FILTER(EE$10:EE$199,LOOKUP(ROW(DY$10:DY$199),FILTER(ROW(DY$10:DY$199),DY$10:DY$199&lt;&gt;DY$9:DY$198))=LOOKUP(ROW(DY32),FILTER(ROW(DY$10:DY$199),DY$10:DY$199&lt;&gt;DY$9:DY$198)))),EF32,)"),"")</f>
        <v/>
      </c>
      <c s="42"/>
      <c s="65"/>
      <c s="64" t="str">
        <f t="shared" si="34"/>
        <v>DL 1: practice/mod int</v>
      </c>
      <c s="65" t="str">
        <f>IFERROR(__xludf.DUMMYFUNCTION("""COMPUTED_VALUE"""),"dl")</f>
        <v>dl</v>
      </c>
      <c s="66">
        <f ca="1"/>
        <v>45278</v>
      </c>
      <c s="93" t="str">
        <f t="shared" si="48"/>
        <v>Paused Deadlift</v>
      </c>
      <c s="94">
        <v>4</v>
      </c>
      <c s="95">
        <v>3</v>
      </c>
      <c s="98" t="str">
        <f>IF(OR(gen="SELECT",gen="MALE"),"77% or @7-7.5","78% or @7-7.5")</f>
        <v>77% or @7-7.5</v>
      </c>
      <c s="97" t="str">
        <f t="array" ref="ES32">IFERROR(IF(EM32="ac"+ISNUMBER(SEARCH("'",ER32))+EQ32="","",IF(ISNUMBER(SEARCH("lw",ER32)),EE32+SUBSTITUTE(ER32,"lw+",""),MROUND(_xlfn.SWITCH(EM32,"sq",EQ$7,"bn",ER$7,"dl",ES$7,"")*IF(ER32&gt;10,ER32/100,VLOOKUP(ER32,_rpe,SUBSTITUTE(EQ32,"+","")+1,0)),IF(_xlfn.SWITCH(EM32,"sq",EQ$7,"bn",ER$7,"dl",ES$7,"")&lt;IF(_uom="lbs",175,80),1.25,IF(_uom="lbs",5,2.5))))),"")</f>
        <v/>
      </c>
      <c s="70"/>
      <c s="63"/>
      <c s="97"/>
      <c s="44" t="str">
        <f>IFERROR(__xludf.DUMMYFUNCTION("IF(ES32=MAX(FILTER(ES$10:ES$199,LOOKUP(ROW(EM$10:EM$199),FILTER(ROW(EM$10:EM$199),EM$10:EM$199&lt;&gt;EM$9:EM$198))=LOOKUP(ROW(EM32),FILTER(ROW(EM$10:EM$199),EM$10:EM$199&lt;&gt;EM$9:EM$198)))),ET32,)"),"")</f>
        <v/>
      </c>
      <c s="42"/>
      <c s="65"/>
      <c s="64" t="str">
        <f t="shared" si="36"/>
        <v>DL 1: practice/mod int</v>
      </c>
      <c s="65" t="str">
        <f>IFERROR(__xludf.DUMMYFUNCTION("""COMPUTED_VALUE"""),"dl")</f>
        <v>dl</v>
      </c>
      <c s="66">
        <f ca="1"/>
        <v>45285</v>
      </c>
      <c s="93" t="str">
        <f t="shared" si="49"/>
        <v>Paused Deadlift</v>
      </c>
      <c s="94">
        <v>5</v>
      </c>
      <c s="95">
        <v>2</v>
      </c>
      <c s="98" t="str">
        <f>IF(OR(gen="SELECT",gen="MALE"),"80% or @8","81% or @8")</f>
        <v>80% or @8</v>
      </c>
      <c s="97" t="str">
        <f t="array" ref="FG32">IFERROR(IF(FA32="ac"+ISNUMBER(SEARCH("'",FF32))+FE32="","",IF(ISNUMBER(SEARCH("lw",FF32)),ES32+SUBSTITUTE(FF32,"lw+",""),MROUND(_xlfn.SWITCH(FA32,"sq",FE$7,"bn",FF$7,"dl",FG$7,"")*IF(FF32&gt;10,FF32/100,VLOOKUP(FF32,_rpe,SUBSTITUTE(FE32,"+","")+1,0)),IF(_xlfn.SWITCH(FA32,"sq",FE$7,"bn",FF$7,"dl",FG$7,"")&lt;IF(_uom="lbs",175,80),1.25,IF(_uom="lbs",5,2.5))))),"")</f>
        <v/>
      </c>
      <c s="70"/>
      <c s="63"/>
      <c s="97"/>
      <c s="44" t="str">
        <f>IFERROR(__xludf.DUMMYFUNCTION("IF(FG32=MAX(FILTER(FG$10:FG$199,LOOKUP(ROW(FA$10:FA$199),FILTER(ROW(FA$10:FA$199),FA$10:FA$199&lt;&gt;FA$9:FA$198))=LOOKUP(ROW(FA32),FILTER(ROW(FA$10:FA$199),FA$10:FA$199&lt;&gt;FA$9:FA$198)))),FH32,)"),"")</f>
        <v/>
      </c>
      <c s="42"/>
      <c s="65"/>
      <c s="64" t="str">
        <f t="shared" si="38"/>
        <v>DL 1: practice/mod int</v>
      </c>
      <c s="65" t="str">
        <f>IFERROR(__xludf.DUMMYFUNCTION("""COMPUTED_VALUE"""),"dl")</f>
        <v>dl</v>
      </c>
      <c s="66">
        <f ca="1"/>
        <v>45292</v>
      </c>
      <c s="93" t="s">
        <v>161</v>
      </c>
      <c s="94">
        <f t="shared" si="183"/>
        <v>5</v>
      </c>
      <c s="103" t="s">
        <v>162</v>
      </c>
      <c s="98">
        <f>IF(OR(gen="SELECT",gen="MALE"),7500%,7600%)</f>
        <v>75</v>
      </c>
      <c s="97">
        <f t="array" ref="FU32">IFERROR(IF(FO32="ac"+ISNUMBER(SEARCH("'",FT32))+FS32="","",IF(ISNUMBER(SEARCH("lw",FT32)),FG32+SUBSTITUTE(FT32,"lw+",""),MROUND(_xlfn.SWITCH(FO32,"sq",FS$7,"bn",FT$7,"dl",FU$7,"")*IF(FT32&gt;10,FT32/100,VLOOKUP(FT32,_rpe,SUBSTITUTE(FS32,"+","")+1,0)),IF(_xlfn.SWITCH(FO32,"sq",FS$7,"bn",FT$7,"dl",FU$7,"")&lt;IF(_uom="lbs",175,80),1.25,IF(_uom="lbs",5,2.5))))),"")</f>
        <v>97.5</v>
      </c>
      <c s="70"/>
      <c s="63"/>
      <c s="97"/>
      <c s="44" t="str">
        <f>IFERROR(__xludf.DUMMYFUNCTION("IF(FU32=MAX(FILTER(FU$10:FU$199,LOOKUP(ROW(FO$10:FO$199),FILTER(ROW(FO$10:FO$199),FO$10:FO$199&lt;&gt;FO$9:FO$198))=LOOKUP(ROW(FO32),FILTER(ROW(FO$10:FO$199),FO$10:FO$199&lt;&gt;FO$9:FO$198)))),FV32,)"),"")</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33" spans="1:259" ht="15.75" hidden="1" outlineLevel="1">
      <c r="A33" s="63"/>
      <c s="64"/>
      <c s="65" t="str">
        <f>IFERROR(__xludf.DUMMYFUNCTION("""COMPUTED_VALUE"""),"")</f>
        <v/>
      </c>
      <c s="66">
        <f ca="1"/>
        <v>45208</v>
      </c>
      <c s="93"/>
      <c s="94"/>
      <c s="95"/>
      <c s="97"/>
      <c s="97" t="str">
        <f t="array" ref="I33">IFERROR(IF(C33="ac"+ISNUMBER(SEARCH("'",H33))+G33="","",MROUND(_xlfn.SWITCH(C33,"sq",'Personal Info'!$O$15,"bn",'Personal Info'!$S$15,"dl",'Personal Info'!$W$15,"")*IF(H33&gt;10,H33/100,VLOOKUP(H33,_rpe,SUBSTITUTE(G33,"+","")+1,0)),IF(_xlfn.SWITCH(C33:C210,"sq",'Personal Info'!$O$15,"bn",'Personal Info'!$S$15,"dl",'Personal Info'!$W$15,"")&lt;IF(_uom="lbs",175,80),1.25,IF(_uom="lbs",5,2.5)))),"")</f>
        <v/>
      </c>
      <c s="70"/>
      <c s="63"/>
      <c s="97"/>
      <c s="44" t="str">
        <f>IFERROR(__xludf.DUMMYFUNCTION("IF(I33=MAX(FILTER(I$10:I$199,LOOKUP(ROW(C$10:C$199),FILTER(ROW(C$10:C$199),C$10:C$199&lt;&gt;C$9:C$198))=LOOKUP(ROW(C33),FILTER(ROW(C$10:C$199),C$10:C$199&lt;&gt;C$9:C$198)))),J33,)"),"")</f>
        <v/>
      </c>
      <c s="42"/>
      <c s="65"/>
      <c s="64" t="str">
        <f t="shared" si="11"/>
        <v/>
      </c>
      <c s="65" t="str">
        <f>IFERROR(__xludf.DUMMYFUNCTION("""COMPUTED_VALUE"""),"")</f>
        <v/>
      </c>
      <c s="66">
        <f ca="1"/>
        <v>45215</v>
      </c>
      <c s="93" t="str">
        <f t="shared" si="12"/>
        <v/>
      </c>
      <c s="94" t="str">
        <f t="shared" si="184" ref="T33:T36">IF(ISBLANK(F33),"",F33)</f>
        <v/>
      </c>
      <c s="95" t="str">
        <f t="shared" si="169"/>
        <v/>
      </c>
      <c s="98" t="str">
        <f t="shared" si="185" ref="V33:V35">IF(ISBLANK(H33),"",H33)</f>
        <v/>
      </c>
      <c s="97" t="str">
        <f t="array" ref="W33">IFERROR(IF(Q33="ac"+ISNUMBER(SEARCH("'",V33))+U33="","",IF(ISNUMBER(SEARCH("lw",V33)),I33+SUBSTITUTE(V33,"lw+",""),MROUND(_xlfn.SWITCH(Q33,"sq",U$7,"bn",V$7,"dl",W$7,"")*IF(V33&gt;10,V33/100,VLOOKUP(V33,_rpe,SUBSTITUTE(U33,"+","")+1,0)),IF(_xlfn.SWITCH(Q33,"sq",U$7,"bn",V$7,"dl",W$7,"")&lt;IF(_uom="lbs",175,80),1.25,IF(_uom="lbs",5,2.5))))),"")</f>
        <v/>
      </c>
      <c s="70"/>
      <c s="63"/>
      <c s="97"/>
      <c s="44" t="str">
        <f>IFERROR(__xludf.DUMMYFUNCTION("IF(W33=MAX(FILTER(W$10:W$199,LOOKUP(ROW(Q$10:Q$199),FILTER(ROW(Q$10:Q$199),Q$10:Q$199&lt;&gt;Q$9:Q$198))=LOOKUP(ROW(Q33),FILTER(ROW(Q$10:Q$199),Q$10:Q$199&lt;&gt;Q$9:Q$198)))),X33,)"),"")</f>
        <v/>
      </c>
      <c s="42"/>
      <c s="65"/>
      <c s="64" t="str">
        <f t="shared" si="14"/>
        <v/>
      </c>
      <c s="65" t="str">
        <f>IFERROR(__xludf.DUMMYFUNCTION("""COMPUTED_VALUE"""),"")</f>
        <v/>
      </c>
      <c s="66">
        <f ca="1"/>
        <v>45222</v>
      </c>
      <c s="93" t="str">
        <f t="shared" si="156"/>
        <v/>
      </c>
      <c s="94" t="str">
        <f t="shared" si="186" ref="AH33:AH76">IF(ISBLANK(T33),"",T33)</f>
        <v/>
      </c>
      <c s="95" t="str">
        <f t="shared" si="172"/>
        <v/>
      </c>
      <c s="98" t="str">
        <f t="shared" si="187" ref="AJ33:AJ35">IF(ISBLANK(V33),"",V33)</f>
        <v/>
      </c>
      <c s="97" t="str">
        <f t="array" ref="AK33">IFERROR(IF(AE33="ac"+ISNUMBER(SEARCH("'",AJ33))+AI33="","",IF(ISNUMBER(SEARCH("lw",AJ33)),W33+SUBSTITUTE(AJ33,"lw+",""),MROUND(_xlfn.SWITCH(AE33,"sq",AI$7,"bn",AJ$7,"dl",AK$7,"")*IF(AJ33&gt;10,AJ33/100,VLOOKUP(AJ33,_rpe,SUBSTITUTE(AI33,"+","")+1,0)),IF(_xlfn.SWITCH(AE33,"sq",AI$7,"bn",AJ$7,"dl",AK$7,"")&lt;IF(_uom="lbs",175,80),1.25,IF(_uom="lbs",5,2.5))))),"")</f>
        <v/>
      </c>
      <c s="70"/>
      <c s="63"/>
      <c s="97"/>
      <c s="44" t="str">
        <f>IFERROR(__xludf.DUMMYFUNCTION("IF(AK33=MAX(FILTER(AK$10:AK$199,LOOKUP(ROW(AE$10:AE$199),FILTER(ROW(AE$10:AE$199),AE$10:AE$199&lt;&gt;AE$9:AE$198))=LOOKUP(ROW(AE33),FILTER(ROW(AE$10:AE$199),AE$10:AE$199&lt;&gt;AE$9:AE$198)))),AL33,)"),"")</f>
        <v/>
      </c>
      <c s="42"/>
      <c s="65"/>
      <c s="64" t="str">
        <f t="shared" si="17"/>
        <v/>
      </c>
      <c s="65" t="str">
        <f>IFERROR(__xludf.DUMMYFUNCTION("""COMPUTED_VALUE"""),"")</f>
        <v/>
      </c>
      <c s="66">
        <f ca="1"/>
        <v>45229</v>
      </c>
      <c s="93" t="str">
        <f t="shared" si="157"/>
        <v/>
      </c>
      <c s="94" t="str">
        <f t="shared" si="188" ref="AV33:AV76">IF(ISBLANK(AH33),"",AH33)</f>
        <v/>
      </c>
      <c s="95" t="str">
        <f t="shared" si="175"/>
        <v/>
      </c>
      <c s="98" t="str">
        <f t="shared" si="189" ref="AX33:AX35">IF(ISBLANK(AJ33),"",AJ33)</f>
        <v/>
      </c>
      <c s="97" t="str">
        <f t="array" ref="AY33">IFERROR(IF(AS33="ac"+ISNUMBER(SEARCH("'",AX33))+AW33="","",IF(ISNUMBER(SEARCH("lw",AX33)),AK33+SUBSTITUTE(AX33,"lw+",""),MROUND(_xlfn.SWITCH(AS33,"sq",AW$7,"bn",AX$7,"dl",AY$7,"")*IF(AX33&gt;10,AX33/100,VLOOKUP(AX33,_rpe,SUBSTITUTE(AW33,"+","")+1,0)),IF(_xlfn.SWITCH(AS33,"sq",AW$7,"bn",AX$7,"dl",AY$7,"")&lt;IF(_uom="lbs",175,80),1.25,IF(_uom="lbs",5,2.5))))),"")</f>
        <v/>
      </c>
      <c s="70"/>
      <c s="63"/>
      <c s="97"/>
      <c s="44" t="str">
        <f>IFERROR(__xludf.DUMMYFUNCTION("IF(AY33=MAX(FILTER(AY$10:AY$199,LOOKUP(ROW(AS$10:AS$199),FILTER(ROW(AS$10:AS$199),AS$10:AS$199&lt;&gt;AS$9:AS$198))=LOOKUP(ROW(AS33),FILTER(ROW(AS$10:AS$199),AS$10:AS$199&lt;&gt;AS$9:AS$198)))),AZ33,)"),"")</f>
        <v/>
      </c>
      <c s="42"/>
      <c s="65"/>
      <c s="64" t="str">
        <f t="shared" si="19"/>
        <v/>
      </c>
      <c s="65" t="str">
        <f>IFERROR(__xludf.DUMMYFUNCTION("""COMPUTED_VALUE"""),"")</f>
        <v/>
      </c>
      <c s="66">
        <f ca="1"/>
        <v>45236</v>
      </c>
      <c s="93" t="str">
        <f t="shared" si="20"/>
        <v/>
      </c>
      <c s="94" t="str">
        <f t="shared" si="190" ref="BJ33:BJ36">IF(ISBLANK(AV33),"",AV33)</f>
        <v/>
      </c>
      <c s="95" t="str">
        <f t="shared" si="191" ref="BK33:BK35">IF(OR(ISBLANK(AW33),AW33=""),"",AW33)</f>
        <v/>
      </c>
      <c s="98" t="str">
        <f t="shared" si="192" ref="BL33:BL35">IF(ISBLANK(AX33),"",AX33)</f>
        <v/>
      </c>
      <c s="97" t="str">
        <f t="array" ref="BM33">IFERROR(IF(BG33="ac"+ISNUMBER(SEARCH("'",BL33))+BK33="","",IF(ISNUMBER(SEARCH("lw",BL33)),AY33+SUBSTITUTE(BL33,"lw+",""),MROUND(_xlfn.SWITCH(BG33,"sq",BK$7,"bn",BL$7,"dl",BM$7,"")*IF(BL33&gt;10,BL33/100,VLOOKUP(BL33,_rpe,SUBSTITUTE(BK33,"+","")+1,0)),IF(_xlfn.SWITCH(BG33,"sq",BK$7,"bn",BL$7,"dl",BM$7,"")&lt;IF(_uom="lbs",175,80),1.25,IF(_uom="lbs",5,2.5))))),"")</f>
        <v/>
      </c>
      <c s="70"/>
      <c s="63"/>
      <c s="97"/>
      <c s="44" t="str">
        <f>IFERROR(__xludf.DUMMYFUNCTION("IF(BM33=MAX(FILTER(BM$10:BM$199,LOOKUP(ROW(BG$10:BG$199),FILTER(ROW(BG$10:BG$199),BG$10:BG$199&lt;&gt;BG$9:BG$198))=LOOKUP(ROW(BG33),FILTER(ROW(BG$10:BG$199),BG$10:BG$199&lt;&gt;BG$9:BG$198)))),BN33,)"),"")</f>
        <v/>
      </c>
      <c s="42"/>
      <c s="65"/>
      <c s="64" t="str">
        <f t="shared" si="21"/>
        <v/>
      </c>
      <c s="65" t="str">
        <f>IFERROR(__xludf.DUMMYFUNCTION("""COMPUTED_VALUE"""),"")</f>
        <v/>
      </c>
      <c s="66">
        <f ca="1"/>
        <v>45243</v>
      </c>
      <c s="93" t="str">
        <f t="shared" si="22"/>
        <v/>
      </c>
      <c s="94" t="str">
        <f t="shared" si="193" ref="BX33:BX36">IF(ISBLANK(BJ33),"",BJ33)</f>
        <v/>
      </c>
      <c s="95" t="str">
        <f t="shared" si="149"/>
        <v/>
      </c>
      <c s="98" t="str">
        <f t="shared" si="194" ref="BZ33:BZ35">IF(ISBLANK(BL33),"",BL33)</f>
        <v/>
      </c>
      <c s="97" t="str">
        <f t="array" ref="CA33">IFERROR(IF(BU33="ac"+ISNUMBER(SEARCH("'",BZ33))+BY33="","",IF(ISNUMBER(SEARCH("lw",BZ33)),BM33+SUBSTITUTE(BZ33,"lw+",""),MROUND(_xlfn.SWITCH(BU33,"sq",BY$7,"bn",BZ$7,"dl",CA$7,"")*IF(BZ33&gt;10,BZ33/100,VLOOKUP(BZ33,_rpe,SUBSTITUTE(BY33,"+","")+1,0)),IF(_xlfn.SWITCH(BU33,"sq",BY$7,"bn",BZ$7,"dl",CA$7,"")&lt;IF(_uom="lbs",175,80),1.25,IF(_uom="lbs",5,2.5))))),"")</f>
        <v/>
      </c>
      <c s="70"/>
      <c s="63"/>
      <c s="97"/>
      <c s="44" t="str">
        <f>IFERROR(__xludf.DUMMYFUNCTION("IF(CA33=MAX(FILTER(CA$10:CA$199,LOOKUP(ROW(BU$10:BU$199),FILTER(ROW(BU$10:BU$199),BU$10:BU$199&lt;&gt;BU$9:BU$198))=LOOKUP(ROW(BU33),FILTER(ROW(BU$10:BU$199),BU$10:BU$199&lt;&gt;BU$9:BU$198)))),CB33,)"),"")</f>
        <v/>
      </c>
      <c s="42"/>
      <c s="65"/>
      <c s="64" t="str">
        <f t="shared" si="24"/>
        <v/>
      </c>
      <c s="65" t="str">
        <f>IFERROR(__xludf.DUMMYFUNCTION("""COMPUTED_VALUE"""),"")</f>
        <v/>
      </c>
      <c s="66">
        <f ca="1"/>
        <v>45250</v>
      </c>
      <c s="93" t="str">
        <f t="shared" si="44"/>
        <v/>
      </c>
      <c s="94" t="str">
        <f t="shared" si="62"/>
        <v/>
      </c>
      <c s="95" t="str">
        <f t="shared" si="150"/>
        <v/>
      </c>
      <c s="98" t="str">
        <f t="shared" si="195" ref="CN33:CN35">IF(ISBLANK(BZ33),"",BZ33)</f>
        <v/>
      </c>
      <c s="97" t="str">
        <f t="array" ref="CO33">IFERROR(IF(CI33="ac"+ISNUMBER(SEARCH("'",CN33))+CM33="","",IF(ISNUMBER(SEARCH("lw",CN33)),CA33+SUBSTITUTE(CN33,"lw+",""),MROUND(_xlfn.SWITCH(CI33,"sq",CM$7,"bn",CN$7,"dl",CO$7,"")*IF(CN33&gt;10,CN33/100,VLOOKUP(CN33,_rpe,SUBSTITUTE(CM33,"+","")+1,0)),IF(_xlfn.SWITCH(CI33,"sq",CM$7,"bn",CN$7,"dl",CO$7,"")&lt;IF(_uom="lbs",175,80),1.25,IF(_uom="lbs",5,2.5))))),"")</f>
        <v/>
      </c>
      <c s="70"/>
      <c s="63"/>
      <c s="97"/>
      <c s="44" t="str">
        <f>IFERROR(__xludf.DUMMYFUNCTION("IF(CO33=MAX(FILTER(CO$10:CO$199,LOOKUP(ROW(CI$10:CI$199),FILTER(ROW(CI$10:CI$199),CI$10:CI$199&lt;&gt;CI$9:CI$198))=LOOKUP(ROW(CI33),FILTER(ROW(CI$10:CI$199),CI$10:CI$199&lt;&gt;CI$9:CI$198)))),CP33,)"),"")</f>
        <v/>
      </c>
      <c s="42"/>
      <c s="65"/>
      <c s="64" t="str">
        <f t="shared" si="27"/>
        <v/>
      </c>
      <c s="65" t="str">
        <f>IFERROR(__xludf.DUMMYFUNCTION("""COMPUTED_VALUE"""),"")</f>
        <v/>
      </c>
      <c s="66">
        <f ca="1"/>
        <v>45257</v>
      </c>
      <c s="93" t="str">
        <f t="shared" si="45"/>
        <v/>
      </c>
      <c s="94" t="str">
        <f t="shared" si="196" ref="CZ33:CZ53">IF(ISBLANK(CL33),"",CL33)</f>
        <v/>
      </c>
      <c s="95" t="str">
        <f t="shared" si="197" ref="DA33:DA36">IF(OR(ISBLANK(CM33),CM33=""),"",CM33)</f>
        <v/>
      </c>
      <c s="98" t="str">
        <f t="shared" si="198" ref="DB33:DB35">IF(ISBLANK(CN33),"",CN33)</f>
        <v/>
      </c>
      <c s="97" t="str">
        <f t="array" ref="DC33">IFERROR(IF(CW33="ac"+ISNUMBER(SEARCH("'",DB33))+DA33="","",IF(ISNUMBER(SEARCH("lw",DB33)),CO33+SUBSTITUTE(DB33,"lw+",""),MROUND(_xlfn.SWITCH(CW33,"sq",DA$7,"bn",DB$7,"dl",DC$7,"")*IF(DB33&gt;10,DB33/100,VLOOKUP(DB33,_rpe,SUBSTITUTE(DA33,"+","")+1,0)),IF(_xlfn.SWITCH(CW33,"sq",DA$7,"bn",DB$7,"dl",DC$7,"")&lt;IF(_uom="lbs",175,80),1.25,IF(_uom="lbs",5,2.5))))),"")</f>
        <v/>
      </c>
      <c s="70"/>
      <c s="63"/>
      <c s="97"/>
      <c s="44" t="str">
        <f>IFERROR(__xludf.DUMMYFUNCTION("IF(DC33=MAX(FILTER(DC$10:DC$199,LOOKUP(ROW(CW$10:CW$199),FILTER(ROW(CW$10:CW$199),CW$10:CW$199&lt;&gt;CW$9:CW$198))=LOOKUP(ROW(CW33),FILTER(ROW(CW$10:CW$199),CW$10:CW$199&lt;&gt;CW$9:CW$198)))),DD33,)"),"")</f>
        <v/>
      </c>
      <c s="42"/>
      <c s="65"/>
      <c s="64" t="str">
        <f t="shared" si="30"/>
        <v/>
      </c>
      <c s="65" t="str">
        <f>IFERROR(__xludf.DUMMYFUNCTION("""COMPUTED_VALUE"""),"")</f>
        <v/>
      </c>
      <c s="66">
        <f ca="1"/>
        <v>45264</v>
      </c>
      <c s="93" t="str">
        <f t="shared" si="46"/>
        <v/>
      </c>
      <c s="94" t="str">
        <f t="shared" si="100"/>
        <v/>
      </c>
      <c s="95" t="str">
        <f t="shared" si="199" ref="DO33:DO36">IF(OR(ISBLANK(DA33),DA33=""),"",DA33)</f>
        <v/>
      </c>
      <c s="98" t="str">
        <f t="shared" si="200" ref="DP33:DP35">IF(ISBLANK(DB33),"",DB33)</f>
        <v/>
      </c>
      <c s="97" t="str">
        <f t="array" ref="DQ33">IFERROR(IF(DK33="ac"+ISNUMBER(SEARCH("'",DP33))+DO33="","",IF(ISNUMBER(SEARCH("lw",DP33)),DC33+SUBSTITUTE(DP33,"lw+",""),MROUND(_xlfn.SWITCH(DK33,"sq",DO$7,"bn",DP$7,"dl",DQ$7,"")*IF(DP33&gt;10,DP33/100,VLOOKUP(DP33,_rpe,SUBSTITUTE(DO33,"+","")+1,0)),IF(_xlfn.SWITCH(DK33,"sq",DO$7,"bn",DP$7,"dl",DQ$7,"")&lt;IF(_uom="lbs",175,80),1.25,IF(_uom="lbs",5,2.5))))),"")</f>
        <v/>
      </c>
      <c s="70"/>
      <c s="63"/>
      <c s="97"/>
      <c s="44" t="str">
        <f>IFERROR(__xludf.DUMMYFUNCTION("IF(DQ33=MAX(FILTER(DQ$10:DQ$199,LOOKUP(ROW(DK$10:DK$199),FILTER(ROW(DK$10:DK$199),DK$10:DK$199&lt;&gt;DK$9:DK$198))=LOOKUP(ROW(DK33),FILTER(ROW(DK$10:DK$199),DK$10:DK$199&lt;&gt;DK$9:DK$198)))),DR33,)"),"")</f>
        <v/>
      </c>
      <c s="42"/>
      <c s="65"/>
      <c s="64" t="str">
        <f t="shared" si="32"/>
        <v/>
      </c>
      <c s="65" t="str">
        <f>IFERROR(__xludf.DUMMYFUNCTION("""COMPUTED_VALUE"""),"")</f>
        <v/>
      </c>
      <c s="66">
        <f ca="1"/>
        <v>45271</v>
      </c>
      <c s="93" t="str">
        <f t="shared" si="47"/>
        <v/>
      </c>
      <c s="94" t="str">
        <f t="shared" si="86"/>
        <v/>
      </c>
      <c s="95" t="str">
        <f t="shared" si="201" ref="EC33:EC35">IF(OR(ISBLANK(DO33),DO33=""),"",DO33)</f>
        <v/>
      </c>
      <c s="98" t="str">
        <f t="shared" si="202" ref="ED33:ED35">IF(ISBLANK(DP33),"",DP33)</f>
        <v/>
      </c>
      <c s="97" t="str">
        <f t="array" ref="EE33">IFERROR(IF(DY33="ac"+ISNUMBER(SEARCH("'",ED33))+EC33="","",IF(ISNUMBER(SEARCH("lw",ED33)),DQ33+SUBSTITUTE(ED33,"lw+",""),MROUND(_xlfn.SWITCH(DY33,"sq",EC$7,"bn",ED$7,"dl",EE$7,"")*IF(ED33&gt;10,ED33/100,VLOOKUP(ED33,_rpe,SUBSTITUTE(EC33,"+","")+1,0)),IF(_xlfn.SWITCH(DY33,"sq",EC$7,"bn",ED$7,"dl",EE$7,"")&lt;IF(_uom="lbs",175,80),1.25,IF(_uom="lbs",5,2.5))))),"")</f>
        <v/>
      </c>
      <c s="70"/>
      <c s="63"/>
      <c s="97"/>
      <c s="44" t="str">
        <f>IFERROR(__xludf.DUMMYFUNCTION("IF(EE33=MAX(FILTER(EE$10:EE$199,LOOKUP(ROW(DY$10:DY$199),FILTER(ROW(DY$10:DY$199),DY$10:DY$199&lt;&gt;DY$9:DY$198))=LOOKUP(ROW(DY33),FILTER(ROW(DY$10:DY$199),DY$10:DY$199&lt;&gt;DY$9:DY$198)))),EF33,)"),"")</f>
        <v/>
      </c>
      <c s="42"/>
      <c s="65"/>
      <c s="64" t="str">
        <f t="shared" si="34"/>
        <v/>
      </c>
      <c s="65" t="str">
        <f>IFERROR(__xludf.DUMMYFUNCTION("""COMPUTED_VALUE"""),"")</f>
        <v/>
      </c>
      <c s="66">
        <f ca="1"/>
        <v>45278</v>
      </c>
      <c s="93" t="str">
        <f t="shared" si="48"/>
        <v/>
      </c>
      <c s="94" t="str">
        <f t="shared" si="203" ref="EP33:EP53">IF(ISBLANK(EB33),"",EB33)</f>
        <v/>
      </c>
      <c s="95" t="str">
        <f t="shared" si="204" ref="EQ33:EQ36">IF(OR(ISBLANK(EC33),EC33=""),"",EC33)</f>
        <v/>
      </c>
      <c s="98" t="str">
        <f t="shared" si="205" ref="ER33:ER35">IF(ISBLANK(ED33),"",ED33)</f>
        <v/>
      </c>
      <c s="97" t="str">
        <f t="array" ref="ES33">IFERROR(IF(EM33="ac"+ISNUMBER(SEARCH("'",ER33))+EQ33="","",IF(ISNUMBER(SEARCH("lw",ER33)),EE33+SUBSTITUTE(ER33,"lw+",""),MROUND(_xlfn.SWITCH(EM33,"sq",EQ$7,"bn",ER$7,"dl",ES$7,"")*IF(ER33&gt;10,ER33/100,VLOOKUP(ER33,_rpe,SUBSTITUTE(EQ33,"+","")+1,0)),IF(_xlfn.SWITCH(EM33,"sq",EQ$7,"bn",ER$7,"dl",ES$7,"")&lt;IF(_uom="lbs",175,80),1.25,IF(_uom="lbs",5,2.5))))),"")</f>
        <v/>
      </c>
      <c s="70"/>
      <c s="63"/>
      <c s="97"/>
      <c s="44" t="str">
        <f>IFERROR(__xludf.DUMMYFUNCTION("IF(ES33=MAX(FILTER(ES$10:ES$199,LOOKUP(ROW(EM$10:EM$199),FILTER(ROW(EM$10:EM$199),EM$10:EM$199&lt;&gt;EM$9:EM$198))=LOOKUP(ROW(EM33),FILTER(ROW(EM$10:EM$199),EM$10:EM$199&lt;&gt;EM$9:EM$198)))),ET33,)"),"")</f>
        <v/>
      </c>
      <c s="42"/>
      <c s="65"/>
      <c s="64" t="str">
        <f t="shared" si="36"/>
        <v/>
      </c>
      <c s="65" t="str">
        <f>IFERROR(__xludf.DUMMYFUNCTION("""COMPUTED_VALUE"""),"")</f>
        <v/>
      </c>
      <c s="66">
        <f ca="1"/>
        <v>45285</v>
      </c>
      <c s="93" t="str">
        <f t="shared" si="49"/>
        <v/>
      </c>
      <c s="94" t="str">
        <f t="shared" si="206" ref="FD33:FD36">IF(ISBLANK(EP33),"",EP33)</f>
        <v/>
      </c>
      <c s="95" t="str">
        <f t="shared" si="207" ref="FE33:FE36">IF(OR(ISBLANK(EQ33),EQ33=""),"",EQ33)</f>
        <v/>
      </c>
      <c s="98" t="str">
        <f t="shared" si="208" ref="FF33:FF35">IF(ISBLANK(ER33),"",ER33)</f>
        <v/>
      </c>
      <c s="97" t="str">
        <f t="array" ref="FG33">IFERROR(IF(FA33="ac"+ISNUMBER(SEARCH("'",FF33))+FE33="","",IF(ISNUMBER(SEARCH("lw",FF33)),ES33+SUBSTITUTE(FF33,"lw+",""),MROUND(_xlfn.SWITCH(FA33,"sq",FE$7,"bn",FF$7,"dl",FG$7,"")*IF(FF33&gt;10,FF33/100,VLOOKUP(FF33,_rpe,SUBSTITUTE(FE33,"+","")+1,0)),IF(_xlfn.SWITCH(FA33,"sq",FE$7,"bn",FF$7,"dl",FG$7,"")&lt;IF(_uom="lbs",175,80),1.25,IF(_uom="lbs",5,2.5))))),"")</f>
        <v/>
      </c>
      <c s="70"/>
      <c s="63"/>
      <c s="97"/>
      <c s="44" t="str">
        <f>IFERROR(__xludf.DUMMYFUNCTION("IF(FG33=MAX(FILTER(FG$10:FG$199,LOOKUP(ROW(FA$10:FA$199),FILTER(ROW(FA$10:FA$199),FA$10:FA$199&lt;&gt;FA$9:FA$198))=LOOKUP(ROW(FA33),FILTER(ROW(FA$10:FA$199),FA$10:FA$199&lt;&gt;FA$9:FA$198)))),FH33,)"),"")</f>
        <v/>
      </c>
      <c s="42"/>
      <c s="65"/>
      <c s="64" t="str">
        <f t="shared" si="38"/>
        <v/>
      </c>
      <c s="65" t="str">
        <f>IFERROR(__xludf.DUMMYFUNCTION("""COMPUTED_VALUE"""),"")</f>
        <v/>
      </c>
      <c s="66">
        <f ca="1"/>
        <v>45292</v>
      </c>
      <c s="93" t="str">
        <f t="shared" si="209" ref="FQ33:FR33">IF(ISBLANK(FC33),"",FC33)</f>
        <v/>
      </c>
      <c s="94" t="str">
        <f t="shared" si="209"/>
        <v/>
      </c>
      <c s="95" t="str">
        <f t="shared" si="210" ref="FS33:FS36">IF(OR(ISBLANK(FE33),FE33=""),"",FE33)</f>
        <v/>
      </c>
      <c s="98" t="str">
        <f t="shared" si="211" ref="FT33:FT35">IF(ISBLANK(FF33),"",FF33)</f>
        <v/>
      </c>
      <c s="97" t="str">
        <f t="array" ref="FU33">IFERROR(IF(FO33="ac"+ISNUMBER(SEARCH("'",FT33))+FS33="","",IF(ISNUMBER(SEARCH("lw",FT33)),FG33+SUBSTITUTE(FT33,"lw+",""),MROUND(_xlfn.SWITCH(FO33,"sq",FS$7,"bn",FT$7,"dl",FU$7,"")*IF(FT33&gt;10,FT33/100,VLOOKUP(FT33,_rpe,SUBSTITUTE(FS33,"+","")+1,0)),IF(_xlfn.SWITCH(FO33,"sq",FS$7,"bn",FT$7,"dl",FU$7,"")&lt;IF(_uom="lbs",175,80),1.25,IF(_uom="lbs",5,2.5))))),"")</f>
        <v/>
      </c>
      <c s="70"/>
      <c s="63"/>
      <c s="97"/>
      <c s="44" t="str">
        <f>IFERROR(__xludf.DUMMYFUNCTION("IF(FU33=MAX(FILTER(FU$10:FU$199,LOOKUP(ROW(FO$10:FO$199),FILTER(ROW(FO$10:FO$199),FO$10:FO$199&lt;&gt;FO$9:FO$198))=LOOKUP(ROW(FO33),FILTER(ROW(FO$10:FO$199),FO$10:FO$199&lt;&gt;FO$9:FO$198)))),FV33,)"),"")</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34" spans="1:259" ht="15.75" hidden="1" outlineLevel="1">
      <c r="A34" s="63"/>
      <c s="64"/>
      <c s="65" t="str">
        <f>IFERROR(__xludf.DUMMYFUNCTION("""COMPUTED_VALUE"""),"")</f>
        <v/>
      </c>
      <c s="66">
        <f ca="1"/>
        <v>45208</v>
      </c>
      <c s="93"/>
      <c s="94"/>
      <c s="95"/>
      <c s="96"/>
      <c s="97" t="str">
        <f t="array" ref="I34">IFERROR(IF(C34="ac"+ISNUMBER(SEARCH("'",H34))+G34="","",MROUND(_xlfn.SWITCH(C34,"sq",'Personal Info'!$O$15,"bn",'Personal Info'!$S$15,"dl",'Personal Info'!$W$15,"")*IF(H34&gt;10,H34/100,VLOOKUP(H34,_rpe,SUBSTITUTE(G34,"+","")+1,0)),IF(_xlfn.SWITCH(C34:C210,"sq",'Personal Info'!$O$15,"bn",'Personal Info'!$S$15,"dl",'Personal Info'!$W$15,"")&lt;IF(_uom="lbs",175,80),1.25,IF(_uom="lbs",5,2.5)))),"")</f>
        <v/>
      </c>
      <c s="70"/>
      <c s="63"/>
      <c s="97"/>
      <c s="44" t="str">
        <f>IFERROR(__xludf.DUMMYFUNCTION("IF(I34=MAX(FILTER(I$10:I$199,LOOKUP(ROW(C$10:C$199),FILTER(ROW(C$10:C$199),C$10:C$199&lt;&gt;C$9:C$198))=LOOKUP(ROW(C34),FILTER(ROW(C$10:C$199),C$10:C$199&lt;&gt;C$9:C$198)))),J34,)"),"")</f>
        <v/>
      </c>
      <c s="42"/>
      <c s="65"/>
      <c s="64" t="str">
        <f t="shared" si="11"/>
        <v/>
      </c>
      <c s="65" t="str">
        <f>IFERROR(__xludf.DUMMYFUNCTION("""COMPUTED_VALUE"""),"")</f>
        <v/>
      </c>
      <c s="66">
        <f ca="1"/>
        <v>45215</v>
      </c>
      <c s="93" t="str">
        <f t="shared" si="12"/>
        <v/>
      </c>
      <c s="94" t="str">
        <f t="shared" si="184"/>
        <v/>
      </c>
      <c s="95" t="str">
        <f t="shared" si="169"/>
        <v/>
      </c>
      <c s="98" t="str">
        <f t="shared" si="185"/>
        <v/>
      </c>
      <c s="97" t="str">
        <f t="array" ref="W34">IFERROR(IF(Q34="ac"+ISNUMBER(SEARCH("'",V34))+U34="","",IF(ISNUMBER(SEARCH("lw",V34)),I34+SUBSTITUTE(V34,"lw+",""),MROUND(_xlfn.SWITCH(Q34,"sq",U$7,"bn",V$7,"dl",W$7,"")*IF(V34&gt;10,V34/100,VLOOKUP(V34,_rpe,SUBSTITUTE(U34,"+","")+1,0)),IF(_xlfn.SWITCH(Q34,"sq",U$7,"bn",V$7,"dl",W$7,"")&lt;IF(_uom="lbs",175,80),1.25,IF(_uom="lbs",5,2.5))))),"")</f>
        <v/>
      </c>
      <c s="70"/>
      <c s="63"/>
      <c s="97"/>
      <c s="44" t="str">
        <f>IFERROR(__xludf.DUMMYFUNCTION("IF(W34=MAX(FILTER(W$10:W$199,LOOKUP(ROW(Q$10:Q$199),FILTER(ROW(Q$10:Q$199),Q$10:Q$199&lt;&gt;Q$9:Q$198))=LOOKUP(ROW(Q34),FILTER(ROW(Q$10:Q$199),Q$10:Q$199&lt;&gt;Q$9:Q$198)))),X34,)"),"")</f>
        <v/>
      </c>
      <c s="42"/>
      <c s="65"/>
      <c s="64" t="str">
        <f t="shared" si="14"/>
        <v/>
      </c>
      <c s="65" t="str">
        <f>IFERROR(__xludf.DUMMYFUNCTION("""COMPUTED_VALUE"""),"")</f>
        <v/>
      </c>
      <c s="66">
        <f ca="1"/>
        <v>45222</v>
      </c>
      <c s="93" t="str">
        <f t="shared" si="156"/>
        <v/>
      </c>
      <c s="94" t="str">
        <f t="shared" si="186"/>
        <v/>
      </c>
      <c s="95" t="str">
        <f t="shared" si="172"/>
        <v/>
      </c>
      <c s="98" t="str">
        <f t="shared" si="187"/>
        <v/>
      </c>
      <c s="97" t="str">
        <f t="array" ref="AK34">IFERROR(IF(AE34="ac"+ISNUMBER(SEARCH("'",AJ34))+AI34="","",IF(ISNUMBER(SEARCH("lw",AJ34)),W34+SUBSTITUTE(AJ34,"lw+",""),MROUND(_xlfn.SWITCH(AE34,"sq",AI$7,"bn",AJ$7,"dl",AK$7,"")*IF(AJ34&gt;10,AJ34/100,VLOOKUP(AJ34,_rpe,SUBSTITUTE(AI34,"+","")+1,0)),IF(_xlfn.SWITCH(AE34,"sq",AI$7,"bn",AJ$7,"dl",AK$7,"")&lt;IF(_uom="lbs",175,80),1.25,IF(_uom="lbs",5,2.5))))),"")</f>
        <v/>
      </c>
      <c s="70"/>
      <c s="63"/>
      <c s="97"/>
      <c s="44" t="str">
        <f>IFERROR(__xludf.DUMMYFUNCTION("IF(AK34=MAX(FILTER(AK$10:AK$199,LOOKUP(ROW(AE$10:AE$199),FILTER(ROW(AE$10:AE$199),AE$10:AE$199&lt;&gt;AE$9:AE$198))=LOOKUP(ROW(AE34),FILTER(ROW(AE$10:AE$199),AE$10:AE$199&lt;&gt;AE$9:AE$198)))),AL34,)"),"")</f>
        <v/>
      </c>
      <c s="42"/>
      <c s="65"/>
      <c s="64" t="str">
        <f t="shared" si="17"/>
        <v/>
      </c>
      <c s="65" t="str">
        <f>IFERROR(__xludf.DUMMYFUNCTION("""COMPUTED_VALUE"""),"")</f>
        <v/>
      </c>
      <c s="66">
        <f ca="1"/>
        <v>45229</v>
      </c>
      <c s="93" t="str">
        <f t="shared" si="157"/>
        <v/>
      </c>
      <c s="94" t="str">
        <f t="shared" si="188"/>
        <v/>
      </c>
      <c s="95" t="str">
        <f t="shared" si="175"/>
        <v/>
      </c>
      <c s="98" t="str">
        <f t="shared" si="189"/>
        <v/>
      </c>
      <c s="97" t="str">
        <f t="array" ref="AY34">IFERROR(IF(AS34="ac"+ISNUMBER(SEARCH("'",AX34))+AW34="","",IF(ISNUMBER(SEARCH("lw",AX34)),AK34+SUBSTITUTE(AX34,"lw+",""),MROUND(_xlfn.SWITCH(AS34,"sq",AW$7,"bn",AX$7,"dl",AY$7,"")*IF(AX34&gt;10,AX34/100,VLOOKUP(AX34,_rpe,SUBSTITUTE(AW34,"+","")+1,0)),IF(_xlfn.SWITCH(AS34,"sq",AW$7,"bn",AX$7,"dl",AY$7,"")&lt;IF(_uom="lbs",175,80),1.25,IF(_uom="lbs",5,2.5))))),"")</f>
        <v/>
      </c>
      <c s="70"/>
      <c s="63"/>
      <c s="97"/>
      <c s="44" t="str">
        <f>IFERROR(__xludf.DUMMYFUNCTION("IF(AY34=MAX(FILTER(AY$10:AY$199,LOOKUP(ROW(AS$10:AS$199),FILTER(ROW(AS$10:AS$199),AS$10:AS$199&lt;&gt;AS$9:AS$198))=LOOKUP(ROW(AS34),FILTER(ROW(AS$10:AS$199),AS$10:AS$199&lt;&gt;AS$9:AS$198)))),AZ34,)"),"")</f>
        <v/>
      </c>
      <c s="42"/>
      <c s="65"/>
      <c s="64" t="str">
        <f t="shared" si="19"/>
        <v/>
      </c>
      <c s="65" t="str">
        <f>IFERROR(__xludf.DUMMYFUNCTION("""COMPUTED_VALUE"""),"")</f>
        <v/>
      </c>
      <c s="66">
        <f ca="1"/>
        <v>45236</v>
      </c>
      <c s="93" t="str">
        <f t="shared" si="20"/>
        <v/>
      </c>
      <c s="94" t="str">
        <f t="shared" si="190"/>
        <v/>
      </c>
      <c s="95" t="str">
        <f t="shared" si="191"/>
        <v/>
      </c>
      <c s="98" t="str">
        <f t="shared" si="192"/>
        <v/>
      </c>
      <c s="97" t="str">
        <f t="array" ref="BM34">IFERROR(IF(BG34="ac"+ISNUMBER(SEARCH("'",BL34))+BK34="","",IF(ISNUMBER(SEARCH("lw",BL34)),AY34+SUBSTITUTE(BL34,"lw+",""),MROUND(_xlfn.SWITCH(BG34,"sq",BK$7,"bn",BL$7,"dl",BM$7,"")*IF(BL34&gt;10,BL34/100,VLOOKUP(BL34,_rpe,SUBSTITUTE(BK34,"+","")+1,0)),IF(_xlfn.SWITCH(BG34,"sq",BK$7,"bn",BL$7,"dl",BM$7,"")&lt;IF(_uom="lbs",175,80),1.25,IF(_uom="lbs",5,2.5))))),"")</f>
        <v/>
      </c>
      <c s="70"/>
      <c s="63"/>
      <c s="97"/>
      <c s="44" t="str">
        <f>IFERROR(__xludf.DUMMYFUNCTION("IF(BM34=MAX(FILTER(BM$10:BM$199,LOOKUP(ROW(BG$10:BG$199),FILTER(ROW(BG$10:BG$199),BG$10:BG$199&lt;&gt;BG$9:BG$198))=LOOKUP(ROW(BG34),FILTER(ROW(BG$10:BG$199),BG$10:BG$199&lt;&gt;BG$9:BG$198)))),BN34,)"),"")</f>
        <v/>
      </c>
      <c s="42"/>
      <c s="65"/>
      <c s="64" t="str">
        <f t="shared" si="21"/>
        <v/>
      </c>
      <c s="65" t="str">
        <f>IFERROR(__xludf.DUMMYFUNCTION("""COMPUTED_VALUE"""),"")</f>
        <v/>
      </c>
      <c s="66">
        <f ca="1"/>
        <v>45243</v>
      </c>
      <c s="93" t="str">
        <f t="shared" si="22"/>
        <v/>
      </c>
      <c s="94" t="str">
        <f t="shared" si="193"/>
        <v/>
      </c>
      <c s="95" t="str">
        <f t="shared" si="149"/>
        <v/>
      </c>
      <c s="98" t="str">
        <f t="shared" si="194"/>
        <v/>
      </c>
      <c s="97" t="str">
        <f t="array" ref="CA34">IFERROR(IF(BU34="ac"+ISNUMBER(SEARCH("'",BZ34))+BY34="","",IF(ISNUMBER(SEARCH("lw",BZ34)),BM34+SUBSTITUTE(BZ34,"lw+",""),MROUND(_xlfn.SWITCH(BU34,"sq",BY$7,"bn",BZ$7,"dl",CA$7,"")*IF(BZ34&gt;10,BZ34/100,VLOOKUP(BZ34,_rpe,SUBSTITUTE(BY34,"+","")+1,0)),IF(_xlfn.SWITCH(BU34,"sq",BY$7,"bn",BZ$7,"dl",CA$7,"")&lt;IF(_uom="lbs",175,80),1.25,IF(_uom="lbs",5,2.5))))),"")</f>
        <v/>
      </c>
      <c s="70"/>
      <c s="63"/>
      <c s="97"/>
      <c s="44" t="str">
        <f>IFERROR(__xludf.DUMMYFUNCTION("IF(CA34=MAX(FILTER(CA$10:CA$199,LOOKUP(ROW(BU$10:BU$199),FILTER(ROW(BU$10:BU$199),BU$10:BU$199&lt;&gt;BU$9:BU$198))=LOOKUP(ROW(BU34),FILTER(ROW(BU$10:BU$199),BU$10:BU$199&lt;&gt;BU$9:BU$198)))),CB34,)"),"")</f>
        <v/>
      </c>
      <c s="42"/>
      <c s="65"/>
      <c s="64" t="str">
        <f t="shared" si="24"/>
        <v/>
      </c>
      <c s="65" t="str">
        <f>IFERROR(__xludf.DUMMYFUNCTION("""COMPUTED_VALUE"""),"")</f>
        <v/>
      </c>
      <c s="66">
        <f ca="1"/>
        <v>45250</v>
      </c>
      <c s="93" t="str">
        <f t="shared" si="44"/>
        <v/>
      </c>
      <c s="94" t="str">
        <f t="shared" si="62"/>
        <v/>
      </c>
      <c s="95" t="str">
        <f t="shared" si="150"/>
        <v/>
      </c>
      <c s="98" t="str">
        <f t="shared" si="195"/>
        <v/>
      </c>
      <c s="97" t="str">
        <f t="array" ref="CO34">IFERROR(IF(CI34="ac"+ISNUMBER(SEARCH("'",CN34))+CM34="","",IF(ISNUMBER(SEARCH("lw",CN34)),CA34+SUBSTITUTE(CN34,"lw+",""),MROUND(_xlfn.SWITCH(CI34,"sq",CM$7,"bn",CN$7,"dl",CO$7,"")*IF(CN34&gt;10,CN34/100,VLOOKUP(CN34,_rpe,SUBSTITUTE(CM34,"+","")+1,0)),IF(_xlfn.SWITCH(CI34,"sq",CM$7,"bn",CN$7,"dl",CO$7,"")&lt;IF(_uom="lbs",175,80),1.25,IF(_uom="lbs",5,2.5))))),"")</f>
        <v/>
      </c>
      <c s="70"/>
      <c s="63"/>
      <c s="97"/>
      <c s="44" t="str">
        <f>IFERROR(__xludf.DUMMYFUNCTION("IF(CO34=MAX(FILTER(CO$10:CO$199,LOOKUP(ROW(CI$10:CI$199),FILTER(ROW(CI$10:CI$199),CI$10:CI$199&lt;&gt;CI$9:CI$198))=LOOKUP(ROW(CI34),FILTER(ROW(CI$10:CI$199),CI$10:CI$199&lt;&gt;CI$9:CI$198)))),CP34,)"),"")</f>
        <v/>
      </c>
      <c s="42"/>
      <c s="65"/>
      <c s="64" t="str">
        <f t="shared" si="27"/>
        <v/>
      </c>
      <c s="65" t="str">
        <f>IFERROR(__xludf.DUMMYFUNCTION("""COMPUTED_VALUE"""),"")</f>
        <v/>
      </c>
      <c s="66">
        <f ca="1"/>
        <v>45257</v>
      </c>
      <c s="93" t="str">
        <f t="shared" si="45"/>
        <v/>
      </c>
      <c s="94" t="str">
        <f t="shared" si="196"/>
        <v/>
      </c>
      <c s="95" t="str">
        <f t="shared" si="197"/>
        <v/>
      </c>
      <c s="98" t="str">
        <f t="shared" si="198"/>
        <v/>
      </c>
      <c s="97" t="str">
        <f t="array" ref="DC34">IFERROR(IF(CW34="ac"+ISNUMBER(SEARCH("'",DB34))+DA34="","",IF(ISNUMBER(SEARCH("lw",DB34)),CO34+SUBSTITUTE(DB34,"lw+",""),MROUND(_xlfn.SWITCH(CW34,"sq",DA$7,"bn",DB$7,"dl",DC$7,"")*IF(DB34&gt;10,DB34/100,VLOOKUP(DB34,_rpe,SUBSTITUTE(DA34,"+","")+1,0)),IF(_xlfn.SWITCH(CW34,"sq",DA$7,"bn",DB$7,"dl",DC$7,"")&lt;IF(_uom="lbs",175,80),1.25,IF(_uom="lbs",5,2.5))))),"")</f>
        <v/>
      </c>
      <c s="70"/>
      <c s="63"/>
      <c s="97"/>
      <c s="44" t="str">
        <f>IFERROR(__xludf.DUMMYFUNCTION("IF(DC34=MAX(FILTER(DC$10:DC$199,LOOKUP(ROW(CW$10:CW$199),FILTER(ROW(CW$10:CW$199),CW$10:CW$199&lt;&gt;CW$9:CW$198))=LOOKUP(ROW(CW34),FILTER(ROW(CW$10:CW$199),CW$10:CW$199&lt;&gt;CW$9:CW$198)))),DD34,)"),"")</f>
        <v/>
      </c>
      <c s="42"/>
      <c s="65"/>
      <c s="64" t="str">
        <f t="shared" si="30"/>
        <v/>
      </c>
      <c s="65" t="str">
        <f>IFERROR(__xludf.DUMMYFUNCTION("""COMPUTED_VALUE"""),"")</f>
        <v/>
      </c>
      <c s="66">
        <f ca="1"/>
        <v>45264</v>
      </c>
      <c s="93" t="str">
        <f t="shared" si="46"/>
        <v/>
      </c>
      <c s="94" t="str">
        <f t="shared" si="100"/>
        <v/>
      </c>
      <c s="95" t="str">
        <f t="shared" si="199"/>
        <v/>
      </c>
      <c s="98" t="str">
        <f t="shared" si="200"/>
        <v/>
      </c>
      <c s="97" t="str">
        <f t="array" ref="DQ34">IFERROR(IF(DK34="ac"+ISNUMBER(SEARCH("'",DP34))+DO34="","",IF(ISNUMBER(SEARCH("lw",DP34)),DC34+SUBSTITUTE(DP34,"lw+",""),MROUND(_xlfn.SWITCH(DK34,"sq",DO$7,"bn",DP$7,"dl",DQ$7,"")*IF(DP34&gt;10,DP34/100,VLOOKUP(DP34,_rpe,SUBSTITUTE(DO34,"+","")+1,0)),IF(_xlfn.SWITCH(DK34,"sq",DO$7,"bn",DP$7,"dl",DQ$7,"")&lt;IF(_uom="lbs",175,80),1.25,IF(_uom="lbs",5,2.5))))),"")</f>
        <v/>
      </c>
      <c s="70"/>
      <c s="63"/>
      <c s="97"/>
      <c s="44" t="str">
        <f>IFERROR(__xludf.DUMMYFUNCTION("IF(DQ34=MAX(FILTER(DQ$10:DQ$199,LOOKUP(ROW(DK$10:DK$199),FILTER(ROW(DK$10:DK$199),DK$10:DK$199&lt;&gt;DK$9:DK$198))=LOOKUP(ROW(DK34),FILTER(ROW(DK$10:DK$199),DK$10:DK$199&lt;&gt;DK$9:DK$198)))),DR34,)"),"")</f>
        <v/>
      </c>
      <c s="42"/>
      <c s="65"/>
      <c s="64" t="str">
        <f t="shared" si="32"/>
        <v/>
      </c>
      <c s="65" t="str">
        <f>IFERROR(__xludf.DUMMYFUNCTION("""COMPUTED_VALUE"""),"")</f>
        <v/>
      </c>
      <c s="66">
        <f ca="1"/>
        <v>45271</v>
      </c>
      <c s="93" t="str">
        <f t="shared" si="47"/>
        <v/>
      </c>
      <c s="94" t="str">
        <f t="shared" si="86"/>
        <v/>
      </c>
      <c s="95" t="str">
        <f t="shared" si="201"/>
        <v/>
      </c>
      <c s="98" t="str">
        <f t="shared" si="202"/>
        <v/>
      </c>
      <c s="97" t="str">
        <f t="array" ref="EE34">IFERROR(IF(DY34="ac"+ISNUMBER(SEARCH("'",ED34))+EC34="","",IF(ISNUMBER(SEARCH("lw",ED34)),DQ34+SUBSTITUTE(ED34,"lw+",""),MROUND(_xlfn.SWITCH(DY34,"sq",EC$7,"bn",ED$7,"dl",EE$7,"")*IF(ED34&gt;10,ED34/100,VLOOKUP(ED34,_rpe,SUBSTITUTE(EC34,"+","")+1,0)),IF(_xlfn.SWITCH(DY34,"sq",EC$7,"bn",ED$7,"dl",EE$7,"")&lt;IF(_uom="lbs",175,80),1.25,IF(_uom="lbs",5,2.5))))),"")</f>
        <v/>
      </c>
      <c s="70"/>
      <c s="63"/>
      <c s="97"/>
      <c s="44" t="str">
        <f>IFERROR(__xludf.DUMMYFUNCTION("IF(EE34=MAX(FILTER(EE$10:EE$199,LOOKUP(ROW(DY$10:DY$199),FILTER(ROW(DY$10:DY$199),DY$10:DY$199&lt;&gt;DY$9:DY$198))=LOOKUP(ROW(DY34),FILTER(ROW(DY$10:DY$199),DY$10:DY$199&lt;&gt;DY$9:DY$198)))),EF34,)"),"")</f>
        <v/>
      </c>
      <c s="42"/>
      <c s="65"/>
      <c s="64" t="str">
        <f t="shared" si="34"/>
        <v/>
      </c>
      <c s="65" t="str">
        <f>IFERROR(__xludf.DUMMYFUNCTION("""COMPUTED_VALUE"""),"")</f>
        <v/>
      </c>
      <c s="66">
        <f ca="1"/>
        <v>45278</v>
      </c>
      <c s="93" t="str">
        <f t="shared" si="48"/>
        <v/>
      </c>
      <c s="94" t="str">
        <f t="shared" si="203"/>
        <v/>
      </c>
      <c s="95" t="str">
        <f t="shared" si="204"/>
        <v/>
      </c>
      <c s="98" t="str">
        <f t="shared" si="205"/>
        <v/>
      </c>
      <c s="97" t="str">
        <f t="array" ref="ES34">IFERROR(IF(EM34="ac"+ISNUMBER(SEARCH("'",ER34))+EQ34="","",IF(ISNUMBER(SEARCH("lw",ER34)),EE34+SUBSTITUTE(ER34,"lw+",""),MROUND(_xlfn.SWITCH(EM34,"sq",EQ$7,"bn",ER$7,"dl",ES$7,"")*IF(ER34&gt;10,ER34/100,VLOOKUP(ER34,_rpe,SUBSTITUTE(EQ34,"+","")+1,0)),IF(_xlfn.SWITCH(EM34,"sq",EQ$7,"bn",ER$7,"dl",ES$7,"")&lt;IF(_uom="lbs",175,80),1.25,IF(_uom="lbs",5,2.5))))),"")</f>
        <v/>
      </c>
      <c s="70"/>
      <c s="63"/>
      <c s="97"/>
      <c s="44" t="str">
        <f>IFERROR(__xludf.DUMMYFUNCTION("IF(ES34=MAX(FILTER(ES$10:ES$199,LOOKUP(ROW(EM$10:EM$199),FILTER(ROW(EM$10:EM$199),EM$10:EM$199&lt;&gt;EM$9:EM$198))=LOOKUP(ROW(EM34),FILTER(ROW(EM$10:EM$199),EM$10:EM$199&lt;&gt;EM$9:EM$198)))),ET34,)"),"")</f>
        <v/>
      </c>
      <c s="42"/>
      <c s="65"/>
      <c s="64" t="str">
        <f t="shared" si="36"/>
        <v/>
      </c>
      <c s="65" t="str">
        <f>IFERROR(__xludf.DUMMYFUNCTION("""COMPUTED_VALUE"""),"")</f>
        <v/>
      </c>
      <c s="66">
        <f ca="1"/>
        <v>45285</v>
      </c>
      <c s="93" t="str">
        <f t="shared" si="49"/>
        <v/>
      </c>
      <c s="94" t="str">
        <f t="shared" si="206"/>
        <v/>
      </c>
      <c s="95" t="str">
        <f t="shared" si="207"/>
        <v/>
      </c>
      <c s="98" t="str">
        <f t="shared" si="208"/>
        <v/>
      </c>
      <c s="97" t="str">
        <f t="array" ref="FG34">IFERROR(IF(FA34="ac"+ISNUMBER(SEARCH("'",FF34))+FE34="","",IF(ISNUMBER(SEARCH("lw",FF34)),ES34+SUBSTITUTE(FF34,"lw+",""),MROUND(_xlfn.SWITCH(FA34,"sq",FE$7,"bn",FF$7,"dl",FG$7,"")*IF(FF34&gt;10,FF34/100,VLOOKUP(FF34,_rpe,SUBSTITUTE(FE34,"+","")+1,0)),IF(_xlfn.SWITCH(FA34,"sq",FE$7,"bn",FF$7,"dl",FG$7,"")&lt;IF(_uom="lbs",175,80),1.25,IF(_uom="lbs",5,2.5))))),"")</f>
        <v/>
      </c>
      <c s="70"/>
      <c s="63"/>
      <c s="97"/>
      <c s="44" t="str">
        <f>IFERROR(__xludf.DUMMYFUNCTION("IF(FG34=MAX(FILTER(FG$10:FG$199,LOOKUP(ROW(FA$10:FA$199),FILTER(ROW(FA$10:FA$199),FA$10:FA$199&lt;&gt;FA$9:FA$198))=LOOKUP(ROW(FA34),FILTER(ROW(FA$10:FA$199),FA$10:FA$199&lt;&gt;FA$9:FA$198)))),FH34,)"),"")</f>
        <v/>
      </c>
      <c s="42"/>
      <c s="65"/>
      <c s="64" t="str">
        <f t="shared" si="38"/>
        <v/>
      </c>
      <c s="65" t="str">
        <f>IFERROR(__xludf.DUMMYFUNCTION("""COMPUTED_VALUE"""),"")</f>
        <v/>
      </c>
      <c s="66">
        <f ca="1"/>
        <v>45292</v>
      </c>
      <c s="93" t="str">
        <f t="shared" si="212" ref="FQ34:FR34">IF(ISBLANK(FC34),"",FC34)</f>
        <v/>
      </c>
      <c s="94" t="str">
        <f t="shared" si="212"/>
        <v/>
      </c>
      <c s="95" t="str">
        <f t="shared" si="210"/>
        <v/>
      </c>
      <c s="98" t="str">
        <f t="shared" si="211"/>
        <v/>
      </c>
      <c s="97" t="str">
        <f t="array" ref="FU34">IFERROR(IF(FO34="ac"+ISNUMBER(SEARCH("'",FT34))+FS34="","",IF(ISNUMBER(SEARCH("lw",FT34)),FG34+SUBSTITUTE(FT34,"lw+",""),MROUND(_xlfn.SWITCH(FO34,"sq",FS$7,"bn",FT$7,"dl",FU$7,"")*IF(FT34&gt;10,FT34/100,VLOOKUP(FT34,_rpe,SUBSTITUTE(FS34,"+","")+1,0)),IF(_xlfn.SWITCH(FO34,"sq",FS$7,"bn",FT$7,"dl",FU$7,"")&lt;IF(_uom="lbs",175,80),1.25,IF(_uom="lbs",5,2.5))))),"")</f>
        <v/>
      </c>
      <c s="70"/>
      <c s="63"/>
      <c s="97"/>
      <c s="44" t="str">
        <f>IFERROR(__xludf.DUMMYFUNCTION("IF(FU34=MAX(FILTER(FU$10:FU$199,LOOKUP(ROW(FO$10:FO$199),FILTER(ROW(FO$10:FO$199),FO$10:FO$199&lt;&gt;FO$9:FO$198))=LOOKUP(ROW(FO34),FILTER(ROW(FO$10:FO$199),FO$10:FO$199&lt;&gt;FO$9:FO$198)))),FV34,)"),"")</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35" spans="1:259" ht="15.75" hidden="1" outlineLevel="1">
      <c r="A35" s="63"/>
      <c s="64"/>
      <c s="65" t="str">
        <f>IFERROR(__xludf.DUMMYFUNCTION("""COMPUTED_VALUE"""),"")</f>
        <v/>
      </c>
      <c s="66">
        <f ca="1"/>
        <v>45208</v>
      </c>
      <c s="93"/>
      <c s="94"/>
      <c s="95"/>
      <c s="96"/>
      <c s="97" t="str">
        <f t="array" ref="I35">IFERROR(IF(C35="ac"+ISNUMBER(SEARCH("'",H35))+G35="","",MROUND(_xlfn.SWITCH(C35,"sq",'Personal Info'!$O$15,"bn",'Personal Info'!$S$15,"dl",'Personal Info'!$W$15,"")*IF(H35&gt;10,H35/100,VLOOKUP(H35,_rpe,SUBSTITUTE(G35,"+","")+1,0)),IF(_xlfn.SWITCH(C35:C210,"sq",'Personal Info'!$O$15,"bn",'Personal Info'!$S$15,"dl",'Personal Info'!$W$15,"")&lt;IF(_uom="lbs",175,80),1.25,IF(_uom="lbs",5,2.5)))),"")</f>
        <v/>
      </c>
      <c s="70"/>
      <c s="63"/>
      <c s="97"/>
      <c s="44" t="str">
        <f>IFERROR(__xludf.DUMMYFUNCTION("IF(I35=MAX(FILTER(I$10:I$199,LOOKUP(ROW(C$10:C$199),FILTER(ROW(C$10:C$199),C$10:C$199&lt;&gt;C$9:C$198))=LOOKUP(ROW(C35),FILTER(ROW(C$10:C$199),C$10:C$199&lt;&gt;C$9:C$198)))),J35,)"),"")</f>
        <v/>
      </c>
      <c s="42"/>
      <c s="65"/>
      <c s="64" t="str">
        <f t="shared" si="11"/>
        <v/>
      </c>
      <c s="65" t="str">
        <f>IFERROR(__xludf.DUMMYFUNCTION("""COMPUTED_VALUE"""),"")</f>
        <v/>
      </c>
      <c s="66">
        <f ca="1"/>
        <v>45215</v>
      </c>
      <c s="93" t="str">
        <f t="shared" si="12"/>
        <v/>
      </c>
      <c s="94" t="str">
        <f t="shared" si="184"/>
        <v/>
      </c>
      <c s="95" t="str">
        <f t="shared" si="169"/>
        <v/>
      </c>
      <c s="98" t="str">
        <f t="shared" si="185"/>
        <v/>
      </c>
      <c s="97" t="str">
        <f t="array" ref="W35">IFERROR(IF(Q35="ac"+ISNUMBER(SEARCH("'",V35))+U35="","",IF(ISNUMBER(SEARCH("lw",V35)),I35+SUBSTITUTE(V35,"lw+",""),MROUND(_xlfn.SWITCH(Q35,"sq",U$7,"bn",V$7,"dl",W$7,"")*IF(V35&gt;10,V35/100,VLOOKUP(V35,_rpe,SUBSTITUTE(U35,"+","")+1,0)),IF(_xlfn.SWITCH(Q35,"sq",U$7,"bn",V$7,"dl",W$7,"")&lt;IF(_uom="lbs",175,80),1.25,IF(_uom="lbs",5,2.5))))),"")</f>
        <v/>
      </c>
      <c s="70"/>
      <c s="63"/>
      <c s="97"/>
      <c s="44" t="str">
        <f>IFERROR(__xludf.DUMMYFUNCTION("IF(W35=MAX(FILTER(W$10:W$199,LOOKUP(ROW(Q$10:Q$199),FILTER(ROW(Q$10:Q$199),Q$10:Q$199&lt;&gt;Q$9:Q$198))=LOOKUP(ROW(Q35),FILTER(ROW(Q$10:Q$199),Q$10:Q$199&lt;&gt;Q$9:Q$198)))),X35,)"),"")</f>
        <v/>
      </c>
      <c s="42"/>
      <c s="65"/>
      <c s="64" t="str">
        <f t="shared" si="14"/>
        <v/>
      </c>
      <c s="65" t="str">
        <f>IFERROR(__xludf.DUMMYFUNCTION("""COMPUTED_VALUE"""),"")</f>
        <v/>
      </c>
      <c s="66">
        <f ca="1"/>
        <v>45222</v>
      </c>
      <c s="93" t="str">
        <f t="shared" si="156"/>
        <v/>
      </c>
      <c s="94" t="str">
        <f t="shared" si="186"/>
        <v/>
      </c>
      <c s="95" t="str">
        <f t="shared" si="172"/>
        <v/>
      </c>
      <c s="98" t="str">
        <f t="shared" si="187"/>
        <v/>
      </c>
      <c s="97" t="str">
        <f t="array" ref="AK35">IFERROR(IF(AE35="ac"+ISNUMBER(SEARCH("'",AJ35))+AI35="","",IF(ISNUMBER(SEARCH("lw",AJ35)),W35+SUBSTITUTE(AJ35,"lw+",""),MROUND(_xlfn.SWITCH(AE35,"sq",AI$7,"bn",AJ$7,"dl",AK$7,"")*IF(AJ35&gt;10,AJ35/100,VLOOKUP(AJ35,_rpe,SUBSTITUTE(AI35,"+","")+1,0)),IF(_xlfn.SWITCH(AE35,"sq",AI$7,"bn",AJ$7,"dl",AK$7,"")&lt;IF(_uom="lbs",175,80),1.25,IF(_uom="lbs",5,2.5))))),"")</f>
        <v/>
      </c>
      <c s="70"/>
      <c s="63"/>
      <c s="97"/>
      <c s="44" t="str">
        <f>IFERROR(__xludf.DUMMYFUNCTION("IF(AK35=MAX(FILTER(AK$10:AK$199,LOOKUP(ROW(AE$10:AE$199),FILTER(ROW(AE$10:AE$199),AE$10:AE$199&lt;&gt;AE$9:AE$198))=LOOKUP(ROW(AE35),FILTER(ROW(AE$10:AE$199),AE$10:AE$199&lt;&gt;AE$9:AE$198)))),AL35,)"),"")</f>
        <v/>
      </c>
      <c s="42"/>
      <c s="65"/>
      <c s="64" t="str">
        <f t="shared" si="17"/>
        <v/>
      </c>
      <c s="65" t="str">
        <f>IFERROR(__xludf.DUMMYFUNCTION("""COMPUTED_VALUE"""),"")</f>
        <v/>
      </c>
      <c s="66">
        <f ca="1"/>
        <v>45229</v>
      </c>
      <c s="93" t="str">
        <f t="shared" si="157"/>
        <v/>
      </c>
      <c s="94" t="str">
        <f t="shared" si="188"/>
        <v/>
      </c>
      <c s="95" t="str">
        <f t="shared" si="175"/>
        <v/>
      </c>
      <c s="98" t="str">
        <f t="shared" si="189"/>
        <v/>
      </c>
      <c s="97" t="str">
        <f t="array" ref="AY35">IFERROR(IF(AS35="ac"+ISNUMBER(SEARCH("'",AX35))+AW35="","",IF(ISNUMBER(SEARCH("lw",AX35)),AK35+SUBSTITUTE(AX35,"lw+",""),MROUND(_xlfn.SWITCH(AS35,"sq",AW$7,"bn",AX$7,"dl",AY$7,"")*IF(AX35&gt;10,AX35/100,VLOOKUP(AX35,_rpe,SUBSTITUTE(AW35,"+","")+1,0)),IF(_xlfn.SWITCH(AS35,"sq",AW$7,"bn",AX$7,"dl",AY$7,"")&lt;IF(_uom="lbs",175,80),1.25,IF(_uom="lbs",5,2.5))))),"")</f>
        <v/>
      </c>
      <c s="70"/>
      <c s="63"/>
      <c s="97"/>
      <c s="44" t="str">
        <f>IFERROR(__xludf.DUMMYFUNCTION("IF(AY35=MAX(FILTER(AY$10:AY$199,LOOKUP(ROW(AS$10:AS$199),FILTER(ROW(AS$10:AS$199),AS$10:AS$199&lt;&gt;AS$9:AS$198))=LOOKUP(ROW(AS35),FILTER(ROW(AS$10:AS$199),AS$10:AS$199&lt;&gt;AS$9:AS$198)))),AZ35,)"),"")</f>
        <v/>
      </c>
      <c s="42"/>
      <c s="65"/>
      <c s="64" t="str">
        <f t="shared" si="19"/>
        <v/>
      </c>
      <c s="65" t="str">
        <f>IFERROR(__xludf.DUMMYFUNCTION("""COMPUTED_VALUE"""),"")</f>
        <v/>
      </c>
      <c s="66">
        <f ca="1"/>
        <v>45236</v>
      </c>
      <c s="93" t="str">
        <f t="shared" si="20"/>
        <v/>
      </c>
      <c s="94" t="str">
        <f t="shared" si="190"/>
        <v/>
      </c>
      <c s="95" t="str">
        <f t="shared" si="191"/>
        <v/>
      </c>
      <c s="98" t="str">
        <f t="shared" si="192"/>
        <v/>
      </c>
      <c s="97" t="str">
        <f t="array" ref="BM35">IFERROR(IF(BG35="ac"+ISNUMBER(SEARCH("'",BL35))+BK35="","",IF(ISNUMBER(SEARCH("lw",BL35)),AY35+SUBSTITUTE(BL35,"lw+",""),MROUND(_xlfn.SWITCH(BG35,"sq",BK$7,"bn",BL$7,"dl",BM$7,"")*IF(BL35&gt;10,BL35/100,VLOOKUP(BL35,_rpe,SUBSTITUTE(BK35,"+","")+1,0)),IF(_xlfn.SWITCH(BG35,"sq",BK$7,"bn",BL$7,"dl",BM$7,"")&lt;IF(_uom="lbs",175,80),1.25,IF(_uom="lbs",5,2.5))))),"")</f>
        <v/>
      </c>
      <c s="70"/>
      <c s="63"/>
      <c s="97"/>
      <c s="44" t="str">
        <f>IFERROR(__xludf.DUMMYFUNCTION("IF(BM35=MAX(FILTER(BM$10:BM$199,LOOKUP(ROW(BG$10:BG$199),FILTER(ROW(BG$10:BG$199),BG$10:BG$199&lt;&gt;BG$9:BG$198))=LOOKUP(ROW(BG35),FILTER(ROW(BG$10:BG$199),BG$10:BG$199&lt;&gt;BG$9:BG$198)))),BN35,)"),"")</f>
        <v/>
      </c>
      <c s="42"/>
      <c s="65"/>
      <c s="64" t="str">
        <f t="shared" si="21"/>
        <v/>
      </c>
      <c s="65" t="str">
        <f>IFERROR(__xludf.DUMMYFUNCTION("""COMPUTED_VALUE"""),"")</f>
        <v/>
      </c>
      <c s="66">
        <f ca="1"/>
        <v>45243</v>
      </c>
      <c s="93" t="str">
        <f t="shared" si="22"/>
        <v/>
      </c>
      <c s="94" t="str">
        <f t="shared" si="193"/>
        <v/>
      </c>
      <c s="95" t="str">
        <f t="shared" si="149"/>
        <v/>
      </c>
      <c s="98" t="str">
        <f t="shared" si="194"/>
        <v/>
      </c>
      <c s="97" t="str">
        <f t="array" ref="CA35">IFERROR(IF(BU35="ac"+ISNUMBER(SEARCH("'",BZ35))+BY35="","",IF(ISNUMBER(SEARCH("lw",BZ35)),BM35+SUBSTITUTE(BZ35,"lw+",""),MROUND(_xlfn.SWITCH(BU35,"sq",BY$7,"bn",BZ$7,"dl",CA$7,"")*IF(BZ35&gt;10,BZ35/100,VLOOKUP(BZ35,_rpe,SUBSTITUTE(BY35,"+","")+1,0)),IF(_xlfn.SWITCH(BU35,"sq",BY$7,"bn",BZ$7,"dl",CA$7,"")&lt;IF(_uom="lbs",175,80),1.25,IF(_uom="lbs",5,2.5))))),"")</f>
        <v/>
      </c>
      <c s="70"/>
      <c s="63"/>
      <c s="97"/>
      <c s="44" t="str">
        <f>IFERROR(__xludf.DUMMYFUNCTION("IF(CA35=MAX(FILTER(CA$10:CA$199,LOOKUP(ROW(BU$10:BU$199),FILTER(ROW(BU$10:BU$199),BU$10:BU$199&lt;&gt;BU$9:BU$198))=LOOKUP(ROW(BU35),FILTER(ROW(BU$10:BU$199),BU$10:BU$199&lt;&gt;BU$9:BU$198)))),CB35,)"),"")</f>
        <v/>
      </c>
      <c s="42"/>
      <c s="65"/>
      <c s="64" t="str">
        <f t="shared" si="24"/>
        <v/>
      </c>
      <c s="65" t="str">
        <f>IFERROR(__xludf.DUMMYFUNCTION("""COMPUTED_VALUE"""),"")</f>
        <v/>
      </c>
      <c s="66">
        <f ca="1"/>
        <v>45250</v>
      </c>
      <c s="93" t="str">
        <f t="shared" si="44"/>
        <v/>
      </c>
      <c s="94" t="str">
        <f t="shared" si="62"/>
        <v/>
      </c>
      <c s="95" t="str">
        <f t="shared" si="150"/>
        <v/>
      </c>
      <c s="98" t="str">
        <f t="shared" si="195"/>
        <v/>
      </c>
      <c s="97" t="str">
        <f t="array" ref="CO35">IFERROR(IF(CI35="ac"+ISNUMBER(SEARCH("'",CN35))+CM35="","",IF(ISNUMBER(SEARCH("lw",CN35)),CA35+SUBSTITUTE(CN35,"lw+",""),MROUND(_xlfn.SWITCH(CI35,"sq",CM$7,"bn",CN$7,"dl",CO$7,"")*IF(CN35&gt;10,CN35/100,VLOOKUP(CN35,_rpe,SUBSTITUTE(CM35,"+","")+1,0)),IF(_xlfn.SWITCH(CI35,"sq",CM$7,"bn",CN$7,"dl",CO$7,"")&lt;IF(_uom="lbs",175,80),1.25,IF(_uom="lbs",5,2.5))))),"")</f>
        <v/>
      </c>
      <c s="70"/>
      <c s="63"/>
      <c s="97"/>
      <c s="44" t="str">
        <f>IFERROR(__xludf.DUMMYFUNCTION("IF(CO35=MAX(FILTER(CO$10:CO$199,LOOKUP(ROW(CI$10:CI$199),FILTER(ROW(CI$10:CI$199),CI$10:CI$199&lt;&gt;CI$9:CI$198))=LOOKUP(ROW(CI35),FILTER(ROW(CI$10:CI$199),CI$10:CI$199&lt;&gt;CI$9:CI$198)))),CP35,)"),"")</f>
        <v/>
      </c>
      <c s="42"/>
      <c s="65"/>
      <c s="64" t="str">
        <f t="shared" si="27"/>
        <v/>
      </c>
      <c s="65" t="str">
        <f>IFERROR(__xludf.DUMMYFUNCTION("""COMPUTED_VALUE"""),"")</f>
        <v/>
      </c>
      <c s="66">
        <f ca="1"/>
        <v>45257</v>
      </c>
      <c s="93" t="str">
        <f t="shared" si="45"/>
        <v/>
      </c>
      <c s="94" t="str">
        <f t="shared" si="196"/>
        <v/>
      </c>
      <c s="95" t="str">
        <f t="shared" si="197"/>
        <v/>
      </c>
      <c s="98" t="str">
        <f t="shared" si="198"/>
        <v/>
      </c>
      <c s="97" t="str">
        <f t="array" ref="DC35">IFERROR(IF(CW35="ac"+ISNUMBER(SEARCH("'",DB35))+DA35="","",IF(ISNUMBER(SEARCH("lw",DB35)),CO35+SUBSTITUTE(DB35,"lw+",""),MROUND(_xlfn.SWITCH(CW35,"sq",DA$7,"bn",DB$7,"dl",DC$7,"")*IF(DB35&gt;10,DB35/100,VLOOKUP(DB35,_rpe,SUBSTITUTE(DA35,"+","")+1,0)),IF(_xlfn.SWITCH(CW35,"sq",DA$7,"bn",DB$7,"dl",DC$7,"")&lt;IF(_uom="lbs",175,80),1.25,IF(_uom="lbs",5,2.5))))),"")</f>
        <v/>
      </c>
      <c s="70"/>
      <c s="63"/>
      <c s="97"/>
      <c s="44" t="str">
        <f>IFERROR(__xludf.DUMMYFUNCTION("IF(DC35=MAX(FILTER(DC$10:DC$199,LOOKUP(ROW(CW$10:CW$199),FILTER(ROW(CW$10:CW$199),CW$10:CW$199&lt;&gt;CW$9:CW$198))=LOOKUP(ROW(CW35),FILTER(ROW(CW$10:CW$199),CW$10:CW$199&lt;&gt;CW$9:CW$198)))),DD35,)"),"")</f>
        <v/>
      </c>
      <c s="42"/>
      <c s="65"/>
      <c s="64" t="str">
        <f t="shared" si="30"/>
        <v/>
      </c>
      <c s="65" t="str">
        <f>IFERROR(__xludf.DUMMYFUNCTION("""COMPUTED_VALUE"""),"")</f>
        <v/>
      </c>
      <c s="66">
        <f ca="1"/>
        <v>45264</v>
      </c>
      <c s="93" t="str">
        <f t="shared" si="46"/>
        <v/>
      </c>
      <c s="94" t="str">
        <f t="shared" si="100"/>
        <v/>
      </c>
      <c s="95" t="str">
        <f t="shared" si="199"/>
        <v/>
      </c>
      <c s="98" t="str">
        <f t="shared" si="200"/>
        <v/>
      </c>
      <c s="97" t="str">
        <f t="array" ref="DQ35">IFERROR(IF(DK35="ac"+ISNUMBER(SEARCH("'",DP35))+DO35="","",IF(ISNUMBER(SEARCH("lw",DP35)),DC35+SUBSTITUTE(DP35,"lw+",""),MROUND(_xlfn.SWITCH(DK35,"sq",DO$7,"bn",DP$7,"dl",DQ$7,"")*IF(DP35&gt;10,DP35/100,VLOOKUP(DP35,_rpe,SUBSTITUTE(DO35,"+","")+1,0)),IF(_xlfn.SWITCH(DK35,"sq",DO$7,"bn",DP$7,"dl",DQ$7,"")&lt;IF(_uom="lbs",175,80),1.25,IF(_uom="lbs",5,2.5))))),"")</f>
        <v/>
      </c>
      <c s="70"/>
      <c s="63"/>
      <c s="97"/>
      <c s="44" t="str">
        <f>IFERROR(__xludf.DUMMYFUNCTION("IF(DQ35=MAX(FILTER(DQ$10:DQ$199,LOOKUP(ROW(DK$10:DK$199),FILTER(ROW(DK$10:DK$199),DK$10:DK$199&lt;&gt;DK$9:DK$198))=LOOKUP(ROW(DK35),FILTER(ROW(DK$10:DK$199),DK$10:DK$199&lt;&gt;DK$9:DK$198)))),DR35,)"),"")</f>
        <v/>
      </c>
      <c s="42"/>
      <c s="65"/>
      <c s="64" t="str">
        <f t="shared" si="32"/>
        <v/>
      </c>
      <c s="65" t="str">
        <f>IFERROR(__xludf.DUMMYFUNCTION("""COMPUTED_VALUE"""),"")</f>
        <v/>
      </c>
      <c s="66">
        <f ca="1"/>
        <v>45271</v>
      </c>
      <c s="93" t="str">
        <f t="shared" si="47"/>
        <v/>
      </c>
      <c s="94" t="str">
        <f t="shared" si="86"/>
        <v/>
      </c>
      <c s="95" t="str">
        <f t="shared" si="201"/>
        <v/>
      </c>
      <c s="98" t="str">
        <f t="shared" si="202"/>
        <v/>
      </c>
      <c s="97" t="str">
        <f t="array" ref="EE35">IFERROR(IF(DY35="ac"+ISNUMBER(SEARCH("'",ED35))+EC35="","",IF(ISNUMBER(SEARCH("lw",ED35)),DQ35+SUBSTITUTE(ED35,"lw+",""),MROUND(_xlfn.SWITCH(DY35,"sq",EC$7,"bn",ED$7,"dl",EE$7,"")*IF(ED35&gt;10,ED35/100,VLOOKUP(ED35,_rpe,SUBSTITUTE(EC35,"+","")+1,0)),IF(_xlfn.SWITCH(DY35,"sq",EC$7,"bn",ED$7,"dl",EE$7,"")&lt;IF(_uom="lbs",175,80),1.25,IF(_uom="lbs",5,2.5))))),"")</f>
        <v/>
      </c>
      <c s="70"/>
      <c s="63"/>
      <c s="97"/>
      <c s="44" t="str">
        <f>IFERROR(__xludf.DUMMYFUNCTION("IF(EE35=MAX(FILTER(EE$10:EE$199,LOOKUP(ROW(DY$10:DY$199),FILTER(ROW(DY$10:DY$199),DY$10:DY$199&lt;&gt;DY$9:DY$198))=LOOKUP(ROW(DY35),FILTER(ROW(DY$10:DY$199),DY$10:DY$199&lt;&gt;DY$9:DY$198)))),EF35,)"),"")</f>
        <v/>
      </c>
      <c s="42"/>
      <c s="65"/>
      <c s="64" t="str">
        <f t="shared" si="34"/>
        <v/>
      </c>
      <c s="65" t="str">
        <f>IFERROR(__xludf.DUMMYFUNCTION("""COMPUTED_VALUE"""),"")</f>
        <v/>
      </c>
      <c s="66">
        <f ca="1"/>
        <v>45278</v>
      </c>
      <c s="93" t="str">
        <f t="shared" si="48"/>
        <v/>
      </c>
      <c s="94" t="str">
        <f t="shared" si="203"/>
        <v/>
      </c>
      <c s="95" t="str">
        <f t="shared" si="204"/>
        <v/>
      </c>
      <c s="98" t="str">
        <f t="shared" si="205"/>
        <v/>
      </c>
      <c s="97" t="str">
        <f t="array" ref="ES35">IFERROR(IF(EM35="ac"+ISNUMBER(SEARCH("'",ER35))+EQ35="","",IF(ISNUMBER(SEARCH("lw",ER35)),EE35+SUBSTITUTE(ER35,"lw+",""),MROUND(_xlfn.SWITCH(EM35,"sq",EQ$7,"bn",ER$7,"dl",ES$7,"")*IF(ER35&gt;10,ER35/100,VLOOKUP(ER35,_rpe,SUBSTITUTE(EQ35,"+","")+1,0)),IF(_xlfn.SWITCH(EM35,"sq",EQ$7,"bn",ER$7,"dl",ES$7,"")&lt;IF(_uom="lbs",175,80),1.25,IF(_uom="lbs",5,2.5))))),"")</f>
        <v/>
      </c>
      <c s="70"/>
      <c s="63"/>
      <c s="97"/>
      <c s="44" t="str">
        <f>IFERROR(__xludf.DUMMYFUNCTION("IF(ES35=MAX(FILTER(ES$10:ES$199,LOOKUP(ROW(EM$10:EM$199),FILTER(ROW(EM$10:EM$199),EM$10:EM$199&lt;&gt;EM$9:EM$198))=LOOKUP(ROW(EM35),FILTER(ROW(EM$10:EM$199),EM$10:EM$199&lt;&gt;EM$9:EM$198)))),ET35,)"),"")</f>
        <v/>
      </c>
      <c s="42"/>
      <c s="65"/>
      <c s="64" t="str">
        <f t="shared" si="36"/>
        <v/>
      </c>
      <c s="65" t="str">
        <f>IFERROR(__xludf.DUMMYFUNCTION("""COMPUTED_VALUE"""),"")</f>
        <v/>
      </c>
      <c s="66">
        <f ca="1"/>
        <v>45285</v>
      </c>
      <c s="93" t="str">
        <f t="shared" si="49"/>
        <v/>
      </c>
      <c s="94" t="str">
        <f t="shared" si="206"/>
        <v/>
      </c>
      <c s="95" t="str">
        <f t="shared" si="207"/>
        <v/>
      </c>
      <c s="98" t="str">
        <f t="shared" si="208"/>
        <v/>
      </c>
      <c s="97" t="str">
        <f t="array" ref="FG35">IFERROR(IF(FA35="ac"+ISNUMBER(SEARCH("'",FF35))+FE35="","",IF(ISNUMBER(SEARCH("lw",FF35)),ES35+SUBSTITUTE(FF35,"lw+",""),MROUND(_xlfn.SWITCH(FA35,"sq",FE$7,"bn",FF$7,"dl",FG$7,"")*IF(FF35&gt;10,FF35/100,VLOOKUP(FF35,_rpe,SUBSTITUTE(FE35,"+","")+1,0)),IF(_xlfn.SWITCH(FA35,"sq",FE$7,"bn",FF$7,"dl",FG$7,"")&lt;IF(_uom="lbs",175,80),1.25,IF(_uom="lbs",5,2.5))))),"")</f>
        <v/>
      </c>
      <c s="70"/>
      <c s="63"/>
      <c s="97"/>
      <c s="44" t="str">
        <f>IFERROR(__xludf.DUMMYFUNCTION("IF(FG35=MAX(FILTER(FG$10:FG$199,LOOKUP(ROW(FA$10:FA$199),FILTER(ROW(FA$10:FA$199),FA$10:FA$199&lt;&gt;FA$9:FA$198))=LOOKUP(ROW(FA35),FILTER(ROW(FA$10:FA$199),FA$10:FA$199&lt;&gt;FA$9:FA$198)))),FH35,)"),"")</f>
        <v/>
      </c>
      <c s="42"/>
      <c s="65"/>
      <c s="64" t="str">
        <f t="shared" si="38"/>
        <v/>
      </c>
      <c s="65" t="str">
        <f>IFERROR(__xludf.DUMMYFUNCTION("""COMPUTED_VALUE"""),"")</f>
        <v/>
      </c>
      <c s="66">
        <f ca="1"/>
        <v>45292</v>
      </c>
      <c s="93" t="str">
        <f t="shared" si="213" ref="FQ35:FR35">IF(ISBLANK(FC35),"",FC35)</f>
        <v/>
      </c>
      <c s="94" t="str">
        <f t="shared" si="213"/>
        <v/>
      </c>
      <c s="95" t="str">
        <f t="shared" si="210"/>
        <v/>
      </c>
      <c s="98" t="str">
        <f t="shared" si="211"/>
        <v/>
      </c>
      <c s="97" t="str">
        <f t="array" ref="FU35">IFERROR(IF(FO35="ac"+ISNUMBER(SEARCH("'",FT35))+FS35="","",IF(ISNUMBER(SEARCH("lw",FT35)),FG35+SUBSTITUTE(FT35,"lw+",""),MROUND(_xlfn.SWITCH(FO35,"sq",FS$7,"bn",FT$7,"dl",FU$7,"")*IF(FT35&gt;10,FT35/100,VLOOKUP(FT35,_rpe,SUBSTITUTE(FS35,"+","")+1,0)),IF(_xlfn.SWITCH(FO35,"sq",FS$7,"bn",FT$7,"dl",FU$7,"")&lt;IF(_uom="lbs",175,80),1.25,IF(_uom="lbs",5,2.5))))),"")</f>
        <v/>
      </c>
      <c s="70"/>
      <c s="63"/>
      <c s="97"/>
      <c s="44" t="str">
        <f>IFERROR(__xludf.DUMMYFUNCTION("IF(FU35=MAX(FILTER(FU$10:FU$199,LOOKUP(ROW(FO$10:FO$199),FILTER(ROW(FO$10:FO$199),FO$10:FO$199&lt;&gt;FO$9:FO$198))=LOOKUP(ROW(FO35),FILTER(ROW(FO$10:FO$199),FO$10:FO$199&lt;&gt;FO$9:FO$198)))),FV35,)"),"")</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36" spans="1:259" ht="15.75">
      <c r="A36" s="63"/>
      <c s="64" t="s">
        <v>163</v>
      </c>
      <c s="65" t="str">
        <f>IFERROR(__xludf.DUMMYFUNCTION("""COMPUTED_VALUE"""),"bn")</f>
        <v>bn</v>
      </c>
      <c s="66">
        <f ca="1"/>
        <v>45208</v>
      </c>
      <c s="93" t="s">
        <v>133</v>
      </c>
      <c s="94">
        <v>1</v>
      </c>
      <c s="95">
        <v>4</v>
      </c>
      <c s="98">
        <f>IF(OR(gen="SELECT",gen="MALE"),7500%,7700%)</f>
        <v>75</v>
      </c>
      <c s="97">
        <f t="array" ref="I36">IFERROR(IF(C36="ac"+ISNUMBER(SEARCH("'",H36))+G36="","",MROUND(_xlfn.SWITCH(C36,"sq",'Personal Info'!$O$15,"bn",'Personal Info'!$S$15,"dl",'Personal Info'!$W$15,"")*IF(H36&gt;10,H36/100,VLOOKUP(H36,_rpe,SUBSTITUTE(G36,"+","")+1,0)),IF(_xlfn.SWITCH(C36:C210,"sq",'Personal Info'!$O$15,"bn",'Personal Info'!$S$15,"dl",'Personal Info'!$W$15,"")&lt;IF(_uom="lbs",175,80),1.25,IF(_uom="lbs",5,2.5)))),"")</f>
        <v>75</v>
      </c>
      <c s="70"/>
      <c s="63"/>
      <c s="97"/>
      <c s="44" t="str">
        <f>IFERROR(__xludf.DUMMYFUNCTION("IF(I36=MAX(FILTER(I$10:I$199,LOOKUP(ROW(C$10:C$199),FILTER(ROW(C$10:C$199),C$10:C$199&lt;&gt;C$9:C$198))=LOOKUP(ROW(C36),FILTER(ROW(C$10:C$199),C$10:C$199&lt;&gt;C$9:C$198)))),J36,)"),"")</f>
        <v/>
      </c>
      <c s="42"/>
      <c s="65"/>
      <c s="64" t="str">
        <f t="shared" si="11"/>
        <v>BN 2: hypertrophy</v>
      </c>
      <c s="65" t="str">
        <f>IFERROR(__xludf.DUMMYFUNCTION("""COMPUTED_VALUE"""),"bn")</f>
        <v>bn</v>
      </c>
      <c s="66">
        <f ca="1"/>
        <v>45215</v>
      </c>
      <c s="93" t="str">
        <f t="shared" si="12"/>
        <v>Bench Press</v>
      </c>
      <c s="94">
        <f t="shared" si="184"/>
        <v>1</v>
      </c>
      <c s="95">
        <f t="shared" si="169"/>
        <v>4</v>
      </c>
      <c s="98">
        <f>IF(OR(gen="SELECT",gen="MALE"),7800%,8000%)</f>
        <v>78</v>
      </c>
      <c s="97">
        <f t="array" ref="W36">IFERROR(IF(Q36="ac"+ISNUMBER(SEARCH("'",V36))+U36="","",IF(ISNUMBER(SEARCH("lw",V36)),I36+SUBSTITUTE(V36,"lw+",""),MROUND(_xlfn.SWITCH(Q36,"sq",U$7,"bn",V$7,"dl",W$7,"")*IF(V36&gt;10,V36/100,VLOOKUP(V36,_rpe,SUBSTITUTE(U36,"+","")+1,0)),IF(_xlfn.SWITCH(Q36,"sq",U$7,"bn",V$7,"dl",W$7,"")&lt;IF(_uom="lbs",175,80),1.25,IF(_uom="lbs",5,2.5))))),"")</f>
        <v>77.5</v>
      </c>
      <c s="70"/>
      <c s="63"/>
      <c s="97"/>
      <c s="44" t="str">
        <f>IFERROR(__xludf.DUMMYFUNCTION("IF(W36=MAX(FILTER(W$10:W$199,LOOKUP(ROW(Q$10:Q$199),FILTER(ROW(Q$10:Q$199),Q$10:Q$199&lt;&gt;Q$9:Q$198))=LOOKUP(ROW(Q36),FILTER(ROW(Q$10:Q$199),Q$10:Q$199&lt;&gt;Q$9:Q$198)))),X36,)"),"")</f>
        <v/>
      </c>
      <c s="42"/>
      <c s="65"/>
      <c s="64" t="str">
        <f t="shared" si="14"/>
        <v>BN 2: hypertrophy</v>
      </c>
      <c s="65" t="str">
        <f>IFERROR(__xludf.DUMMYFUNCTION("""COMPUTED_VALUE"""),"bn")</f>
        <v>bn</v>
      </c>
      <c s="66">
        <f ca="1"/>
        <v>45222</v>
      </c>
      <c s="93" t="str">
        <f t="shared" si="156"/>
        <v>Bench Press</v>
      </c>
      <c s="94">
        <f t="shared" si="186"/>
        <v>1</v>
      </c>
      <c s="95">
        <f t="shared" si="172"/>
        <v>4</v>
      </c>
      <c s="98">
        <f>IF(OR(gen="SELECT",gen="MALE"),8000%,8200%)</f>
        <v>80</v>
      </c>
      <c s="97">
        <f t="array" ref="AK36">IFERROR(IF(AE36="ac"+ISNUMBER(SEARCH("'",AJ36))+AI36="","",IF(ISNUMBER(SEARCH("lw",AJ36)),W36+SUBSTITUTE(AJ36,"lw+",""),MROUND(_xlfn.SWITCH(AE36,"sq",AI$7,"bn",AJ$7,"dl",AK$7,"")*IF(AJ36&gt;10,AJ36/100,VLOOKUP(AJ36,_rpe,SUBSTITUTE(AI36,"+","")+1,0)),IF(_xlfn.SWITCH(AE36,"sq",AI$7,"bn",AJ$7,"dl",AK$7,"")&lt;IF(_uom="lbs",175,80),1.25,IF(_uom="lbs",5,2.5))))),"")</f>
        <v>80</v>
      </c>
      <c s="70"/>
      <c s="63"/>
      <c s="97"/>
      <c s="44" t="str">
        <f>IFERROR(__xludf.DUMMYFUNCTION("IF(AK36=MAX(FILTER(AK$10:AK$199,LOOKUP(ROW(AE$10:AE$199),FILTER(ROW(AE$10:AE$199),AE$10:AE$199&lt;&gt;AE$9:AE$198))=LOOKUP(ROW(AE36),FILTER(ROW(AE$10:AE$199),AE$10:AE$199&lt;&gt;AE$9:AE$198)))),AL36,)"),"")</f>
        <v/>
      </c>
      <c s="42"/>
      <c s="65"/>
      <c s="64" t="str">
        <f t="shared" si="17"/>
        <v>BN 2: hypertrophy</v>
      </c>
      <c s="65" t="str">
        <f>IFERROR(__xludf.DUMMYFUNCTION("""COMPUTED_VALUE"""),"bn")</f>
        <v>bn</v>
      </c>
      <c s="66">
        <f ca="1"/>
        <v>45229</v>
      </c>
      <c s="93" t="str">
        <f t="shared" si="157"/>
        <v>Bench Press</v>
      </c>
      <c s="94">
        <f t="shared" si="188"/>
        <v>1</v>
      </c>
      <c s="95">
        <f t="shared" si="175"/>
        <v>4</v>
      </c>
      <c s="98">
        <f>IF(OR(gen="SELECT",gen="MALE"),8200%,8400%)</f>
        <v>82</v>
      </c>
      <c s="97">
        <f t="array" ref="AY36">IFERROR(IF(AS36="ac"+ISNUMBER(SEARCH("'",AX36))+AW36="","",IF(ISNUMBER(SEARCH("lw",AX36)),AK36+SUBSTITUTE(AX36,"lw+",""),MROUND(_xlfn.SWITCH(AS36,"sq",AW$7,"bn",AX$7,"dl",AY$7,"")*IF(AX36&gt;10,AX36/100,VLOOKUP(AX36,_rpe,SUBSTITUTE(AW36,"+","")+1,0)),IF(_xlfn.SWITCH(AS36,"sq",AW$7,"bn",AX$7,"dl",AY$7,"")&lt;IF(_uom="lbs",175,80),1.25,IF(_uom="lbs",5,2.5))))),"")</f>
        <v>82.5</v>
      </c>
      <c s="70"/>
      <c s="63"/>
      <c s="97"/>
      <c s="44" t="str">
        <f>IFERROR(__xludf.DUMMYFUNCTION("IF(AY36=MAX(FILTER(AY$10:AY$199,LOOKUP(ROW(AS$10:AS$199),FILTER(ROW(AS$10:AS$199),AS$10:AS$199&lt;&gt;AS$9:AS$198))=LOOKUP(ROW(AS36),FILTER(ROW(AS$10:AS$199),AS$10:AS$199&lt;&gt;AS$9:AS$198)))),AZ36,)"),"")</f>
        <v/>
      </c>
      <c s="42"/>
      <c s="65"/>
      <c s="64" t="str">
        <f t="shared" si="19"/>
        <v>BN 2: hypertrophy</v>
      </c>
      <c s="65" t="str">
        <f>IFERROR(__xludf.DUMMYFUNCTION("""COMPUTED_VALUE"""),"bn")</f>
        <v>bn</v>
      </c>
      <c s="66">
        <f ca="1"/>
        <v>45236</v>
      </c>
      <c s="93" t="str">
        <f t="shared" si="20"/>
        <v>Bench Press</v>
      </c>
      <c s="94">
        <f t="shared" si="190"/>
        <v>1</v>
      </c>
      <c s="95">
        <v>3</v>
      </c>
      <c s="98" t="str">
        <f>IF(OR(gen="SELECT",gen="MALE"),"77% or @5","79% or @5")</f>
        <v>77% or @5</v>
      </c>
      <c s="97" t="str">
        <f t="array" ref="BM36">IFERROR(IF(BG36="ac"+ISNUMBER(SEARCH("'",BL36))+BK36="","",IF(ISNUMBER(SEARCH("lw",BL36)),AY36+SUBSTITUTE(BL36,"lw+",""),MROUND(_xlfn.SWITCH(BG36,"sq",BK$7,"bn",BL$7,"dl",BM$7,"")*IF(BL36&gt;10,BL36/100,VLOOKUP(BL36,_rpe,SUBSTITUTE(BK36,"+","")+1,0)),IF(_xlfn.SWITCH(BG36,"sq",BK$7,"bn",BL$7,"dl",BM$7,"")&lt;IF(_uom="lbs",175,80),1.25,IF(_uom="lbs",5,2.5))))),"")</f>
        <v/>
      </c>
      <c s="70"/>
      <c s="63"/>
      <c s="97"/>
      <c s="44" t="str">
        <f>IFERROR(__xludf.DUMMYFUNCTION("IF(BM36=MAX(FILTER(BM$10:BM$199,LOOKUP(ROW(BG$10:BG$199),FILTER(ROW(BG$10:BG$199),BG$10:BG$199&lt;&gt;BG$9:BG$198))=LOOKUP(ROW(BG36),FILTER(ROW(BG$10:BG$199),BG$10:BG$199&lt;&gt;BG$9:BG$198)))),BN36,)"),"")</f>
        <v/>
      </c>
      <c s="42"/>
      <c s="65"/>
      <c s="64" t="str">
        <f t="shared" si="21"/>
        <v>BN 2: hypertrophy</v>
      </c>
      <c s="65" t="str">
        <f>IFERROR(__xludf.DUMMYFUNCTION("""COMPUTED_VALUE"""),"bn")</f>
        <v>bn</v>
      </c>
      <c s="66">
        <f ca="1"/>
        <v>45243</v>
      </c>
      <c s="93" t="str">
        <f t="shared" si="22"/>
        <v>Bench Press</v>
      </c>
      <c s="94">
        <f t="shared" si="193"/>
        <v>1</v>
      </c>
      <c s="95">
        <f t="shared" si="149"/>
        <v>3</v>
      </c>
      <c s="98" t="str">
        <f>IF(OR(gen="SELECT",gen="MALE"),"80% or @5.5","81% or @5.5")</f>
        <v>80% or @5.5</v>
      </c>
      <c s="97" t="str">
        <f t="array" ref="CA36">IFERROR(IF(BU36="ac"+ISNUMBER(SEARCH("'",BZ36))+BY36="","",IF(ISNUMBER(SEARCH("lw",BZ36)),BM36+SUBSTITUTE(BZ36,"lw+",""),MROUND(_xlfn.SWITCH(BU36,"sq",BY$7,"bn",BZ$7,"dl",CA$7,"")*IF(BZ36&gt;10,BZ36/100,VLOOKUP(BZ36,_rpe,SUBSTITUTE(BY36,"+","")+1,0)),IF(_xlfn.SWITCH(BU36,"sq",BY$7,"bn",BZ$7,"dl",CA$7,"")&lt;IF(_uom="lbs",175,80),1.25,IF(_uom="lbs",5,2.5))))),"")</f>
        <v/>
      </c>
      <c s="70"/>
      <c s="63"/>
      <c s="97"/>
      <c s="44" t="str">
        <f>IFERROR(__xludf.DUMMYFUNCTION("IF(CA36=MAX(FILTER(CA$10:CA$199,LOOKUP(ROW(BU$10:BU$199),FILTER(ROW(BU$10:BU$199),BU$10:BU$199&lt;&gt;BU$9:BU$198))=LOOKUP(ROW(BU36),FILTER(ROW(BU$10:BU$199),BU$10:BU$199&lt;&gt;BU$9:BU$198)))),CB36,)"),"")</f>
        <v/>
      </c>
      <c s="42"/>
      <c s="65"/>
      <c s="64" t="str">
        <f t="shared" si="24"/>
        <v>BN 2: hypertrophy</v>
      </c>
      <c s="65" t="str">
        <f>IFERROR(__xludf.DUMMYFUNCTION("""COMPUTED_VALUE"""),"bn")</f>
        <v>bn</v>
      </c>
      <c s="66">
        <f ca="1"/>
        <v>45250</v>
      </c>
      <c s="93" t="str">
        <f t="shared" si="44"/>
        <v>Bench Press</v>
      </c>
      <c s="94">
        <f t="shared" si="62"/>
        <v>1</v>
      </c>
      <c s="95">
        <f t="shared" si="150"/>
        <v>3</v>
      </c>
      <c s="98" t="str">
        <f>IF(OR(gen="SELECT",gen="MALE"),"82% or @6","83% or @6")</f>
        <v>82% or @6</v>
      </c>
      <c s="97" t="str">
        <f t="array" ref="CO36">IFERROR(IF(CI36="ac"+ISNUMBER(SEARCH("'",CN36))+CM36="","",IF(ISNUMBER(SEARCH("lw",CN36)),CA36+SUBSTITUTE(CN36,"lw+",""),MROUND(_xlfn.SWITCH(CI36,"sq",CM$7,"bn",CN$7,"dl",CO$7,"")*IF(CN36&gt;10,CN36/100,VLOOKUP(CN36,_rpe,SUBSTITUTE(CM36,"+","")+1,0)),IF(_xlfn.SWITCH(CI36,"sq",CM$7,"bn",CN$7,"dl",CO$7,"")&lt;IF(_uom="lbs",175,80),1.25,IF(_uom="lbs",5,2.5))))),"")</f>
        <v/>
      </c>
      <c s="70"/>
      <c s="63"/>
      <c s="97"/>
      <c s="44" t="str">
        <f>IFERROR(__xludf.DUMMYFUNCTION("IF(CO36=MAX(FILTER(CO$10:CO$199,LOOKUP(ROW(CI$10:CI$199),FILTER(ROW(CI$10:CI$199),CI$10:CI$199&lt;&gt;CI$9:CI$198))=LOOKUP(ROW(CI36),FILTER(ROW(CI$10:CI$199),CI$10:CI$199&lt;&gt;CI$9:CI$198)))),CP36,)"),"")</f>
        <v/>
      </c>
      <c s="42"/>
      <c s="65"/>
      <c s="64" t="str">
        <f t="shared" si="27"/>
        <v>BN 2: hypertrophy</v>
      </c>
      <c s="65" t="str">
        <f>IFERROR(__xludf.DUMMYFUNCTION("""COMPUTED_VALUE"""),"bn")</f>
        <v>bn</v>
      </c>
      <c s="66">
        <f ca="1"/>
        <v>45257</v>
      </c>
      <c s="93" t="str">
        <f t="shared" si="45"/>
        <v>Bench Press</v>
      </c>
      <c s="94">
        <f t="shared" si="196"/>
        <v>1</v>
      </c>
      <c s="95">
        <f t="shared" si="197"/>
        <v>3</v>
      </c>
      <c s="98" t="str">
        <f>IF(OR(gen="SELECT",gen="MALE"),"84% or @7","85% or @7")</f>
        <v>84% or @7</v>
      </c>
      <c s="97" t="str">
        <f t="array" ref="DC36">IFERROR(IF(CW36="ac"+ISNUMBER(SEARCH("'",DB36))+DA36="","",IF(ISNUMBER(SEARCH("lw",DB36)),CO36+SUBSTITUTE(DB36,"lw+",""),MROUND(_xlfn.SWITCH(CW36,"sq",DA$7,"bn",DB$7,"dl",DC$7,"")*IF(DB36&gt;10,DB36/100,VLOOKUP(DB36,_rpe,SUBSTITUTE(DA36,"+","")+1,0)),IF(_xlfn.SWITCH(CW36,"sq",DA$7,"bn",DB$7,"dl",DC$7,"")&lt;IF(_uom="lbs",175,80),1.25,IF(_uom="lbs",5,2.5))))),"")</f>
        <v/>
      </c>
      <c s="70"/>
      <c s="63"/>
      <c s="97"/>
      <c s="44" t="str">
        <f>IFERROR(__xludf.DUMMYFUNCTION("IF(DC36=MAX(FILTER(DC$10:DC$199,LOOKUP(ROW(CW$10:CW$199),FILTER(ROW(CW$10:CW$199),CW$10:CW$199&lt;&gt;CW$9:CW$198))=LOOKUP(ROW(CW36),FILTER(ROW(CW$10:CW$199),CW$10:CW$199&lt;&gt;CW$9:CW$198)))),DD36,)"),"")</f>
        <v/>
      </c>
      <c s="42"/>
      <c s="65"/>
      <c s="64" t="str">
        <f t="shared" si="30"/>
        <v>BN 2: hypertrophy</v>
      </c>
      <c s="65" t="str">
        <f>IFERROR(__xludf.DUMMYFUNCTION("""COMPUTED_VALUE"""),"bn")</f>
        <v>bn</v>
      </c>
      <c s="66">
        <f ca="1"/>
        <v>45264</v>
      </c>
      <c s="93" t="str">
        <f t="shared" si="46"/>
        <v>Bench Press</v>
      </c>
      <c s="94">
        <f t="shared" si="100"/>
        <v>1</v>
      </c>
      <c s="95">
        <f t="shared" si="199"/>
        <v>3</v>
      </c>
      <c s="106" t="s">
        <v>164</v>
      </c>
      <c s="97" t="str">
        <f t="array" ref="DQ36">IFERROR(IF(DK36="ac"+ISNUMBER(SEARCH("'",DP36))+DO36="","",IF(ISNUMBER(SEARCH("lw",DP36)),DC36+SUBSTITUTE(DP36,"lw+",""),MROUND(_xlfn.SWITCH(DK36,"sq",DO$7,"bn",DP$7,"dl",DQ$7,"")*IF(DP36&gt;10,DP36/100,VLOOKUP(DP36,_rpe,SUBSTITUTE(DO36,"+","")+1,0)),IF(_xlfn.SWITCH(DK36,"sq",DO$7,"bn",DP$7,"dl",DQ$7,"")&lt;IF(_uom="lbs",175,80),1.25,IF(_uom="lbs",5,2.5))))),"")</f>
        <v/>
      </c>
      <c s="70"/>
      <c s="63"/>
      <c s="97"/>
      <c s="44" t="str">
        <f>IFERROR(__xludf.DUMMYFUNCTION("IF(DQ36=MAX(FILTER(DQ$10:DQ$199,LOOKUP(ROW(DK$10:DK$199),FILTER(ROW(DK$10:DK$199),DK$10:DK$199&lt;&gt;DK$9:DK$198))=LOOKUP(ROW(DK36),FILTER(ROW(DK$10:DK$199),DK$10:DK$199&lt;&gt;DK$9:DK$198)))),DR36,)"),"")</f>
        <v/>
      </c>
      <c s="42"/>
      <c s="65"/>
      <c s="64" t="str">
        <f t="shared" si="32"/>
        <v>BN 2: hypertrophy</v>
      </c>
      <c s="65" t="str">
        <f>IFERROR(__xludf.DUMMYFUNCTION("""COMPUTED_VALUE"""),"bn")</f>
        <v>bn</v>
      </c>
      <c s="66">
        <f ca="1"/>
        <v>45271</v>
      </c>
      <c s="93" t="str">
        <f t="shared" si="47"/>
        <v>Bench Press</v>
      </c>
      <c s="94">
        <f t="shared" si="86"/>
        <v>1</v>
      </c>
      <c s="95">
        <v>2</v>
      </c>
      <c s="98" t="s">
        <v>165</v>
      </c>
      <c s="97" t="str">
        <f t="array" ref="EE36">IFERROR(IF(DY36="ac"+ISNUMBER(SEARCH("'",ED36))+EC36="","",IF(ISNUMBER(SEARCH("lw",ED36)),DQ36+SUBSTITUTE(ED36,"lw+",""),MROUND(_xlfn.SWITCH(DY36,"sq",EC$7,"bn",ED$7,"dl",EE$7,"")*IF(ED36&gt;10,ED36/100,VLOOKUP(ED36,_rpe,SUBSTITUTE(EC36,"+","")+1,0)),IF(_xlfn.SWITCH(DY36,"sq",EC$7,"bn",ED$7,"dl",EE$7,"")&lt;IF(_uom="lbs",175,80),1.25,IF(_uom="lbs",5,2.5))))),"")</f>
        <v/>
      </c>
      <c s="70"/>
      <c s="63"/>
      <c s="97"/>
      <c s="44" t="str">
        <f>IFERROR(__xludf.DUMMYFUNCTION("IF(EE36=MAX(FILTER(EE$10:EE$199,LOOKUP(ROW(DY$10:DY$199),FILTER(ROW(DY$10:DY$199),DY$10:DY$199&lt;&gt;DY$9:DY$198))=LOOKUP(ROW(DY36),FILTER(ROW(DY$10:DY$199),DY$10:DY$199&lt;&gt;DY$9:DY$198)))),EF36,)"),"")</f>
        <v/>
      </c>
      <c s="42"/>
      <c s="65"/>
      <c s="64" t="str">
        <f t="shared" si="34"/>
        <v>BN 2: hypertrophy</v>
      </c>
      <c s="65" t="str">
        <f>IFERROR(__xludf.DUMMYFUNCTION("""COMPUTED_VALUE"""),"bn")</f>
        <v>bn</v>
      </c>
      <c s="66">
        <f ca="1"/>
        <v>45278</v>
      </c>
      <c s="93" t="str">
        <f t="shared" si="48"/>
        <v>Bench Press</v>
      </c>
      <c s="94">
        <f t="shared" si="203"/>
        <v>1</v>
      </c>
      <c s="95">
        <f t="shared" si="204"/>
        <v>2</v>
      </c>
      <c s="98" t="s">
        <v>134</v>
      </c>
      <c s="97" t="str">
        <f t="array" ref="ES36">IFERROR(IF(EM36="ac"+ISNUMBER(SEARCH("'",ER36))+EQ36="","",IF(ISNUMBER(SEARCH("lw",ER36)),EE36+SUBSTITUTE(ER36,"lw+",""),MROUND(_xlfn.SWITCH(EM36,"sq",EQ$7,"bn",ER$7,"dl",ES$7,"")*IF(ER36&gt;10,ER36/100,VLOOKUP(ER36,_rpe,SUBSTITUTE(EQ36,"+","")+1,0)),IF(_xlfn.SWITCH(EM36,"sq",EQ$7,"bn",ER$7,"dl",ES$7,"")&lt;IF(_uom="lbs",175,80),1.25,IF(_uom="lbs",5,2.5))))),"")</f>
        <v/>
      </c>
      <c s="70"/>
      <c s="63"/>
      <c s="97"/>
      <c s="44" t="str">
        <f>IFERROR(__xludf.DUMMYFUNCTION("IF(ES36=MAX(FILTER(ES$10:ES$199,LOOKUP(ROW(EM$10:EM$199),FILTER(ROW(EM$10:EM$199),EM$10:EM$199&lt;&gt;EM$9:EM$198))=LOOKUP(ROW(EM36),FILTER(ROW(EM$10:EM$199),EM$10:EM$199&lt;&gt;EM$9:EM$198)))),ET36,)"),"")</f>
        <v/>
      </c>
      <c s="42"/>
      <c s="65"/>
      <c s="64" t="str">
        <f t="shared" si="36"/>
        <v>BN 2: hypertrophy</v>
      </c>
      <c s="65" t="str">
        <f>IFERROR(__xludf.DUMMYFUNCTION("""COMPUTED_VALUE"""),"bn")</f>
        <v>bn</v>
      </c>
      <c s="66">
        <f ca="1"/>
        <v>45285</v>
      </c>
      <c s="93" t="str">
        <f t="shared" si="49"/>
        <v>Bench Press</v>
      </c>
      <c s="94">
        <f t="shared" si="206"/>
        <v>1</v>
      </c>
      <c s="95">
        <f t="shared" si="207"/>
        <v>2</v>
      </c>
      <c s="98" t="s">
        <v>166</v>
      </c>
      <c s="97" t="str">
        <f t="array" ref="FG36">IFERROR(IF(FA36="ac"+ISNUMBER(SEARCH("'",FF36))+FE36="","",IF(ISNUMBER(SEARCH("lw",FF36)),ES36+SUBSTITUTE(FF36,"lw+",""),MROUND(_xlfn.SWITCH(FA36,"sq",FE$7,"bn",FF$7,"dl",FG$7,"")*IF(FF36&gt;10,FF36/100,VLOOKUP(FF36,_rpe,SUBSTITUTE(FE36,"+","")+1,0)),IF(_xlfn.SWITCH(FA36,"sq",FE$7,"bn",FF$7,"dl",FG$7,"")&lt;IF(_uom="lbs",175,80),1.25,IF(_uom="lbs",5,2.5))))),"")</f>
        <v/>
      </c>
      <c s="70"/>
      <c s="63"/>
      <c s="97"/>
      <c s="44" t="str">
        <f>IFERROR(__xludf.DUMMYFUNCTION("IF(FG36=MAX(FILTER(FG$10:FG$199,LOOKUP(ROW(FA$10:FA$199),FILTER(ROW(FA$10:FA$199),FA$10:FA$199&lt;&gt;FA$9:FA$198))=LOOKUP(ROW(FA36),FILTER(ROW(FA$10:FA$199),FA$10:FA$199&lt;&gt;FA$9:FA$198)))),FH36,)"),"")</f>
        <v/>
      </c>
      <c s="42"/>
      <c s="65"/>
      <c s="64" t="str">
        <f t="shared" si="38"/>
        <v>BN 2: hypertrophy</v>
      </c>
      <c s="65" t="str">
        <f>IFERROR(__xludf.DUMMYFUNCTION("""COMPUTED_VALUE"""),"bn")</f>
        <v>bn</v>
      </c>
      <c s="66">
        <f ca="1"/>
        <v>45292</v>
      </c>
      <c s="93" t="str">
        <f t="shared" si="214" ref="FQ36:FR36">IF(ISBLANK(FC36),"",FC36)</f>
        <v>Bench Press</v>
      </c>
      <c s="94">
        <f t="shared" si="214"/>
        <v>1</v>
      </c>
      <c s="95">
        <f t="shared" si="210"/>
        <v>2</v>
      </c>
      <c s="98" t="s">
        <v>167</v>
      </c>
      <c s="97" t="str">
        <f t="array" ref="FU36">IFERROR(IF(FO36="ac"+ISNUMBER(SEARCH("'",FT36))+FS36="","",IF(ISNUMBER(SEARCH("lw",FT36)),FG36+SUBSTITUTE(FT36,"lw+",""),MROUND(_xlfn.SWITCH(FO36,"sq",FS$7,"bn",FT$7,"dl",FU$7,"")*IF(FT36&gt;10,FT36/100,VLOOKUP(FT36,_rpe,SUBSTITUTE(FS36,"+","")+1,0)),IF(_xlfn.SWITCH(FO36,"sq",FS$7,"bn",FT$7,"dl",FU$7,"")&lt;IF(_uom="lbs",175,80),1.25,IF(_uom="lbs",5,2.5))))),"")</f>
        <v/>
      </c>
      <c s="70"/>
      <c s="63"/>
      <c s="97"/>
      <c s="44" t="str">
        <f>IFERROR(__xludf.DUMMYFUNCTION("IF(FU36=MAX(FILTER(FU$10:FU$199,LOOKUP(ROW(FO$10:FO$199),FILTER(ROW(FO$10:FO$199),FO$10:FO$199&lt;&gt;FO$9:FO$198))=LOOKUP(ROW(FO36),FILTER(ROW(FO$10:FO$199),FO$10:FO$199&lt;&gt;FO$9:FO$198)))),FV36,)"),"")</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37" spans="1:259" ht="15.75" outlineLevel="1">
      <c r="A37" s="63"/>
      <c s="64"/>
      <c s="65" t="str">
        <f>IFERROR(__xludf.DUMMYFUNCTION("""COMPUTED_VALUE"""),"bn")</f>
        <v>bn</v>
      </c>
      <c s="66">
        <f ca="1"/>
        <v>45208</v>
      </c>
      <c s="93" t="s">
        <v>130</v>
      </c>
      <c s="94">
        <v>2</v>
      </c>
      <c s="95">
        <v>8</v>
      </c>
      <c s="98">
        <f>IF(OR(gen="SELECT",gen="MALE"),6500%,6700%)</f>
        <v>65</v>
      </c>
      <c s="97">
        <f t="array" ref="I37">IFERROR(IF(C37="ac"+ISNUMBER(SEARCH("'",H37))+G37="","",MROUND(_xlfn.SWITCH(C37,"sq",'Personal Info'!$O$15,"bn",'Personal Info'!$S$15,"dl",'Personal Info'!$W$15,"")*IF(H37&gt;10,H37/100,VLOOKUP(H37,_rpe,SUBSTITUTE(G37,"+","")+1,0)),IF(_xlfn.SWITCH(C37:C210,"sq",'Personal Info'!$O$15,"bn",'Personal Info'!$S$15,"dl",'Personal Info'!$W$15,"")&lt;IF(_uom="lbs",175,80),1.25,IF(_uom="lbs",5,2.5)))),"")</f>
        <v>65</v>
      </c>
      <c s="70"/>
      <c s="63"/>
      <c s="97"/>
      <c s="44" t="str">
        <f>IFERROR(__xludf.DUMMYFUNCTION("IF(I37=MAX(FILTER(I$10:I$199,LOOKUP(ROW(C$10:C$199),FILTER(ROW(C$10:C$199),C$10:C$199&lt;&gt;C$9:C$198))=LOOKUP(ROW(C37),FILTER(ROW(C$10:C$199),C$10:C$199&lt;&gt;C$9:C$198)))),J37,)"),"")</f>
        <v/>
      </c>
      <c s="42"/>
      <c s="81"/>
      <c s="64" t="str">
        <f t="shared" si="11"/>
        <v/>
      </c>
      <c s="65" t="str">
        <f>IFERROR(__xludf.DUMMYFUNCTION("""COMPUTED_VALUE"""),"bn")</f>
        <v>bn</v>
      </c>
      <c s="66">
        <f ca="1"/>
        <v>45215</v>
      </c>
      <c s="93" t="str">
        <f t="shared" si="12"/>
        <v>-</v>
      </c>
      <c s="94">
        <v>3</v>
      </c>
      <c s="95">
        <f t="shared" si="169"/>
        <v>8</v>
      </c>
      <c s="98">
        <f>IF(OR(gen="SELECT",gen="MALE"),6800%,7000%)</f>
        <v>68</v>
      </c>
      <c s="97">
        <f t="array" ref="W37">IFERROR(IF(Q37="ac"+ISNUMBER(SEARCH("'",V37))+U37="","",IF(ISNUMBER(SEARCH("lw",V37)),I37+SUBSTITUTE(V37,"lw+",""),MROUND(_xlfn.SWITCH(Q37,"sq",U$7,"bn",V$7,"dl",W$7,"")*IF(V37&gt;10,V37/100,VLOOKUP(V37,_rpe,SUBSTITUTE(U37,"+","")+1,0)),IF(_xlfn.SWITCH(Q37,"sq",U$7,"bn",V$7,"dl",W$7,"")&lt;IF(_uom="lbs",175,80),1.25,IF(_uom="lbs",5,2.5))))),"")</f>
        <v>67.5</v>
      </c>
      <c s="70"/>
      <c s="63"/>
      <c s="97"/>
      <c s="44" t="str">
        <f>IFERROR(__xludf.DUMMYFUNCTION("IF(W37=MAX(FILTER(W$10:W$199,LOOKUP(ROW(Q$10:Q$199),FILTER(ROW(Q$10:Q$199),Q$10:Q$199&lt;&gt;Q$9:Q$198))=LOOKUP(ROW(Q37),FILTER(ROW(Q$10:Q$199),Q$10:Q$199&lt;&gt;Q$9:Q$198)))),X37,)"),"")</f>
        <v/>
      </c>
      <c s="42"/>
      <c s="81"/>
      <c s="64" t="str">
        <f t="shared" si="14"/>
        <v/>
      </c>
      <c s="65" t="str">
        <f>IFERROR(__xludf.DUMMYFUNCTION("""COMPUTED_VALUE"""),"bn")</f>
        <v>bn</v>
      </c>
      <c s="66">
        <f ca="1"/>
        <v>45222</v>
      </c>
      <c s="93" t="str">
        <f t="shared" si="156"/>
        <v>-</v>
      </c>
      <c s="94">
        <f t="shared" si="186"/>
        <v>3</v>
      </c>
      <c s="95">
        <f t="shared" si="172"/>
        <v>8</v>
      </c>
      <c s="98">
        <f>IF(OR(gen="SELECT",gen="MALE"),7000%,7200%)</f>
        <v>70</v>
      </c>
      <c s="97">
        <f t="array" ref="AK37">IFERROR(IF(AE37="ac"+ISNUMBER(SEARCH("'",AJ37))+AI37="","",IF(ISNUMBER(SEARCH("lw",AJ37)),W37+SUBSTITUTE(AJ37,"lw+",""),MROUND(_xlfn.SWITCH(AE37,"sq",AI$7,"bn",AJ$7,"dl",AK$7,"")*IF(AJ37&gt;10,AJ37/100,VLOOKUP(AJ37,_rpe,SUBSTITUTE(AI37,"+","")+1,0)),IF(_xlfn.SWITCH(AE37,"sq",AI$7,"bn",AJ$7,"dl",AK$7,"")&lt;IF(_uom="lbs",175,80),1.25,IF(_uom="lbs",5,2.5))))),"")</f>
        <v>70</v>
      </c>
      <c s="70"/>
      <c s="63"/>
      <c s="97"/>
      <c s="44" t="str">
        <f>IFERROR(__xludf.DUMMYFUNCTION("IF(AK37=MAX(FILTER(AK$10:AK$199,LOOKUP(ROW(AE$10:AE$199),FILTER(ROW(AE$10:AE$199),AE$10:AE$199&lt;&gt;AE$9:AE$198))=LOOKUP(ROW(AE37),FILTER(ROW(AE$10:AE$199),AE$10:AE$199&lt;&gt;AE$9:AE$198)))),AL37,)"),"")</f>
        <v/>
      </c>
      <c s="42"/>
      <c s="81"/>
      <c s="64" t="str">
        <f t="shared" si="17"/>
        <v/>
      </c>
      <c s="65" t="str">
        <f>IFERROR(__xludf.DUMMYFUNCTION("""COMPUTED_VALUE"""),"bn")</f>
        <v>bn</v>
      </c>
      <c s="66">
        <f ca="1"/>
        <v>45229</v>
      </c>
      <c s="93" t="str">
        <f t="shared" si="157"/>
        <v>-</v>
      </c>
      <c s="94">
        <f t="shared" si="188"/>
        <v>3</v>
      </c>
      <c s="95">
        <f t="shared" si="175"/>
        <v>8</v>
      </c>
      <c s="98">
        <f>IF(OR(gen="SELECT",gen="MALE"),7200%,7400%)</f>
        <v>72</v>
      </c>
      <c s="97">
        <f t="array" ref="AY37">IFERROR(IF(AS37="ac"+ISNUMBER(SEARCH("'",AX37))+AW37="","",IF(ISNUMBER(SEARCH("lw",AX37)),AK37+SUBSTITUTE(AX37,"lw+",""),MROUND(_xlfn.SWITCH(AS37,"sq",AW$7,"bn",AX$7,"dl",AY$7,"")*IF(AX37&gt;10,AX37/100,VLOOKUP(AX37,_rpe,SUBSTITUTE(AW37,"+","")+1,0)),IF(_xlfn.SWITCH(AS37,"sq",AW$7,"bn",AX$7,"dl",AY$7,"")&lt;IF(_uom="lbs",175,80),1.25,IF(_uom="lbs",5,2.5))))),"")</f>
        <v>72.5</v>
      </c>
      <c s="70"/>
      <c s="63"/>
      <c s="97"/>
      <c s="44" t="str">
        <f>IFERROR(__xludf.DUMMYFUNCTION("IF(AY37=MAX(FILTER(AY$10:AY$199,LOOKUP(ROW(AS$10:AS$199),FILTER(ROW(AS$10:AS$199),AS$10:AS$199&lt;&gt;AS$9:AS$198))=LOOKUP(ROW(AS37),FILTER(ROW(AS$10:AS$199),AS$10:AS$199&lt;&gt;AS$9:AS$198)))),AZ37,)"),"")</f>
        <v/>
      </c>
      <c s="42"/>
      <c s="81"/>
      <c s="64" t="str">
        <f t="shared" si="19"/>
        <v/>
      </c>
      <c s="65" t="str">
        <f>IFERROR(__xludf.DUMMYFUNCTION("""COMPUTED_VALUE"""),"bn")</f>
        <v>bn</v>
      </c>
      <c s="66">
        <f ca="1"/>
        <v>45236</v>
      </c>
      <c s="93" t="str">
        <f t="shared" si="20"/>
        <v>-</v>
      </c>
      <c s="94">
        <v>2</v>
      </c>
      <c s="95">
        <v>6</v>
      </c>
      <c s="98">
        <f>IF(OR(gen="SELECT",gen="MALE"),7100%,7300%)</f>
        <v>71</v>
      </c>
      <c s="97">
        <f t="array" ref="BM37">IFERROR(IF(BG37="ac"+ISNUMBER(SEARCH("'",BL37))+BK37="","",IF(ISNUMBER(SEARCH("lw",BL37)),AY37+SUBSTITUTE(BL37,"lw+",""),MROUND(_xlfn.SWITCH(BG37,"sq",BK$7,"bn",BL$7,"dl",BM$7,"")*IF(BL37&gt;10,BL37/100,VLOOKUP(BL37,_rpe,SUBSTITUTE(BK37,"+","")+1,0)),IF(_xlfn.SWITCH(BG37,"sq",BK$7,"bn",BL$7,"dl",BM$7,"")&lt;IF(_uom="lbs",175,80),1.25,IF(_uom="lbs",5,2.5))))),"")</f>
        <v>71.25</v>
      </c>
      <c s="70"/>
      <c s="63"/>
      <c s="97"/>
      <c s="44" t="str">
        <f>IFERROR(__xludf.DUMMYFUNCTION("IF(BM37=MAX(FILTER(BM$10:BM$199,LOOKUP(ROW(BG$10:BG$199),FILTER(ROW(BG$10:BG$199),BG$10:BG$199&lt;&gt;BG$9:BG$198))=LOOKUP(ROW(BG37),FILTER(ROW(BG$10:BG$199),BG$10:BG$199&lt;&gt;BG$9:BG$198)))),BN37,)"),"")</f>
        <v/>
      </c>
      <c s="42"/>
      <c s="81"/>
      <c s="64" t="str">
        <f t="shared" si="21"/>
        <v/>
      </c>
      <c s="65" t="str">
        <f>IFERROR(__xludf.DUMMYFUNCTION("""COMPUTED_VALUE"""),"bn")</f>
        <v>bn</v>
      </c>
      <c s="66">
        <f ca="1"/>
        <v>45243</v>
      </c>
      <c s="93" t="str">
        <f t="shared" si="22"/>
        <v>-</v>
      </c>
      <c s="94">
        <v>3</v>
      </c>
      <c s="95">
        <v>6</v>
      </c>
      <c s="98">
        <f>IF(OR(gen="SELECT",gen="MALE"),7400%,7500%)</f>
        <v>74</v>
      </c>
      <c s="97">
        <f t="array" ref="CA37">IFERROR(IF(BU37="ac"+ISNUMBER(SEARCH("'",BZ37))+BY37="","",IF(ISNUMBER(SEARCH("lw",BZ37)),BM37+SUBSTITUTE(BZ37,"lw+",""),MROUND(_xlfn.SWITCH(BU37,"sq",BY$7,"bn",BZ$7,"dl",CA$7,"")*IF(BZ37&gt;10,BZ37/100,VLOOKUP(BZ37,_rpe,SUBSTITUTE(BY37,"+","")+1,0)),IF(_xlfn.SWITCH(BU37,"sq",BY$7,"bn",BZ$7,"dl",CA$7,"")&lt;IF(_uom="lbs",175,80),1.25,IF(_uom="lbs",5,2.5))))),"")</f>
        <v>73.75</v>
      </c>
      <c s="70"/>
      <c s="63"/>
      <c s="97"/>
      <c s="44" t="str">
        <f>IFERROR(__xludf.DUMMYFUNCTION("IF(CA37=MAX(FILTER(CA$10:CA$199,LOOKUP(ROW(BU$10:BU$199),FILTER(ROW(BU$10:BU$199),BU$10:BU$199&lt;&gt;BU$9:BU$198))=LOOKUP(ROW(BU37),FILTER(ROW(BU$10:BU$199),BU$10:BU$199&lt;&gt;BU$9:BU$198)))),CB37,)"),"")</f>
        <v/>
      </c>
      <c s="42"/>
      <c s="81"/>
      <c s="64" t="str">
        <f t="shared" si="24"/>
        <v/>
      </c>
      <c s="65" t="str">
        <f>IFERROR(__xludf.DUMMYFUNCTION("""COMPUTED_VALUE"""),"bn")</f>
        <v>bn</v>
      </c>
      <c s="66">
        <f ca="1"/>
        <v>45250</v>
      </c>
      <c s="93" t="str">
        <f t="shared" si="44"/>
        <v>-</v>
      </c>
      <c s="94">
        <f>IF(OR(gen="SELECT",gen="MALE"),3,4)</f>
        <v>3</v>
      </c>
      <c s="95">
        <f t="shared" si="150"/>
        <v>6</v>
      </c>
      <c s="98">
        <f>IF(OR(gen="SELECT",gen="MALE"),7600%,7700%)</f>
        <v>76</v>
      </c>
      <c s="97">
        <f t="array" ref="CO37">IFERROR(IF(CI37="ac"+ISNUMBER(SEARCH("'",CN37))+CM37="","",IF(ISNUMBER(SEARCH("lw",CN37)),CA37+SUBSTITUTE(CN37,"lw+",""),MROUND(_xlfn.SWITCH(CI37,"sq",CM$7,"bn",CN$7,"dl",CO$7,"")*IF(CN37&gt;10,CN37/100,VLOOKUP(CN37,_rpe,SUBSTITUTE(CM37,"+","")+1,0)),IF(_xlfn.SWITCH(CI37,"sq",CM$7,"bn",CN$7,"dl",CO$7,"")&lt;IF(_uom="lbs",175,80),1.25,IF(_uom="lbs",5,2.5))))),"")</f>
        <v>76.25</v>
      </c>
      <c s="70"/>
      <c s="63"/>
      <c s="97"/>
      <c s="44" t="str">
        <f>IFERROR(__xludf.DUMMYFUNCTION("IF(CO37=MAX(FILTER(CO$10:CO$199,LOOKUP(ROW(CI$10:CI$199),FILTER(ROW(CI$10:CI$199),CI$10:CI$199&lt;&gt;CI$9:CI$198))=LOOKUP(ROW(CI37),FILTER(ROW(CI$10:CI$199),CI$10:CI$199&lt;&gt;CI$9:CI$198)))),CP37,)"),"")</f>
        <v/>
      </c>
      <c s="42"/>
      <c s="81"/>
      <c s="64" t="str">
        <f t="shared" si="27"/>
        <v/>
      </c>
      <c s="65" t="str">
        <f>IFERROR(__xludf.DUMMYFUNCTION("""COMPUTED_VALUE"""),"bn")</f>
        <v>bn</v>
      </c>
      <c s="66">
        <f ca="1"/>
        <v>45257</v>
      </c>
      <c s="93" t="str">
        <f t="shared" si="45"/>
        <v>-</v>
      </c>
      <c s="94">
        <f t="shared" si="196"/>
        <v>3</v>
      </c>
      <c s="95">
        <f>IF(OR(gen="SELECT",gen="MALE"),6,"5-6")</f>
        <v>6</v>
      </c>
      <c s="98">
        <f>IF(OR(gen="SELECT",gen="MALE"),7800%,7900%)</f>
        <v>78</v>
      </c>
      <c s="97">
        <f t="array" ref="DC37">IFERROR(IF(CW37="ac"+ISNUMBER(SEARCH("'",DB37))+DA37="","",IF(ISNUMBER(SEARCH("lw",DB37)),CO37+SUBSTITUTE(DB37,"lw+",""),MROUND(_xlfn.SWITCH(CW37,"sq",DA$7,"bn",DB$7,"dl",DC$7,"")*IF(DB37&gt;10,DB37/100,VLOOKUP(DB37,_rpe,SUBSTITUTE(DA37,"+","")+1,0)),IF(_xlfn.SWITCH(CW37,"sq",DA$7,"bn",DB$7,"dl",DC$7,"")&lt;IF(_uom="lbs",175,80),1.25,IF(_uom="lbs",5,2.5))))),"")</f>
        <v>77.5</v>
      </c>
      <c s="70"/>
      <c s="63"/>
      <c s="97"/>
      <c s="44" t="str">
        <f>IFERROR(__xludf.DUMMYFUNCTION("IF(DC37=MAX(FILTER(DC$10:DC$199,LOOKUP(ROW(CW$10:CW$199),FILTER(ROW(CW$10:CW$199),CW$10:CW$199&lt;&gt;CW$9:CW$198))=LOOKUP(ROW(CW37),FILTER(ROW(CW$10:CW$199),CW$10:CW$199&lt;&gt;CW$9:CW$198)))),DD37,)"),"")</f>
        <v/>
      </c>
      <c s="42"/>
      <c s="81"/>
      <c s="64" t="str">
        <f t="shared" si="30"/>
        <v/>
      </c>
      <c s="65" t="str">
        <f>IFERROR(__xludf.DUMMYFUNCTION("""COMPUTED_VALUE"""),"bn")</f>
        <v>bn</v>
      </c>
      <c s="66">
        <f ca="1"/>
        <v>45264</v>
      </c>
      <c s="93" t="str">
        <f t="shared" si="46"/>
        <v>-</v>
      </c>
      <c s="94"/>
      <c s="95"/>
      <c s="98"/>
      <c s="97" t="str">
        <f t="array" ref="DQ37">IFERROR(IF(DK37="ac"+ISNUMBER(SEARCH("'",DP37))+DO37="","",IF(ISNUMBER(SEARCH("lw",DP37)),DC37+SUBSTITUTE(DP37,"lw+",""),MROUND(_xlfn.SWITCH(DK37,"sq",DO$7,"bn",DP$7,"dl",DQ$7,"")*IF(DP37&gt;10,DP37/100,VLOOKUP(DP37,_rpe,SUBSTITUTE(DO37,"+","")+1,0)),IF(_xlfn.SWITCH(DK37,"sq",DO$7,"bn",DP$7,"dl",DQ$7,"")&lt;IF(_uom="lbs",175,80),1.25,IF(_uom="lbs",5,2.5))))),"")</f>
        <v/>
      </c>
      <c s="70"/>
      <c s="63"/>
      <c s="97"/>
      <c s="44" t="str">
        <f>IFERROR(__xludf.DUMMYFUNCTION("IF(DQ37=MAX(FILTER(DQ$10:DQ$199,LOOKUP(ROW(DK$10:DK$199),FILTER(ROW(DK$10:DK$199),DK$10:DK$199&lt;&gt;DK$9:DK$198))=LOOKUP(ROW(DK37),FILTER(ROW(DK$10:DK$199),DK$10:DK$199&lt;&gt;DK$9:DK$198)))),DR37,)"),"")</f>
        <v/>
      </c>
      <c s="42"/>
      <c s="81"/>
      <c s="64" t="str">
        <f t="shared" si="32"/>
        <v/>
      </c>
      <c s="65" t="str">
        <f>IFERROR(__xludf.DUMMYFUNCTION("""COMPUTED_VALUE"""),"bn")</f>
        <v>bn</v>
      </c>
      <c s="66">
        <f ca="1"/>
        <v>45271</v>
      </c>
      <c s="93" t="str">
        <f t="shared" si="47"/>
        <v>-</v>
      </c>
      <c s="94">
        <v>3</v>
      </c>
      <c s="95">
        <v>7</v>
      </c>
      <c s="98">
        <f>IF(OR(gen="SELECT",gen="MALE"),7000%,7200%)</f>
        <v>70</v>
      </c>
      <c s="97">
        <f t="array" ref="EE37">IFERROR(IF(DY37="ac"+ISNUMBER(SEARCH("'",ED37))+EC37="","",IF(ISNUMBER(SEARCH("lw",ED37)),DQ37+SUBSTITUTE(ED37,"lw+",""),MROUND(_xlfn.SWITCH(DY37,"sq",EC$7,"bn",ED$7,"dl",EE$7,"")*IF(ED37&gt;10,ED37/100,VLOOKUP(ED37,_rpe,SUBSTITUTE(EC37,"+","")+1,0)),IF(_xlfn.SWITCH(DY37,"sq",EC$7,"bn",ED$7,"dl",EE$7,"")&lt;IF(_uom="lbs",175,80),1.25,IF(_uom="lbs",5,2.5))))),"")</f>
        <v>70</v>
      </c>
      <c s="70"/>
      <c s="63"/>
      <c s="97"/>
      <c s="44" t="str">
        <f>IFERROR(__xludf.DUMMYFUNCTION("IF(EE37=MAX(FILTER(EE$10:EE$199,LOOKUP(ROW(DY$10:DY$199),FILTER(ROW(DY$10:DY$199),DY$10:DY$199&lt;&gt;DY$9:DY$198))=LOOKUP(ROW(DY37),FILTER(ROW(DY$10:DY$199),DY$10:DY$199&lt;&gt;DY$9:DY$198)))),EF37,)"),"")</f>
        <v/>
      </c>
      <c s="42"/>
      <c s="81"/>
      <c s="64" t="str">
        <f t="shared" si="34"/>
        <v/>
      </c>
      <c s="65" t="str">
        <f>IFERROR(__xludf.DUMMYFUNCTION("""COMPUTED_VALUE"""),"bn")</f>
        <v>bn</v>
      </c>
      <c s="66">
        <f ca="1"/>
        <v>45278</v>
      </c>
      <c s="93" t="str">
        <f t="shared" si="48"/>
        <v>-</v>
      </c>
      <c s="94">
        <f t="shared" si="203"/>
        <v>3</v>
      </c>
      <c s="95">
        <v>6</v>
      </c>
      <c s="98">
        <f>IF(OR(gen="SELECT",gen="MALE"),7400%,7600%)</f>
        <v>74</v>
      </c>
      <c s="97">
        <f t="array" ref="ES37">IFERROR(IF(EM37="ac"+ISNUMBER(SEARCH("'",ER37))+EQ37="","",IF(ISNUMBER(SEARCH("lw",ER37)),EE37+SUBSTITUTE(ER37,"lw+",""),MROUND(_xlfn.SWITCH(EM37,"sq",EQ$7,"bn",ER$7,"dl",ES$7,"")*IF(ER37&gt;10,ER37/100,VLOOKUP(ER37,_rpe,SUBSTITUTE(EQ37,"+","")+1,0)),IF(_xlfn.SWITCH(EM37,"sq",EQ$7,"bn",ER$7,"dl",ES$7,"")&lt;IF(_uom="lbs",175,80),1.25,IF(_uom="lbs",5,2.5))))),"")</f>
        <v>73.75</v>
      </c>
      <c s="70"/>
      <c s="63"/>
      <c s="97"/>
      <c s="44" t="str">
        <f>IFERROR(__xludf.DUMMYFUNCTION("IF(ES37=MAX(FILTER(ES$10:ES$199,LOOKUP(ROW(EM$10:EM$199),FILTER(ROW(EM$10:EM$199),EM$10:EM$199&lt;&gt;EM$9:EM$198))=LOOKUP(ROW(EM37),FILTER(ROW(EM$10:EM$199),EM$10:EM$199&lt;&gt;EM$9:EM$198)))),ET37,)"),"")</f>
        <v/>
      </c>
      <c s="42"/>
      <c s="81"/>
      <c s="64" t="str">
        <f t="shared" si="36"/>
        <v/>
      </c>
      <c s="65" t="str">
        <f>IFERROR(__xludf.DUMMYFUNCTION("""COMPUTED_VALUE"""),"bn")</f>
        <v>bn</v>
      </c>
      <c s="66">
        <f ca="1"/>
        <v>45285</v>
      </c>
      <c s="93" t="str">
        <f t="shared" si="49"/>
        <v>-</v>
      </c>
      <c s="94">
        <v>4</v>
      </c>
      <c s="95">
        <v>5</v>
      </c>
      <c s="98">
        <f>IF(OR(gen="SELECT",gen="MALE"),7800%,8000%)</f>
        <v>78</v>
      </c>
      <c s="97">
        <f t="array" ref="FG37">IFERROR(IF(FA37="ac"+ISNUMBER(SEARCH("'",FF37))+FE37="","",IF(ISNUMBER(SEARCH("lw",FF37)),ES37+SUBSTITUTE(FF37,"lw+",""),MROUND(_xlfn.SWITCH(FA37,"sq",FE$7,"bn",FF$7,"dl",FG$7,"")*IF(FF37&gt;10,FF37/100,VLOOKUP(FF37,_rpe,SUBSTITUTE(FE37,"+","")+1,0)),IF(_xlfn.SWITCH(FA37,"sq",FE$7,"bn",FF$7,"dl",FG$7,"")&lt;IF(_uom="lbs",175,80),1.25,IF(_uom="lbs",5,2.5))))),"")</f>
        <v>77.5</v>
      </c>
      <c s="70"/>
      <c s="63"/>
      <c s="97"/>
      <c s="44" t="str">
        <f>IFERROR(__xludf.DUMMYFUNCTION("IF(FG37=MAX(FILTER(FG$10:FG$199,LOOKUP(ROW(FA$10:FA$199),FILTER(ROW(FA$10:FA$199),FA$10:FA$199&lt;&gt;FA$9:FA$198))=LOOKUP(ROW(FA37),FILTER(ROW(FA$10:FA$199),FA$10:FA$199&lt;&gt;FA$9:FA$198)))),FH37,)"),"")</f>
        <v/>
      </c>
      <c s="42"/>
      <c s="81"/>
      <c s="64" t="str">
        <f t="shared" si="38"/>
        <v/>
      </c>
      <c s="65" t="str">
        <f>IFERROR(__xludf.DUMMYFUNCTION("""COMPUTED_VALUE"""),"bn")</f>
        <v>bn</v>
      </c>
      <c s="66">
        <f ca="1"/>
        <v>45292</v>
      </c>
      <c s="93" t="str">
        <f t="shared" si="215" ref="FQ37:FQ39">IF(ISBLANK(FC37),"",FC37)</f>
        <v>-</v>
      </c>
      <c s="94">
        <v>4</v>
      </c>
      <c s="95">
        <v>3</v>
      </c>
      <c s="98">
        <f>IF(OR(gen="SELECT",gen="MALE"),7500%,7700%)</f>
        <v>75</v>
      </c>
      <c s="97">
        <f t="array" ref="FU37">IFERROR(IF(FO37="ac"+ISNUMBER(SEARCH("'",FT37))+FS37="","",IF(ISNUMBER(SEARCH("lw",FT37)),FG37+SUBSTITUTE(FT37,"lw+",""),MROUND(_xlfn.SWITCH(FO37,"sq",FS$7,"bn",FT$7,"dl",FU$7,"")*IF(FT37&gt;10,FT37/100,VLOOKUP(FT37,_rpe,SUBSTITUTE(FS37,"+","")+1,0)),IF(_xlfn.SWITCH(FO37,"sq",FS$7,"bn",FT$7,"dl",FU$7,"")&lt;IF(_uom="lbs",175,80),1.25,IF(_uom="lbs",5,2.5))))),"")</f>
        <v>75</v>
      </c>
      <c s="70"/>
      <c s="63"/>
      <c s="97"/>
      <c s="44" t="str">
        <f>IFERROR(__xludf.DUMMYFUNCTION("IF(FU37=MAX(FILTER(FU$10:FU$199,LOOKUP(ROW(FO$10:FO$199),FILTER(ROW(FO$10:FO$199),FO$10:FO$199&lt;&gt;FO$9:FO$198))=LOOKUP(ROW(FO37),FILTER(ROW(FO$10:FO$199),FO$10:FO$199&lt;&gt;FO$9:FO$198)))),FV37,)"),"")</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38" spans="1:259" ht="15.75" hidden="1" outlineLevel="1">
      <c r="A38" s="63"/>
      <c s="64"/>
      <c s="65" t="str">
        <f>IFERROR(__xludf.DUMMYFUNCTION("""COMPUTED_VALUE"""),"")</f>
        <v/>
      </c>
      <c s="66">
        <f ca="1"/>
        <v>45208</v>
      </c>
      <c s="93"/>
      <c s="94"/>
      <c s="95"/>
      <c s="96"/>
      <c s="97" t="str">
        <f t="array" ref="I38">IFERROR(IF(C38="ac"+ISNUMBER(SEARCH("'",H38))+G38="","",MROUND(_xlfn.SWITCH(C38,"sq",'Personal Info'!$O$15,"bn",'Personal Info'!$S$15,"dl",'Personal Info'!$W$15,"")*IF(H38&gt;10,H38/100,VLOOKUP(H38,_rpe,SUBSTITUTE(G38,"+","")+1,0)),IF(_xlfn.SWITCH(C38:C210,"sq",'Personal Info'!$O$15,"bn",'Personal Info'!$S$15,"dl",'Personal Info'!$W$15,"")&lt;IF(_uom="lbs",175,80),1.25,IF(_uom="lbs",5,2.5)))),"")</f>
        <v/>
      </c>
      <c s="70"/>
      <c s="63"/>
      <c s="97"/>
      <c s="44" t="str">
        <f>IFERROR(__xludf.DUMMYFUNCTION("IF(I38=MAX(FILTER(I$10:I$199,LOOKUP(ROW(C$10:C$199),FILTER(ROW(C$10:C$199),C$10:C$199&lt;&gt;C$9:C$198))=LOOKUP(ROW(C38),FILTER(ROW(C$10:C$199),C$10:C$199&lt;&gt;C$9:C$198)))),J38,)"),"")</f>
        <v/>
      </c>
      <c s="42"/>
      <c s="65"/>
      <c s="64" t="str">
        <f t="shared" si="11"/>
        <v/>
      </c>
      <c s="65" t="str">
        <f>IFERROR(__xludf.DUMMYFUNCTION("""COMPUTED_VALUE"""),"")</f>
        <v/>
      </c>
      <c s="66">
        <f ca="1"/>
        <v>45215</v>
      </c>
      <c s="93" t="str">
        <f t="shared" si="12"/>
        <v/>
      </c>
      <c s="94" t="str">
        <f t="shared" si="216" ref="T38:T39">IF(ISBLANK(F38),"",F38)</f>
        <v/>
      </c>
      <c s="95" t="str">
        <f t="shared" si="169"/>
        <v/>
      </c>
      <c s="98" t="str">
        <f t="shared" si="217" ref="V38:V39">IF(ISBLANK(H38),"",H38)</f>
        <v/>
      </c>
      <c s="97" t="str">
        <f t="array" ref="W38">IFERROR(IF(Q38="ac"+ISNUMBER(SEARCH("'",V38))+U38="","",IF(ISNUMBER(SEARCH("lw",V38)),I38+SUBSTITUTE(V38,"lw+",""),MROUND(_xlfn.SWITCH(Q38,"sq",U$7,"bn",V$7,"dl",W$7,"")*IF(V38&gt;10,V38/100,VLOOKUP(V38,_rpe,SUBSTITUTE(U38,"+","")+1,0)),IF(_xlfn.SWITCH(Q38,"sq",U$7,"bn",V$7,"dl",W$7,"")&lt;IF(_uom="lbs",175,80),1.25,IF(_uom="lbs",5,2.5))))),"")</f>
        <v/>
      </c>
      <c s="70"/>
      <c s="63"/>
      <c s="97"/>
      <c s="44" t="str">
        <f>IFERROR(__xludf.DUMMYFUNCTION("IF(W38=MAX(FILTER(W$10:W$199,LOOKUP(ROW(Q$10:Q$199),FILTER(ROW(Q$10:Q$199),Q$10:Q$199&lt;&gt;Q$9:Q$198))=LOOKUP(ROW(Q38),FILTER(ROW(Q$10:Q$199),Q$10:Q$199&lt;&gt;Q$9:Q$198)))),X38,)"),"")</f>
        <v/>
      </c>
      <c s="42"/>
      <c s="65"/>
      <c s="64" t="str">
        <f t="shared" si="14"/>
        <v/>
      </c>
      <c s="65" t="str">
        <f>IFERROR(__xludf.DUMMYFUNCTION("""COMPUTED_VALUE"""),"")</f>
        <v/>
      </c>
      <c s="66">
        <f ca="1"/>
        <v>45222</v>
      </c>
      <c s="93" t="str">
        <f t="shared" si="156"/>
        <v/>
      </c>
      <c s="94" t="str">
        <f t="shared" si="186"/>
        <v/>
      </c>
      <c s="95" t="str">
        <f t="shared" si="172"/>
        <v/>
      </c>
      <c s="98" t="str">
        <f t="shared" si="218" ref="AJ38:AJ44">IF(ISBLANK(V38),"",V38)</f>
        <v/>
      </c>
      <c s="97" t="str">
        <f t="array" ref="AK38">IFERROR(IF(AE38="ac"+ISNUMBER(SEARCH("'",AJ38))+AI38="","",IF(ISNUMBER(SEARCH("lw",AJ38)),W38+SUBSTITUTE(AJ38,"lw+",""),MROUND(_xlfn.SWITCH(AE38,"sq",AI$7,"bn",AJ$7,"dl",AK$7,"")*IF(AJ38&gt;10,AJ38/100,VLOOKUP(AJ38,_rpe,SUBSTITUTE(AI38,"+","")+1,0)),IF(_xlfn.SWITCH(AE38,"sq",AI$7,"bn",AJ$7,"dl",AK$7,"")&lt;IF(_uom="lbs",175,80),1.25,IF(_uom="lbs",5,2.5))))),"")</f>
        <v/>
      </c>
      <c s="70"/>
      <c s="63"/>
      <c s="97"/>
      <c s="44" t="str">
        <f>IFERROR(__xludf.DUMMYFUNCTION("IF(AK38=MAX(FILTER(AK$10:AK$199,LOOKUP(ROW(AE$10:AE$199),FILTER(ROW(AE$10:AE$199),AE$10:AE$199&lt;&gt;AE$9:AE$198))=LOOKUP(ROW(AE38),FILTER(ROW(AE$10:AE$199),AE$10:AE$199&lt;&gt;AE$9:AE$198)))),AL38,)"),"")</f>
        <v/>
      </c>
      <c s="42"/>
      <c s="65"/>
      <c s="64" t="str">
        <f t="shared" si="17"/>
        <v/>
      </c>
      <c s="65" t="str">
        <f>IFERROR(__xludf.DUMMYFUNCTION("""COMPUTED_VALUE"""),"")</f>
        <v/>
      </c>
      <c s="66">
        <f ca="1"/>
        <v>45229</v>
      </c>
      <c s="93" t="str">
        <f t="shared" si="157"/>
        <v/>
      </c>
      <c s="94" t="str">
        <f t="shared" si="188"/>
        <v/>
      </c>
      <c s="95" t="str">
        <f t="shared" si="175"/>
        <v/>
      </c>
      <c s="98" t="str">
        <f t="shared" si="219" ref="AX38:AX53">IF(ISBLANK(AJ38),"",AJ38)</f>
        <v/>
      </c>
      <c s="97" t="str">
        <f t="array" ref="AY38">IFERROR(IF(AS38="ac"+ISNUMBER(SEARCH("'",AX38))+AW38="","",IF(ISNUMBER(SEARCH("lw",AX38)),AK38+SUBSTITUTE(AX38,"lw+",""),MROUND(_xlfn.SWITCH(AS38,"sq",AW$7,"bn",AX$7,"dl",AY$7,"")*IF(AX38&gt;10,AX38/100,VLOOKUP(AX38,_rpe,SUBSTITUTE(AW38,"+","")+1,0)),IF(_xlfn.SWITCH(AS38,"sq",AW$7,"bn",AX$7,"dl",AY$7,"")&lt;IF(_uom="lbs",175,80),1.25,IF(_uom="lbs",5,2.5))))),"")</f>
        <v/>
      </c>
      <c s="70"/>
      <c s="63"/>
      <c s="97"/>
      <c s="44" t="str">
        <f>IFERROR(__xludf.DUMMYFUNCTION("IF(AY38=MAX(FILTER(AY$10:AY$199,LOOKUP(ROW(AS$10:AS$199),FILTER(ROW(AS$10:AS$199),AS$10:AS$199&lt;&gt;AS$9:AS$198))=LOOKUP(ROW(AS38),FILTER(ROW(AS$10:AS$199),AS$10:AS$199&lt;&gt;AS$9:AS$198)))),AZ38,)"),"")</f>
        <v/>
      </c>
      <c s="42"/>
      <c s="65"/>
      <c s="64" t="str">
        <f t="shared" si="19"/>
        <v/>
      </c>
      <c s="65" t="str">
        <f>IFERROR(__xludf.DUMMYFUNCTION("""COMPUTED_VALUE"""),"")</f>
        <v/>
      </c>
      <c s="66">
        <f ca="1"/>
        <v>45236</v>
      </c>
      <c s="93" t="str">
        <f t="shared" si="20"/>
        <v/>
      </c>
      <c s="94" t="str">
        <f t="shared" si="220" ref="BJ38:BJ39">IF(ISBLANK(AV38),"",AV38)</f>
        <v/>
      </c>
      <c s="95" t="str">
        <f t="shared" si="221" ref="BK38:BK39">IF(OR(ISBLANK(AW38),AW38=""),"",AW38)</f>
        <v/>
      </c>
      <c s="98" t="str">
        <f t="shared" si="222" ref="BL38:BL39">IF(ISBLANK(AX38),"",AX38)</f>
        <v/>
      </c>
      <c s="97" t="str">
        <f t="array" ref="BM38">IFERROR(IF(BG38="ac"+ISNUMBER(SEARCH("'",BL38))+BK38="","",IF(ISNUMBER(SEARCH("lw",BL38)),AY38+SUBSTITUTE(BL38,"lw+",""),MROUND(_xlfn.SWITCH(BG38,"sq",BK$7,"bn",BL$7,"dl",BM$7,"")*IF(BL38&gt;10,BL38/100,VLOOKUP(BL38,_rpe,SUBSTITUTE(BK38,"+","")+1,0)),IF(_xlfn.SWITCH(BG38,"sq",BK$7,"bn",BL$7,"dl",BM$7,"")&lt;IF(_uom="lbs",175,80),1.25,IF(_uom="lbs",5,2.5))))),"")</f>
        <v/>
      </c>
      <c s="70"/>
      <c s="63"/>
      <c s="97"/>
      <c s="44" t="str">
        <f>IFERROR(__xludf.DUMMYFUNCTION("IF(BM38=MAX(FILTER(BM$10:BM$199,LOOKUP(ROW(BG$10:BG$199),FILTER(ROW(BG$10:BG$199),BG$10:BG$199&lt;&gt;BG$9:BG$198))=LOOKUP(ROW(BG38),FILTER(ROW(BG$10:BG$199),BG$10:BG$199&lt;&gt;BG$9:BG$198)))),BN38,)"),"")</f>
        <v/>
      </c>
      <c s="42"/>
      <c s="65"/>
      <c s="64" t="str">
        <f t="shared" si="21"/>
        <v/>
      </c>
      <c s="65" t="str">
        <f>IFERROR(__xludf.DUMMYFUNCTION("""COMPUTED_VALUE"""),"")</f>
        <v/>
      </c>
      <c s="66">
        <f ca="1"/>
        <v>45243</v>
      </c>
      <c s="93" t="str">
        <f t="shared" si="22"/>
        <v/>
      </c>
      <c s="94" t="str">
        <f t="shared" si="223" ref="BX38:BX39">IF(ISBLANK(BJ38),"",BJ38)</f>
        <v/>
      </c>
      <c s="95" t="str">
        <f t="shared" si="224" ref="BY38:BY43">IF(OR(ISBLANK(BK38),BK38=""),"",BK38)</f>
        <v/>
      </c>
      <c s="98" t="str">
        <f t="shared" si="225" ref="BZ38:BZ39">IF(ISBLANK(BL38),"",BL38)</f>
        <v/>
      </c>
      <c s="97" t="str">
        <f t="array" ref="CA38">IFERROR(IF(BU38="ac"+ISNUMBER(SEARCH("'",BZ38))+BY38="","",IF(ISNUMBER(SEARCH("lw",BZ38)),BM38+SUBSTITUTE(BZ38,"lw+",""),MROUND(_xlfn.SWITCH(BU38,"sq",BY$7,"bn",BZ$7,"dl",CA$7,"")*IF(BZ38&gt;10,BZ38/100,VLOOKUP(BZ38,_rpe,SUBSTITUTE(BY38,"+","")+1,0)),IF(_xlfn.SWITCH(BU38,"sq",BY$7,"bn",BZ$7,"dl",CA$7,"")&lt;IF(_uom="lbs",175,80),1.25,IF(_uom="lbs",5,2.5))))),"")</f>
        <v/>
      </c>
      <c s="70"/>
      <c s="63"/>
      <c s="97"/>
      <c s="44" t="str">
        <f>IFERROR(__xludf.DUMMYFUNCTION("IF(CA38=MAX(FILTER(CA$10:CA$199,LOOKUP(ROW(BU$10:BU$199),FILTER(ROW(BU$10:BU$199),BU$10:BU$199&lt;&gt;BU$9:BU$198))=LOOKUP(ROW(BU38),FILTER(ROW(BU$10:BU$199),BU$10:BU$199&lt;&gt;BU$9:BU$198)))),CB38,)"),"")</f>
        <v/>
      </c>
      <c s="42"/>
      <c s="65"/>
      <c s="64" t="str">
        <f t="shared" si="24"/>
        <v/>
      </c>
      <c s="65" t="str">
        <f>IFERROR(__xludf.DUMMYFUNCTION("""COMPUTED_VALUE"""),"")</f>
        <v/>
      </c>
      <c s="66">
        <f ca="1"/>
        <v>45250</v>
      </c>
      <c s="93" t="str">
        <f t="shared" si="44"/>
        <v/>
      </c>
      <c s="94" t="str">
        <f t="shared" si="226" ref="CL38:CL53">IF(ISBLANK(BX38),"",BX38)</f>
        <v/>
      </c>
      <c s="95" t="str">
        <f t="shared" si="150"/>
        <v/>
      </c>
      <c s="98" t="str">
        <f t="shared" si="227" ref="CN38:CN39">IF(ISBLANK(BZ38),"",BZ38)</f>
        <v/>
      </c>
      <c s="97" t="str">
        <f t="array" ref="CO38">IFERROR(IF(CI38="ac"+ISNUMBER(SEARCH("'",CN38))+CM38="","",IF(ISNUMBER(SEARCH("lw",CN38)),CA38+SUBSTITUTE(CN38,"lw+",""),MROUND(_xlfn.SWITCH(CI38,"sq",CM$7,"bn",CN$7,"dl",CO$7,"")*IF(CN38&gt;10,CN38/100,VLOOKUP(CN38,_rpe,SUBSTITUTE(CM38,"+","")+1,0)),IF(_xlfn.SWITCH(CI38,"sq",CM$7,"bn",CN$7,"dl",CO$7,"")&lt;IF(_uom="lbs",175,80),1.25,IF(_uom="lbs",5,2.5))))),"")</f>
        <v/>
      </c>
      <c s="70"/>
      <c s="63"/>
      <c s="97"/>
      <c s="44" t="str">
        <f>IFERROR(__xludf.DUMMYFUNCTION("IF(CO38=MAX(FILTER(CO$10:CO$199,LOOKUP(ROW(CI$10:CI$199),FILTER(ROW(CI$10:CI$199),CI$10:CI$199&lt;&gt;CI$9:CI$198))=LOOKUP(ROW(CI38),FILTER(ROW(CI$10:CI$199),CI$10:CI$199&lt;&gt;CI$9:CI$198)))),CP38,)"),"")</f>
        <v/>
      </c>
      <c s="42"/>
      <c s="65"/>
      <c s="64" t="str">
        <f t="shared" si="27"/>
        <v/>
      </c>
      <c s="65" t="str">
        <f>IFERROR(__xludf.DUMMYFUNCTION("""COMPUTED_VALUE"""),"")</f>
        <v/>
      </c>
      <c s="66">
        <f ca="1"/>
        <v>45257</v>
      </c>
      <c s="93" t="str">
        <f t="shared" si="45"/>
        <v/>
      </c>
      <c s="94" t="str">
        <f t="shared" si="196"/>
        <v/>
      </c>
      <c s="95" t="str">
        <f t="shared" si="228" ref="DA38:DA39">IF(OR(ISBLANK(CM38),CM38=""),"",CM38)</f>
        <v/>
      </c>
      <c s="98" t="str">
        <f t="shared" si="229" ref="DB38:DB53">IF(ISBLANK(CN38),"",CN38)</f>
        <v/>
      </c>
      <c s="97" t="str">
        <f t="array" ref="DC38">IFERROR(IF(CW38="ac"+ISNUMBER(SEARCH("'",DB38))+DA38="","",IF(ISNUMBER(SEARCH("lw",DB38)),CO38+SUBSTITUTE(DB38,"lw+",""),MROUND(_xlfn.SWITCH(CW38,"sq",DA$7,"bn",DB$7,"dl",DC$7,"")*IF(DB38&gt;10,DB38/100,VLOOKUP(DB38,_rpe,SUBSTITUTE(DA38,"+","")+1,0)),IF(_xlfn.SWITCH(CW38,"sq",DA$7,"bn",DB$7,"dl",DC$7,"")&lt;IF(_uom="lbs",175,80),1.25,IF(_uom="lbs",5,2.5))))),"")</f>
        <v/>
      </c>
      <c s="70"/>
      <c s="63"/>
      <c s="97"/>
      <c s="44" t="str">
        <f>IFERROR(__xludf.DUMMYFUNCTION("IF(DC38=MAX(FILTER(DC$10:DC$199,LOOKUP(ROW(CW$10:CW$199),FILTER(ROW(CW$10:CW$199),CW$10:CW$199&lt;&gt;CW$9:CW$198))=LOOKUP(ROW(CW38),FILTER(ROW(CW$10:CW$199),CW$10:CW$199&lt;&gt;CW$9:CW$198)))),DD38,)"),"")</f>
        <v/>
      </c>
      <c s="42"/>
      <c s="65"/>
      <c s="64" t="str">
        <f t="shared" si="30"/>
        <v/>
      </c>
      <c s="65" t="str">
        <f>IFERROR(__xludf.DUMMYFUNCTION("""COMPUTED_VALUE"""),"")</f>
        <v/>
      </c>
      <c s="66">
        <f ca="1"/>
        <v>45264</v>
      </c>
      <c s="93" t="str">
        <f t="shared" si="46"/>
        <v/>
      </c>
      <c s="94" t="str">
        <f t="shared" si="230" ref="DN38:DN53">IF(ISBLANK(CZ38),"",CZ38)</f>
        <v/>
      </c>
      <c s="95" t="str">
        <f t="shared" si="231" ref="DO38:DO39">IF(OR(ISBLANK(DA38),DA38=""),"",DA38)</f>
        <v/>
      </c>
      <c s="98" t="str">
        <f t="shared" si="232" ref="DP38:DP39">IF(ISBLANK(DB38),"",DB38)</f>
        <v/>
      </c>
      <c s="97" t="str">
        <f t="array" ref="DQ38">IFERROR(IF(DK38="ac"+ISNUMBER(SEARCH("'",DP38))+DO38="","",IF(ISNUMBER(SEARCH("lw",DP38)),DC38+SUBSTITUTE(DP38,"lw+",""),MROUND(_xlfn.SWITCH(DK38,"sq",DO$7,"bn",DP$7,"dl",DQ$7,"")*IF(DP38&gt;10,DP38/100,VLOOKUP(DP38,_rpe,SUBSTITUTE(DO38,"+","")+1,0)),IF(_xlfn.SWITCH(DK38,"sq",DO$7,"bn",DP$7,"dl",DQ$7,"")&lt;IF(_uom="lbs",175,80),1.25,IF(_uom="lbs",5,2.5))))),"")</f>
        <v/>
      </c>
      <c s="70"/>
      <c s="63"/>
      <c s="97"/>
      <c s="44" t="str">
        <f>IFERROR(__xludf.DUMMYFUNCTION("IF(DQ38=MAX(FILTER(DQ$10:DQ$199,LOOKUP(ROW(DK$10:DK$199),FILTER(ROW(DK$10:DK$199),DK$10:DK$199&lt;&gt;DK$9:DK$198))=LOOKUP(ROW(DK38),FILTER(ROW(DK$10:DK$199),DK$10:DK$199&lt;&gt;DK$9:DK$198)))),DR38,)"),"")</f>
        <v/>
      </c>
      <c s="42"/>
      <c s="65"/>
      <c s="64" t="str">
        <f t="shared" si="32"/>
        <v/>
      </c>
      <c s="65" t="str">
        <f>IFERROR(__xludf.DUMMYFUNCTION("""COMPUTED_VALUE"""),"")</f>
        <v/>
      </c>
      <c s="66">
        <f ca="1"/>
        <v>45271</v>
      </c>
      <c s="93" t="str">
        <f t="shared" si="47"/>
        <v/>
      </c>
      <c s="94" t="str">
        <f t="shared" si="233" ref="EB38:EB53">IF(ISBLANK(DN38),"",DN38)</f>
        <v/>
      </c>
      <c s="95" t="str">
        <f t="shared" si="234" ref="EC38:EC39">IF(OR(ISBLANK(DO38),DO38=""),"",DO38)</f>
        <v/>
      </c>
      <c s="98" t="str">
        <f t="shared" si="235" ref="ED38:ED39">IF(ISBLANK(DP38),"",DP38)</f>
        <v/>
      </c>
      <c s="97" t="str">
        <f t="array" ref="EE38">IFERROR(IF(DY38="ac"+ISNUMBER(SEARCH("'",ED38))+EC38="","",IF(ISNUMBER(SEARCH("lw",ED38)),DQ38+SUBSTITUTE(ED38,"lw+",""),MROUND(_xlfn.SWITCH(DY38,"sq",EC$7,"bn",ED$7,"dl",EE$7,"")*IF(ED38&gt;10,ED38/100,VLOOKUP(ED38,_rpe,SUBSTITUTE(EC38,"+","")+1,0)),IF(_xlfn.SWITCH(DY38,"sq",EC$7,"bn",ED$7,"dl",EE$7,"")&lt;IF(_uom="lbs",175,80),1.25,IF(_uom="lbs",5,2.5))))),"")</f>
        <v/>
      </c>
      <c s="70"/>
      <c s="63"/>
      <c s="97"/>
      <c s="44" t="str">
        <f>IFERROR(__xludf.DUMMYFUNCTION("IF(EE38=MAX(FILTER(EE$10:EE$199,LOOKUP(ROW(DY$10:DY$199),FILTER(ROW(DY$10:DY$199),DY$10:DY$199&lt;&gt;DY$9:DY$198))=LOOKUP(ROW(DY38),FILTER(ROW(DY$10:DY$199),DY$10:DY$199&lt;&gt;DY$9:DY$198)))),EF38,)"),"")</f>
        <v/>
      </c>
      <c s="42"/>
      <c s="65"/>
      <c s="64" t="str">
        <f t="shared" si="34"/>
        <v/>
      </c>
      <c s="65" t="str">
        <f>IFERROR(__xludf.DUMMYFUNCTION("""COMPUTED_VALUE"""),"")</f>
        <v/>
      </c>
      <c s="66">
        <f ca="1"/>
        <v>45278</v>
      </c>
      <c s="93" t="str">
        <f t="shared" si="48"/>
        <v/>
      </c>
      <c s="94" t="str">
        <f t="shared" si="203"/>
        <v/>
      </c>
      <c s="95" t="str">
        <f t="shared" si="236" ref="EQ38:EQ39">IF(OR(ISBLANK(EC38),EC38=""),"",EC38)</f>
        <v/>
      </c>
      <c s="98" t="str">
        <f t="shared" si="237" ref="ER38:ER53">IF(ISBLANK(ED38),"",ED38)</f>
        <v/>
      </c>
      <c s="97" t="str">
        <f t="array" ref="ES38">IFERROR(IF(EM38="ac"+ISNUMBER(SEARCH("'",ER38))+EQ38="","",IF(ISNUMBER(SEARCH("lw",ER38)),EE38+SUBSTITUTE(ER38,"lw+",""),MROUND(_xlfn.SWITCH(EM38,"sq",EQ$7,"bn",ER$7,"dl",ES$7,"")*IF(ER38&gt;10,ER38/100,VLOOKUP(ER38,_rpe,SUBSTITUTE(EQ38,"+","")+1,0)),IF(_xlfn.SWITCH(EM38,"sq",EQ$7,"bn",ER$7,"dl",ES$7,"")&lt;IF(_uom="lbs",175,80),1.25,IF(_uom="lbs",5,2.5))))),"")</f>
        <v/>
      </c>
      <c s="70"/>
      <c s="63"/>
      <c s="97"/>
      <c s="44" t="str">
        <f>IFERROR(__xludf.DUMMYFUNCTION("IF(ES38=MAX(FILTER(ES$10:ES$199,LOOKUP(ROW(EM$10:EM$199),FILTER(ROW(EM$10:EM$199),EM$10:EM$199&lt;&gt;EM$9:EM$198))=LOOKUP(ROW(EM38),FILTER(ROW(EM$10:EM$199),EM$10:EM$199&lt;&gt;EM$9:EM$198)))),ET38,)"),"")</f>
        <v/>
      </c>
      <c s="42"/>
      <c s="65"/>
      <c s="64" t="str">
        <f t="shared" si="36"/>
        <v/>
      </c>
      <c s="65" t="str">
        <f>IFERROR(__xludf.DUMMYFUNCTION("""COMPUTED_VALUE"""),"")</f>
        <v/>
      </c>
      <c s="66">
        <f ca="1"/>
        <v>45285</v>
      </c>
      <c s="93" t="str">
        <f t="shared" si="49"/>
        <v/>
      </c>
      <c s="94" t="str">
        <f t="shared" si="238" ref="FD38:FD53">IF(ISBLANK(EP38),"",EP38)</f>
        <v/>
      </c>
      <c s="95" t="str">
        <f t="shared" si="239" ref="FE38:FE39">IF(OR(ISBLANK(EQ38),EQ38=""),"",EQ38)</f>
        <v/>
      </c>
      <c s="98" t="str">
        <f t="shared" si="240" ref="FF38:FF53">IF(ISBLANK(ER38),"",ER38)</f>
        <v/>
      </c>
      <c s="97" t="str">
        <f t="array" ref="FG38">IFERROR(IF(FA38="ac"+ISNUMBER(SEARCH("'",FF38))+FE38="","",IF(ISNUMBER(SEARCH("lw",FF38)),ES38+SUBSTITUTE(FF38,"lw+",""),MROUND(_xlfn.SWITCH(FA38,"sq",FE$7,"bn",FF$7,"dl",FG$7,"")*IF(FF38&gt;10,FF38/100,VLOOKUP(FF38,_rpe,SUBSTITUTE(FE38,"+","")+1,0)),IF(_xlfn.SWITCH(FA38,"sq",FE$7,"bn",FF$7,"dl",FG$7,"")&lt;IF(_uom="lbs",175,80),1.25,IF(_uom="lbs",5,2.5))))),"")</f>
        <v/>
      </c>
      <c s="70"/>
      <c s="63"/>
      <c s="97"/>
      <c s="44" t="str">
        <f>IFERROR(__xludf.DUMMYFUNCTION("IF(FG38=MAX(FILTER(FG$10:FG$199,LOOKUP(ROW(FA$10:FA$199),FILTER(ROW(FA$10:FA$199),FA$10:FA$199&lt;&gt;FA$9:FA$198))=LOOKUP(ROW(FA38),FILTER(ROW(FA$10:FA$199),FA$10:FA$199&lt;&gt;FA$9:FA$198)))),FH38,)"),"")</f>
        <v/>
      </c>
      <c s="42"/>
      <c s="65"/>
      <c s="64" t="str">
        <f t="shared" si="38"/>
        <v/>
      </c>
      <c s="65" t="str">
        <f>IFERROR(__xludf.DUMMYFUNCTION("""COMPUTED_VALUE"""),"")</f>
        <v/>
      </c>
      <c s="66">
        <f ca="1"/>
        <v>45292</v>
      </c>
      <c s="93" t="str">
        <f t="shared" si="215"/>
        <v/>
      </c>
      <c s="94" t="str">
        <f t="shared" si="241" ref="FR38:FR39">IF(ISBLANK(FD38),"",FD38)</f>
        <v/>
      </c>
      <c s="95" t="str">
        <f t="shared" si="242" ref="FS38:FS39">IF(OR(ISBLANK(FE38),FE38=""),"",FE38)</f>
        <v/>
      </c>
      <c s="98" t="str">
        <f t="shared" si="243" ref="FT38:FT39">IF(ISBLANK(FF38),"",FF38)</f>
        <v/>
      </c>
      <c s="97" t="str">
        <f t="array" ref="FU38">IFERROR(IF(FO38="ac"+ISNUMBER(SEARCH("'",FT38))+FS38="","",IF(ISNUMBER(SEARCH("lw",FT38)),FG38+SUBSTITUTE(FT38,"lw+",""),MROUND(_xlfn.SWITCH(FO38,"sq",FS$7,"bn",FT$7,"dl",FU$7,"")*IF(FT38&gt;10,FT38/100,VLOOKUP(FT38,_rpe,SUBSTITUTE(FS38,"+","")+1,0)),IF(_xlfn.SWITCH(FO38,"sq",FS$7,"bn",FT$7,"dl",FU$7,"")&lt;IF(_uom="lbs",175,80),1.25,IF(_uom="lbs",5,2.5))))),"")</f>
        <v/>
      </c>
      <c s="70"/>
      <c s="63"/>
      <c s="97"/>
      <c s="44" t="str">
        <f>IFERROR(__xludf.DUMMYFUNCTION("IF(FU38=MAX(FILTER(FU$10:FU$199,LOOKUP(ROW(FO$10:FO$199),FILTER(ROW(FO$10:FO$199),FO$10:FO$199&lt;&gt;FO$9:FO$198))=LOOKUP(ROW(FO38),FILTER(ROW(FO$10:FO$199),FO$10:FO$199&lt;&gt;FO$9:FO$198)))),FV38,)"),"")</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39" spans="1:259" ht="15.75" hidden="1" outlineLevel="1">
      <c r="A39" s="63"/>
      <c s="64"/>
      <c s="65" t="str">
        <f>IFERROR(__xludf.DUMMYFUNCTION("""COMPUTED_VALUE"""),"")</f>
        <v/>
      </c>
      <c s="66">
        <f ca="1"/>
        <v>45208</v>
      </c>
      <c s="93"/>
      <c s="94"/>
      <c s="95"/>
      <c s="96"/>
      <c s="97" t="str">
        <f t="array" ref="I39">IFERROR(IF(C39="ac"+ISNUMBER(SEARCH("'",H39))+G39="","",MROUND(_xlfn.SWITCH(C39,"sq",'Personal Info'!$O$15,"bn",'Personal Info'!$S$15,"dl",'Personal Info'!$W$15,"")*IF(H39&gt;10,H39/100,VLOOKUP(H39,_rpe,SUBSTITUTE(G39,"+","")+1,0)),IF(_xlfn.SWITCH(C39:C210,"sq",'Personal Info'!$O$15,"bn",'Personal Info'!$S$15,"dl",'Personal Info'!$W$15,"")&lt;IF(_uom="lbs",175,80),1.25,IF(_uom="lbs",5,2.5)))),"")</f>
        <v/>
      </c>
      <c s="70"/>
      <c s="63"/>
      <c s="97"/>
      <c s="44" t="str">
        <f>IFERROR(__xludf.DUMMYFUNCTION("IF(I39=MAX(FILTER(I$10:I$199,LOOKUP(ROW(C$10:C$199),FILTER(ROW(C$10:C$199),C$10:C$199&lt;&gt;C$9:C$198))=LOOKUP(ROW(C39),FILTER(ROW(C$10:C$199),C$10:C$199&lt;&gt;C$9:C$198)))),J39,)"),"")</f>
        <v/>
      </c>
      <c s="42"/>
      <c s="65"/>
      <c s="64" t="str">
        <f t="shared" si="11"/>
        <v/>
      </c>
      <c s="65" t="str">
        <f>IFERROR(__xludf.DUMMYFUNCTION("""COMPUTED_VALUE"""),"")</f>
        <v/>
      </c>
      <c s="66">
        <f ca="1"/>
        <v>45215</v>
      </c>
      <c s="93" t="str">
        <f t="shared" si="12"/>
        <v/>
      </c>
      <c s="94" t="str">
        <f t="shared" si="216"/>
        <v/>
      </c>
      <c s="95" t="str">
        <f t="shared" si="169"/>
        <v/>
      </c>
      <c s="98" t="str">
        <f t="shared" si="217"/>
        <v/>
      </c>
      <c s="97" t="str">
        <f t="array" ref="W39">IFERROR(IF(Q39="ac"+ISNUMBER(SEARCH("'",V39))+U39="","",IF(ISNUMBER(SEARCH("lw",V39)),I39+SUBSTITUTE(V39,"lw+",""),MROUND(_xlfn.SWITCH(Q39,"sq",U$7,"bn",V$7,"dl",W$7,"")*IF(V39&gt;10,V39/100,VLOOKUP(V39,_rpe,SUBSTITUTE(U39,"+","")+1,0)),IF(_xlfn.SWITCH(Q39,"sq",U$7,"bn",V$7,"dl",W$7,"")&lt;IF(_uom="lbs",175,80),1.25,IF(_uom="lbs",5,2.5))))),"")</f>
        <v/>
      </c>
      <c s="70"/>
      <c s="63"/>
      <c s="97"/>
      <c s="44" t="str">
        <f>IFERROR(__xludf.DUMMYFUNCTION("IF(W39=MAX(FILTER(W$10:W$199,LOOKUP(ROW(Q$10:Q$199),FILTER(ROW(Q$10:Q$199),Q$10:Q$199&lt;&gt;Q$9:Q$198))=LOOKUP(ROW(Q39),FILTER(ROW(Q$10:Q$199),Q$10:Q$199&lt;&gt;Q$9:Q$198)))),X39,)"),"")</f>
        <v/>
      </c>
      <c s="42"/>
      <c s="65"/>
      <c s="64" t="str">
        <f t="shared" si="14"/>
        <v/>
      </c>
      <c s="65" t="str">
        <f>IFERROR(__xludf.DUMMYFUNCTION("""COMPUTED_VALUE"""),"")</f>
        <v/>
      </c>
      <c s="66">
        <f ca="1"/>
        <v>45222</v>
      </c>
      <c s="93" t="str">
        <f t="shared" si="156"/>
        <v/>
      </c>
      <c s="94" t="str">
        <f t="shared" si="186"/>
        <v/>
      </c>
      <c s="95" t="str">
        <f t="shared" si="172"/>
        <v/>
      </c>
      <c s="98" t="str">
        <f t="shared" si="218"/>
        <v/>
      </c>
      <c s="97" t="str">
        <f t="array" ref="AK39">IFERROR(IF(AE39="ac"+ISNUMBER(SEARCH("'",AJ39))+AI39="","",IF(ISNUMBER(SEARCH("lw",AJ39)),W39+SUBSTITUTE(AJ39,"lw+",""),MROUND(_xlfn.SWITCH(AE39,"sq",AI$7,"bn",AJ$7,"dl",AK$7,"")*IF(AJ39&gt;10,AJ39/100,VLOOKUP(AJ39,_rpe,SUBSTITUTE(AI39,"+","")+1,0)),IF(_xlfn.SWITCH(AE39,"sq",AI$7,"bn",AJ$7,"dl",AK$7,"")&lt;IF(_uom="lbs",175,80),1.25,IF(_uom="lbs",5,2.5))))),"")</f>
        <v/>
      </c>
      <c s="70"/>
      <c s="63"/>
      <c s="97"/>
      <c s="44" t="str">
        <f>IFERROR(__xludf.DUMMYFUNCTION("IF(AK39=MAX(FILTER(AK$10:AK$199,LOOKUP(ROW(AE$10:AE$199),FILTER(ROW(AE$10:AE$199),AE$10:AE$199&lt;&gt;AE$9:AE$198))=LOOKUP(ROW(AE39),FILTER(ROW(AE$10:AE$199),AE$10:AE$199&lt;&gt;AE$9:AE$198)))),AL39,)"),"")</f>
        <v/>
      </c>
      <c s="42"/>
      <c s="65"/>
      <c s="64" t="str">
        <f t="shared" si="17"/>
        <v/>
      </c>
      <c s="65" t="str">
        <f>IFERROR(__xludf.DUMMYFUNCTION("""COMPUTED_VALUE"""),"")</f>
        <v/>
      </c>
      <c s="66">
        <f ca="1"/>
        <v>45229</v>
      </c>
      <c s="93" t="str">
        <f t="shared" si="157"/>
        <v/>
      </c>
      <c s="94" t="str">
        <f t="shared" si="188"/>
        <v/>
      </c>
      <c s="95" t="str">
        <f t="shared" si="175"/>
        <v/>
      </c>
      <c s="98" t="str">
        <f t="shared" si="219"/>
        <v/>
      </c>
      <c s="97" t="str">
        <f t="array" ref="AY39">IFERROR(IF(AS39="ac"+ISNUMBER(SEARCH("'",AX39))+AW39="","",IF(ISNUMBER(SEARCH("lw",AX39)),AK39+SUBSTITUTE(AX39,"lw+",""),MROUND(_xlfn.SWITCH(AS39,"sq",AW$7,"bn",AX$7,"dl",AY$7,"")*IF(AX39&gt;10,AX39/100,VLOOKUP(AX39,_rpe,SUBSTITUTE(AW39,"+","")+1,0)),IF(_xlfn.SWITCH(AS39,"sq",AW$7,"bn",AX$7,"dl",AY$7,"")&lt;IF(_uom="lbs",175,80),1.25,IF(_uom="lbs",5,2.5))))),"")</f>
        <v/>
      </c>
      <c s="70"/>
      <c s="63"/>
      <c s="97"/>
      <c s="44" t="str">
        <f>IFERROR(__xludf.DUMMYFUNCTION("IF(AY39=MAX(FILTER(AY$10:AY$199,LOOKUP(ROW(AS$10:AS$199),FILTER(ROW(AS$10:AS$199),AS$10:AS$199&lt;&gt;AS$9:AS$198))=LOOKUP(ROW(AS39),FILTER(ROW(AS$10:AS$199),AS$10:AS$199&lt;&gt;AS$9:AS$198)))),AZ39,)"),"")</f>
        <v/>
      </c>
      <c s="42"/>
      <c s="65"/>
      <c s="64" t="str">
        <f t="shared" si="19"/>
        <v/>
      </c>
      <c s="65" t="str">
        <f>IFERROR(__xludf.DUMMYFUNCTION("""COMPUTED_VALUE"""),"")</f>
        <v/>
      </c>
      <c s="66">
        <f ca="1"/>
        <v>45236</v>
      </c>
      <c s="93" t="str">
        <f t="shared" si="20"/>
        <v/>
      </c>
      <c s="94" t="str">
        <f t="shared" si="220"/>
        <v/>
      </c>
      <c s="95" t="str">
        <f t="shared" si="221"/>
        <v/>
      </c>
      <c s="98" t="str">
        <f t="shared" si="222"/>
        <v/>
      </c>
      <c s="97" t="str">
        <f t="array" ref="BM39">IFERROR(IF(BG39="ac"+ISNUMBER(SEARCH("'",BL39))+BK39="","",IF(ISNUMBER(SEARCH("lw",BL39)),AY39+SUBSTITUTE(BL39,"lw+",""),MROUND(_xlfn.SWITCH(BG39,"sq",BK$7,"bn",BL$7,"dl",BM$7,"")*IF(BL39&gt;10,BL39/100,VLOOKUP(BL39,_rpe,SUBSTITUTE(BK39,"+","")+1,0)),IF(_xlfn.SWITCH(BG39,"sq",BK$7,"bn",BL$7,"dl",BM$7,"")&lt;IF(_uom="lbs",175,80),1.25,IF(_uom="lbs",5,2.5))))),"")</f>
        <v/>
      </c>
      <c s="70"/>
      <c s="63"/>
      <c s="97"/>
      <c s="44" t="str">
        <f>IFERROR(__xludf.DUMMYFUNCTION("IF(BM39=MAX(FILTER(BM$10:BM$199,LOOKUP(ROW(BG$10:BG$199),FILTER(ROW(BG$10:BG$199),BG$10:BG$199&lt;&gt;BG$9:BG$198))=LOOKUP(ROW(BG39),FILTER(ROW(BG$10:BG$199),BG$10:BG$199&lt;&gt;BG$9:BG$198)))),BN39,)"),"")</f>
        <v/>
      </c>
      <c s="42"/>
      <c s="65"/>
      <c s="64" t="str">
        <f t="shared" si="21"/>
        <v/>
      </c>
      <c s="65" t="str">
        <f>IFERROR(__xludf.DUMMYFUNCTION("""COMPUTED_VALUE"""),"")</f>
        <v/>
      </c>
      <c s="66">
        <f ca="1"/>
        <v>45243</v>
      </c>
      <c s="93" t="str">
        <f t="shared" si="22"/>
        <v/>
      </c>
      <c s="94" t="str">
        <f t="shared" si="223"/>
        <v/>
      </c>
      <c s="95" t="str">
        <f t="shared" si="224"/>
        <v/>
      </c>
      <c s="98" t="str">
        <f t="shared" si="225"/>
        <v/>
      </c>
      <c s="97" t="str">
        <f t="array" ref="CA39">IFERROR(IF(BU39="ac"+ISNUMBER(SEARCH("'",BZ39))+BY39="","",IF(ISNUMBER(SEARCH("lw",BZ39)),BM39+SUBSTITUTE(BZ39,"lw+",""),MROUND(_xlfn.SWITCH(BU39,"sq",BY$7,"bn",BZ$7,"dl",CA$7,"")*IF(BZ39&gt;10,BZ39/100,VLOOKUP(BZ39,_rpe,SUBSTITUTE(BY39,"+","")+1,0)),IF(_xlfn.SWITCH(BU39,"sq",BY$7,"bn",BZ$7,"dl",CA$7,"")&lt;IF(_uom="lbs",175,80),1.25,IF(_uom="lbs",5,2.5))))),"")</f>
        <v/>
      </c>
      <c s="70"/>
      <c s="63"/>
      <c s="97"/>
      <c s="44" t="str">
        <f>IFERROR(__xludf.DUMMYFUNCTION("IF(CA39=MAX(FILTER(CA$10:CA$199,LOOKUP(ROW(BU$10:BU$199),FILTER(ROW(BU$10:BU$199),BU$10:BU$199&lt;&gt;BU$9:BU$198))=LOOKUP(ROW(BU39),FILTER(ROW(BU$10:BU$199),BU$10:BU$199&lt;&gt;BU$9:BU$198)))),CB39,)"),"")</f>
        <v/>
      </c>
      <c s="42"/>
      <c s="65"/>
      <c s="64" t="str">
        <f t="shared" si="24"/>
        <v/>
      </c>
      <c s="65" t="str">
        <f>IFERROR(__xludf.DUMMYFUNCTION("""COMPUTED_VALUE"""),"")</f>
        <v/>
      </c>
      <c s="66">
        <f ca="1"/>
        <v>45250</v>
      </c>
      <c s="93" t="str">
        <f t="shared" si="44"/>
        <v/>
      </c>
      <c s="94" t="str">
        <f t="shared" si="226"/>
        <v/>
      </c>
      <c s="95" t="str">
        <f t="shared" si="150"/>
        <v/>
      </c>
      <c s="98" t="str">
        <f t="shared" si="227"/>
        <v/>
      </c>
      <c s="97" t="str">
        <f t="array" ref="CO39">IFERROR(IF(CI39="ac"+ISNUMBER(SEARCH("'",CN39))+CM39="","",IF(ISNUMBER(SEARCH("lw",CN39)),CA39+SUBSTITUTE(CN39,"lw+",""),MROUND(_xlfn.SWITCH(CI39,"sq",CM$7,"bn",CN$7,"dl",CO$7,"")*IF(CN39&gt;10,CN39/100,VLOOKUP(CN39,_rpe,SUBSTITUTE(CM39,"+","")+1,0)),IF(_xlfn.SWITCH(CI39,"sq",CM$7,"bn",CN$7,"dl",CO$7,"")&lt;IF(_uom="lbs",175,80),1.25,IF(_uom="lbs",5,2.5))))),"")</f>
        <v/>
      </c>
      <c s="70"/>
      <c s="63"/>
      <c s="97"/>
      <c s="44" t="str">
        <f>IFERROR(__xludf.DUMMYFUNCTION("IF(CO39=MAX(FILTER(CO$10:CO$199,LOOKUP(ROW(CI$10:CI$199),FILTER(ROW(CI$10:CI$199),CI$10:CI$199&lt;&gt;CI$9:CI$198))=LOOKUP(ROW(CI39),FILTER(ROW(CI$10:CI$199),CI$10:CI$199&lt;&gt;CI$9:CI$198)))),CP39,)"),"")</f>
        <v/>
      </c>
      <c s="42"/>
      <c s="65"/>
      <c s="64" t="str">
        <f t="shared" si="27"/>
        <v/>
      </c>
      <c s="65" t="str">
        <f>IFERROR(__xludf.DUMMYFUNCTION("""COMPUTED_VALUE"""),"")</f>
        <v/>
      </c>
      <c s="66">
        <f ca="1"/>
        <v>45257</v>
      </c>
      <c s="93" t="str">
        <f t="shared" si="45"/>
        <v/>
      </c>
      <c s="94" t="str">
        <f t="shared" si="196"/>
        <v/>
      </c>
      <c s="95" t="str">
        <f t="shared" si="228"/>
        <v/>
      </c>
      <c s="98" t="str">
        <f t="shared" si="229"/>
        <v/>
      </c>
      <c s="97" t="str">
        <f t="array" ref="DC39">IFERROR(IF(CW39="ac"+ISNUMBER(SEARCH("'",DB39))+DA39="","",IF(ISNUMBER(SEARCH("lw",DB39)),CO39+SUBSTITUTE(DB39,"lw+",""),MROUND(_xlfn.SWITCH(CW39,"sq",DA$7,"bn",DB$7,"dl",DC$7,"")*IF(DB39&gt;10,DB39/100,VLOOKUP(DB39,_rpe,SUBSTITUTE(DA39,"+","")+1,0)),IF(_xlfn.SWITCH(CW39,"sq",DA$7,"bn",DB$7,"dl",DC$7,"")&lt;IF(_uom="lbs",175,80),1.25,IF(_uom="lbs",5,2.5))))),"")</f>
        <v/>
      </c>
      <c s="70"/>
      <c s="63"/>
      <c s="97"/>
      <c s="44" t="str">
        <f>IFERROR(__xludf.DUMMYFUNCTION("IF(DC39=MAX(FILTER(DC$10:DC$199,LOOKUP(ROW(CW$10:CW$199),FILTER(ROW(CW$10:CW$199),CW$10:CW$199&lt;&gt;CW$9:CW$198))=LOOKUP(ROW(CW39),FILTER(ROW(CW$10:CW$199),CW$10:CW$199&lt;&gt;CW$9:CW$198)))),DD39,)"),"")</f>
        <v/>
      </c>
      <c s="42"/>
      <c s="65"/>
      <c s="64" t="str">
        <f t="shared" si="30"/>
        <v/>
      </c>
      <c s="65" t="str">
        <f>IFERROR(__xludf.DUMMYFUNCTION("""COMPUTED_VALUE"""),"")</f>
        <v/>
      </c>
      <c s="66">
        <f ca="1"/>
        <v>45264</v>
      </c>
      <c s="93" t="str">
        <f t="shared" si="46"/>
        <v/>
      </c>
      <c s="94" t="str">
        <f t="shared" si="230"/>
        <v/>
      </c>
      <c s="95" t="str">
        <f t="shared" si="231"/>
        <v/>
      </c>
      <c s="98" t="str">
        <f t="shared" si="232"/>
        <v/>
      </c>
      <c s="97" t="str">
        <f t="array" ref="DQ39">IFERROR(IF(DK39="ac"+ISNUMBER(SEARCH("'",DP39))+DO39="","",IF(ISNUMBER(SEARCH("lw",DP39)),DC39+SUBSTITUTE(DP39,"lw+",""),MROUND(_xlfn.SWITCH(DK39,"sq",DO$7,"bn",DP$7,"dl",DQ$7,"")*IF(DP39&gt;10,DP39/100,VLOOKUP(DP39,_rpe,SUBSTITUTE(DO39,"+","")+1,0)),IF(_xlfn.SWITCH(DK39,"sq",DO$7,"bn",DP$7,"dl",DQ$7,"")&lt;IF(_uom="lbs",175,80),1.25,IF(_uom="lbs",5,2.5))))),"")</f>
        <v/>
      </c>
      <c s="70"/>
      <c s="63"/>
      <c s="97"/>
      <c s="44" t="str">
        <f>IFERROR(__xludf.DUMMYFUNCTION("IF(DQ39=MAX(FILTER(DQ$10:DQ$199,LOOKUP(ROW(DK$10:DK$199),FILTER(ROW(DK$10:DK$199),DK$10:DK$199&lt;&gt;DK$9:DK$198))=LOOKUP(ROW(DK39),FILTER(ROW(DK$10:DK$199),DK$10:DK$199&lt;&gt;DK$9:DK$198)))),DR39,)"),"")</f>
        <v/>
      </c>
      <c s="42"/>
      <c s="65"/>
      <c s="64" t="str">
        <f t="shared" si="32"/>
        <v/>
      </c>
      <c s="65" t="str">
        <f>IFERROR(__xludf.DUMMYFUNCTION("""COMPUTED_VALUE"""),"")</f>
        <v/>
      </c>
      <c s="66">
        <f ca="1"/>
        <v>45271</v>
      </c>
      <c s="93" t="str">
        <f t="shared" si="47"/>
        <v/>
      </c>
      <c s="94" t="str">
        <f t="shared" si="233"/>
        <v/>
      </c>
      <c s="95" t="str">
        <f t="shared" si="234"/>
        <v/>
      </c>
      <c s="98" t="str">
        <f t="shared" si="235"/>
        <v/>
      </c>
      <c s="97" t="str">
        <f t="array" ref="EE39">IFERROR(IF(DY39="ac"+ISNUMBER(SEARCH("'",ED39))+EC39="","",IF(ISNUMBER(SEARCH("lw",ED39)),DQ39+SUBSTITUTE(ED39,"lw+",""),MROUND(_xlfn.SWITCH(DY39,"sq",EC$7,"bn",ED$7,"dl",EE$7,"")*IF(ED39&gt;10,ED39/100,VLOOKUP(ED39,_rpe,SUBSTITUTE(EC39,"+","")+1,0)),IF(_xlfn.SWITCH(DY39,"sq",EC$7,"bn",ED$7,"dl",EE$7,"")&lt;IF(_uom="lbs",175,80),1.25,IF(_uom="lbs",5,2.5))))),"")</f>
        <v/>
      </c>
      <c s="70"/>
      <c s="63"/>
      <c s="97"/>
      <c s="44" t="str">
        <f>IFERROR(__xludf.DUMMYFUNCTION("IF(EE39=MAX(FILTER(EE$10:EE$199,LOOKUP(ROW(DY$10:DY$199),FILTER(ROW(DY$10:DY$199),DY$10:DY$199&lt;&gt;DY$9:DY$198))=LOOKUP(ROW(DY39),FILTER(ROW(DY$10:DY$199),DY$10:DY$199&lt;&gt;DY$9:DY$198)))),EF39,)"),"")</f>
        <v/>
      </c>
      <c s="42"/>
      <c s="65"/>
      <c s="64" t="str">
        <f t="shared" si="34"/>
        <v/>
      </c>
      <c s="65" t="str">
        <f>IFERROR(__xludf.DUMMYFUNCTION("""COMPUTED_VALUE"""),"")</f>
        <v/>
      </c>
      <c s="66">
        <f ca="1"/>
        <v>45278</v>
      </c>
      <c s="93" t="str">
        <f t="shared" si="48"/>
        <v/>
      </c>
      <c s="94" t="str">
        <f t="shared" si="203"/>
        <v/>
      </c>
      <c s="95" t="str">
        <f t="shared" si="236"/>
        <v/>
      </c>
      <c s="98" t="str">
        <f t="shared" si="237"/>
        <v/>
      </c>
      <c s="97" t="str">
        <f t="array" ref="ES39">IFERROR(IF(EM39="ac"+ISNUMBER(SEARCH("'",ER39))+EQ39="","",IF(ISNUMBER(SEARCH("lw",ER39)),EE39+SUBSTITUTE(ER39,"lw+",""),MROUND(_xlfn.SWITCH(EM39,"sq",EQ$7,"bn",ER$7,"dl",ES$7,"")*IF(ER39&gt;10,ER39/100,VLOOKUP(ER39,_rpe,SUBSTITUTE(EQ39,"+","")+1,0)),IF(_xlfn.SWITCH(EM39,"sq",EQ$7,"bn",ER$7,"dl",ES$7,"")&lt;IF(_uom="lbs",175,80),1.25,IF(_uom="lbs",5,2.5))))),"")</f>
        <v/>
      </c>
      <c s="70"/>
      <c s="63"/>
      <c s="97"/>
      <c s="44" t="str">
        <f>IFERROR(__xludf.DUMMYFUNCTION("IF(ES39=MAX(FILTER(ES$10:ES$199,LOOKUP(ROW(EM$10:EM$199),FILTER(ROW(EM$10:EM$199),EM$10:EM$199&lt;&gt;EM$9:EM$198))=LOOKUP(ROW(EM39),FILTER(ROW(EM$10:EM$199),EM$10:EM$199&lt;&gt;EM$9:EM$198)))),ET39,)"),"")</f>
        <v/>
      </c>
      <c s="42"/>
      <c s="65"/>
      <c s="64" t="str">
        <f t="shared" si="36"/>
        <v/>
      </c>
      <c s="65" t="str">
        <f>IFERROR(__xludf.DUMMYFUNCTION("""COMPUTED_VALUE"""),"")</f>
        <v/>
      </c>
      <c s="66">
        <f ca="1"/>
        <v>45285</v>
      </c>
      <c s="93" t="str">
        <f t="shared" si="49"/>
        <v/>
      </c>
      <c s="94" t="str">
        <f t="shared" si="238"/>
        <v/>
      </c>
      <c s="95" t="str">
        <f t="shared" si="239"/>
        <v/>
      </c>
      <c s="98" t="str">
        <f t="shared" si="240"/>
        <v/>
      </c>
      <c s="97" t="str">
        <f t="array" ref="FG39">IFERROR(IF(FA39="ac"+ISNUMBER(SEARCH("'",FF39))+FE39="","",IF(ISNUMBER(SEARCH("lw",FF39)),ES39+SUBSTITUTE(FF39,"lw+",""),MROUND(_xlfn.SWITCH(FA39,"sq",FE$7,"bn",FF$7,"dl",FG$7,"")*IF(FF39&gt;10,FF39/100,VLOOKUP(FF39,_rpe,SUBSTITUTE(FE39,"+","")+1,0)),IF(_xlfn.SWITCH(FA39,"sq",FE$7,"bn",FF$7,"dl",FG$7,"")&lt;IF(_uom="lbs",175,80),1.25,IF(_uom="lbs",5,2.5))))),"")</f>
        <v/>
      </c>
      <c s="70"/>
      <c s="63"/>
      <c s="97"/>
      <c s="44" t="str">
        <f>IFERROR(__xludf.DUMMYFUNCTION("IF(FG39=MAX(FILTER(FG$10:FG$199,LOOKUP(ROW(FA$10:FA$199),FILTER(ROW(FA$10:FA$199),FA$10:FA$199&lt;&gt;FA$9:FA$198))=LOOKUP(ROW(FA39),FILTER(ROW(FA$10:FA$199),FA$10:FA$199&lt;&gt;FA$9:FA$198)))),FH39,)"),"")</f>
        <v/>
      </c>
      <c s="42"/>
      <c s="65"/>
      <c s="64" t="str">
        <f t="shared" si="38"/>
        <v/>
      </c>
      <c s="65" t="str">
        <f>IFERROR(__xludf.DUMMYFUNCTION("""COMPUTED_VALUE"""),"")</f>
        <v/>
      </c>
      <c s="66">
        <f ca="1"/>
        <v>45292</v>
      </c>
      <c s="93" t="str">
        <f t="shared" si="215"/>
        <v/>
      </c>
      <c s="94" t="str">
        <f t="shared" si="241"/>
        <v/>
      </c>
      <c s="95" t="str">
        <f t="shared" si="242"/>
        <v/>
      </c>
      <c s="98" t="str">
        <f t="shared" si="243"/>
        <v/>
      </c>
      <c s="97" t="str">
        <f t="array" ref="FU39">IFERROR(IF(FO39="ac"+ISNUMBER(SEARCH("'",FT39))+FS39="","",IF(ISNUMBER(SEARCH("lw",FT39)),FG39+SUBSTITUTE(FT39,"lw+",""),MROUND(_xlfn.SWITCH(FO39,"sq",FS$7,"bn",FT$7,"dl",FU$7,"")*IF(FT39&gt;10,FT39/100,VLOOKUP(FT39,_rpe,SUBSTITUTE(FS39,"+","")+1,0)),IF(_xlfn.SWITCH(FO39,"sq",FS$7,"bn",FT$7,"dl",FU$7,"")&lt;IF(_uom="lbs",175,80),1.25,IF(_uom="lbs",5,2.5))))),"")</f>
        <v/>
      </c>
      <c s="70"/>
      <c s="63"/>
      <c s="97"/>
      <c s="44" t="str">
        <f>IFERROR(__xludf.DUMMYFUNCTION("IF(FU39=MAX(FILTER(FU$10:FU$199,LOOKUP(ROW(FO$10:FO$199),FILTER(ROW(FO$10:FO$199),FO$10:FO$199&lt;&gt;FO$9:FO$198))=LOOKUP(ROW(FO39),FILTER(ROW(FO$10:FO$199),FO$10:FO$199&lt;&gt;FO$9:FO$198)))),FV39,)"),"")</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40" spans="1:259" ht="15.75" collapsed="1">
      <c r="A40" s="63"/>
      <c s="64" t="s">
        <v>168</v>
      </c>
      <c s="65" t="str">
        <f>IFERROR(__xludf.DUMMYFUNCTION("""COMPUTED_VALUE"""),"ac")</f>
        <v>ac</v>
      </c>
      <c s="66">
        <f ca="1"/>
        <v>45208</v>
      </c>
      <c s="93" t="s">
        <v>169</v>
      </c>
      <c s="94">
        <v>3</v>
      </c>
      <c s="95">
        <v>10</v>
      </c>
      <c s="106" t="s">
        <v>143</v>
      </c>
      <c s="97" t="str">
        <f t="array" ref="I40">IFERROR(IF(C40="ac"+ISNUMBER(SEARCH("'",H40))+G40="","",MROUND(_xlfn.SWITCH(C40,"sq",'Personal Info'!$O$15,"bn",'Personal Info'!$S$15,"dl",'Personal Info'!$W$15,"")*IF(H40&gt;10,H40/100,VLOOKUP(H40,_rpe,SUBSTITUTE(G40,"+","")+1,0)),IF(_xlfn.SWITCH(C40:C210,"sq",'Personal Info'!$O$15,"bn",'Personal Info'!$S$15,"dl",'Personal Info'!$W$15,"")&lt;IF(_uom="lbs",175,80),1.25,IF(_uom="lbs",5,2.5)))),"")</f>
        <v/>
      </c>
      <c s="70"/>
      <c s="63"/>
      <c s="97"/>
      <c s="44" t="str">
        <f>IFERROR(__xludf.DUMMYFUNCTION("IF(I40=MAX(FILTER(I$10:I$199,LOOKUP(ROW(C$10:C$199),FILTER(ROW(C$10:C$199),C$10:C$199&lt;&gt;C$9:C$198))=LOOKUP(ROW(C40),FILTER(ROW(C$10:C$199),C$10:C$199&lt;&gt;C$9:C$198)))),J40,)"),"")</f>
        <v/>
      </c>
      <c s="42"/>
      <c s="65"/>
      <c s="64" t="str">
        <f t="shared" si="11"/>
        <v>glutes</v>
      </c>
      <c s="65" t="str">
        <f>IFERROR(__xludf.DUMMYFUNCTION("""COMPUTED_VALUE"""),"ac")</f>
        <v>ac</v>
      </c>
      <c s="66">
        <f ca="1"/>
        <v>45215</v>
      </c>
      <c s="93" t="str">
        <f t="shared" si="12"/>
        <v>Single Leg Hip Thrust</v>
      </c>
      <c s="94">
        <f>IF(OR(gen="SELECT",gen="MALE"),3,4)</f>
        <v>3</v>
      </c>
      <c s="95">
        <f t="shared" si="169"/>
        <v>10</v>
      </c>
      <c s="106" t="s">
        <v>141</v>
      </c>
      <c s="97" t="str">
        <f t="array" ref="W40">IFERROR(IF(Q40="ac"+ISNUMBER(SEARCH("'",V40))+U40="","",IF(ISNUMBER(SEARCH("lw",V40)),I40+SUBSTITUTE(V40,"lw+",""),MROUND(_xlfn.SWITCH(Q40,"sq",U$7,"bn",V$7,"dl",W$7,"")*IF(V40&gt;10,V40/100,VLOOKUP(V40,_rpe,SUBSTITUTE(U40,"+","")+1,0)),IF(_xlfn.SWITCH(Q40,"sq",U$7,"bn",V$7,"dl",W$7,"")&lt;IF(_uom="lbs",175,80),1.25,IF(_uom="lbs",5,2.5))))),"")</f>
        <v/>
      </c>
      <c s="70"/>
      <c s="63"/>
      <c s="97"/>
      <c s="44" t="str">
        <f>IFERROR(__xludf.DUMMYFUNCTION("IF(W40=MAX(FILTER(W$10:W$199,LOOKUP(ROW(Q$10:Q$199),FILTER(ROW(Q$10:Q$199),Q$10:Q$199&lt;&gt;Q$9:Q$198))=LOOKUP(ROW(Q40),FILTER(ROW(Q$10:Q$199),Q$10:Q$199&lt;&gt;Q$9:Q$198)))),X40,)"),"")</f>
        <v/>
      </c>
      <c s="42"/>
      <c s="65"/>
      <c s="64" t="str">
        <f t="shared" si="14"/>
        <v>glutes</v>
      </c>
      <c s="65" t="str">
        <f>IFERROR(__xludf.DUMMYFUNCTION("""COMPUTED_VALUE"""),"ac")</f>
        <v>ac</v>
      </c>
      <c s="66">
        <f ca="1"/>
        <v>45222</v>
      </c>
      <c s="93" t="str">
        <f t="shared" si="156"/>
        <v>Single Leg Hip Thrust</v>
      </c>
      <c s="94">
        <f t="shared" si="186"/>
        <v>3</v>
      </c>
      <c s="95">
        <v>9</v>
      </c>
      <c s="98" t="str">
        <f t="shared" si="218"/>
        <v>@8-9</v>
      </c>
      <c s="97" t="str">
        <f t="array" ref="AK40">IFERROR(IF(AE40="ac"+ISNUMBER(SEARCH("'",AJ40))+AI40="","",IF(ISNUMBER(SEARCH("lw",AJ40)),W40+SUBSTITUTE(AJ40,"lw+",""),MROUND(_xlfn.SWITCH(AE40,"sq",AI$7,"bn",AJ$7,"dl",AK$7,"")*IF(AJ40&gt;10,AJ40/100,VLOOKUP(AJ40,_rpe,SUBSTITUTE(AI40,"+","")+1,0)),IF(_xlfn.SWITCH(AE40,"sq",AI$7,"bn",AJ$7,"dl",AK$7,"")&lt;IF(_uom="lbs",175,80),1.25,IF(_uom="lbs",5,2.5))))),"")</f>
        <v/>
      </c>
      <c s="70"/>
      <c s="63"/>
      <c s="97"/>
      <c s="44" t="str">
        <f>IFERROR(__xludf.DUMMYFUNCTION("IF(AK40=MAX(FILTER(AK$10:AK$199,LOOKUP(ROW(AE$10:AE$199),FILTER(ROW(AE$10:AE$199),AE$10:AE$199&lt;&gt;AE$9:AE$198))=LOOKUP(ROW(AE40),FILTER(ROW(AE$10:AE$199),AE$10:AE$199&lt;&gt;AE$9:AE$198)))),AL40,)"),"")</f>
        <v/>
      </c>
      <c s="42"/>
      <c s="65"/>
      <c s="64" t="str">
        <f t="shared" si="17"/>
        <v>glutes</v>
      </c>
      <c s="65" t="str">
        <f>IFERROR(__xludf.DUMMYFUNCTION("""COMPUTED_VALUE"""),"ac")</f>
        <v>ac</v>
      </c>
      <c s="66">
        <f ca="1"/>
        <v>45229</v>
      </c>
      <c s="93" t="str">
        <f t="shared" si="157"/>
        <v>Single Leg Hip Thrust</v>
      </c>
      <c s="94">
        <f t="shared" si="188"/>
        <v>3</v>
      </c>
      <c s="95">
        <v>8</v>
      </c>
      <c s="98" t="str">
        <f t="shared" si="219"/>
        <v>@8-9</v>
      </c>
      <c s="97" t="str">
        <f t="array" ref="AY40">IFERROR(IF(AS40="ac"+ISNUMBER(SEARCH("'",AX40))+AW40="","",IF(ISNUMBER(SEARCH("lw",AX40)),AK40+SUBSTITUTE(AX40,"lw+",""),MROUND(_xlfn.SWITCH(AS40,"sq",AW$7,"bn",AX$7,"dl",AY$7,"")*IF(AX40&gt;10,AX40/100,VLOOKUP(AX40,_rpe,SUBSTITUTE(AW40,"+","")+1,0)),IF(_xlfn.SWITCH(AS40,"sq",AW$7,"bn",AX$7,"dl",AY$7,"")&lt;IF(_uom="lbs",175,80),1.25,IF(_uom="lbs",5,2.5))))),"")</f>
        <v/>
      </c>
      <c s="70"/>
      <c s="63"/>
      <c s="97"/>
      <c s="44" t="str">
        <f>IFERROR(__xludf.DUMMYFUNCTION("IF(AY40=MAX(FILTER(AY$10:AY$199,LOOKUP(ROW(AS$10:AS$199),FILTER(ROW(AS$10:AS$199),AS$10:AS$199&lt;&gt;AS$9:AS$198))=LOOKUP(ROW(AS40),FILTER(ROW(AS$10:AS$199),AS$10:AS$199&lt;&gt;AS$9:AS$198)))),AZ40,)"),"")</f>
        <v/>
      </c>
      <c s="42"/>
      <c s="65"/>
      <c s="64" t="str">
        <f t="shared" si="19"/>
        <v>glutes</v>
      </c>
      <c s="65" t="str">
        <f>IFERROR(__xludf.DUMMYFUNCTION("""COMPUTED_VALUE"""),"ac")</f>
        <v>ac</v>
      </c>
      <c s="66">
        <f ca="1"/>
        <v>45236</v>
      </c>
      <c s="93" t="str">
        <f t="shared" si="20"/>
        <v>Single Leg Hip Thrust</v>
      </c>
      <c s="94">
        <v>2</v>
      </c>
      <c s="95">
        <v>10</v>
      </c>
      <c s="106" t="s">
        <v>142</v>
      </c>
      <c s="97" t="str">
        <f t="array" ref="BM40">IFERROR(IF(BG40="ac"+ISNUMBER(SEARCH("'",BL40))+BK40="","",IF(ISNUMBER(SEARCH("lw",BL40)),AY40+SUBSTITUTE(BL40,"lw+",""),MROUND(_xlfn.SWITCH(BG40,"sq",BK$7,"bn",BL$7,"dl",BM$7,"")*IF(BL40&gt;10,BL40/100,VLOOKUP(BL40,_rpe,SUBSTITUTE(BK40,"+","")+1,0)),IF(_xlfn.SWITCH(BG40,"sq",BK$7,"bn",BL$7,"dl",BM$7,"")&lt;IF(_uom="lbs",175,80),1.25,IF(_uom="lbs",5,2.5))))),"")</f>
        <v/>
      </c>
      <c s="70"/>
      <c s="63"/>
      <c s="97"/>
      <c s="44" t="str">
        <f>IFERROR(__xludf.DUMMYFUNCTION("IF(BM40=MAX(FILTER(BM$10:BM$199,LOOKUP(ROW(BG$10:BG$199),FILTER(ROW(BG$10:BG$199),BG$10:BG$199&lt;&gt;BG$9:BG$198))=LOOKUP(ROW(BG40),FILTER(ROW(BG$10:BG$199),BG$10:BG$199&lt;&gt;BG$9:BG$198)))),BN40,)"),"")</f>
        <v/>
      </c>
      <c s="42"/>
      <c s="65"/>
      <c s="64" t="str">
        <f t="shared" si="21"/>
        <v>glutes</v>
      </c>
      <c s="65" t="str">
        <f>IFERROR(__xludf.DUMMYFUNCTION("""COMPUTED_VALUE"""),"ac")</f>
        <v>ac</v>
      </c>
      <c s="66">
        <f ca="1"/>
        <v>45243</v>
      </c>
      <c s="93" t="str">
        <f t="shared" si="22"/>
        <v>Single Leg Hip Thrust</v>
      </c>
      <c s="94">
        <v>3</v>
      </c>
      <c s="95">
        <f t="shared" si="224"/>
        <v>10</v>
      </c>
      <c s="106" t="s">
        <v>140</v>
      </c>
      <c s="97" t="str">
        <f t="array" ref="CA40">IFERROR(IF(BU40="ac"+ISNUMBER(SEARCH("'",BZ40))+BY40="","",IF(ISNUMBER(SEARCH("lw",BZ40)),BM40+SUBSTITUTE(BZ40,"lw+",""),MROUND(_xlfn.SWITCH(BU40,"sq",BY$7,"bn",BZ$7,"dl",CA$7,"")*IF(BZ40&gt;10,BZ40/100,VLOOKUP(BZ40,_rpe,SUBSTITUTE(BY40,"+","")+1,0)),IF(_xlfn.SWITCH(BU40,"sq",BY$7,"bn",BZ$7,"dl",CA$7,"")&lt;IF(_uom="lbs",175,80),1.25,IF(_uom="lbs",5,2.5))))),"")</f>
        <v/>
      </c>
      <c s="70"/>
      <c s="63"/>
      <c s="97"/>
      <c s="44" t="str">
        <f>IFERROR(__xludf.DUMMYFUNCTION("IF(CA40=MAX(FILTER(CA$10:CA$199,LOOKUP(ROW(BU$10:BU$199),FILTER(ROW(BU$10:BU$199),BU$10:BU$199&lt;&gt;BU$9:BU$198))=LOOKUP(ROW(BU40),FILTER(ROW(BU$10:BU$199),BU$10:BU$199&lt;&gt;BU$9:BU$198)))),CB40,)"),"")</f>
        <v/>
      </c>
      <c s="42"/>
      <c s="65"/>
      <c s="64" t="str">
        <f t="shared" si="24"/>
        <v>glutes</v>
      </c>
      <c s="65" t="str">
        <f>IFERROR(__xludf.DUMMYFUNCTION("""COMPUTED_VALUE"""),"ac")</f>
        <v>ac</v>
      </c>
      <c s="66">
        <f ca="1"/>
        <v>45250</v>
      </c>
      <c s="93" t="str">
        <f t="shared" si="44"/>
        <v>Single Leg Hip Thrust</v>
      </c>
      <c s="94">
        <f t="shared" si="226"/>
        <v>3</v>
      </c>
      <c s="95">
        <v>9</v>
      </c>
      <c s="106" t="s">
        <v>141</v>
      </c>
      <c s="97" t="str">
        <f t="array" ref="CO40">IFERROR(IF(CI40="ac"+ISNUMBER(SEARCH("'",CN40))+CM40="","",IF(ISNUMBER(SEARCH("lw",CN40)),CA40+SUBSTITUTE(CN40,"lw+",""),MROUND(_xlfn.SWITCH(CI40,"sq",CM$7,"bn",CN$7,"dl",CO$7,"")*IF(CN40&gt;10,CN40/100,VLOOKUP(CN40,_rpe,SUBSTITUTE(CM40,"+","")+1,0)),IF(_xlfn.SWITCH(CI40,"sq",CM$7,"bn",CN$7,"dl",CO$7,"")&lt;IF(_uom="lbs",175,80),1.25,IF(_uom="lbs",5,2.5))))),"")</f>
        <v/>
      </c>
      <c s="70"/>
      <c s="63"/>
      <c s="97"/>
      <c s="44" t="str">
        <f>IFERROR(__xludf.DUMMYFUNCTION("IF(CO40=MAX(FILTER(CO$10:CO$199,LOOKUP(ROW(CI$10:CI$199),FILTER(ROW(CI$10:CI$199),CI$10:CI$199&lt;&gt;CI$9:CI$198))=LOOKUP(ROW(CI40),FILTER(ROW(CI$10:CI$199),CI$10:CI$199&lt;&gt;CI$9:CI$198)))),CP40,)"),"")</f>
        <v/>
      </c>
      <c s="42"/>
      <c s="65"/>
      <c s="64" t="str">
        <f t="shared" si="27"/>
        <v>glutes</v>
      </c>
      <c s="65" t="str">
        <f>IFERROR(__xludf.DUMMYFUNCTION("""COMPUTED_VALUE"""),"ac")</f>
        <v>ac</v>
      </c>
      <c s="66">
        <f ca="1"/>
        <v>45257</v>
      </c>
      <c s="93" t="str">
        <f t="shared" si="45"/>
        <v>Single Leg Hip Thrust</v>
      </c>
      <c s="94">
        <f t="shared" si="196"/>
        <v>3</v>
      </c>
      <c s="95">
        <v>8</v>
      </c>
      <c s="98" t="str">
        <f t="shared" si="229"/>
        <v>@8-9</v>
      </c>
      <c s="97" t="str">
        <f t="array" ref="DC40">IFERROR(IF(CW40="ac"+ISNUMBER(SEARCH("'",DB40))+DA40="","",IF(ISNUMBER(SEARCH("lw",DB40)),CO40+SUBSTITUTE(DB40,"lw+",""),MROUND(_xlfn.SWITCH(CW40,"sq",DA$7,"bn",DB$7,"dl",DC$7,"")*IF(DB40&gt;10,DB40/100,VLOOKUP(DB40,_rpe,SUBSTITUTE(DA40,"+","")+1,0)),IF(_xlfn.SWITCH(CW40,"sq",DA$7,"bn",DB$7,"dl",DC$7,"")&lt;IF(_uom="lbs",175,80),1.25,IF(_uom="lbs",5,2.5))))),"")</f>
        <v/>
      </c>
      <c s="70"/>
      <c s="63"/>
      <c s="97"/>
      <c s="44" t="str">
        <f>IFERROR(__xludf.DUMMYFUNCTION("IF(DC40=MAX(FILTER(DC$10:DC$199,LOOKUP(ROW(CW$10:CW$199),FILTER(ROW(CW$10:CW$199),CW$10:CW$199&lt;&gt;CW$9:CW$198))=LOOKUP(ROW(CW40),FILTER(ROW(CW$10:CW$199),CW$10:CW$199&lt;&gt;CW$9:CW$198)))),DD40,)"),"")</f>
        <v/>
      </c>
      <c s="42"/>
      <c s="65"/>
      <c s="64" t="str">
        <f t="shared" si="30"/>
        <v>glutes</v>
      </c>
      <c s="65" t="str">
        <f>IFERROR(__xludf.DUMMYFUNCTION("""COMPUTED_VALUE"""),"ac")</f>
        <v>ac</v>
      </c>
      <c s="66">
        <f ca="1"/>
        <v>45264</v>
      </c>
      <c s="93" t="str">
        <f t="shared" si="46"/>
        <v>Single Leg Hip Thrust</v>
      </c>
      <c s="94">
        <f t="shared" si="230"/>
        <v>3</v>
      </c>
      <c s="95">
        <v>7</v>
      </c>
      <c s="106" t="s">
        <v>143</v>
      </c>
      <c s="97" t="str">
        <f t="array" ref="DQ40">IFERROR(IF(DK40="ac"+ISNUMBER(SEARCH("'",DP40))+DO40="","",IF(ISNUMBER(SEARCH("lw",DP40)),DC40+SUBSTITUTE(DP40,"lw+",""),MROUND(_xlfn.SWITCH(DK40,"sq",DO$7,"bn",DP$7,"dl",DQ$7,"")*IF(DP40&gt;10,DP40/100,VLOOKUP(DP40,_rpe,SUBSTITUTE(DO40,"+","")+1,0)),IF(_xlfn.SWITCH(DK40,"sq",DO$7,"bn",DP$7,"dl",DQ$7,"")&lt;IF(_uom="lbs",175,80),1.25,IF(_uom="lbs",5,2.5))))),"")</f>
        <v/>
      </c>
      <c s="70"/>
      <c s="63"/>
      <c s="97"/>
      <c s="44" t="str">
        <f>IFERROR(__xludf.DUMMYFUNCTION("IF(DQ40=MAX(FILTER(DQ$10:DQ$199,LOOKUP(ROW(DK$10:DK$199),FILTER(ROW(DK$10:DK$199),DK$10:DK$199&lt;&gt;DK$9:DK$198))=LOOKUP(ROW(DK40),FILTER(ROW(DK$10:DK$199),DK$10:DK$199&lt;&gt;DK$9:DK$198)))),DR40,)"),"")</f>
        <v/>
      </c>
      <c s="42"/>
      <c s="65"/>
      <c s="64" t="str">
        <f t="shared" si="32"/>
        <v>glutes</v>
      </c>
      <c s="65" t="str">
        <f>IFERROR(__xludf.DUMMYFUNCTION("""COMPUTED_VALUE"""),"ac")</f>
        <v>ac</v>
      </c>
      <c s="66">
        <f ca="1"/>
        <v>45271</v>
      </c>
      <c s="93" t="str">
        <f t="shared" si="47"/>
        <v>Single Leg Hip Thrust</v>
      </c>
      <c s="94">
        <f t="shared" si="233"/>
        <v>3</v>
      </c>
      <c s="95">
        <v>9</v>
      </c>
      <c s="106" t="s">
        <v>141</v>
      </c>
      <c s="97" t="str">
        <f t="array" ref="EE40">IFERROR(IF(DY40="ac"+ISNUMBER(SEARCH("'",ED40))+EC40="","",IF(ISNUMBER(SEARCH("lw",ED40)),DQ40+SUBSTITUTE(ED40,"lw+",""),MROUND(_xlfn.SWITCH(DY40,"sq",EC$7,"bn",ED$7,"dl",EE$7,"")*IF(ED40&gt;10,ED40/100,VLOOKUP(ED40,_rpe,SUBSTITUTE(EC40,"+","")+1,0)),IF(_xlfn.SWITCH(DY40,"sq",EC$7,"bn",ED$7,"dl",EE$7,"")&lt;IF(_uom="lbs",175,80),1.25,IF(_uom="lbs",5,2.5))))),"")</f>
        <v/>
      </c>
      <c s="70"/>
      <c s="63"/>
      <c s="97"/>
      <c s="44" t="str">
        <f>IFERROR(__xludf.DUMMYFUNCTION("IF(EE40=MAX(FILTER(EE$10:EE$199,LOOKUP(ROW(DY$10:DY$199),FILTER(ROW(DY$10:DY$199),DY$10:DY$199&lt;&gt;DY$9:DY$198))=LOOKUP(ROW(DY40),FILTER(ROW(DY$10:DY$199),DY$10:DY$199&lt;&gt;DY$9:DY$198)))),EF40,)"),"")</f>
        <v/>
      </c>
      <c s="42"/>
      <c s="65"/>
      <c s="64" t="str">
        <f t="shared" si="34"/>
        <v>glutes</v>
      </c>
      <c s="65" t="str">
        <f>IFERROR(__xludf.DUMMYFUNCTION("""COMPUTED_VALUE"""),"ac")</f>
        <v>ac</v>
      </c>
      <c s="66">
        <f ca="1"/>
        <v>45278</v>
      </c>
      <c s="93" t="str">
        <f t="shared" si="48"/>
        <v>Single Leg Hip Thrust</v>
      </c>
      <c s="94">
        <f t="shared" si="203"/>
        <v>3</v>
      </c>
      <c s="95">
        <v>8</v>
      </c>
      <c s="98" t="str">
        <f t="shared" si="237"/>
        <v>@8-9</v>
      </c>
      <c s="97" t="str">
        <f t="array" ref="ES40">IFERROR(IF(EM40="ac"+ISNUMBER(SEARCH("'",ER40))+EQ40="","",IF(ISNUMBER(SEARCH("lw",ER40)),EE40+SUBSTITUTE(ER40,"lw+",""),MROUND(_xlfn.SWITCH(EM40,"sq",EQ$7,"bn",ER$7,"dl",ES$7,"")*IF(ER40&gt;10,ER40/100,VLOOKUP(ER40,_rpe,SUBSTITUTE(EQ40,"+","")+1,0)),IF(_xlfn.SWITCH(EM40,"sq",EQ$7,"bn",ER$7,"dl",ES$7,"")&lt;IF(_uom="lbs",175,80),1.25,IF(_uom="lbs",5,2.5))))),"")</f>
        <v/>
      </c>
      <c s="70"/>
      <c s="63"/>
      <c s="97"/>
      <c s="44" t="str">
        <f>IFERROR(__xludf.DUMMYFUNCTION("IF(ES40=MAX(FILTER(ES$10:ES$199,LOOKUP(ROW(EM$10:EM$199),FILTER(ROW(EM$10:EM$199),EM$10:EM$199&lt;&gt;EM$9:EM$198))=LOOKUP(ROW(EM40),FILTER(ROW(EM$10:EM$199),EM$10:EM$199&lt;&gt;EM$9:EM$198)))),ET40,)"),"")</f>
        <v/>
      </c>
      <c s="42"/>
      <c s="65"/>
      <c s="64" t="str">
        <f t="shared" si="36"/>
        <v>glutes</v>
      </c>
      <c s="65" t="str">
        <f>IFERROR(__xludf.DUMMYFUNCTION("""COMPUTED_VALUE"""),"ac")</f>
        <v>ac</v>
      </c>
      <c s="66">
        <f ca="1"/>
        <v>45285</v>
      </c>
      <c s="93" t="str">
        <f t="shared" si="49"/>
        <v>Single Leg Hip Thrust</v>
      </c>
      <c s="94">
        <f t="shared" si="238"/>
        <v>3</v>
      </c>
      <c s="95">
        <v>7</v>
      </c>
      <c s="98" t="str">
        <f t="shared" si="240"/>
        <v>@8-9</v>
      </c>
      <c s="97" t="str">
        <f t="array" ref="FG40">IFERROR(IF(FA40="ac"+ISNUMBER(SEARCH("'",FF40))+FE40="","",IF(ISNUMBER(SEARCH("lw",FF40)),ES40+SUBSTITUTE(FF40,"lw+",""),MROUND(_xlfn.SWITCH(FA40,"sq",FE$7,"bn",FF$7,"dl",FG$7,"")*IF(FF40&gt;10,FF40/100,VLOOKUP(FF40,_rpe,SUBSTITUTE(FE40,"+","")+1,0)),IF(_xlfn.SWITCH(FA40,"sq",FE$7,"bn",FF$7,"dl",FG$7,"")&lt;IF(_uom="lbs",175,80),1.25,IF(_uom="lbs",5,2.5))))),"")</f>
        <v/>
      </c>
      <c s="70"/>
      <c s="63"/>
      <c s="97"/>
      <c s="44" t="str">
        <f>IFERROR(__xludf.DUMMYFUNCTION("IF(FG40=MAX(FILTER(FG$10:FG$199,LOOKUP(ROW(FA$10:FA$199),FILTER(ROW(FA$10:FA$199),FA$10:FA$199&lt;&gt;FA$9:FA$198))=LOOKUP(ROW(FA40),FILTER(ROW(FA$10:FA$199),FA$10:FA$199&lt;&gt;FA$9:FA$198)))),FH40,)"),"")</f>
        <v/>
      </c>
      <c s="42"/>
      <c s="65"/>
      <c s="64" t="str">
        <f t="shared" si="38"/>
        <v>glutes</v>
      </c>
      <c s="65" t="str">
        <f>IFERROR(__xludf.DUMMYFUNCTION("""COMPUTED_VALUE"""),"")</f>
        <v/>
      </c>
      <c s="66">
        <f ca="1"/>
        <v>45292</v>
      </c>
      <c s="93"/>
      <c s="94"/>
      <c s="95"/>
      <c s="98"/>
      <c s="97" t="str">
        <f t="array" ref="FU40">IFERROR(IF(FO40="ac"+ISNUMBER(SEARCH("'",FT40))+FS40="","",IF(ISNUMBER(SEARCH("lw",FT40)),FG40+SUBSTITUTE(FT40,"lw+",""),MROUND(_xlfn.SWITCH(FO40,"sq",FS$7,"bn",FT$7,"dl",FU$7,"")*IF(FT40&gt;10,FT40/100,VLOOKUP(FT40,_rpe,SUBSTITUTE(FS40,"+","")+1,0)),IF(_xlfn.SWITCH(FO40,"sq",FS$7,"bn",FT$7,"dl",FU$7,"")&lt;IF(_uom="lbs",175,80),1.25,IF(_uom="lbs",5,2.5))))),"")</f>
        <v/>
      </c>
      <c s="70"/>
      <c s="63"/>
      <c s="97"/>
      <c s="44" t="str">
        <f>IFERROR(__xludf.DUMMYFUNCTION("IF(FU40=MAX(FILTER(FU$10:FU$199,LOOKUP(ROW(FO$10:FO$199),FILTER(ROW(FO$10:FO$199),FO$10:FO$199&lt;&gt;FO$9:FO$198))=LOOKUP(ROW(FO40),FILTER(ROW(FO$10:FO$199),FO$10:FO$199&lt;&gt;FO$9:FO$198)))),FV40,)"),"")</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41" spans="1:259" ht="15.75" hidden="1" outlineLevel="1">
      <c r="A41" s="63"/>
      <c s="64"/>
      <c s="65" t="str">
        <f>IFERROR(__xludf.DUMMYFUNCTION("""COMPUTED_VALUE"""),"")</f>
        <v/>
      </c>
      <c s="66">
        <f ca="1"/>
        <v>45208</v>
      </c>
      <c s="93"/>
      <c s="94"/>
      <c s="95"/>
      <c s="96"/>
      <c s="97" t="str">
        <f t="array" ref="I41">IFERROR(IF(C41="ac"+ISNUMBER(SEARCH("'",H41))+G41="","",MROUND(_xlfn.SWITCH(C41,"sq",'Personal Info'!$O$15,"bn",'Personal Info'!$S$15,"dl",'Personal Info'!$W$15,"")*IF(H41&gt;10,H41/100,VLOOKUP(H41,_rpe,SUBSTITUTE(G41,"+","")+1,0)),IF(_xlfn.SWITCH(C41:C210,"sq",'Personal Info'!$O$15,"bn",'Personal Info'!$S$15,"dl",'Personal Info'!$W$15,"")&lt;IF(_uom="lbs",175,80),1.25,IF(_uom="lbs",5,2.5)))),"")</f>
        <v/>
      </c>
      <c s="70"/>
      <c s="63"/>
      <c s="97"/>
      <c s="44" t="str">
        <f>IFERROR(__xludf.DUMMYFUNCTION("IF(I41=MAX(FILTER(I$10:I$199,LOOKUP(ROW(C$10:C$199),FILTER(ROW(C$10:C$199),C$10:C$199&lt;&gt;C$9:C$198))=LOOKUP(ROW(C41),FILTER(ROW(C$10:C$199),C$10:C$199&lt;&gt;C$9:C$198)))),J41,)"),"")</f>
        <v/>
      </c>
      <c s="42"/>
      <c s="65"/>
      <c s="64" t="str">
        <f t="shared" si="11"/>
        <v/>
      </c>
      <c s="65" t="str">
        <f>IFERROR(__xludf.DUMMYFUNCTION("""COMPUTED_VALUE"""),"")</f>
        <v/>
      </c>
      <c s="66">
        <f ca="1"/>
        <v>45215</v>
      </c>
      <c s="93" t="str">
        <f t="shared" si="12"/>
        <v/>
      </c>
      <c s="94" t="str">
        <f t="shared" si="244" ref="T41:T53">IF(ISBLANK(F41),"",F41)</f>
        <v/>
      </c>
      <c s="95" t="str">
        <f t="shared" si="169"/>
        <v/>
      </c>
      <c s="98" t="str">
        <f t="shared" si="245" ref="V41:V43">IF(ISBLANK(H41),"",H41)</f>
        <v/>
      </c>
      <c s="97" t="str">
        <f t="array" ref="W41">IFERROR(IF(Q41="ac"+ISNUMBER(SEARCH("'",V41))+U41="","",IF(ISNUMBER(SEARCH("lw",V41)),I41+SUBSTITUTE(V41,"lw+",""),MROUND(_xlfn.SWITCH(Q41,"sq",U$7,"bn",V$7,"dl",W$7,"")*IF(V41&gt;10,V41/100,VLOOKUP(V41,_rpe,SUBSTITUTE(U41,"+","")+1,0)),IF(_xlfn.SWITCH(Q41,"sq",U$7,"bn",V$7,"dl",W$7,"")&lt;IF(_uom="lbs",175,80),1.25,IF(_uom="lbs",5,2.5))))),"")</f>
        <v/>
      </c>
      <c s="70"/>
      <c s="63"/>
      <c s="97"/>
      <c s="44" t="str">
        <f>IFERROR(__xludf.DUMMYFUNCTION("IF(W41=MAX(FILTER(W$10:W$199,LOOKUP(ROW(Q$10:Q$199),FILTER(ROW(Q$10:Q$199),Q$10:Q$199&lt;&gt;Q$9:Q$198))=LOOKUP(ROW(Q41),FILTER(ROW(Q$10:Q$199),Q$10:Q$199&lt;&gt;Q$9:Q$198)))),X41,)"),"")</f>
        <v/>
      </c>
      <c s="42"/>
      <c s="65"/>
      <c s="64" t="str">
        <f t="shared" si="14"/>
        <v/>
      </c>
      <c s="65" t="str">
        <f>IFERROR(__xludf.DUMMYFUNCTION("""COMPUTED_VALUE"""),"")</f>
        <v/>
      </c>
      <c s="66">
        <f ca="1"/>
        <v>45222</v>
      </c>
      <c s="93" t="str">
        <f t="shared" si="156"/>
        <v/>
      </c>
      <c s="94" t="str">
        <f t="shared" si="186"/>
        <v/>
      </c>
      <c s="95" t="str">
        <f t="shared" si="246" ref="AI41:AI43">IF(OR(ISBLANK(U41),U41=""),"",U41)</f>
        <v/>
      </c>
      <c s="98" t="str">
        <f t="shared" si="218"/>
        <v/>
      </c>
      <c s="97" t="str">
        <f t="array" ref="AK41">IFERROR(IF(AE41="ac"+ISNUMBER(SEARCH("'",AJ41))+AI41="","",IF(ISNUMBER(SEARCH("lw",AJ41)),W41+SUBSTITUTE(AJ41,"lw+",""),MROUND(_xlfn.SWITCH(AE41,"sq",AI$7,"bn",AJ$7,"dl",AK$7,"")*IF(AJ41&gt;10,AJ41/100,VLOOKUP(AJ41,_rpe,SUBSTITUTE(AI41,"+","")+1,0)),IF(_xlfn.SWITCH(AE41,"sq",AI$7,"bn",AJ$7,"dl",AK$7,"")&lt;IF(_uom="lbs",175,80),1.25,IF(_uom="lbs",5,2.5))))),"")</f>
        <v/>
      </c>
      <c s="70"/>
      <c s="63"/>
      <c s="97"/>
      <c s="44" t="str">
        <f>IFERROR(__xludf.DUMMYFUNCTION("IF(AK41=MAX(FILTER(AK$10:AK$199,LOOKUP(ROW(AE$10:AE$199),FILTER(ROW(AE$10:AE$199),AE$10:AE$199&lt;&gt;AE$9:AE$198))=LOOKUP(ROW(AE41),FILTER(ROW(AE$10:AE$199),AE$10:AE$199&lt;&gt;AE$9:AE$198)))),AL41,)"),"")</f>
        <v/>
      </c>
      <c s="42"/>
      <c s="65"/>
      <c s="64" t="str">
        <f t="shared" si="17"/>
        <v/>
      </c>
      <c s="65" t="str">
        <f>IFERROR(__xludf.DUMMYFUNCTION("""COMPUTED_VALUE"""),"")</f>
        <v/>
      </c>
      <c s="66">
        <f ca="1"/>
        <v>45229</v>
      </c>
      <c s="93" t="str">
        <f t="shared" si="157"/>
        <v/>
      </c>
      <c s="94" t="str">
        <f t="shared" si="188"/>
        <v/>
      </c>
      <c s="95" t="str">
        <f t="shared" si="247" ref="AW41:AW43">IF(OR(ISBLANK(AI41),AI41=""),"",AI41)</f>
        <v/>
      </c>
      <c s="98" t="str">
        <f t="shared" si="219"/>
        <v/>
      </c>
      <c s="97" t="str">
        <f t="array" ref="AY41">IFERROR(IF(AS41="ac"+ISNUMBER(SEARCH("'",AX41))+AW41="","",IF(ISNUMBER(SEARCH("lw",AX41)),AK41+SUBSTITUTE(AX41,"lw+",""),MROUND(_xlfn.SWITCH(AS41,"sq",AW$7,"bn",AX$7,"dl",AY$7,"")*IF(AX41&gt;10,AX41/100,VLOOKUP(AX41,_rpe,SUBSTITUTE(AW41,"+","")+1,0)),IF(_xlfn.SWITCH(AS41,"sq",AW$7,"bn",AX$7,"dl",AY$7,"")&lt;IF(_uom="lbs",175,80),1.25,IF(_uom="lbs",5,2.5))))),"")</f>
        <v/>
      </c>
      <c s="70"/>
      <c s="63"/>
      <c s="97"/>
      <c s="44" t="str">
        <f>IFERROR(__xludf.DUMMYFUNCTION("IF(AY41=MAX(FILTER(AY$10:AY$199,LOOKUP(ROW(AS$10:AS$199),FILTER(ROW(AS$10:AS$199),AS$10:AS$199&lt;&gt;AS$9:AS$198))=LOOKUP(ROW(AS41),FILTER(ROW(AS$10:AS$199),AS$10:AS$199&lt;&gt;AS$9:AS$198)))),AZ41,)"),"")</f>
        <v/>
      </c>
      <c s="42"/>
      <c s="65"/>
      <c s="64" t="str">
        <f t="shared" si="19"/>
        <v/>
      </c>
      <c s="65" t="str">
        <f>IFERROR(__xludf.DUMMYFUNCTION("""COMPUTED_VALUE"""),"")</f>
        <v/>
      </c>
      <c s="66">
        <f ca="1"/>
        <v>45236</v>
      </c>
      <c s="93" t="str">
        <f t="shared" si="20"/>
        <v/>
      </c>
      <c s="94" t="str">
        <f t="shared" si="248" ref="BJ41:BJ43">IF(ISBLANK(AV41),"",AV41)</f>
        <v/>
      </c>
      <c s="95" t="str">
        <f t="shared" si="249" ref="BK41:BK43">IF(OR(ISBLANK(AW41),AW41=""),"",AW41)</f>
        <v/>
      </c>
      <c s="98" t="str">
        <f t="shared" si="250" ref="BL41:BL43">IF(ISBLANK(AX41),"",AX41)</f>
        <v/>
      </c>
      <c s="97" t="str">
        <f t="array" ref="BM41">IFERROR(IF(BG41="ac"+ISNUMBER(SEARCH("'",BL41))+BK41="","",IF(ISNUMBER(SEARCH("lw",BL41)),AY41+SUBSTITUTE(BL41,"lw+",""),MROUND(_xlfn.SWITCH(BG41,"sq",BK$7,"bn",BL$7,"dl",BM$7,"")*IF(BL41&gt;10,BL41/100,VLOOKUP(BL41,_rpe,SUBSTITUTE(BK41,"+","")+1,0)),IF(_xlfn.SWITCH(BG41,"sq",BK$7,"bn",BL$7,"dl",BM$7,"")&lt;IF(_uom="lbs",175,80),1.25,IF(_uom="lbs",5,2.5))))),"")</f>
        <v/>
      </c>
      <c s="70"/>
      <c s="63"/>
      <c s="97"/>
      <c s="44" t="str">
        <f>IFERROR(__xludf.DUMMYFUNCTION("IF(BM41=MAX(FILTER(BM$10:BM$199,LOOKUP(ROW(BG$10:BG$199),FILTER(ROW(BG$10:BG$199),BG$10:BG$199&lt;&gt;BG$9:BG$198))=LOOKUP(ROW(BG41),FILTER(ROW(BG$10:BG$199),BG$10:BG$199&lt;&gt;BG$9:BG$198)))),BN41,)"),"")</f>
        <v/>
      </c>
      <c s="42"/>
      <c s="65"/>
      <c s="64" t="str">
        <f t="shared" si="21"/>
        <v/>
      </c>
      <c s="65" t="str">
        <f>IFERROR(__xludf.DUMMYFUNCTION("""COMPUTED_VALUE"""),"")</f>
        <v/>
      </c>
      <c s="66">
        <f ca="1"/>
        <v>45243</v>
      </c>
      <c s="93" t="str">
        <f t="shared" si="22"/>
        <v/>
      </c>
      <c s="94" t="str">
        <f t="shared" si="251" ref="BX41:BX43">IF(ISBLANK(BJ41),"",BJ41)</f>
        <v/>
      </c>
      <c s="95" t="str">
        <f t="shared" si="224"/>
        <v/>
      </c>
      <c s="98" t="str">
        <f t="shared" si="252" ref="BZ41:BZ43">IF(ISBLANK(BL41),"",BL41)</f>
        <v/>
      </c>
      <c s="97" t="str">
        <f t="array" ref="CA41">IFERROR(IF(BU41="ac"+ISNUMBER(SEARCH("'",BZ41))+BY41="","",IF(ISNUMBER(SEARCH("lw",BZ41)),BM41+SUBSTITUTE(BZ41,"lw+",""),MROUND(_xlfn.SWITCH(BU41,"sq",BY$7,"bn",BZ$7,"dl",CA$7,"")*IF(BZ41&gt;10,BZ41/100,VLOOKUP(BZ41,_rpe,SUBSTITUTE(BY41,"+","")+1,0)),IF(_xlfn.SWITCH(BU41,"sq",BY$7,"bn",BZ$7,"dl",CA$7,"")&lt;IF(_uom="lbs",175,80),1.25,IF(_uom="lbs",5,2.5))))),"")</f>
        <v/>
      </c>
      <c s="70"/>
      <c s="63"/>
      <c s="97"/>
      <c s="44" t="str">
        <f>IFERROR(__xludf.DUMMYFUNCTION("IF(CA41=MAX(FILTER(CA$10:CA$199,LOOKUP(ROW(BU$10:BU$199),FILTER(ROW(BU$10:BU$199),BU$10:BU$199&lt;&gt;BU$9:BU$198))=LOOKUP(ROW(BU41),FILTER(ROW(BU$10:BU$199),BU$10:BU$199&lt;&gt;BU$9:BU$198)))),CB41,)"),"")</f>
        <v/>
      </c>
      <c s="42"/>
      <c s="65"/>
      <c s="64" t="str">
        <f t="shared" si="24"/>
        <v/>
      </c>
      <c s="65" t="str">
        <f>IFERROR(__xludf.DUMMYFUNCTION("""COMPUTED_VALUE"""),"")</f>
        <v/>
      </c>
      <c s="66">
        <f ca="1"/>
        <v>45250</v>
      </c>
      <c s="93" t="str">
        <f t="shared" si="44"/>
        <v/>
      </c>
      <c s="94" t="str">
        <f t="shared" si="226"/>
        <v/>
      </c>
      <c s="95" t="str">
        <f t="shared" si="253" ref="CM41:CM43">IF(OR(ISBLANK(BY41),BY41=""),"",BY41)</f>
        <v/>
      </c>
      <c s="98" t="str">
        <f t="shared" si="254" ref="CN41:CN43">IF(ISBLANK(BZ41),"",BZ41)</f>
        <v/>
      </c>
      <c s="97" t="str">
        <f t="array" ref="CO41">IFERROR(IF(CI41="ac"+ISNUMBER(SEARCH("'",CN41))+CM41="","",IF(ISNUMBER(SEARCH("lw",CN41)),CA41+SUBSTITUTE(CN41,"lw+",""),MROUND(_xlfn.SWITCH(CI41,"sq",CM$7,"bn",CN$7,"dl",CO$7,"")*IF(CN41&gt;10,CN41/100,VLOOKUP(CN41,_rpe,SUBSTITUTE(CM41,"+","")+1,0)),IF(_xlfn.SWITCH(CI41,"sq",CM$7,"bn",CN$7,"dl",CO$7,"")&lt;IF(_uom="lbs",175,80),1.25,IF(_uom="lbs",5,2.5))))),"")</f>
        <v/>
      </c>
      <c s="70"/>
      <c s="63"/>
      <c s="97"/>
      <c s="44" t="str">
        <f>IFERROR(__xludf.DUMMYFUNCTION("IF(CO41=MAX(FILTER(CO$10:CO$199,LOOKUP(ROW(CI$10:CI$199),FILTER(ROW(CI$10:CI$199),CI$10:CI$199&lt;&gt;CI$9:CI$198))=LOOKUP(ROW(CI41),FILTER(ROW(CI$10:CI$199),CI$10:CI$199&lt;&gt;CI$9:CI$198)))),CP41,)"),"")</f>
        <v/>
      </c>
      <c s="42"/>
      <c s="65"/>
      <c s="64" t="str">
        <f t="shared" si="27"/>
        <v/>
      </c>
      <c s="65" t="str">
        <f>IFERROR(__xludf.DUMMYFUNCTION("""COMPUTED_VALUE"""),"")</f>
        <v/>
      </c>
      <c s="66">
        <f ca="1"/>
        <v>45257</v>
      </c>
      <c s="93" t="str">
        <f t="shared" si="45"/>
        <v/>
      </c>
      <c s="94" t="str">
        <f t="shared" si="196"/>
        <v/>
      </c>
      <c s="95" t="str">
        <f t="shared" si="255" ref="DA41:DA43">IF(OR(ISBLANK(CM41),CM41=""),"",CM41)</f>
        <v/>
      </c>
      <c s="98" t="str">
        <f t="shared" si="229"/>
        <v/>
      </c>
      <c s="97" t="str">
        <f t="array" ref="DC41">IFERROR(IF(CW41="ac"+ISNUMBER(SEARCH("'",DB41))+DA41="","",IF(ISNUMBER(SEARCH("lw",DB41)),CO41+SUBSTITUTE(DB41,"lw+",""),MROUND(_xlfn.SWITCH(CW41,"sq",DA$7,"bn",DB$7,"dl",DC$7,"")*IF(DB41&gt;10,DB41/100,VLOOKUP(DB41,_rpe,SUBSTITUTE(DA41,"+","")+1,0)),IF(_xlfn.SWITCH(CW41,"sq",DA$7,"bn",DB$7,"dl",DC$7,"")&lt;IF(_uom="lbs",175,80),1.25,IF(_uom="lbs",5,2.5))))),"")</f>
        <v/>
      </c>
      <c s="70"/>
      <c s="63"/>
      <c s="97"/>
      <c s="44" t="str">
        <f>IFERROR(__xludf.DUMMYFUNCTION("IF(DC41=MAX(FILTER(DC$10:DC$199,LOOKUP(ROW(CW$10:CW$199),FILTER(ROW(CW$10:CW$199),CW$10:CW$199&lt;&gt;CW$9:CW$198))=LOOKUP(ROW(CW41),FILTER(ROW(CW$10:CW$199),CW$10:CW$199&lt;&gt;CW$9:CW$198)))),DD41,)"),"")</f>
        <v/>
      </c>
      <c s="42"/>
      <c s="65"/>
      <c s="64" t="str">
        <f t="shared" si="30"/>
        <v/>
      </c>
      <c s="65" t="str">
        <f>IFERROR(__xludf.DUMMYFUNCTION("""COMPUTED_VALUE"""),"")</f>
        <v/>
      </c>
      <c s="66">
        <f ca="1"/>
        <v>45264</v>
      </c>
      <c s="93" t="str">
        <f t="shared" si="46"/>
        <v/>
      </c>
      <c s="94" t="str">
        <f t="shared" si="230"/>
        <v/>
      </c>
      <c s="95" t="str">
        <f t="shared" si="256" ref="DO41:DO43">IF(OR(ISBLANK(DA41),DA41=""),"",DA41)</f>
        <v/>
      </c>
      <c s="98" t="str">
        <f t="shared" si="257" ref="DP41:DP43">IF(ISBLANK(DB41),"",DB41)</f>
        <v/>
      </c>
      <c s="97" t="str">
        <f t="array" ref="DQ41">IFERROR(IF(DK41="ac"+ISNUMBER(SEARCH("'",DP41))+DO41="","",IF(ISNUMBER(SEARCH("lw",DP41)),DC41+SUBSTITUTE(DP41,"lw+",""),MROUND(_xlfn.SWITCH(DK41,"sq",DO$7,"bn",DP$7,"dl",DQ$7,"")*IF(DP41&gt;10,DP41/100,VLOOKUP(DP41,_rpe,SUBSTITUTE(DO41,"+","")+1,0)),IF(_xlfn.SWITCH(DK41,"sq",DO$7,"bn",DP$7,"dl",DQ$7,"")&lt;IF(_uom="lbs",175,80),1.25,IF(_uom="lbs",5,2.5))))),"")</f>
        <v/>
      </c>
      <c s="70"/>
      <c s="63"/>
      <c s="97"/>
      <c s="44" t="str">
        <f>IFERROR(__xludf.DUMMYFUNCTION("IF(DQ41=MAX(FILTER(DQ$10:DQ$199,LOOKUP(ROW(DK$10:DK$199),FILTER(ROW(DK$10:DK$199),DK$10:DK$199&lt;&gt;DK$9:DK$198))=LOOKUP(ROW(DK41),FILTER(ROW(DK$10:DK$199),DK$10:DK$199&lt;&gt;DK$9:DK$198)))),DR41,)"),"")</f>
        <v/>
      </c>
      <c s="42"/>
      <c s="65"/>
      <c s="64" t="str">
        <f t="shared" si="32"/>
        <v/>
      </c>
      <c s="65" t="str">
        <f>IFERROR(__xludf.DUMMYFUNCTION("""COMPUTED_VALUE"""),"")</f>
        <v/>
      </c>
      <c s="66">
        <f ca="1"/>
        <v>45271</v>
      </c>
      <c s="93" t="str">
        <f t="shared" si="47"/>
        <v/>
      </c>
      <c s="94" t="str">
        <f t="shared" si="233"/>
        <v/>
      </c>
      <c s="95" t="str">
        <f t="shared" si="258" ref="EC41:EC43">IF(OR(ISBLANK(DO41),DO41=""),"",DO41)</f>
        <v/>
      </c>
      <c s="98" t="str">
        <f t="shared" si="259" ref="ED41:ED43">IF(ISBLANK(DP41),"",DP41)</f>
        <v/>
      </c>
      <c s="97" t="str">
        <f t="array" ref="EE41">IFERROR(IF(DY41="ac"+ISNUMBER(SEARCH("'",ED41))+EC41="","",IF(ISNUMBER(SEARCH("lw",ED41)),DQ41+SUBSTITUTE(ED41,"lw+",""),MROUND(_xlfn.SWITCH(DY41,"sq",EC$7,"bn",ED$7,"dl",EE$7,"")*IF(ED41&gt;10,ED41/100,VLOOKUP(ED41,_rpe,SUBSTITUTE(EC41,"+","")+1,0)),IF(_xlfn.SWITCH(DY41,"sq",EC$7,"bn",ED$7,"dl",EE$7,"")&lt;IF(_uom="lbs",175,80),1.25,IF(_uom="lbs",5,2.5))))),"")</f>
        <v/>
      </c>
      <c s="70"/>
      <c s="63"/>
      <c s="97"/>
      <c s="44" t="str">
        <f>IFERROR(__xludf.DUMMYFUNCTION("IF(EE41=MAX(FILTER(EE$10:EE$199,LOOKUP(ROW(DY$10:DY$199),FILTER(ROW(DY$10:DY$199),DY$10:DY$199&lt;&gt;DY$9:DY$198))=LOOKUP(ROW(DY41),FILTER(ROW(DY$10:DY$199),DY$10:DY$199&lt;&gt;DY$9:DY$198)))),EF41,)"),"")</f>
        <v/>
      </c>
      <c s="42"/>
      <c s="65"/>
      <c s="64" t="str">
        <f t="shared" si="34"/>
        <v/>
      </c>
      <c s="65" t="str">
        <f>IFERROR(__xludf.DUMMYFUNCTION("""COMPUTED_VALUE"""),"")</f>
        <v/>
      </c>
      <c s="66">
        <f ca="1"/>
        <v>45278</v>
      </c>
      <c s="93" t="str">
        <f t="shared" si="48"/>
        <v/>
      </c>
      <c s="94" t="str">
        <f t="shared" si="203"/>
        <v/>
      </c>
      <c s="95" t="str">
        <f t="shared" si="260" ref="EQ41:EQ43">IF(OR(ISBLANK(EC41),EC41=""),"",EC41)</f>
        <v/>
      </c>
      <c s="98" t="str">
        <f t="shared" si="237"/>
        <v/>
      </c>
      <c s="97" t="str">
        <f t="array" ref="ES41">IFERROR(IF(EM41="ac"+ISNUMBER(SEARCH("'",ER41))+EQ41="","",IF(ISNUMBER(SEARCH("lw",ER41)),EE41+SUBSTITUTE(ER41,"lw+",""),MROUND(_xlfn.SWITCH(EM41,"sq",EQ$7,"bn",ER$7,"dl",ES$7,"")*IF(ER41&gt;10,ER41/100,VLOOKUP(ER41,_rpe,SUBSTITUTE(EQ41,"+","")+1,0)),IF(_xlfn.SWITCH(EM41,"sq",EQ$7,"bn",ER$7,"dl",ES$7,"")&lt;IF(_uom="lbs",175,80),1.25,IF(_uom="lbs",5,2.5))))),"")</f>
        <v/>
      </c>
      <c s="70"/>
      <c s="63"/>
      <c s="97"/>
      <c s="44" t="str">
        <f>IFERROR(__xludf.DUMMYFUNCTION("IF(ES41=MAX(FILTER(ES$10:ES$199,LOOKUP(ROW(EM$10:EM$199),FILTER(ROW(EM$10:EM$199),EM$10:EM$199&lt;&gt;EM$9:EM$198))=LOOKUP(ROW(EM41),FILTER(ROW(EM$10:EM$199),EM$10:EM$199&lt;&gt;EM$9:EM$198)))),ET41,)"),"")</f>
        <v/>
      </c>
      <c s="42"/>
      <c s="65"/>
      <c s="64" t="str">
        <f t="shared" si="36"/>
        <v/>
      </c>
      <c s="65" t="str">
        <f>IFERROR(__xludf.DUMMYFUNCTION("""COMPUTED_VALUE"""),"")</f>
        <v/>
      </c>
      <c s="66">
        <f ca="1"/>
        <v>45285</v>
      </c>
      <c s="93" t="str">
        <f t="shared" si="49"/>
        <v/>
      </c>
      <c s="94" t="str">
        <f t="shared" si="238"/>
        <v/>
      </c>
      <c s="95" t="str">
        <f t="shared" si="261" ref="FE41:FE43">IF(OR(ISBLANK(EQ41),EQ41=""),"",EQ41)</f>
        <v/>
      </c>
      <c s="98" t="str">
        <f t="shared" si="240"/>
        <v/>
      </c>
      <c s="97" t="str">
        <f t="array" ref="FG41">IFERROR(IF(FA41="ac"+ISNUMBER(SEARCH("'",FF41))+FE41="","",IF(ISNUMBER(SEARCH("lw",FF41)),ES41+SUBSTITUTE(FF41,"lw+",""),MROUND(_xlfn.SWITCH(FA41,"sq",FE$7,"bn",FF$7,"dl",FG$7,"")*IF(FF41&gt;10,FF41/100,VLOOKUP(FF41,_rpe,SUBSTITUTE(FE41,"+","")+1,0)),IF(_xlfn.SWITCH(FA41,"sq",FE$7,"bn",FF$7,"dl",FG$7,"")&lt;IF(_uom="lbs",175,80),1.25,IF(_uom="lbs",5,2.5))))),"")</f>
        <v/>
      </c>
      <c s="70"/>
      <c s="63"/>
      <c s="97"/>
      <c s="44" t="str">
        <f>IFERROR(__xludf.DUMMYFUNCTION("IF(FG41=MAX(FILTER(FG$10:FG$199,LOOKUP(ROW(FA$10:FA$199),FILTER(ROW(FA$10:FA$199),FA$10:FA$199&lt;&gt;FA$9:FA$198))=LOOKUP(ROW(FA41),FILTER(ROW(FA$10:FA$199),FA$10:FA$199&lt;&gt;FA$9:FA$198)))),FH41,)"),"")</f>
        <v/>
      </c>
      <c s="42"/>
      <c s="65"/>
      <c s="64" t="str">
        <f t="shared" si="38"/>
        <v/>
      </c>
      <c s="65" t="str">
        <f>IFERROR(__xludf.DUMMYFUNCTION("""COMPUTED_VALUE"""),"")</f>
        <v/>
      </c>
      <c s="66">
        <f ca="1"/>
        <v>45292</v>
      </c>
      <c s="93"/>
      <c s="94"/>
      <c s="95"/>
      <c s="98"/>
      <c s="97" t="str">
        <f t="array" ref="FU41">IFERROR(IF(FO41="ac"+ISNUMBER(SEARCH("'",FT41))+FS41="","",IF(ISNUMBER(SEARCH("lw",FT41)),FG41+SUBSTITUTE(FT41,"lw+",""),MROUND(_xlfn.SWITCH(FO41,"sq",FS$7,"bn",FT$7,"dl",FU$7,"")*IF(FT41&gt;10,FT41/100,VLOOKUP(FT41,_rpe,SUBSTITUTE(FS41,"+","")+1,0)),IF(_xlfn.SWITCH(FO41,"sq",FS$7,"bn",FT$7,"dl",FU$7,"")&lt;IF(_uom="lbs",175,80),1.25,IF(_uom="lbs",5,2.5))))),"")</f>
        <v/>
      </c>
      <c s="70"/>
      <c s="63"/>
      <c s="97"/>
      <c s="44" t="str">
        <f>IFERROR(__xludf.DUMMYFUNCTION("IF(FU41=MAX(FILTER(FU$10:FU$199,LOOKUP(ROW(FO$10:FO$199),FILTER(ROW(FO$10:FO$199),FO$10:FO$199&lt;&gt;FO$9:FO$198))=LOOKUP(ROW(FO41),FILTER(ROW(FO$10:FO$199),FO$10:FO$199&lt;&gt;FO$9:FO$198)))),FV41,)"),"")</f>
        <v/>
      </c>
      <c s="42"/>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74"/>
      <c s="100"/>
      <c s="101"/>
      <c s="102"/>
      <c s="78"/>
      <c s="70"/>
      <c s="63"/>
      <c s="78"/>
      <c s="70"/>
      <c s="63"/>
      <c s="65"/>
      <c s="64"/>
      <c s="65"/>
      <c s="66"/>
      <c s="64" t="str">
        <f t="shared" si="41"/>
        <v>#REF!</v>
      </c>
      <c s="65"/>
      <c s="66" t="e">
        <f ca="1"/>
        <v>#REF!</v>
      </c>
    </row>
    <row r="42" spans="1:259" ht="15.75" hidden="1" outlineLevel="1">
      <c r="A42" s="63"/>
      <c s="64"/>
      <c s="65" t="str">
        <f>IFERROR(__xludf.DUMMYFUNCTION("""COMPUTED_VALUE"""),"")</f>
        <v/>
      </c>
      <c s="66">
        <f ca="1"/>
        <v>45208</v>
      </c>
      <c s="93"/>
      <c s="94"/>
      <c s="95"/>
      <c s="96"/>
      <c s="97" t="str">
        <f t="array" ref="I42">IFERROR(IF(C42="ac"+ISNUMBER(SEARCH("'",H42))+G42="","",MROUND(_xlfn.SWITCH(C42,"sq",'Personal Info'!$O$15,"bn",'Personal Info'!$S$15,"dl",'Personal Info'!$W$15,"")*IF(H42&gt;10,H42/100,VLOOKUP(H42,_rpe,SUBSTITUTE(G42,"+","")+1,0)),IF(_xlfn.SWITCH(C42:C210,"sq",'Personal Info'!$O$15,"bn",'Personal Info'!$S$15,"dl",'Personal Info'!$W$15,"")&lt;IF(_uom="lbs",175,80),1.25,IF(_uom="lbs",5,2.5)))),"")</f>
        <v/>
      </c>
      <c s="70"/>
      <c s="63"/>
      <c s="97"/>
      <c s="44" t="str">
        <f>IFERROR(__xludf.DUMMYFUNCTION("IF(I42=MAX(FILTER(I$10:I$199,LOOKUP(ROW(C$10:C$199),FILTER(ROW(C$10:C$199),C$10:C$199&lt;&gt;C$9:C$198))=LOOKUP(ROW(C42),FILTER(ROW(C$10:C$199),C$10:C$199&lt;&gt;C$9:C$198)))),J42,)"),"")</f>
        <v/>
      </c>
      <c s="42"/>
      <c s="63"/>
      <c s="64" t="str">
        <f t="shared" si="11"/>
        <v/>
      </c>
      <c s="65" t="str">
        <f>IFERROR(__xludf.DUMMYFUNCTION("""COMPUTED_VALUE"""),"")</f>
        <v/>
      </c>
      <c s="66">
        <f ca="1"/>
        <v>45215</v>
      </c>
      <c s="93" t="str">
        <f t="shared" si="12"/>
        <v/>
      </c>
      <c s="94" t="str">
        <f t="shared" si="244"/>
        <v/>
      </c>
      <c s="95" t="str">
        <f t="shared" si="169"/>
        <v/>
      </c>
      <c s="98" t="str">
        <f t="shared" si="245"/>
        <v/>
      </c>
      <c s="97" t="str">
        <f t="array" ref="W42">IFERROR(IF(Q42="ac"+ISNUMBER(SEARCH("'",V42))+U42="","",IF(ISNUMBER(SEARCH("lw",V42)),I42+SUBSTITUTE(V42,"lw+",""),MROUND(_xlfn.SWITCH(Q42,"sq",U$7,"bn",V$7,"dl",W$7,"")*IF(V42&gt;10,V42/100,VLOOKUP(V42,_rpe,SUBSTITUTE(U42,"+","")+1,0)),IF(_xlfn.SWITCH(Q42,"sq",U$7,"bn",V$7,"dl",W$7,"")&lt;IF(_uom="lbs",175,80),1.25,IF(_uom="lbs",5,2.5))))),"")</f>
        <v/>
      </c>
      <c s="70"/>
      <c s="63"/>
      <c s="97"/>
      <c s="44" t="str">
        <f>IFERROR(__xludf.DUMMYFUNCTION("IF(W42=MAX(FILTER(W$10:W$199,LOOKUP(ROW(Q$10:Q$199),FILTER(ROW(Q$10:Q$199),Q$10:Q$199&lt;&gt;Q$9:Q$198))=LOOKUP(ROW(Q42),FILTER(ROW(Q$10:Q$199),Q$10:Q$199&lt;&gt;Q$9:Q$198)))),X42,)"),"")</f>
        <v/>
      </c>
      <c s="42"/>
      <c s="63"/>
      <c s="64" t="str">
        <f t="shared" si="14"/>
        <v/>
      </c>
      <c s="65" t="str">
        <f>IFERROR(__xludf.DUMMYFUNCTION("""COMPUTED_VALUE"""),"")</f>
        <v/>
      </c>
      <c s="66">
        <f ca="1"/>
        <v>45222</v>
      </c>
      <c s="93" t="str">
        <f t="shared" si="156"/>
        <v/>
      </c>
      <c s="94" t="str">
        <f t="shared" si="186"/>
        <v/>
      </c>
      <c s="95" t="str">
        <f t="shared" si="246"/>
        <v/>
      </c>
      <c s="98" t="str">
        <f t="shared" si="218"/>
        <v/>
      </c>
      <c s="97" t="str">
        <f t="array" ref="AK42">IFERROR(IF(AE42="ac"+ISNUMBER(SEARCH("'",AJ42))+AI42="","",IF(ISNUMBER(SEARCH("lw",AJ42)),W42+SUBSTITUTE(AJ42,"lw+",""),MROUND(_xlfn.SWITCH(AE42,"sq",AI$7,"bn",AJ$7,"dl",AK$7,"")*IF(AJ42&gt;10,AJ42/100,VLOOKUP(AJ42,_rpe,SUBSTITUTE(AI42,"+","")+1,0)),IF(_xlfn.SWITCH(AE42,"sq",AI$7,"bn",AJ$7,"dl",AK$7,"")&lt;IF(_uom="lbs",175,80),1.25,IF(_uom="lbs",5,2.5))))),"")</f>
        <v/>
      </c>
      <c s="70"/>
      <c s="63"/>
      <c s="97"/>
      <c s="44" t="str">
        <f>IFERROR(__xludf.DUMMYFUNCTION("IF(AK42=MAX(FILTER(AK$10:AK$199,LOOKUP(ROW(AE$10:AE$199),FILTER(ROW(AE$10:AE$199),AE$10:AE$199&lt;&gt;AE$9:AE$198))=LOOKUP(ROW(AE42),FILTER(ROW(AE$10:AE$199),AE$10:AE$199&lt;&gt;AE$9:AE$198)))),AL42,)"),"")</f>
        <v/>
      </c>
      <c s="42"/>
      <c s="63"/>
      <c s="64" t="str">
        <f t="shared" si="17"/>
        <v/>
      </c>
      <c s="65" t="str">
        <f>IFERROR(__xludf.DUMMYFUNCTION("""COMPUTED_VALUE"""),"")</f>
        <v/>
      </c>
      <c s="66">
        <f ca="1"/>
        <v>45229</v>
      </c>
      <c s="93" t="str">
        <f t="shared" si="157"/>
        <v/>
      </c>
      <c s="94" t="str">
        <f t="shared" si="188"/>
        <v/>
      </c>
      <c s="95" t="str">
        <f t="shared" si="247"/>
        <v/>
      </c>
      <c s="98" t="str">
        <f t="shared" si="219"/>
        <v/>
      </c>
      <c s="97" t="str">
        <f t="array" ref="AY42">IFERROR(IF(AS42="ac"+ISNUMBER(SEARCH("'",AX42))+AW42="","",IF(ISNUMBER(SEARCH("lw",AX42)),AK42+SUBSTITUTE(AX42,"lw+",""),MROUND(_xlfn.SWITCH(AS42,"sq",AW$7,"bn",AX$7,"dl",AY$7,"")*IF(AX42&gt;10,AX42/100,VLOOKUP(AX42,_rpe,SUBSTITUTE(AW42,"+","")+1,0)),IF(_xlfn.SWITCH(AS42,"sq",AW$7,"bn",AX$7,"dl",AY$7,"")&lt;IF(_uom="lbs",175,80),1.25,IF(_uom="lbs",5,2.5))))),"")</f>
        <v/>
      </c>
      <c s="70"/>
      <c s="63"/>
      <c s="97"/>
      <c s="44" t="str">
        <f>IFERROR(__xludf.DUMMYFUNCTION("IF(AY42=MAX(FILTER(AY$10:AY$199,LOOKUP(ROW(AS$10:AS$199),FILTER(ROW(AS$10:AS$199),AS$10:AS$199&lt;&gt;AS$9:AS$198))=LOOKUP(ROW(AS42),FILTER(ROW(AS$10:AS$199),AS$10:AS$199&lt;&gt;AS$9:AS$198)))),AZ42,)"),"")</f>
        <v/>
      </c>
      <c s="42"/>
      <c s="63"/>
      <c s="64" t="str">
        <f t="shared" si="19"/>
        <v/>
      </c>
      <c s="65" t="str">
        <f>IFERROR(__xludf.DUMMYFUNCTION("""COMPUTED_VALUE"""),"")</f>
        <v/>
      </c>
      <c s="66">
        <f ca="1"/>
        <v>45236</v>
      </c>
      <c s="93" t="str">
        <f t="shared" si="20"/>
        <v/>
      </c>
      <c s="94" t="str">
        <f t="shared" si="248"/>
        <v/>
      </c>
      <c s="95" t="str">
        <f t="shared" si="249"/>
        <v/>
      </c>
      <c s="98" t="str">
        <f t="shared" si="250"/>
        <v/>
      </c>
      <c s="97" t="str">
        <f t="array" ref="BM42">IFERROR(IF(BG42="ac"+ISNUMBER(SEARCH("'",BL42))+BK42="","",IF(ISNUMBER(SEARCH("lw",BL42)),AY42+SUBSTITUTE(BL42,"lw+",""),MROUND(_xlfn.SWITCH(BG42,"sq",BK$7,"bn",BL$7,"dl",BM$7,"")*IF(BL42&gt;10,BL42/100,VLOOKUP(BL42,_rpe,SUBSTITUTE(BK42,"+","")+1,0)),IF(_xlfn.SWITCH(BG42,"sq",BK$7,"bn",BL$7,"dl",BM$7,"")&lt;IF(_uom="lbs",175,80),1.25,IF(_uom="lbs",5,2.5))))),"")</f>
        <v/>
      </c>
      <c s="70"/>
      <c s="63"/>
      <c s="97"/>
      <c s="44" t="str">
        <f>IFERROR(__xludf.DUMMYFUNCTION("IF(BM42=MAX(FILTER(BM$10:BM$199,LOOKUP(ROW(BG$10:BG$199),FILTER(ROW(BG$10:BG$199),BG$10:BG$199&lt;&gt;BG$9:BG$198))=LOOKUP(ROW(BG42),FILTER(ROW(BG$10:BG$199),BG$10:BG$199&lt;&gt;BG$9:BG$198)))),BN42,)"),"")</f>
        <v/>
      </c>
      <c s="42"/>
      <c s="63"/>
      <c s="64" t="str">
        <f t="shared" si="21"/>
        <v/>
      </c>
      <c s="65" t="str">
        <f>IFERROR(__xludf.DUMMYFUNCTION("""COMPUTED_VALUE"""),"")</f>
        <v/>
      </c>
      <c s="66">
        <f ca="1"/>
        <v>45243</v>
      </c>
      <c s="93" t="str">
        <f t="shared" si="22"/>
        <v/>
      </c>
      <c s="94" t="str">
        <f t="shared" si="251"/>
        <v/>
      </c>
      <c s="95" t="str">
        <f t="shared" si="224"/>
        <v/>
      </c>
      <c s="98" t="str">
        <f t="shared" si="252"/>
        <v/>
      </c>
      <c s="97" t="str">
        <f t="array" ref="CA42">IFERROR(IF(BU42="ac"+ISNUMBER(SEARCH("'",BZ42))+BY42="","",IF(ISNUMBER(SEARCH("lw",BZ42)),BM42+SUBSTITUTE(BZ42,"lw+",""),MROUND(_xlfn.SWITCH(BU42,"sq",BY$7,"bn",BZ$7,"dl",CA$7,"")*IF(BZ42&gt;10,BZ42/100,VLOOKUP(BZ42,_rpe,SUBSTITUTE(BY42,"+","")+1,0)),IF(_xlfn.SWITCH(BU42,"sq",BY$7,"bn",BZ$7,"dl",CA$7,"")&lt;IF(_uom="lbs",175,80),1.25,IF(_uom="lbs",5,2.5))))),"")</f>
        <v/>
      </c>
      <c s="70"/>
      <c s="63"/>
      <c s="97"/>
      <c s="44" t="str">
        <f>IFERROR(__xludf.DUMMYFUNCTION("IF(CA42=MAX(FILTER(CA$10:CA$199,LOOKUP(ROW(BU$10:BU$199),FILTER(ROW(BU$10:BU$199),BU$10:BU$199&lt;&gt;BU$9:BU$198))=LOOKUP(ROW(BU42),FILTER(ROW(BU$10:BU$199),BU$10:BU$199&lt;&gt;BU$9:BU$198)))),CB42,)"),"")</f>
        <v/>
      </c>
      <c s="42"/>
      <c s="63"/>
      <c s="64" t="str">
        <f t="shared" si="24"/>
        <v/>
      </c>
      <c s="65" t="str">
        <f>IFERROR(__xludf.DUMMYFUNCTION("""COMPUTED_VALUE"""),"")</f>
        <v/>
      </c>
      <c s="66">
        <f ca="1"/>
        <v>45250</v>
      </c>
      <c s="93" t="str">
        <f t="shared" si="44"/>
        <v/>
      </c>
      <c s="94" t="str">
        <f t="shared" si="226"/>
        <v/>
      </c>
      <c s="95" t="str">
        <f t="shared" si="253"/>
        <v/>
      </c>
      <c s="98" t="str">
        <f t="shared" si="254"/>
        <v/>
      </c>
      <c s="97" t="str">
        <f t="array" ref="CO42">IFERROR(IF(CI42="ac"+ISNUMBER(SEARCH("'",CN42))+CM42="","",IF(ISNUMBER(SEARCH("lw",CN42)),CA42+SUBSTITUTE(CN42,"lw+",""),MROUND(_xlfn.SWITCH(CI42,"sq",CM$7,"bn",CN$7,"dl",CO$7,"")*IF(CN42&gt;10,CN42/100,VLOOKUP(CN42,_rpe,SUBSTITUTE(CM42,"+","")+1,0)),IF(_xlfn.SWITCH(CI42,"sq",CM$7,"bn",CN$7,"dl",CO$7,"")&lt;IF(_uom="lbs",175,80),1.25,IF(_uom="lbs",5,2.5))))),"")</f>
        <v/>
      </c>
      <c s="70"/>
      <c s="63"/>
      <c s="97"/>
      <c s="44" t="str">
        <f>IFERROR(__xludf.DUMMYFUNCTION("IF(CO42=MAX(FILTER(CO$10:CO$199,LOOKUP(ROW(CI$10:CI$199),FILTER(ROW(CI$10:CI$199),CI$10:CI$199&lt;&gt;CI$9:CI$198))=LOOKUP(ROW(CI42),FILTER(ROW(CI$10:CI$199),CI$10:CI$199&lt;&gt;CI$9:CI$198)))),CP42,)"),"")</f>
        <v/>
      </c>
      <c s="42"/>
      <c s="63"/>
      <c s="64" t="str">
        <f t="shared" si="27"/>
        <v/>
      </c>
      <c s="65" t="str">
        <f>IFERROR(__xludf.DUMMYFUNCTION("""COMPUTED_VALUE"""),"")</f>
        <v/>
      </c>
      <c s="66">
        <f ca="1"/>
        <v>45257</v>
      </c>
      <c s="93" t="str">
        <f t="shared" si="45"/>
        <v/>
      </c>
      <c s="94" t="str">
        <f t="shared" si="196"/>
        <v/>
      </c>
      <c s="95" t="str">
        <f t="shared" si="255"/>
        <v/>
      </c>
      <c s="98" t="str">
        <f t="shared" si="229"/>
        <v/>
      </c>
      <c s="97" t="str">
        <f t="array" ref="DC42">IFERROR(IF(CW42="ac"+ISNUMBER(SEARCH("'",DB42))+DA42="","",IF(ISNUMBER(SEARCH("lw",DB42)),CO42+SUBSTITUTE(DB42,"lw+",""),MROUND(_xlfn.SWITCH(CW42,"sq",DA$7,"bn",DB$7,"dl",DC$7,"")*IF(DB42&gt;10,DB42/100,VLOOKUP(DB42,_rpe,SUBSTITUTE(DA42,"+","")+1,0)),IF(_xlfn.SWITCH(CW42,"sq",DA$7,"bn",DB$7,"dl",DC$7,"")&lt;IF(_uom="lbs",175,80),1.25,IF(_uom="lbs",5,2.5))))),"")</f>
        <v/>
      </c>
      <c s="70"/>
      <c s="63"/>
      <c s="97"/>
      <c s="44" t="str">
        <f>IFERROR(__xludf.DUMMYFUNCTION("IF(DC42=MAX(FILTER(DC$10:DC$199,LOOKUP(ROW(CW$10:CW$199),FILTER(ROW(CW$10:CW$199),CW$10:CW$199&lt;&gt;CW$9:CW$198))=LOOKUP(ROW(CW42),FILTER(ROW(CW$10:CW$199),CW$10:CW$199&lt;&gt;CW$9:CW$198)))),DD42,)"),"")</f>
        <v/>
      </c>
      <c s="42"/>
      <c s="63"/>
      <c s="64" t="str">
        <f t="shared" si="30"/>
        <v/>
      </c>
      <c s="65" t="str">
        <f>IFERROR(__xludf.DUMMYFUNCTION("""COMPUTED_VALUE"""),"")</f>
        <v/>
      </c>
      <c s="66">
        <f ca="1"/>
        <v>45264</v>
      </c>
      <c s="93" t="str">
        <f t="shared" si="46"/>
        <v/>
      </c>
      <c s="94" t="str">
        <f t="shared" si="230"/>
        <v/>
      </c>
      <c s="95" t="str">
        <f t="shared" si="256"/>
        <v/>
      </c>
      <c s="98" t="str">
        <f t="shared" si="257"/>
        <v/>
      </c>
      <c s="97" t="str">
        <f t="array" ref="DQ42">IFERROR(IF(DK42="ac"+ISNUMBER(SEARCH("'",DP42))+DO42="","",IF(ISNUMBER(SEARCH("lw",DP42)),DC42+SUBSTITUTE(DP42,"lw+",""),MROUND(_xlfn.SWITCH(DK42,"sq",DO$7,"bn",DP$7,"dl",DQ$7,"")*IF(DP42&gt;10,DP42/100,VLOOKUP(DP42,_rpe,SUBSTITUTE(DO42,"+","")+1,0)),IF(_xlfn.SWITCH(DK42,"sq",DO$7,"bn",DP$7,"dl",DQ$7,"")&lt;IF(_uom="lbs",175,80),1.25,IF(_uom="lbs",5,2.5))))),"")</f>
        <v/>
      </c>
      <c s="70"/>
      <c s="63"/>
      <c s="97"/>
      <c s="44" t="str">
        <f>IFERROR(__xludf.DUMMYFUNCTION("IF(DQ42=MAX(FILTER(DQ$10:DQ$199,LOOKUP(ROW(DK$10:DK$199),FILTER(ROW(DK$10:DK$199),DK$10:DK$199&lt;&gt;DK$9:DK$198))=LOOKUP(ROW(DK42),FILTER(ROW(DK$10:DK$199),DK$10:DK$199&lt;&gt;DK$9:DK$198)))),DR42,)"),"")</f>
        <v/>
      </c>
      <c s="42"/>
      <c s="63"/>
      <c s="64" t="str">
        <f t="shared" si="32"/>
        <v/>
      </c>
      <c s="65" t="str">
        <f>IFERROR(__xludf.DUMMYFUNCTION("""COMPUTED_VALUE"""),"")</f>
        <v/>
      </c>
      <c s="66">
        <f ca="1"/>
        <v>45271</v>
      </c>
      <c s="93" t="str">
        <f t="shared" si="47"/>
        <v/>
      </c>
      <c s="94" t="str">
        <f t="shared" si="233"/>
        <v/>
      </c>
      <c s="95" t="str">
        <f t="shared" si="258"/>
        <v/>
      </c>
      <c s="98" t="str">
        <f t="shared" si="259"/>
        <v/>
      </c>
      <c s="97" t="str">
        <f t="array" ref="EE42">IFERROR(IF(DY42="ac"+ISNUMBER(SEARCH("'",ED42))+EC42="","",IF(ISNUMBER(SEARCH("lw",ED42)),DQ42+SUBSTITUTE(ED42,"lw+",""),MROUND(_xlfn.SWITCH(DY42,"sq",EC$7,"bn",ED$7,"dl",EE$7,"")*IF(ED42&gt;10,ED42/100,VLOOKUP(ED42,_rpe,SUBSTITUTE(EC42,"+","")+1,0)),IF(_xlfn.SWITCH(DY42,"sq",EC$7,"bn",ED$7,"dl",EE$7,"")&lt;IF(_uom="lbs",175,80),1.25,IF(_uom="lbs",5,2.5))))),"")</f>
        <v/>
      </c>
      <c s="70"/>
      <c s="63"/>
      <c s="97"/>
      <c s="44" t="str">
        <f>IFERROR(__xludf.DUMMYFUNCTION("IF(EE42=MAX(FILTER(EE$10:EE$199,LOOKUP(ROW(DY$10:DY$199),FILTER(ROW(DY$10:DY$199),DY$10:DY$199&lt;&gt;DY$9:DY$198))=LOOKUP(ROW(DY42),FILTER(ROW(DY$10:DY$199),DY$10:DY$199&lt;&gt;DY$9:DY$198)))),EF42,)"),"")</f>
        <v/>
      </c>
      <c s="42"/>
      <c s="63"/>
      <c s="64" t="str">
        <f t="shared" si="34"/>
        <v/>
      </c>
      <c s="65" t="str">
        <f>IFERROR(__xludf.DUMMYFUNCTION("""COMPUTED_VALUE"""),"")</f>
        <v/>
      </c>
      <c s="66">
        <f ca="1"/>
        <v>45278</v>
      </c>
      <c s="93" t="str">
        <f t="shared" si="48"/>
        <v/>
      </c>
      <c s="94" t="str">
        <f t="shared" si="203"/>
        <v/>
      </c>
      <c s="95" t="str">
        <f t="shared" si="260"/>
        <v/>
      </c>
      <c s="98" t="str">
        <f t="shared" si="237"/>
        <v/>
      </c>
      <c s="97" t="str">
        <f t="array" ref="ES42">IFERROR(IF(EM42="ac"+ISNUMBER(SEARCH("'",ER42))+EQ42="","",IF(ISNUMBER(SEARCH("lw",ER42)),EE42+SUBSTITUTE(ER42,"lw+",""),MROUND(_xlfn.SWITCH(EM42,"sq",EQ$7,"bn",ER$7,"dl",ES$7,"")*IF(ER42&gt;10,ER42/100,VLOOKUP(ER42,_rpe,SUBSTITUTE(EQ42,"+","")+1,0)),IF(_xlfn.SWITCH(EM42,"sq",EQ$7,"bn",ER$7,"dl",ES$7,"")&lt;IF(_uom="lbs",175,80),1.25,IF(_uom="lbs",5,2.5))))),"")</f>
        <v/>
      </c>
      <c s="70"/>
      <c s="63"/>
      <c s="97"/>
      <c s="44" t="str">
        <f>IFERROR(__xludf.DUMMYFUNCTION("IF(ES42=MAX(FILTER(ES$10:ES$199,LOOKUP(ROW(EM$10:EM$199),FILTER(ROW(EM$10:EM$199),EM$10:EM$199&lt;&gt;EM$9:EM$198))=LOOKUP(ROW(EM42),FILTER(ROW(EM$10:EM$199),EM$10:EM$199&lt;&gt;EM$9:EM$198)))),ET42,)"),"")</f>
        <v/>
      </c>
      <c s="42"/>
      <c s="63"/>
      <c s="64" t="str">
        <f t="shared" si="36"/>
        <v/>
      </c>
      <c s="65" t="str">
        <f>IFERROR(__xludf.DUMMYFUNCTION("""COMPUTED_VALUE"""),"")</f>
        <v/>
      </c>
      <c s="66">
        <f ca="1"/>
        <v>45285</v>
      </c>
      <c s="93" t="str">
        <f t="shared" si="49"/>
        <v/>
      </c>
      <c s="94" t="str">
        <f t="shared" si="238"/>
        <v/>
      </c>
      <c s="95" t="str">
        <f t="shared" si="261"/>
        <v/>
      </c>
      <c s="98" t="str">
        <f t="shared" si="240"/>
        <v/>
      </c>
      <c s="97" t="str">
        <f t="array" ref="FG42">IFERROR(IF(FA42="ac"+ISNUMBER(SEARCH("'",FF42))+FE42="","",IF(ISNUMBER(SEARCH("lw",FF42)),ES42+SUBSTITUTE(FF42,"lw+",""),MROUND(_xlfn.SWITCH(FA42,"sq",FE$7,"bn",FF$7,"dl",FG$7,"")*IF(FF42&gt;10,FF42/100,VLOOKUP(FF42,_rpe,SUBSTITUTE(FE42,"+","")+1,0)),IF(_xlfn.SWITCH(FA42,"sq",FE$7,"bn",FF$7,"dl",FG$7,"")&lt;IF(_uom="lbs",175,80),1.25,IF(_uom="lbs",5,2.5))))),"")</f>
        <v/>
      </c>
      <c s="70"/>
      <c s="63"/>
      <c s="97"/>
      <c s="44" t="str">
        <f>IFERROR(__xludf.DUMMYFUNCTION("IF(FG42=MAX(FILTER(FG$10:FG$199,LOOKUP(ROW(FA$10:FA$199),FILTER(ROW(FA$10:FA$199),FA$10:FA$199&lt;&gt;FA$9:FA$198))=LOOKUP(ROW(FA42),FILTER(ROW(FA$10:FA$199),FA$10:FA$199&lt;&gt;FA$9:FA$198)))),FH42,)"),"")</f>
        <v/>
      </c>
      <c s="42"/>
      <c s="63"/>
      <c s="64" t="str">
        <f t="shared" si="38"/>
        <v/>
      </c>
      <c s="65" t="str">
        <f>IFERROR(__xludf.DUMMYFUNCTION("""COMPUTED_VALUE"""),"")</f>
        <v/>
      </c>
      <c s="66">
        <f ca="1"/>
        <v>45292</v>
      </c>
      <c s="93"/>
      <c s="94"/>
      <c s="95"/>
      <c s="98"/>
      <c s="97" t="str">
        <f t="array" ref="FU42">IFERROR(IF(FO42="ac"+ISNUMBER(SEARCH("'",FT42))+FS42="","",IF(ISNUMBER(SEARCH("lw",FT42)),FG42+SUBSTITUTE(FT42,"lw+",""),MROUND(_xlfn.SWITCH(FO42,"sq",FS$7,"bn",FT$7,"dl",FU$7,"")*IF(FT42&gt;10,FT42/100,VLOOKUP(FT42,_rpe,SUBSTITUTE(FS42,"+","")+1,0)),IF(_xlfn.SWITCH(FO42,"sq",FS$7,"bn",FT$7,"dl",FU$7,"")&lt;IF(_uom="lbs",175,80),1.25,IF(_uom="lbs",5,2.5))))),"")</f>
        <v/>
      </c>
      <c s="70"/>
      <c s="63"/>
      <c s="97"/>
      <c s="44" t="str">
        <f>IFERROR(__xludf.DUMMYFUNCTION("IF(FU42=MAX(FILTER(FU$10:FU$199,LOOKUP(ROW(FO$10:FO$199),FILTER(ROW(FO$10:FO$199),FO$10:FO$199&lt;&gt;FO$9:FO$198))=LOOKUP(ROW(FO42),FILTER(ROW(FO$10:FO$199),FO$10:FO$199&lt;&gt;FO$9:FO$198)))),FV42,)"),"")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43" spans="1:259" ht="15.75" hidden="1" outlineLevel="1">
      <c r="A43" s="63"/>
      <c s="64"/>
      <c s="65" t="str">
        <f>IFERROR(__xludf.DUMMYFUNCTION("""COMPUTED_VALUE"""),"")</f>
        <v/>
      </c>
      <c s="66">
        <f ca="1"/>
        <v>45208</v>
      </c>
      <c s="93"/>
      <c s="94"/>
      <c s="95"/>
      <c s="96"/>
      <c s="97" t="str">
        <f t="array" ref="I43">IFERROR(IF(C43="ac"+ISNUMBER(SEARCH("'",H43))+G43="","",MROUND(_xlfn.SWITCH(C43,"sq",'Personal Info'!$O$15,"bn",'Personal Info'!$S$15,"dl",'Personal Info'!$W$15,"")*IF(H43&gt;10,H43/100,VLOOKUP(H43,_rpe,SUBSTITUTE(G43,"+","")+1,0)),IF(_xlfn.SWITCH(C43:C210,"sq",'Personal Info'!$O$15,"bn",'Personal Info'!$S$15,"dl",'Personal Info'!$W$15,"")&lt;IF(_uom="lbs",175,80),1.25,IF(_uom="lbs",5,2.5)))),"")</f>
        <v/>
      </c>
      <c s="70"/>
      <c s="63"/>
      <c s="97"/>
      <c s="44" t="str">
        <f>IFERROR(__xludf.DUMMYFUNCTION("IF(I43=MAX(FILTER(I$10:I$199,LOOKUP(ROW(C$10:C$199),FILTER(ROW(C$10:C$199),C$10:C$199&lt;&gt;C$9:C$198))=LOOKUP(ROW(C43),FILTER(ROW(C$10:C$199),C$10:C$199&lt;&gt;C$9:C$198)))),J43,)"),"")</f>
        <v/>
      </c>
      <c s="42"/>
      <c s="63"/>
      <c s="64" t="str">
        <f t="shared" si="11"/>
        <v/>
      </c>
      <c s="65" t="str">
        <f>IFERROR(__xludf.DUMMYFUNCTION("""COMPUTED_VALUE"""),"")</f>
        <v/>
      </c>
      <c s="66">
        <f ca="1"/>
        <v>45215</v>
      </c>
      <c s="93" t="str">
        <f t="shared" si="12"/>
        <v/>
      </c>
      <c s="94" t="str">
        <f t="shared" si="244"/>
        <v/>
      </c>
      <c s="95" t="str">
        <f t="shared" si="169"/>
        <v/>
      </c>
      <c s="98" t="str">
        <f t="shared" si="245"/>
        <v/>
      </c>
      <c s="97" t="str">
        <f t="array" ref="W43">IFERROR(IF(Q43="ac"+ISNUMBER(SEARCH("'",V43))+U43="","",IF(ISNUMBER(SEARCH("lw",V43)),I43+SUBSTITUTE(V43,"lw+",""),MROUND(_xlfn.SWITCH(Q43,"sq",U$7,"bn",V$7,"dl",W$7,"")*IF(V43&gt;10,V43/100,VLOOKUP(V43,_rpe,SUBSTITUTE(U43,"+","")+1,0)),IF(_xlfn.SWITCH(Q43,"sq",U$7,"bn",V$7,"dl",W$7,"")&lt;IF(_uom="lbs",175,80),1.25,IF(_uom="lbs",5,2.5))))),"")</f>
        <v/>
      </c>
      <c s="70"/>
      <c s="63"/>
      <c s="97"/>
      <c s="44" t="str">
        <f>IFERROR(__xludf.DUMMYFUNCTION("IF(W43=MAX(FILTER(W$10:W$199,LOOKUP(ROW(Q$10:Q$199),FILTER(ROW(Q$10:Q$199),Q$10:Q$199&lt;&gt;Q$9:Q$198))=LOOKUP(ROW(Q43),FILTER(ROW(Q$10:Q$199),Q$10:Q$199&lt;&gt;Q$9:Q$198)))),X43,)"),"")</f>
        <v/>
      </c>
      <c s="42"/>
      <c s="63"/>
      <c s="64" t="str">
        <f t="shared" si="14"/>
        <v/>
      </c>
      <c s="65" t="str">
        <f>IFERROR(__xludf.DUMMYFUNCTION("""COMPUTED_VALUE"""),"")</f>
        <v/>
      </c>
      <c s="66">
        <f ca="1"/>
        <v>45222</v>
      </c>
      <c s="93" t="str">
        <f t="shared" si="156"/>
        <v/>
      </c>
      <c s="94" t="str">
        <f t="shared" si="186"/>
        <v/>
      </c>
      <c s="95" t="str">
        <f t="shared" si="246"/>
        <v/>
      </c>
      <c s="98" t="str">
        <f t="shared" si="218"/>
        <v/>
      </c>
      <c s="97" t="str">
        <f t="array" ref="AK43">IFERROR(IF(AE43="ac"+ISNUMBER(SEARCH("'",AJ43))+AI43="","",IF(ISNUMBER(SEARCH("lw",AJ43)),W43+SUBSTITUTE(AJ43,"lw+",""),MROUND(_xlfn.SWITCH(AE43,"sq",AI$7,"bn",AJ$7,"dl",AK$7,"")*IF(AJ43&gt;10,AJ43/100,VLOOKUP(AJ43,_rpe,SUBSTITUTE(AI43,"+","")+1,0)),IF(_xlfn.SWITCH(AE43,"sq",AI$7,"bn",AJ$7,"dl",AK$7,"")&lt;IF(_uom="lbs",175,80),1.25,IF(_uom="lbs",5,2.5))))),"")</f>
        <v/>
      </c>
      <c s="70"/>
      <c s="63"/>
      <c s="97"/>
      <c s="44" t="str">
        <f>IFERROR(__xludf.DUMMYFUNCTION("IF(AK43=MAX(FILTER(AK$10:AK$199,LOOKUP(ROW(AE$10:AE$199),FILTER(ROW(AE$10:AE$199),AE$10:AE$199&lt;&gt;AE$9:AE$198))=LOOKUP(ROW(AE43),FILTER(ROW(AE$10:AE$199),AE$10:AE$199&lt;&gt;AE$9:AE$198)))),AL43,)"),"")</f>
        <v/>
      </c>
      <c s="42"/>
      <c s="63"/>
      <c s="64" t="str">
        <f t="shared" si="17"/>
        <v/>
      </c>
      <c s="65" t="str">
        <f>IFERROR(__xludf.DUMMYFUNCTION("""COMPUTED_VALUE"""),"")</f>
        <v/>
      </c>
      <c s="66">
        <f ca="1"/>
        <v>45229</v>
      </c>
      <c s="93" t="str">
        <f t="shared" si="157"/>
        <v/>
      </c>
      <c s="94" t="str">
        <f t="shared" si="188"/>
        <v/>
      </c>
      <c s="95" t="str">
        <f t="shared" si="247"/>
        <v/>
      </c>
      <c s="98" t="str">
        <f t="shared" si="219"/>
        <v/>
      </c>
      <c s="97" t="str">
        <f t="array" ref="AY43">IFERROR(IF(AS43="ac"+ISNUMBER(SEARCH("'",AX43))+AW43="","",IF(ISNUMBER(SEARCH("lw",AX43)),AK43+SUBSTITUTE(AX43,"lw+",""),MROUND(_xlfn.SWITCH(AS43,"sq",AW$7,"bn",AX$7,"dl",AY$7,"")*IF(AX43&gt;10,AX43/100,VLOOKUP(AX43,_rpe,SUBSTITUTE(AW43,"+","")+1,0)),IF(_xlfn.SWITCH(AS43,"sq",AW$7,"bn",AX$7,"dl",AY$7,"")&lt;IF(_uom="lbs",175,80),1.25,IF(_uom="lbs",5,2.5))))),"")</f>
        <v/>
      </c>
      <c s="70"/>
      <c s="63"/>
      <c s="97"/>
      <c s="44" t="str">
        <f>IFERROR(__xludf.DUMMYFUNCTION("IF(AY43=MAX(FILTER(AY$10:AY$199,LOOKUP(ROW(AS$10:AS$199),FILTER(ROW(AS$10:AS$199),AS$10:AS$199&lt;&gt;AS$9:AS$198))=LOOKUP(ROW(AS43),FILTER(ROW(AS$10:AS$199),AS$10:AS$199&lt;&gt;AS$9:AS$198)))),AZ43,)"),"")</f>
        <v/>
      </c>
      <c s="42"/>
      <c s="63"/>
      <c s="64" t="str">
        <f t="shared" si="19"/>
        <v/>
      </c>
      <c s="65" t="str">
        <f>IFERROR(__xludf.DUMMYFUNCTION("""COMPUTED_VALUE"""),"")</f>
        <v/>
      </c>
      <c s="66">
        <f ca="1"/>
        <v>45236</v>
      </c>
      <c s="93" t="str">
        <f t="shared" si="20"/>
        <v/>
      </c>
      <c s="94" t="str">
        <f t="shared" si="248"/>
        <v/>
      </c>
      <c s="95" t="str">
        <f t="shared" si="249"/>
        <v/>
      </c>
      <c s="98" t="str">
        <f t="shared" si="250"/>
        <v/>
      </c>
      <c s="97" t="str">
        <f t="array" ref="BM43">IFERROR(IF(BG43="ac"+ISNUMBER(SEARCH("'",BL43))+BK43="","",IF(ISNUMBER(SEARCH("lw",BL43)),AY43+SUBSTITUTE(BL43,"lw+",""),MROUND(_xlfn.SWITCH(BG43,"sq",BK$7,"bn",BL$7,"dl",BM$7,"")*IF(BL43&gt;10,BL43/100,VLOOKUP(BL43,_rpe,SUBSTITUTE(BK43,"+","")+1,0)),IF(_xlfn.SWITCH(BG43,"sq",BK$7,"bn",BL$7,"dl",BM$7,"")&lt;IF(_uom="lbs",175,80),1.25,IF(_uom="lbs",5,2.5))))),"")</f>
        <v/>
      </c>
      <c s="70"/>
      <c s="63"/>
      <c s="97"/>
      <c s="44" t="str">
        <f>IFERROR(__xludf.DUMMYFUNCTION("IF(BM43=MAX(FILTER(BM$10:BM$199,LOOKUP(ROW(BG$10:BG$199),FILTER(ROW(BG$10:BG$199),BG$10:BG$199&lt;&gt;BG$9:BG$198))=LOOKUP(ROW(BG43),FILTER(ROW(BG$10:BG$199),BG$10:BG$199&lt;&gt;BG$9:BG$198)))),BN43,)"),"")</f>
        <v/>
      </c>
      <c s="42"/>
      <c s="63"/>
      <c s="64" t="str">
        <f t="shared" si="21"/>
        <v/>
      </c>
      <c s="65" t="str">
        <f>IFERROR(__xludf.DUMMYFUNCTION("""COMPUTED_VALUE"""),"")</f>
        <v/>
      </c>
      <c s="66">
        <f ca="1"/>
        <v>45243</v>
      </c>
      <c s="93" t="str">
        <f t="shared" si="22"/>
        <v/>
      </c>
      <c s="94" t="str">
        <f t="shared" si="251"/>
        <v/>
      </c>
      <c s="95" t="str">
        <f t="shared" si="224"/>
        <v/>
      </c>
      <c s="98" t="str">
        <f t="shared" si="252"/>
        <v/>
      </c>
      <c s="97" t="str">
        <f t="array" ref="CA43">IFERROR(IF(BU43="ac"+ISNUMBER(SEARCH("'",BZ43))+BY43="","",IF(ISNUMBER(SEARCH("lw",BZ43)),BM43+SUBSTITUTE(BZ43,"lw+",""),MROUND(_xlfn.SWITCH(BU43,"sq",BY$7,"bn",BZ$7,"dl",CA$7,"")*IF(BZ43&gt;10,BZ43/100,VLOOKUP(BZ43,_rpe,SUBSTITUTE(BY43,"+","")+1,0)),IF(_xlfn.SWITCH(BU43,"sq",BY$7,"bn",BZ$7,"dl",CA$7,"")&lt;IF(_uom="lbs",175,80),1.25,IF(_uom="lbs",5,2.5))))),"")</f>
        <v/>
      </c>
      <c s="70"/>
      <c s="63"/>
      <c s="97"/>
      <c s="44" t="str">
        <f>IFERROR(__xludf.DUMMYFUNCTION("IF(CA43=MAX(FILTER(CA$10:CA$199,LOOKUP(ROW(BU$10:BU$199),FILTER(ROW(BU$10:BU$199),BU$10:BU$199&lt;&gt;BU$9:BU$198))=LOOKUP(ROW(BU43),FILTER(ROW(BU$10:BU$199),BU$10:BU$199&lt;&gt;BU$9:BU$198)))),CB43,)"),"")</f>
        <v/>
      </c>
      <c s="42"/>
      <c s="63"/>
      <c s="64" t="str">
        <f t="shared" si="24"/>
        <v/>
      </c>
      <c s="65" t="str">
        <f>IFERROR(__xludf.DUMMYFUNCTION("""COMPUTED_VALUE"""),"")</f>
        <v/>
      </c>
      <c s="66">
        <f ca="1"/>
        <v>45250</v>
      </c>
      <c s="93" t="str">
        <f t="shared" si="44"/>
        <v/>
      </c>
      <c s="94" t="str">
        <f t="shared" si="226"/>
        <v/>
      </c>
      <c s="95" t="str">
        <f t="shared" si="253"/>
        <v/>
      </c>
      <c s="98" t="str">
        <f t="shared" si="254"/>
        <v/>
      </c>
      <c s="97" t="str">
        <f t="array" ref="CO43">IFERROR(IF(CI43="ac"+ISNUMBER(SEARCH("'",CN43))+CM43="","",IF(ISNUMBER(SEARCH("lw",CN43)),CA43+SUBSTITUTE(CN43,"lw+",""),MROUND(_xlfn.SWITCH(CI43,"sq",CM$7,"bn",CN$7,"dl",CO$7,"")*IF(CN43&gt;10,CN43/100,VLOOKUP(CN43,_rpe,SUBSTITUTE(CM43,"+","")+1,0)),IF(_xlfn.SWITCH(CI43,"sq",CM$7,"bn",CN$7,"dl",CO$7,"")&lt;IF(_uom="lbs",175,80),1.25,IF(_uom="lbs",5,2.5))))),"")</f>
        <v/>
      </c>
      <c s="70"/>
      <c s="63"/>
      <c s="97"/>
      <c s="44" t="str">
        <f>IFERROR(__xludf.DUMMYFUNCTION("IF(CO43=MAX(FILTER(CO$10:CO$199,LOOKUP(ROW(CI$10:CI$199),FILTER(ROW(CI$10:CI$199),CI$10:CI$199&lt;&gt;CI$9:CI$198))=LOOKUP(ROW(CI43),FILTER(ROW(CI$10:CI$199),CI$10:CI$199&lt;&gt;CI$9:CI$198)))),CP43,)"),"")</f>
        <v/>
      </c>
      <c s="42"/>
      <c s="63"/>
      <c s="64" t="str">
        <f t="shared" si="27"/>
        <v/>
      </c>
      <c s="65" t="str">
        <f>IFERROR(__xludf.DUMMYFUNCTION("""COMPUTED_VALUE"""),"")</f>
        <v/>
      </c>
      <c s="66">
        <f ca="1"/>
        <v>45257</v>
      </c>
      <c s="93" t="str">
        <f t="shared" si="45"/>
        <v/>
      </c>
      <c s="94" t="str">
        <f t="shared" si="196"/>
        <v/>
      </c>
      <c s="95" t="str">
        <f t="shared" si="255"/>
        <v/>
      </c>
      <c s="98" t="str">
        <f t="shared" si="229"/>
        <v/>
      </c>
      <c s="97" t="str">
        <f t="array" ref="DC43">IFERROR(IF(CW43="ac"+ISNUMBER(SEARCH("'",DB43))+DA43="","",IF(ISNUMBER(SEARCH("lw",DB43)),CO43+SUBSTITUTE(DB43,"lw+",""),MROUND(_xlfn.SWITCH(CW43,"sq",DA$7,"bn",DB$7,"dl",DC$7,"")*IF(DB43&gt;10,DB43/100,VLOOKUP(DB43,_rpe,SUBSTITUTE(DA43,"+","")+1,0)),IF(_xlfn.SWITCH(CW43,"sq",DA$7,"bn",DB$7,"dl",DC$7,"")&lt;IF(_uom="lbs",175,80),1.25,IF(_uom="lbs",5,2.5))))),"")</f>
        <v/>
      </c>
      <c s="70"/>
      <c s="63"/>
      <c s="97"/>
      <c s="44" t="str">
        <f>IFERROR(__xludf.DUMMYFUNCTION("IF(DC43=MAX(FILTER(DC$10:DC$199,LOOKUP(ROW(CW$10:CW$199),FILTER(ROW(CW$10:CW$199),CW$10:CW$199&lt;&gt;CW$9:CW$198))=LOOKUP(ROW(CW43),FILTER(ROW(CW$10:CW$199),CW$10:CW$199&lt;&gt;CW$9:CW$198)))),DD43,)"),"")</f>
        <v/>
      </c>
      <c s="42"/>
      <c s="63"/>
      <c s="64" t="str">
        <f t="shared" si="30"/>
        <v/>
      </c>
      <c s="65" t="str">
        <f>IFERROR(__xludf.DUMMYFUNCTION("""COMPUTED_VALUE"""),"")</f>
        <v/>
      </c>
      <c s="66">
        <f ca="1"/>
        <v>45264</v>
      </c>
      <c s="93" t="str">
        <f t="shared" si="46"/>
        <v/>
      </c>
      <c s="94" t="str">
        <f t="shared" si="230"/>
        <v/>
      </c>
      <c s="95" t="str">
        <f t="shared" si="256"/>
        <v/>
      </c>
      <c s="98" t="str">
        <f t="shared" si="257"/>
        <v/>
      </c>
      <c s="97" t="str">
        <f t="array" ref="DQ43">IFERROR(IF(DK43="ac"+ISNUMBER(SEARCH("'",DP43))+DO43="","",IF(ISNUMBER(SEARCH("lw",DP43)),DC43+SUBSTITUTE(DP43,"lw+",""),MROUND(_xlfn.SWITCH(DK43,"sq",DO$7,"bn",DP$7,"dl",DQ$7,"")*IF(DP43&gt;10,DP43/100,VLOOKUP(DP43,_rpe,SUBSTITUTE(DO43,"+","")+1,0)),IF(_xlfn.SWITCH(DK43,"sq",DO$7,"bn",DP$7,"dl",DQ$7,"")&lt;IF(_uom="lbs",175,80),1.25,IF(_uom="lbs",5,2.5))))),"")</f>
        <v/>
      </c>
      <c s="70"/>
      <c s="63"/>
      <c s="97"/>
      <c s="44" t="str">
        <f>IFERROR(__xludf.DUMMYFUNCTION("IF(DQ43=MAX(FILTER(DQ$10:DQ$199,LOOKUP(ROW(DK$10:DK$199),FILTER(ROW(DK$10:DK$199),DK$10:DK$199&lt;&gt;DK$9:DK$198))=LOOKUP(ROW(DK43),FILTER(ROW(DK$10:DK$199),DK$10:DK$199&lt;&gt;DK$9:DK$198)))),DR43,)"),"")</f>
        <v/>
      </c>
      <c s="42"/>
      <c s="63"/>
      <c s="64" t="str">
        <f t="shared" si="32"/>
        <v/>
      </c>
      <c s="65" t="str">
        <f>IFERROR(__xludf.DUMMYFUNCTION("""COMPUTED_VALUE"""),"")</f>
        <v/>
      </c>
      <c s="66">
        <f ca="1"/>
        <v>45271</v>
      </c>
      <c s="93" t="str">
        <f t="shared" si="47"/>
        <v/>
      </c>
      <c s="94" t="str">
        <f t="shared" si="233"/>
        <v/>
      </c>
      <c s="95" t="str">
        <f t="shared" si="258"/>
        <v/>
      </c>
      <c s="98" t="str">
        <f t="shared" si="259"/>
        <v/>
      </c>
      <c s="97" t="str">
        <f t="array" ref="EE43">IFERROR(IF(DY43="ac"+ISNUMBER(SEARCH("'",ED43))+EC43="","",IF(ISNUMBER(SEARCH("lw",ED43)),DQ43+SUBSTITUTE(ED43,"lw+",""),MROUND(_xlfn.SWITCH(DY43,"sq",EC$7,"bn",ED$7,"dl",EE$7,"")*IF(ED43&gt;10,ED43/100,VLOOKUP(ED43,_rpe,SUBSTITUTE(EC43,"+","")+1,0)),IF(_xlfn.SWITCH(DY43,"sq",EC$7,"bn",ED$7,"dl",EE$7,"")&lt;IF(_uom="lbs",175,80),1.25,IF(_uom="lbs",5,2.5))))),"")</f>
        <v/>
      </c>
      <c s="70"/>
      <c s="63"/>
      <c s="97"/>
      <c s="44" t="str">
        <f>IFERROR(__xludf.DUMMYFUNCTION("IF(EE43=MAX(FILTER(EE$10:EE$199,LOOKUP(ROW(DY$10:DY$199),FILTER(ROW(DY$10:DY$199),DY$10:DY$199&lt;&gt;DY$9:DY$198))=LOOKUP(ROW(DY43),FILTER(ROW(DY$10:DY$199),DY$10:DY$199&lt;&gt;DY$9:DY$198)))),EF43,)"),"")</f>
        <v/>
      </c>
      <c s="42"/>
      <c s="63"/>
      <c s="64" t="str">
        <f t="shared" si="34"/>
        <v/>
      </c>
      <c s="65" t="str">
        <f>IFERROR(__xludf.DUMMYFUNCTION("""COMPUTED_VALUE"""),"")</f>
        <v/>
      </c>
      <c s="66">
        <f ca="1"/>
        <v>45278</v>
      </c>
      <c s="93" t="str">
        <f t="shared" si="48"/>
        <v/>
      </c>
      <c s="94" t="str">
        <f t="shared" si="203"/>
        <v/>
      </c>
      <c s="95" t="str">
        <f t="shared" si="260"/>
        <v/>
      </c>
      <c s="98" t="str">
        <f t="shared" si="237"/>
        <v/>
      </c>
      <c s="97" t="str">
        <f t="array" ref="ES43">IFERROR(IF(EM43="ac"+ISNUMBER(SEARCH("'",ER43))+EQ43="","",IF(ISNUMBER(SEARCH("lw",ER43)),EE43+SUBSTITUTE(ER43,"lw+",""),MROUND(_xlfn.SWITCH(EM43,"sq",EQ$7,"bn",ER$7,"dl",ES$7,"")*IF(ER43&gt;10,ER43/100,VLOOKUP(ER43,_rpe,SUBSTITUTE(EQ43,"+","")+1,0)),IF(_xlfn.SWITCH(EM43,"sq",EQ$7,"bn",ER$7,"dl",ES$7,"")&lt;IF(_uom="lbs",175,80),1.25,IF(_uom="lbs",5,2.5))))),"")</f>
        <v/>
      </c>
      <c s="70"/>
      <c s="63"/>
      <c s="97"/>
      <c s="44" t="str">
        <f>IFERROR(__xludf.DUMMYFUNCTION("IF(ES43=MAX(FILTER(ES$10:ES$199,LOOKUP(ROW(EM$10:EM$199),FILTER(ROW(EM$10:EM$199),EM$10:EM$199&lt;&gt;EM$9:EM$198))=LOOKUP(ROW(EM43),FILTER(ROW(EM$10:EM$199),EM$10:EM$199&lt;&gt;EM$9:EM$198)))),ET43,)"),"")</f>
        <v/>
      </c>
      <c s="42"/>
      <c s="63"/>
      <c s="64" t="str">
        <f t="shared" si="36"/>
        <v/>
      </c>
      <c s="65" t="str">
        <f>IFERROR(__xludf.DUMMYFUNCTION("""COMPUTED_VALUE"""),"")</f>
        <v/>
      </c>
      <c s="66">
        <f ca="1"/>
        <v>45285</v>
      </c>
      <c s="93" t="str">
        <f t="shared" si="49"/>
        <v/>
      </c>
      <c s="94" t="str">
        <f t="shared" si="238"/>
        <v/>
      </c>
      <c s="95" t="str">
        <f t="shared" si="261"/>
        <v/>
      </c>
      <c s="98" t="str">
        <f t="shared" si="240"/>
        <v/>
      </c>
      <c s="97" t="str">
        <f t="array" ref="FG43">IFERROR(IF(FA43="ac"+ISNUMBER(SEARCH("'",FF43))+FE43="","",IF(ISNUMBER(SEARCH("lw",FF43)),ES43+SUBSTITUTE(FF43,"lw+",""),MROUND(_xlfn.SWITCH(FA43,"sq",FE$7,"bn",FF$7,"dl",FG$7,"")*IF(FF43&gt;10,FF43/100,VLOOKUP(FF43,_rpe,SUBSTITUTE(FE43,"+","")+1,0)),IF(_xlfn.SWITCH(FA43,"sq",FE$7,"bn",FF$7,"dl",FG$7,"")&lt;IF(_uom="lbs",175,80),1.25,IF(_uom="lbs",5,2.5))))),"")</f>
        <v/>
      </c>
      <c s="70"/>
      <c s="63"/>
      <c s="97"/>
      <c s="44" t="str">
        <f>IFERROR(__xludf.DUMMYFUNCTION("IF(FG43=MAX(FILTER(FG$10:FG$199,LOOKUP(ROW(FA$10:FA$199),FILTER(ROW(FA$10:FA$199),FA$10:FA$199&lt;&gt;FA$9:FA$198))=LOOKUP(ROW(FA43),FILTER(ROW(FA$10:FA$199),FA$10:FA$199&lt;&gt;FA$9:FA$198)))),FH43,)"),"")</f>
        <v/>
      </c>
      <c s="42"/>
      <c s="63"/>
      <c s="64" t="str">
        <f t="shared" si="38"/>
        <v/>
      </c>
      <c s="65" t="str">
        <f>IFERROR(__xludf.DUMMYFUNCTION("""COMPUTED_VALUE"""),"")</f>
        <v/>
      </c>
      <c s="66">
        <f ca="1"/>
        <v>45292</v>
      </c>
      <c s="93"/>
      <c s="94"/>
      <c s="95"/>
      <c s="98"/>
      <c s="97" t="str">
        <f t="array" ref="FU43">IFERROR(IF(FO43="ac"+ISNUMBER(SEARCH("'",FT43))+FS43="","",IF(ISNUMBER(SEARCH("lw",FT43)),FG43+SUBSTITUTE(FT43,"lw+",""),MROUND(_xlfn.SWITCH(FO43,"sq",FS$7,"bn",FT$7,"dl",FU$7,"")*IF(FT43&gt;10,FT43/100,VLOOKUP(FT43,_rpe,SUBSTITUTE(FS43,"+","")+1,0)),IF(_xlfn.SWITCH(FO43,"sq",FS$7,"bn",FT$7,"dl",FU$7,"")&lt;IF(_uom="lbs",175,80),1.25,IF(_uom="lbs",5,2.5))))),"")</f>
        <v/>
      </c>
      <c s="70"/>
      <c s="63"/>
      <c s="97"/>
      <c s="44" t="str">
        <f>IFERROR(__xludf.DUMMYFUNCTION("IF(FU43=MAX(FILTER(FU$10:FU$199,LOOKUP(ROW(FO$10:FO$199),FILTER(ROW(FO$10:FO$199),FO$10:FO$199&lt;&gt;FO$9:FO$198))=LOOKUP(ROW(FO43),FILTER(ROW(FO$10:FO$199),FO$10:FO$199&lt;&gt;FO$9:FO$198)))),FV43,)"),"")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44" spans="1:259" ht="15.75">
      <c r="A44" s="63"/>
      <c s="64" t="s">
        <v>170</v>
      </c>
      <c s="65" t="str">
        <f>IFERROR(__xludf.DUMMYFUNCTION("""COMPUTED_VALUE"""),"ac")</f>
        <v>ac</v>
      </c>
      <c s="66">
        <f ca="1"/>
        <v>45208</v>
      </c>
      <c s="93" t="s">
        <v>171</v>
      </c>
      <c s="94">
        <v>3</v>
      </c>
      <c s="95">
        <v>12</v>
      </c>
      <c s="106" t="s">
        <v>146</v>
      </c>
      <c s="97" t="str">
        <f t="array" ref="I44">IFERROR(IF(C44="ac"+ISNUMBER(SEARCH("'",H44))+G44="","",MROUND(_xlfn.SWITCH(C44,"sq",'Personal Info'!$O$15,"bn",'Personal Info'!$S$15,"dl",'Personal Info'!$W$15,"")*IF(H44&gt;10,H44/100,VLOOKUP(H44,_rpe,SUBSTITUTE(G44,"+","")+1,0)),IF(_xlfn.SWITCH(C44:C210,"sq",'Personal Info'!$O$15,"bn",'Personal Info'!$S$15,"dl",'Personal Info'!$W$15,"")&lt;IF(_uom="lbs",175,80),1.25,IF(_uom="lbs",5,2.5)))),"")</f>
        <v/>
      </c>
      <c s="70"/>
      <c s="63"/>
      <c s="97"/>
      <c s="44" t="str">
        <f>IFERROR(__xludf.DUMMYFUNCTION("IF(I44=MAX(FILTER(I$10:I$199,LOOKUP(ROW(C$10:C$199),FILTER(ROW(C$10:C$199),C$10:C$199&lt;&gt;C$9:C$198))=LOOKUP(ROW(C44),FILTER(ROW(C$10:C$199),C$10:C$199&lt;&gt;C$9:C$198)))),J44,)"),"")</f>
        <v/>
      </c>
      <c s="42"/>
      <c s="63"/>
      <c s="64" t="str">
        <f t="shared" si="11"/>
        <v>triceps</v>
      </c>
      <c s="65" t="str">
        <f>IFERROR(__xludf.DUMMYFUNCTION("""COMPUTED_VALUE"""),"ac")</f>
        <v>ac</v>
      </c>
      <c s="66">
        <f ca="1"/>
        <v>45215</v>
      </c>
      <c s="93" t="str">
        <f t="shared" si="12"/>
        <v>Tricep Pushdown</v>
      </c>
      <c s="94">
        <f t="shared" si="244"/>
        <v>3</v>
      </c>
      <c s="95">
        <v>11</v>
      </c>
      <c s="106" t="s">
        <v>141</v>
      </c>
      <c s="97" t="str">
        <f t="array" ref="W44">IFERROR(IF(Q44="ac"+ISNUMBER(SEARCH("'",V44))+U44="","",IF(ISNUMBER(SEARCH("lw",V44)),I44+SUBSTITUTE(V44,"lw+",""),MROUND(_xlfn.SWITCH(Q44,"sq",U$7,"bn",V$7,"dl",W$7,"")*IF(V44&gt;10,V44/100,VLOOKUP(V44,_rpe,SUBSTITUTE(U44,"+","")+1,0)),IF(_xlfn.SWITCH(Q44,"sq",U$7,"bn",V$7,"dl",W$7,"")&lt;IF(_uom="lbs",175,80),1.25,IF(_uom="lbs",5,2.5))))),"")</f>
        <v/>
      </c>
      <c s="70"/>
      <c s="63"/>
      <c s="97"/>
      <c s="44" t="str">
        <f>IFERROR(__xludf.DUMMYFUNCTION("IF(W44=MAX(FILTER(W$10:W$199,LOOKUP(ROW(Q$10:Q$199),FILTER(ROW(Q$10:Q$199),Q$10:Q$199&lt;&gt;Q$9:Q$198))=LOOKUP(ROW(Q44),FILTER(ROW(Q$10:Q$199),Q$10:Q$199&lt;&gt;Q$9:Q$198)))),X44,)"),"")</f>
        <v/>
      </c>
      <c s="42"/>
      <c s="63"/>
      <c s="64" t="str">
        <f t="shared" si="14"/>
        <v>triceps</v>
      </c>
      <c s="65" t="str">
        <f>IFERROR(__xludf.DUMMYFUNCTION("""COMPUTED_VALUE"""),"ac")</f>
        <v>ac</v>
      </c>
      <c s="66">
        <f ca="1"/>
        <v>45222</v>
      </c>
      <c s="93" t="str">
        <f t="shared" si="156"/>
        <v>Tricep Pushdown</v>
      </c>
      <c s="94">
        <f t="shared" si="186"/>
        <v>3</v>
      </c>
      <c s="95">
        <v>10</v>
      </c>
      <c s="98" t="str">
        <f t="shared" si="218"/>
        <v>@8-9</v>
      </c>
      <c s="97" t="str">
        <f t="array" ref="AK44">IFERROR(IF(AE44="ac"+ISNUMBER(SEARCH("'",AJ44))+AI44="","",IF(ISNUMBER(SEARCH("lw",AJ44)),W44+SUBSTITUTE(AJ44,"lw+",""),MROUND(_xlfn.SWITCH(AE44,"sq",AI$7,"bn",AJ$7,"dl",AK$7,"")*IF(AJ44&gt;10,AJ44/100,VLOOKUP(AJ44,_rpe,SUBSTITUTE(AI44,"+","")+1,0)),IF(_xlfn.SWITCH(AE44,"sq",AI$7,"bn",AJ$7,"dl",AK$7,"")&lt;IF(_uom="lbs",175,80),1.25,IF(_uom="lbs",5,2.5))))),"")</f>
        <v/>
      </c>
      <c s="70"/>
      <c s="63"/>
      <c s="97"/>
      <c s="44" t="str">
        <f>IFERROR(__xludf.DUMMYFUNCTION("IF(AK44=MAX(FILTER(AK$10:AK$199,LOOKUP(ROW(AE$10:AE$199),FILTER(ROW(AE$10:AE$199),AE$10:AE$199&lt;&gt;AE$9:AE$198))=LOOKUP(ROW(AE44),FILTER(ROW(AE$10:AE$199),AE$10:AE$199&lt;&gt;AE$9:AE$198)))),AL44,)"),"")</f>
        <v/>
      </c>
      <c s="42"/>
      <c s="63"/>
      <c s="64" t="str">
        <f t="shared" si="17"/>
        <v>triceps</v>
      </c>
      <c s="65" t="str">
        <f>IFERROR(__xludf.DUMMYFUNCTION("""COMPUTED_VALUE"""),"ac")</f>
        <v>ac</v>
      </c>
      <c s="66">
        <f ca="1"/>
        <v>45229</v>
      </c>
      <c s="93" t="str">
        <f t="shared" si="157"/>
        <v>Tricep Pushdown</v>
      </c>
      <c s="94">
        <f t="shared" si="188"/>
        <v>3</v>
      </c>
      <c s="95">
        <v>9</v>
      </c>
      <c s="98" t="str">
        <f t="shared" si="219"/>
        <v>@8-9</v>
      </c>
      <c s="97" t="str">
        <f t="array" ref="AY44">IFERROR(IF(AS44="ac"+ISNUMBER(SEARCH("'",AX44))+AW44="","",IF(ISNUMBER(SEARCH("lw",AX44)),AK44+SUBSTITUTE(AX44,"lw+",""),MROUND(_xlfn.SWITCH(AS44,"sq",AW$7,"bn",AX$7,"dl",AY$7,"")*IF(AX44&gt;10,AX44/100,VLOOKUP(AX44,_rpe,SUBSTITUTE(AW44,"+","")+1,0)),IF(_xlfn.SWITCH(AS44,"sq",AW$7,"bn",AX$7,"dl",AY$7,"")&lt;IF(_uom="lbs",175,80),1.25,IF(_uom="lbs",5,2.5))))),"")</f>
        <v/>
      </c>
      <c s="70"/>
      <c s="63"/>
      <c s="97"/>
      <c s="44" t="str">
        <f>IFERROR(__xludf.DUMMYFUNCTION("IF(AY44=MAX(FILTER(AY$10:AY$199,LOOKUP(ROW(AS$10:AS$199),FILTER(ROW(AS$10:AS$199),AS$10:AS$199&lt;&gt;AS$9:AS$198))=LOOKUP(ROW(AS44),FILTER(ROW(AS$10:AS$199),AS$10:AS$199&lt;&gt;AS$9:AS$198)))),AZ44,)"),"")</f>
        <v/>
      </c>
      <c s="42"/>
      <c s="63"/>
      <c s="64" t="str">
        <f t="shared" si="19"/>
        <v>triceps</v>
      </c>
      <c s="65" t="str">
        <f>IFERROR(__xludf.DUMMYFUNCTION("""COMPUTED_VALUE"""),"ac")</f>
        <v>ac</v>
      </c>
      <c s="66">
        <f ca="1"/>
        <v>45236</v>
      </c>
      <c s="93" t="str">
        <f t="shared" si="20"/>
        <v>Tricep Pushdown</v>
      </c>
      <c s="94">
        <v>2</v>
      </c>
      <c s="95">
        <v>12</v>
      </c>
      <c s="106" t="s">
        <v>142</v>
      </c>
      <c s="97" t="str">
        <f t="array" ref="BM44">IFERROR(IF(BG44="ac"+ISNUMBER(SEARCH("'",BL44))+BK44="","",IF(ISNUMBER(SEARCH("lw",BL44)),AY44+SUBSTITUTE(BL44,"lw+",""),MROUND(_xlfn.SWITCH(BG44,"sq",BK$7,"bn",BL$7,"dl",BM$7,"")*IF(BL44&gt;10,BL44/100,VLOOKUP(BL44,_rpe,SUBSTITUTE(BK44,"+","")+1,0)),IF(_xlfn.SWITCH(BG44,"sq",BK$7,"bn",BL$7,"dl",BM$7,"")&lt;IF(_uom="lbs",175,80),1.25,IF(_uom="lbs",5,2.5))))),"")</f>
        <v/>
      </c>
      <c s="70"/>
      <c s="63"/>
      <c s="97"/>
      <c s="44" t="str">
        <f>IFERROR(__xludf.DUMMYFUNCTION("IF(BM44=MAX(FILTER(BM$10:BM$199,LOOKUP(ROW(BG$10:BG$199),FILTER(ROW(BG$10:BG$199),BG$10:BG$199&lt;&gt;BG$9:BG$198))=LOOKUP(ROW(BG44),FILTER(ROW(BG$10:BG$199),BG$10:BG$199&lt;&gt;BG$9:BG$198)))),BN44,)"),"")</f>
        <v/>
      </c>
      <c s="42"/>
      <c s="63"/>
      <c s="64" t="str">
        <f t="shared" si="21"/>
        <v>triceps</v>
      </c>
      <c s="65" t="str">
        <f>IFERROR(__xludf.DUMMYFUNCTION("""COMPUTED_VALUE"""),"ac")</f>
        <v>ac</v>
      </c>
      <c s="66">
        <f ca="1"/>
        <v>45243</v>
      </c>
      <c s="93" t="str">
        <f t="shared" si="22"/>
        <v>Tricep Pushdown</v>
      </c>
      <c s="94">
        <f>IF(OR(gen="SELECT",gen="MALE"),3,4)</f>
        <v>3</v>
      </c>
      <c s="95">
        <v>11</v>
      </c>
      <c s="106" t="s">
        <v>140</v>
      </c>
      <c s="97" t="str">
        <f t="array" ref="CA44">IFERROR(IF(BU44="ac"+ISNUMBER(SEARCH("'",BZ44))+BY44="","",IF(ISNUMBER(SEARCH("lw",BZ44)),BM44+SUBSTITUTE(BZ44,"lw+",""),MROUND(_xlfn.SWITCH(BU44,"sq",BY$7,"bn",BZ$7,"dl",CA$7,"")*IF(BZ44&gt;10,BZ44/100,VLOOKUP(BZ44,_rpe,SUBSTITUTE(BY44,"+","")+1,0)),IF(_xlfn.SWITCH(BU44,"sq",BY$7,"bn",BZ$7,"dl",CA$7,"")&lt;IF(_uom="lbs",175,80),1.25,IF(_uom="lbs",5,2.5))))),"")</f>
        <v/>
      </c>
      <c s="70"/>
      <c s="63"/>
      <c s="97"/>
      <c s="44" t="str">
        <f>IFERROR(__xludf.DUMMYFUNCTION("IF(CA44=MAX(FILTER(CA$10:CA$199,LOOKUP(ROW(BU$10:BU$199),FILTER(ROW(BU$10:BU$199),BU$10:BU$199&lt;&gt;BU$9:BU$198))=LOOKUP(ROW(BU44),FILTER(ROW(BU$10:BU$199),BU$10:BU$199&lt;&gt;BU$9:BU$198)))),CB44,)"),"")</f>
        <v/>
      </c>
      <c s="42"/>
      <c s="63"/>
      <c s="64" t="str">
        <f t="shared" si="24"/>
        <v>triceps</v>
      </c>
      <c s="65" t="str">
        <f>IFERROR(__xludf.DUMMYFUNCTION("""COMPUTED_VALUE"""),"ac")</f>
        <v>ac</v>
      </c>
      <c s="66">
        <f ca="1"/>
        <v>45250</v>
      </c>
      <c s="93" t="str">
        <f t="shared" si="44"/>
        <v>Tricep Pushdown</v>
      </c>
      <c s="94">
        <f t="shared" si="226"/>
        <v>3</v>
      </c>
      <c s="95">
        <v>10</v>
      </c>
      <c s="106" t="s">
        <v>141</v>
      </c>
      <c s="97" t="str">
        <f t="array" ref="CO44">IFERROR(IF(CI44="ac"+ISNUMBER(SEARCH("'",CN44))+CM44="","",IF(ISNUMBER(SEARCH("lw",CN44)),CA44+SUBSTITUTE(CN44,"lw+",""),MROUND(_xlfn.SWITCH(CI44,"sq",CM$7,"bn",CN$7,"dl",CO$7,"")*IF(CN44&gt;10,CN44/100,VLOOKUP(CN44,_rpe,SUBSTITUTE(CM44,"+","")+1,0)),IF(_xlfn.SWITCH(CI44,"sq",CM$7,"bn",CN$7,"dl",CO$7,"")&lt;IF(_uom="lbs",175,80),1.25,IF(_uom="lbs",5,2.5))))),"")</f>
        <v/>
      </c>
      <c s="70"/>
      <c s="63"/>
      <c s="97"/>
      <c s="44" t="str">
        <f>IFERROR(__xludf.DUMMYFUNCTION("IF(CO44=MAX(FILTER(CO$10:CO$199,LOOKUP(ROW(CI$10:CI$199),FILTER(ROW(CI$10:CI$199),CI$10:CI$199&lt;&gt;CI$9:CI$198))=LOOKUP(ROW(CI44),FILTER(ROW(CI$10:CI$199),CI$10:CI$199&lt;&gt;CI$9:CI$198)))),CP44,)"),"")</f>
        <v/>
      </c>
      <c s="42"/>
      <c s="63"/>
      <c s="64" t="str">
        <f t="shared" si="27"/>
        <v>triceps</v>
      </c>
      <c s="65" t="str">
        <f>IFERROR(__xludf.DUMMYFUNCTION("""COMPUTED_VALUE"""),"ac")</f>
        <v>ac</v>
      </c>
      <c s="66">
        <f ca="1"/>
        <v>45257</v>
      </c>
      <c s="93" t="str">
        <f t="shared" si="45"/>
        <v>Tricep Pushdown</v>
      </c>
      <c s="94">
        <f t="shared" si="196"/>
        <v>3</v>
      </c>
      <c s="95">
        <v>9</v>
      </c>
      <c s="98" t="str">
        <f t="shared" si="229"/>
        <v>@8-9</v>
      </c>
      <c s="97" t="str">
        <f t="array" ref="DC44">IFERROR(IF(CW44="ac"+ISNUMBER(SEARCH("'",DB44))+DA44="","",IF(ISNUMBER(SEARCH("lw",DB44)),CO44+SUBSTITUTE(DB44,"lw+",""),MROUND(_xlfn.SWITCH(CW44,"sq",DA$7,"bn",DB$7,"dl",DC$7,"")*IF(DB44&gt;10,DB44/100,VLOOKUP(DB44,_rpe,SUBSTITUTE(DA44,"+","")+1,0)),IF(_xlfn.SWITCH(CW44,"sq",DA$7,"bn",DB$7,"dl",DC$7,"")&lt;IF(_uom="lbs",175,80),1.25,IF(_uom="lbs",5,2.5))))),"")</f>
        <v/>
      </c>
      <c s="70"/>
      <c s="63"/>
      <c s="97"/>
      <c s="44" t="str">
        <f>IFERROR(__xludf.DUMMYFUNCTION("IF(DC44=MAX(FILTER(DC$10:DC$199,LOOKUP(ROW(CW$10:CW$199),FILTER(ROW(CW$10:CW$199),CW$10:CW$199&lt;&gt;CW$9:CW$198))=LOOKUP(ROW(CW44),FILTER(ROW(CW$10:CW$199),CW$10:CW$199&lt;&gt;CW$9:CW$198)))),DD44,)"),"")</f>
        <v/>
      </c>
      <c s="42"/>
      <c s="63"/>
      <c s="64" t="str">
        <f t="shared" si="30"/>
        <v>triceps</v>
      </c>
      <c s="65" t="str">
        <f>IFERROR(__xludf.DUMMYFUNCTION("""COMPUTED_VALUE"""),"ac")</f>
        <v>ac</v>
      </c>
      <c s="66">
        <f ca="1"/>
        <v>45264</v>
      </c>
      <c s="93" t="str">
        <f t="shared" si="46"/>
        <v>Tricep Pushdown</v>
      </c>
      <c s="94">
        <f t="shared" si="230"/>
        <v>3</v>
      </c>
      <c s="95">
        <v>8</v>
      </c>
      <c s="106" t="s">
        <v>143</v>
      </c>
      <c s="97" t="str">
        <f t="array" ref="DQ44">IFERROR(IF(DK44="ac"+ISNUMBER(SEARCH("'",DP44))+DO44="","",IF(ISNUMBER(SEARCH("lw",DP44)),DC44+SUBSTITUTE(DP44,"lw+",""),MROUND(_xlfn.SWITCH(DK44,"sq",DO$7,"bn",DP$7,"dl",DQ$7,"")*IF(DP44&gt;10,DP44/100,VLOOKUP(DP44,_rpe,SUBSTITUTE(DO44,"+","")+1,0)),IF(_xlfn.SWITCH(DK44,"sq",DO$7,"bn",DP$7,"dl",DQ$7,"")&lt;IF(_uom="lbs",175,80),1.25,IF(_uom="lbs",5,2.5))))),"")</f>
        <v/>
      </c>
      <c s="70"/>
      <c s="63"/>
      <c s="97"/>
      <c s="44" t="str">
        <f>IFERROR(__xludf.DUMMYFUNCTION("IF(DQ44=MAX(FILTER(DQ$10:DQ$199,LOOKUP(ROW(DK$10:DK$199),FILTER(ROW(DK$10:DK$199),DK$10:DK$199&lt;&gt;DK$9:DK$198))=LOOKUP(ROW(DK44),FILTER(ROW(DK$10:DK$199),DK$10:DK$199&lt;&gt;DK$9:DK$198)))),DR44,)"),"")</f>
        <v/>
      </c>
      <c s="42"/>
      <c s="63"/>
      <c s="64" t="str">
        <f t="shared" si="32"/>
        <v>triceps</v>
      </c>
      <c s="65" t="str">
        <f>IFERROR(__xludf.DUMMYFUNCTION("""COMPUTED_VALUE"""),"ac")</f>
        <v>ac</v>
      </c>
      <c s="66">
        <f ca="1"/>
        <v>45271</v>
      </c>
      <c s="93" t="str">
        <f t="shared" si="47"/>
        <v>Tricep Pushdown</v>
      </c>
      <c s="94">
        <f t="shared" si="233"/>
        <v>3</v>
      </c>
      <c s="95">
        <v>10</v>
      </c>
      <c s="106" t="s">
        <v>141</v>
      </c>
      <c s="97" t="str">
        <f t="array" ref="EE44">IFERROR(IF(DY44="ac"+ISNUMBER(SEARCH("'",ED44))+EC44="","",IF(ISNUMBER(SEARCH("lw",ED44)),DQ44+SUBSTITUTE(ED44,"lw+",""),MROUND(_xlfn.SWITCH(DY44,"sq",EC$7,"bn",ED$7,"dl",EE$7,"")*IF(ED44&gt;10,ED44/100,VLOOKUP(ED44,_rpe,SUBSTITUTE(EC44,"+","")+1,0)),IF(_xlfn.SWITCH(DY44,"sq",EC$7,"bn",ED$7,"dl",EE$7,"")&lt;IF(_uom="lbs",175,80),1.25,IF(_uom="lbs",5,2.5))))),"")</f>
        <v/>
      </c>
      <c s="70"/>
      <c s="63"/>
      <c s="97"/>
      <c s="44" t="str">
        <f>IFERROR(__xludf.DUMMYFUNCTION("IF(EE44=MAX(FILTER(EE$10:EE$199,LOOKUP(ROW(DY$10:DY$199),FILTER(ROW(DY$10:DY$199),DY$10:DY$199&lt;&gt;DY$9:DY$198))=LOOKUP(ROW(DY44),FILTER(ROW(DY$10:DY$199),DY$10:DY$199&lt;&gt;DY$9:DY$198)))),EF44,)"),"")</f>
        <v/>
      </c>
      <c s="42"/>
      <c s="63"/>
      <c s="64" t="str">
        <f t="shared" si="34"/>
        <v>triceps</v>
      </c>
      <c s="65" t="str">
        <f>IFERROR(__xludf.DUMMYFUNCTION("""COMPUTED_VALUE"""),"ac")</f>
        <v>ac</v>
      </c>
      <c s="66">
        <f ca="1"/>
        <v>45278</v>
      </c>
      <c s="93" t="str">
        <f t="shared" si="48"/>
        <v>Tricep Pushdown</v>
      </c>
      <c s="94">
        <f t="shared" si="203"/>
        <v>3</v>
      </c>
      <c s="95">
        <v>9</v>
      </c>
      <c s="98" t="str">
        <f t="shared" si="237"/>
        <v>@8-9</v>
      </c>
      <c s="97" t="str">
        <f t="array" ref="ES44">IFERROR(IF(EM44="ac"+ISNUMBER(SEARCH("'",ER44))+EQ44="","",IF(ISNUMBER(SEARCH("lw",ER44)),EE44+SUBSTITUTE(ER44,"lw+",""),MROUND(_xlfn.SWITCH(EM44,"sq",EQ$7,"bn",ER$7,"dl",ES$7,"")*IF(ER44&gt;10,ER44/100,VLOOKUP(ER44,_rpe,SUBSTITUTE(EQ44,"+","")+1,0)),IF(_xlfn.SWITCH(EM44,"sq",EQ$7,"bn",ER$7,"dl",ES$7,"")&lt;IF(_uom="lbs",175,80),1.25,IF(_uom="lbs",5,2.5))))),"")</f>
        <v/>
      </c>
      <c s="70"/>
      <c s="63"/>
      <c s="97"/>
      <c s="44" t="str">
        <f>IFERROR(__xludf.DUMMYFUNCTION("IF(ES44=MAX(FILTER(ES$10:ES$199,LOOKUP(ROW(EM$10:EM$199),FILTER(ROW(EM$10:EM$199),EM$10:EM$199&lt;&gt;EM$9:EM$198))=LOOKUP(ROW(EM44),FILTER(ROW(EM$10:EM$199),EM$10:EM$199&lt;&gt;EM$9:EM$198)))),ET44,)"),"")</f>
        <v/>
      </c>
      <c s="42"/>
      <c s="63"/>
      <c s="64" t="str">
        <f t="shared" si="36"/>
        <v>triceps</v>
      </c>
      <c s="65" t="str">
        <f>IFERROR(__xludf.DUMMYFUNCTION("""COMPUTED_VALUE"""),"ac")</f>
        <v>ac</v>
      </c>
      <c s="66">
        <f ca="1"/>
        <v>45285</v>
      </c>
      <c s="93" t="str">
        <f t="shared" si="49"/>
        <v>Tricep Pushdown</v>
      </c>
      <c s="94">
        <f t="shared" si="238"/>
        <v>3</v>
      </c>
      <c s="95">
        <v>8</v>
      </c>
      <c s="98" t="str">
        <f t="shared" si="240"/>
        <v>@8-9</v>
      </c>
      <c s="97" t="str">
        <f t="array" ref="FG44">IFERROR(IF(FA44="ac"+ISNUMBER(SEARCH("'",FF44))+FE44="","",IF(ISNUMBER(SEARCH("lw",FF44)),ES44+SUBSTITUTE(FF44,"lw+",""),MROUND(_xlfn.SWITCH(FA44,"sq",FE$7,"bn",FF$7,"dl",FG$7,"")*IF(FF44&gt;10,FF44/100,VLOOKUP(FF44,_rpe,SUBSTITUTE(FE44,"+","")+1,0)),IF(_xlfn.SWITCH(FA44,"sq",FE$7,"bn",FF$7,"dl",FG$7,"")&lt;IF(_uom="lbs",175,80),1.25,IF(_uom="lbs",5,2.5))))),"")</f>
        <v/>
      </c>
      <c s="70"/>
      <c s="63"/>
      <c s="97"/>
      <c s="44" t="str">
        <f>IFERROR(__xludf.DUMMYFUNCTION("IF(FG44=MAX(FILTER(FG$10:FG$199,LOOKUP(ROW(FA$10:FA$199),FILTER(ROW(FA$10:FA$199),FA$10:FA$199&lt;&gt;FA$9:FA$198))=LOOKUP(ROW(FA44),FILTER(ROW(FA$10:FA$199),FA$10:FA$199&lt;&gt;FA$9:FA$198)))),FH44,)"),"")</f>
        <v/>
      </c>
      <c s="42"/>
      <c s="63"/>
      <c s="64" t="str">
        <f t="shared" si="38"/>
        <v>triceps</v>
      </c>
      <c s="65" t="str">
        <f>IFERROR(__xludf.DUMMYFUNCTION("""COMPUTED_VALUE"""),"")</f>
        <v/>
      </c>
      <c s="66">
        <f ca="1"/>
        <v>45292</v>
      </c>
      <c s="93"/>
      <c s="94"/>
      <c s="95"/>
      <c s="98"/>
      <c s="97" t="str">
        <f t="array" ref="FU44">IFERROR(IF(FO44="ac"+ISNUMBER(SEARCH("'",FT44))+FS44="","",IF(ISNUMBER(SEARCH("lw",FT44)),FG44+SUBSTITUTE(FT44,"lw+",""),MROUND(_xlfn.SWITCH(FO44,"sq",FS$7,"bn",FT$7,"dl",FU$7,"")*IF(FT44&gt;10,FT44/100,VLOOKUP(FT44,_rpe,SUBSTITUTE(FS44,"+","")+1,0)),IF(_xlfn.SWITCH(FO44,"sq",FS$7,"bn",FT$7,"dl",FU$7,"")&lt;IF(_uom="lbs",175,80),1.25,IF(_uom="lbs",5,2.5))))),"")</f>
        <v/>
      </c>
      <c s="70"/>
      <c s="63"/>
      <c s="97"/>
      <c s="44" t="str">
        <f>IFERROR(__xludf.DUMMYFUNCTION("IF(FU44=MAX(FILTER(FU$10:FU$199,LOOKUP(ROW(FO$10:FO$199),FILTER(ROW(FO$10:FO$199),FO$10:FO$199&lt;&gt;FO$9:FO$198))=LOOKUP(ROW(FO44),FILTER(ROW(FO$10:FO$199),FO$10:FO$199&lt;&gt;FO$9:FO$198)))),FV44,)"),"")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45" spans="1:259" ht="15.75">
      <c r="A45" s="63"/>
      <c s="64" t="s">
        <v>172</v>
      </c>
      <c s="65" t="str">
        <f>IFERROR(__xludf.DUMMYFUNCTION("""COMPUTED_VALUE"""),"ac")</f>
        <v>ac</v>
      </c>
      <c s="66">
        <f ca="1"/>
        <v>45208</v>
      </c>
      <c s="93" t="s">
        <v>173</v>
      </c>
      <c s="94">
        <v>3</v>
      </c>
      <c s="95">
        <v>12</v>
      </c>
      <c s="106" t="s">
        <v>146</v>
      </c>
      <c s="97" t="str">
        <f t="array" ref="I45">IFERROR(IF(C45="ac"+ISNUMBER(SEARCH("'",H45))+G45="","",MROUND(_xlfn.SWITCH(C45,"sq",'Personal Info'!$O$15,"bn",'Personal Info'!$S$15,"dl",'Personal Info'!$W$15,"")*IF(H45&gt;10,H45/100,VLOOKUP(H45,_rpe,SUBSTITUTE(G45,"+","")+1,0)),IF(_xlfn.SWITCH(C45:C210,"sq",'Personal Info'!$O$15,"bn",'Personal Info'!$S$15,"dl",'Personal Info'!$W$15,"")&lt;IF(_uom="lbs",175,80),1.25,IF(_uom="lbs",5,2.5)))),"")</f>
        <v/>
      </c>
      <c s="70"/>
      <c s="63"/>
      <c s="97"/>
      <c s="44" t="str">
        <f>IFERROR(__xludf.DUMMYFUNCTION("IF(I45=MAX(FILTER(I$10:I$199,LOOKUP(ROW(C$10:C$199),FILTER(ROW(C$10:C$199),C$10:C$199&lt;&gt;C$9:C$198))=LOOKUP(ROW(C45),FILTER(ROW(C$10:C$199),C$10:C$199&lt;&gt;C$9:C$198)))),J45,)"),"")</f>
        <v/>
      </c>
      <c s="42"/>
      <c s="63"/>
      <c s="64" t="str">
        <f t="shared" si="11"/>
        <v>biceps</v>
      </c>
      <c s="65" t="str">
        <f>IFERROR(__xludf.DUMMYFUNCTION("""COMPUTED_VALUE"""),"ac")</f>
        <v>ac</v>
      </c>
      <c s="66">
        <f ca="1"/>
        <v>45215</v>
      </c>
      <c s="93" t="str">
        <f t="shared" si="12"/>
        <v>EZ Bar Curl</v>
      </c>
      <c s="94">
        <f t="shared" si="244"/>
        <v>3</v>
      </c>
      <c s="95">
        <v>11</v>
      </c>
      <c s="106" t="s">
        <v>141</v>
      </c>
      <c s="97" t="str">
        <f t="array" ref="W45">IFERROR(IF(Q45="ac"+ISNUMBER(SEARCH("'",V45))+U45="","",IF(ISNUMBER(SEARCH("lw",V45)),I45+SUBSTITUTE(V45,"lw+",""),MROUND(_xlfn.SWITCH(Q45,"sq",U$7,"bn",V$7,"dl",W$7,"")*IF(V45&gt;10,V45/100,VLOOKUP(V45,_rpe,SUBSTITUTE(U45,"+","")+1,0)),IF(_xlfn.SWITCH(Q45,"sq",U$7,"bn",V$7,"dl",W$7,"")&lt;IF(_uom="lbs",175,80),1.25,IF(_uom="lbs",5,2.5))))),"")</f>
        <v/>
      </c>
      <c s="70"/>
      <c s="63"/>
      <c s="97"/>
      <c s="44" t="str">
        <f>IFERROR(__xludf.DUMMYFUNCTION("IF(W45=MAX(FILTER(W$10:W$199,LOOKUP(ROW(Q$10:Q$199),FILTER(ROW(Q$10:Q$199),Q$10:Q$199&lt;&gt;Q$9:Q$198))=LOOKUP(ROW(Q45),FILTER(ROW(Q$10:Q$199),Q$10:Q$199&lt;&gt;Q$9:Q$198)))),X45,)"),"")</f>
        <v/>
      </c>
      <c s="42"/>
      <c s="63"/>
      <c s="64" t="str">
        <f t="shared" si="14"/>
        <v>biceps</v>
      </c>
      <c s="65" t="str">
        <f>IFERROR(__xludf.DUMMYFUNCTION("""COMPUTED_VALUE"""),"ac")</f>
        <v>ac</v>
      </c>
      <c s="66">
        <f ca="1"/>
        <v>45222</v>
      </c>
      <c s="93" t="str">
        <f t="shared" si="156"/>
        <v>EZ Bar Curl</v>
      </c>
      <c s="94">
        <f t="shared" si="186"/>
        <v>3</v>
      </c>
      <c s="95">
        <v>10</v>
      </c>
      <c s="106" t="s">
        <v>141</v>
      </c>
      <c s="97" t="str">
        <f t="array" ref="AK45">IFERROR(IF(AE45="ac"+ISNUMBER(SEARCH("'",AJ45))+AI45="","",IF(ISNUMBER(SEARCH("lw",AJ45)),W45+SUBSTITUTE(AJ45,"lw+",""),MROUND(_xlfn.SWITCH(AE45,"sq",AI$7,"bn",AJ$7,"dl",AK$7,"")*IF(AJ45&gt;10,AJ45/100,VLOOKUP(AJ45,_rpe,SUBSTITUTE(AI45,"+","")+1,0)),IF(_xlfn.SWITCH(AE45,"sq",AI$7,"bn",AJ$7,"dl",AK$7,"")&lt;IF(_uom="lbs",175,80),1.25,IF(_uom="lbs",5,2.5))))),"")</f>
        <v/>
      </c>
      <c s="70"/>
      <c s="63"/>
      <c s="97"/>
      <c s="44" t="str">
        <f>IFERROR(__xludf.DUMMYFUNCTION("IF(AK45=MAX(FILTER(AK$10:AK$199,LOOKUP(ROW(AE$10:AE$199),FILTER(ROW(AE$10:AE$199),AE$10:AE$199&lt;&gt;AE$9:AE$198))=LOOKUP(ROW(AE45),FILTER(ROW(AE$10:AE$199),AE$10:AE$199&lt;&gt;AE$9:AE$198)))),AL45,)"),"")</f>
        <v/>
      </c>
      <c s="42"/>
      <c s="63"/>
      <c s="64" t="str">
        <f t="shared" si="17"/>
        <v>biceps</v>
      </c>
      <c s="65" t="str">
        <f>IFERROR(__xludf.DUMMYFUNCTION("""COMPUTED_VALUE"""),"ac")</f>
        <v>ac</v>
      </c>
      <c s="66">
        <f ca="1"/>
        <v>45229</v>
      </c>
      <c s="93" t="str">
        <f t="shared" si="157"/>
        <v>EZ Bar Curl</v>
      </c>
      <c s="94">
        <f t="shared" si="188"/>
        <v>3</v>
      </c>
      <c s="95">
        <v>9</v>
      </c>
      <c s="98" t="str">
        <f t="shared" si="219"/>
        <v>@8-9</v>
      </c>
      <c s="97" t="str">
        <f t="array" ref="AY45">IFERROR(IF(AS45="ac"+ISNUMBER(SEARCH("'",AX45))+AW45="","",IF(ISNUMBER(SEARCH("lw",AX45)),AK45+SUBSTITUTE(AX45,"lw+",""),MROUND(_xlfn.SWITCH(AS45,"sq",AW$7,"bn",AX$7,"dl",AY$7,"")*IF(AX45&gt;10,AX45/100,VLOOKUP(AX45,_rpe,SUBSTITUTE(AW45,"+","")+1,0)),IF(_xlfn.SWITCH(AS45,"sq",AW$7,"bn",AX$7,"dl",AY$7,"")&lt;IF(_uom="lbs",175,80),1.25,IF(_uom="lbs",5,2.5))))),"")</f>
        <v/>
      </c>
      <c s="70"/>
      <c s="63"/>
      <c s="97"/>
      <c s="44" t="str">
        <f>IFERROR(__xludf.DUMMYFUNCTION("IF(AY45=MAX(FILTER(AY$10:AY$199,LOOKUP(ROW(AS$10:AS$199),FILTER(ROW(AS$10:AS$199),AS$10:AS$199&lt;&gt;AS$9:AS$198))=LOOKUP(ROW(AS45),FILTER(ROW(AS$10:AS$199),AS$10:AS$199&lt;&gt;AS$9:AS$198)))),AZ45,)"),"")</f>
        <v/>
      </c>
      <c s="42"/>
      <c s="63"/>
      <c s="64" t="str">
        <f t="shared" si="19"/>
        <v>biceps</v>
      </c>
      <c s="65" t="str">
        <f>IFERROR(__xludf.DUMMYFUNCTION("""COMPUTED_VALUE"""),"ac")</f>
        <v>ac</v>
      </c>
      <c s="66">
        <f ca="1"/>
        <v>45236</v>
      </c>
      <c s="93" t="str">
        <f t="shared" si="20"/>
        <v>EZ Bar Curl</v>
      </c>
      <c s="94">
        <v>2</v>
      </c>
      <c s="95">
        <v>12</v>
      </c>
      <c s="106" t="s">
        <v>142</v>
      </c>
      <c s="97" t="str">
        <f t="array" ref="BM45">IFERROR(IF(BG45="ac"+ISNUMBER(SEARCH("'",BL45))+BK45="","",IF(ISNUMBER(SEARCH("lw",BL45)),AY45+SUBSTITUTE(BL45,"lw+",""),MROUND(_xlfn.SWITCH(BG45,"sq",BK$7,"bn",BL$7,"dl",BM$7,"")*IF(BL45&gt;10,BL45/100,VLOOKUP(BL45,_rpe,SUBSTITUTE(BK45,"+","")+1,0)),IF(_xlfn.SWITCH(BG45,"sq",BK$7,"bn",BL$7,"dl",BM$7,"")&lt;IF(_uom="lbs",175,80),1.25,IF(_uom="lbs",5,2.5))))),"")</f>
        <v/>
      </c>
      <c s="70"/>
      <c s="63"/>
      <c s="97"/>
      <c s="44" t="str">
        <f>IFERROR(__xludf.DUMMYFUNCTION("IF(BM45=MAX(FILTER(BM$10:BM$199,LOOKUP(ROW(BG$10:BG$199),FILTER(ROW(BG$10:BG$199),BG$10:BG$199&lt;&gt;BG$9:BG$198))=LOOKUP(ROW(BG45),FILTER(ROW(BG$10:BG$199),BG$10:BG$199&lt;&gt;BG$9:BG$198)))),BN45,)"),"")</f>
        <v/>
      </c>
      <c s="42"/>
      <c s="63"/>
      <c s="64" t="str">
        <f t="shared" si="21"/>
        <v>biceps</v>
      </c>
      <c s="65" t="str">
        <f>IFERROR(__xludf.DUMMYFUNCTION("""COMPUTED_VALUE"""),"ac")</f>
        <v>ac</v>
      </c>
      <c s="66">
        <f ca="1"/>
        <v>45243</v>
      </c>
      <c s="93" t="str">
        <f t="shared" si="22"/>
        <v>EZ Bar Curl</v>
      </c>
      <c s="94">
        <v>3</v>
      </c>
      <c s="95">
        <v>11</v>
      </c>
      <c s="106" t="s">
        <v>140</v>
      </c>
      <c s="97" t="str">
        <f t="array" ref="CA45">IFERROR(IF(BU45="ac"+ISNUMBER(SEARCH("'",BZ45))+BY45="","",IF(ISNUMBER(SEARCH("lw",BZ45)),BM45+SUBSTITUTE(BZ45,"lw+",""),MROUND(_xlfn.SWITCH(BU45,"sq",BY$7,"bn",BZ$7,"dl",CA$7,"")*IF(BZ45&gt;10,BZ45/100,VLOOKUP(BZ45,_rpe,SUBSTITUTE(BY45,"+","")+1,0)),IF(_xlfn.SWITCH(BU45,"sq",BY$7,"bn",BZ$7,"dl",CA$7,"")&lt;IF(_uom="lbs",175,80),1.25,IF(_uom="lbs",5,2.5))))),"")</f>
        <v/>
      </c>
      <c s="70"/>
      <c s="63"/>
      <c s="97"/>
      <c s="44" t="str">
        <f>IFERROR(__xludf.DUMMYFUNCTION("IF(CA45=MAX(FILTER(CA$10:CA$199,LOOKUP(ROW(BU$10:BU$199),FILTER(ROW(BU$10:BU$199),BU$10:BU$199&lt;&gt;BU$9:BU$198))=LOOKUP(ROW(BU45),FILTER(ROW(BU$10:BU$199),BU$10:BU$199&lt;&gt;BU$9:BU$198)))),CB45,)"),"")</f>
        <v/>
      </c>
      <c s="42"/>
      <c s="63"/>
      <c s="64" t="str">
        <f t="shared" si="24"/>
        <v>biceps</v>
      </c>
      <c s="65" t="str">
        <f>IFERROR(__xludf.DUMMYFUNCTION("""COMPUTED_VALUE"""),"ac")</f>
        <v>ac</v>
      </c>
      <c s="66">
        <f ca="1"/>
        <v>45250</v>
      </c>
      <c s="93" t="str">
        <f t="shared" si="44"/>
        <v>EZ Bar Curl</v>
      </c>
      <c s="94">
        <f t="shared" si="226"/>
        <v>3</v>
      </c>
      <c s="95">
        <v>10</v>
      </c>
      <c s="106" t="s">
        <v>141</v>
      </c>
      <c s="97" t="str">
        <f t="array" ref="CO45">IFERROR(IF(CI45="ac"+ISNUMBER(SEARCH("'",CN45))+CM45="","",IF(ISNUMBER(SEARCH("lw",CN45)),CA45+SUBSTITUTE(CN45,"lw+",""),MROUND(_xlfn.SWITCH(CI45,"sq",CM$7,"bn",CN$7,"dl",CO$7,"")*IF(CN45&gt;10,CN45/100,VLOOKUP(CN45,_rpe,SUBSTITUTE(CM45,"+","")+1,0)),IF(_xlfn.SWITCH(CI45,"sq",CM$7,"bn",CN$7,"dl",CO$7,"")&lt;IF(_uom="lbs",175,80),1.25,IF(_uom="lbs",5,2.5))))),"")</f>
        <v/>
      </c>
      <c s="70"/>
      <c s="63"/>
      <c s="97"/>
      <c s="44" t="str">
        <f>IFERROR(__xludf.DUMMYFUNCTION("IF(CO45=MAX(FILTER(CO$10:CO$199,LOOKUP(ROW(CI$10:CI$199),FILTER(ROW(CI$10:CI$199),CI$10:CI$199&lt;&gt;CI$9:CI$198))=LOOKUP(ROW(CI45),FILTER(ROW(CI$10:CI$199),CI$10:CI$199&lt;&gt;CI$9:CI$198)))),CP45,)"),"")</f>
        <v/>
      </c>
      <c s="42"/>
      <c s="63"/>
      <c s="64" t="str">
        <f t="shared" si="27"/>
        <v>biceps</v>
      </c>
      <c s="65" t="str">
        <f>IFERROR(__xludf.DUMMYFUNCTION("""COMPUTED_VALUE"""),"ac")</f>
        <v>ac</v>
      </c>
      <c s="66">
        <f ca="1"/>
        <v>45257</v>
      </c>
      <c s="93" t="str">
        <f t="shared" si="45"/>
        <v>EZ Bar Curl</v>
      </c>
      <c s="94">
        <f t="shared" si="196"/>
        <v>3</v>
      </c>
      <c s="95">
        <v>9</v>
      </c>
      <c s="98" t="str">
        <f t="shared" si="229"/>
        <v>@8-9</v>
      </c>
      <c s="97" t="str">
        <f t="array" ref="DC45">IFERROR(IF(CW45="ac"+ISNUMBER(SEARCH("'",DB45))+DA45="","",IF(ISNUMBER(SEARCH("lw",DB45)),CO45+SUBSTITUTE(DB45,"lw+",""),MROUND(_xlfn.SWITCH(CW45,"sq",DA$7,"bn",DB$7,"dl",DC$7,"")*IF(DB45&gt;10,DB45/100,VLOOKUP(DB45,_rpe,SUBSTITUTE(DA45,"+","")+1,0)),IF(_xlfn.SWITCH(CW45,"sq",DA$7,"bn",DB$7,"dl",DC$7,"")&lt;IF(_uom="lbs",175,80),1.25,IF(_uom="lbs",5,2.5))))),"")</f>
        <v/>
      </c>
      <c s="70"/>
      <c s="63"/>
      <c s="97"/>
      <c s="44" t="str">
        <f>IFERROR(__xludf.DUMMYFUNCTION("IF(DC45=MAX(FILTER(DC$10:DC$199,LOOKUP(ROW(CW$10:CW$199),FILTER(ROW(CW$10:CW$199),CW$10:CW$199&lt;&gt;CW$9:CW$198))=LOOKUP(ROW(CW45),FILTER(ROW(CW$10:CW$199),CW$10:CW$199&lt;&gt;CW$9:CW$198)))),DD45,)"),"")</f>
        <v/>
      </c>
      <c s="42"/>
      <c s="63"/>
      <c s="64" t="str">
        <f t="shared" si="30"/>
        <v>biceps</v>
      </c>
      <c s="65" t="str">
        <f>IFERROR(__xludf.DUMMYFUNCTION("""COMPUTED_VALUE"""),"ac")</f>
        <v>ac</v>
      </c>
      <c s="66">
        <f ca="1"/>
        <v>45264</v>
      </c>
      <c s="93" t="str">
        <f t="shared" si="46"/>
        <v>EZ Bar Curl</v>
      </c>
      <c s="94">
        <f t="shared" si="230"/>
        <v>3</v>
      </c>
      <c s="95">
        <v>8</v>
      </c>
      <c s="106" t="s">
        <v>143</v>
      </c>
      <c s="97" t="str">
        <f t="array" ref="DQ45">IFERROR(IF(DK45="ac"+ISNUMBER(SEARCH("'",DP45))+DO45="","",IF(ISNUMBER(SEARCH("lw",DP45)),DC45+SUBSTITUTE(DP45,"lw+",""),MROUND(_xlfn.SWITCH(DK45,"sq",DO$7,"bn",DP$7,"dl",DQ$7,"")*IF(DP45&gt;10,DP45/100,VLOOKUP(DP45,_rpe,SUBSTITUTE(DO45,"+","")+1,0)),IF(_xlfn.SWITCH(DK45,"sq",DO$7,"bn",DP$7,"dl",DQ$7,"")&lt;IF(_uom="lbs",175,80),1.25,IF(_uom="lbs",5,2.5))))),"")</f>
        <v/>
      </c>
      <c s="70"/>
      <c s="63"/>
      <c s="97"/>
      <c s="44" t="str">
        <f>IFERROR(__xludf.DUMMYFUNCTION("IF(DQ45=MAX(FILTER(DQ$10:DQ$199,LOOKUP(ROW(DK$10:DK$199),FILTER(ROW(DK$10:DK$199),DK$10:DK$199&lt;&gt;DK$9:DK$198))=LOOKUP(ROW(DK45),FILTER(ROW(DK$10:DK$199),DK$10:DK$199&lt;&gt;DK$9:DK$198)))),DR45,)"),"")</f>
        <v/>
      </c>
      <c s="42"/>
      <c s="63"/>
      <c s="64" t="str">
        <f t="shared" si="32"/>
        <v>biceps</v>
      </c>
      <c s="65" t="str">
        <f>IFERROR(__xludf.DUMMYFUNCTION("""COMPUTED_VALUE"""),"ac")</f>
        <v>ac</v>
      </c>
      <c s="66">
        <f ca="1"/>
        <v>45271</v>
      </c>
      <c s="93" t="str">
        <f t="shared" si="47"/>
        <v>EZ Bar Curl</v>
      </c>
      <c s="94">
        <f t="shared" si="233"/>
        <v>3</v>
      </c>
      <c s="95">
        <v>10</v>
      </c>
      <c s="106" t="s">
        <v>141</v>
      </c>
      <c s="97" t="str">
        <f t="array" ref="EE45">IFERROR(IF(DY45="ac"+ISNUMBER(SEARCH("'",ED45))+EC45="","",IF(ISNUMBER(SEARCH("lw",ED45)),DQ45+SUBSTITUTE(ED45,"lw+",""),MROUND(_xlfn.SWITCH(DY45,"sq",EC$7,"bn",ED$7,"dl",EE$7,"")*IF(ED45&gt;10,ED45/100,VLOOKUP(ED45,_rpe,SUBSTITUTE(EC45,"+","")+1,0)),IF(_xlfn.SWITCH(DY45,"sq",EC$7,"bn",ED$7,"dl",EE$7,"")&lt;IF(_uom="lbs",175,80),1.25,IF(_uom="lbs",5,2.5))))),"")</f>
        <v/>
      </c>
      <c s="70"/>
      <c s="63"/>
      <c s="97"/>
      <c s="44" t="str">
        <f>IFERROR(__xludf.DUMMYFUNCTION("IF(EE45=MAX(FILTER(EE$10:EE$199,LOOKUP(ROW(DY$10:DY$199),FILTER(ROW(DY$10:DY$199),DY$10:DY$199&lt;&gt;DY$9:DY$198))=LOOKUP(ROW(DY45),FILTER(ROW(DY$10:DY$199),DY$10:DY$199&lt;&gt;DY$9:DY$198)))),EF45,)"),"")</f>
        <v/>
      </c>
      <c s="42"/>
      <c s="63"/>
      <c s="64" t="str">
        <f t="shared" si="34"/>
        <v>biceps</v>
      </c>
      <c s="65" t="str">
        <f>IFERROR(__xludf.DUMMYFUNCTION("""COMPUTED_VALUE"""),"ac")</f>
        <v>ac</v>
      </c>
      <c s="66">
        <f ca="1"/>
        <v>45278</v>
      </c>
      <c s="93" t="str">
        <f t="shared" si="48"/>
        <v>EZ Bar Curl</v>
      </c>
      <c s="94">
        <f t="shared" si="203"/>
        <v>3</v>
      </c>
      <c s="95">
        <v>9</v>
      </c>
      <c s="98" t="str">
        <f t="shared" si="237"/>
        <v>@8-9</v>
      </c>
      <c s="97" t="str">
        <f t="array" ref="ES45">IFERROR(IF(EM45="ac"+ISNUMBER(SEARCH("'",ER45))+EQ45="","",IF(ISNUMBER(SEARCH("lw",ER45)),EE45+SUBSTITUTE(ER45,"lw+",""),MROUND(_xlfn.SWITCH(EM45,"sq",EQ$7,"bn",ER$7,"dl",ES$7,"")*IF(ER45&gt;10,ER45/100,VLOOKUP(ER45,_rpe,SUBSTITUTE(EQ45,"+","")+1,0)),IF(_xlfn.SWITCH(EM45,"sq",EQ$7,"bn",ER$7,"dl",ES$7,"")&lt;IF(_uom="lbs",175,80),1.25,IF(_uom="lbs",5,2.5))))),"")</f>
        <v/>
      </c>
      <c s="70"/>
      <c s="63"/>
      <c s="97"/>
      <c s="44" t="str">
        <f>IFERROR(__xludf.DUMMYFUNCTION("IF(ES45=MAX(FILTER(ES$10:ES$199,LOOKUP(ROW(EM$10:EM$199),FILTER(ROW(EM$10:EM$199),EM$10:EM$199&lt;&gt;EM$9:EM$198))=LOOKUP(ROW(EM45),FILTER(ROW(EM$10:EM$199),EM$10:EM$199&lt;&gt;EM$9:EM$198)))),ET45,)"),"")</f>
        <v/>
      </c>
      <c s="42"/>
      <c s="63"/>
      <c s="64" t="str">
        <f t="shared" si="36"/>
        <v>biceps</v>
      </c>
      <c s="65" t="str">
        <f>IFERROR(__xludf.DUMMYFUNCTION("""COMPUTED_VALUE"""),"ac")</f>
        <v>ac</v>
      </c>
      <c s="66">
        <f ca="1"/>
        <v>45285</v>
      </c>
      <c s="93" t="str">
        <f t="shared" si="49"/>
        <v>EZ Bar Curl</v>
      </c>
      <c s="94">
        <f t="shared" si="238"/>
        <v>3</v>
      </c>
      <c s="95">
        <v>8</v>
      </c>
      <c s="98" t="str">
        <f t="shared" si="240"/>
        <v>@8-9</v>
      </c>
      <c s="97" t="str">
        <f t="array" ref="FG45">IFERROR(IF(FA45="ac"+ISNUMBER(SEARCH("'",FF45))+FE45="","",IF(ISNUMBER(SEARCH("lw",FF45)),ES45+SUBSTITUTE(FF45,"lw+",""),MROUND(_xlfn.SWITCH(FA45,"sq",FE$7,"bn",FF$7,"dl",FG$7,"")*IF(FF45&gt;10,FF45/100,VLOOKUP(FF45,_rpe,SUBSTITUTE(FE45,"+","")+1,0)),IF(_xlfn.SWITCH(FA45,"sq",FE$7,"bn",FF$7,"dl",FG$7,"")&lt;IF(_uom="lbs",175,80),1.25,IF(_uom="lbs",5,2.5))))),"")</f>
        <v/>
      </c>
      <c s="70"/>
      <c s="63"/>
      <c s="97"/>
      <c s="44" t="str">
        <f>IFERROR(__xludf.DUMMYFUNCTION("IF(FG45=MAX(FILTER(FG$10:FG$199,LOOKUP(ROW(FA$10:FA$199),FILTER(ROW(FA$10:FA$199),FA$10:FA$199&lt;&gt;FA$9:FA$198))=LOOKUP(ROW(FA45),FILTER(ROW(FA$10:FA$199),FA$10:FA$199&lt;&gt;FA$9:FA$198)))),FH45,)"),"")</f>
        <v/>
      </c>
      <c s="42"/>
      <c s="63"/>
      <c s="64" t="str">
        <f t="shared" si="38"/>
        <v>biceps</v>
      </c>
      <c s="65" t="str">
        <f>IFERROR(__xludf.DUMMYFUNCTION("""COMPUTED_VALUE"""),"")</f>
        <v/>
      </c>
      <c s="66">
        <f ca="1"/>
        <v>45292</v>
      </c>
      <c s="93"/>
      <c s="94"/>
      <c s="95"/>
      <c s="98"/>
      <c s="97" t="str">
        <f t="array" ref="FU45">IFERROR(IF(FO45="ac"+ISNUMBER(SEARCH("'",FT45))+FS45="","",IF(ISNUMBER(SEARCH("lw",FT45)),FG45+SUBSTITUTE(FT45,"lw+",""),MROUND(_xlfn.SWITCH(FO45,"sq",FS$7,"bn",FT$7,"dl",FU$7,"")*IF(FT45&gt;10,FT45/100,VLOOKUP(FT45,_rpe,SUBSTITUTE(FS45,"+","")+1,0)),IF(_xlfn.SWITCH(FO45,"sq",FS$7,"bn",FT$7,"dl",FU$7,"")&lt;IF(_uom="lbs",175,80),1.25,IF(_uom="lbs",5,2.5))))),"")</f>
        <v/>
      </c>
      <c s="70"/>
      <c s="63"/>
      <c s="97"/>
      <c s="44" t="str">
        <f>IFERROR(__xludf.DUMMYFUNCTION("IF(FU45=MAX(FILTER(FU$10:FU$199,LOOKUP(ROW(FO$10:FO$199),FILTER(ROW(FO$10:FO$199),FO$10:FO$199&lt;&gt;FO$9:FO$198))=LOOKUP(ROW(FO45),FILTER(ROW(FO$10:FO$199),FO$10:FO$199&lt;&gt;FO$9:FO$198)))),FV45,)"),"")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46" spans="1:259" ht="15.75">
      <c r="A46" s="63"/>
      <c s="107"/>
      <c s="65" t="str">
        <f>IFERROR(__xludf.DUMMYFUNCTION("""COMPUTED_VALUE"""),"ac")</f>
        <v>ac</v>
      </c>
      <c s="66">
        <f ca="1"/>
        <v>45208</v>
      </c>
      <c s="93" t="s">
        <v>174</v>
      </c>
      <c s="94"/>
      <c s="95"/>
      <c s="96"/>
      <c s="97" t="str">
        <f t="array" ref="I46">IFERROR(IF(C46="ac"+ISNUMBER(SEARCH("'",H46))+G46="","",MROUND(_xlfn.SWITCH(C46,"sq",'Personal Info'!$O$15,"bn",'Personal Info'!$S$15,"dl",'Personal Info'!$W$15,"")*IF(H46&gt;10,H46/100,VLOOKUP(H46,_rpe,SUBSTITUTE(G46,"+","")+1,0)),IF(_xlfn.SWITCH(C46:C210,"sq",'Personal Info'!$O$15,"bn",'Personal Info'!$S$15,"dl",'Personal Info'!$W$15,"")&lt;IF(_uom="lbs",175,80),1.25,IF(_uom="lbs",5,2.5)))),"")</f>
        <v/>
      </c>
      <c s="70"/>
      <c s="63"/>
      <c s="97"/>
      <c s="44" t="str">
        <f>IFERROR(__xludf.DUMMYFUNCTION("IF(I46=MAX(FILTER(I$10:I$199,LOOKUP(ROW(C$10:C$199),FILTER(ROW(C$10:C$199),C$10:C$199&lt;&gt;C$9:C$198))=LOOKUP(ROW(C46),FILTER(ROW(C$10:C$199),C$10:C$199&lt;&gt;C$9:C$198)))),J46,)"),"")</f>
        <v/>
      </c>
      <c s="42"/>
      <c s="63"/>
      <c s="64" t="str">
        <f t="shared" si="11"/>
        <v/>
      </c>
      <c s="65" t="str">
        <f>IFERROR(__xludf.DUMMYFUNCTION("""COMPUTED_VALUE"""),"ac")</f>
        <v>ac</v>
      </c>
      <c s="66">
        <f ca="1"/>
        <v>45215</v>
      </c>
      <c s="93" t="str">
        <f t="shared" si="12"/>
        <v>note:</v>
      </c>
      <c s="94" t="str">
        <f t="shared" si="244"/>
        <v/>
      </c>
      <c s="95" t="str">
        <f t="shared" si="262" ref="U46:U57">IF(OR(ISBLANK(G46),G46=""),"",G46)</f>
        <v/>
      </c>
      <c s="98" t="str">
        <f t="shared" si="263" ref="V46:V53">IF(ISBLANK(H46),"",H46)</f>
        <v/>
      </c>
      <c s="97" t="str">
        <f t="array" ref="W46">IFERROR(IF(Q46="ac"+ISNUMBER(SEARCH("'",V46))+U46="","",IF(ISNUMBER(SEARCH("lw",V46)),I46+SUBSTITUTE(V46,"lw+",""),MROUND(_xlfn.SWITCH(Q46,"sq",U$7,"bn",V$7,"dl",W$7,"")*IF(V46&gt;10,V46/100,VLOOKUP(V46,_rpe,SUBSTITUTE(U46,"+","")+1,0)),IF(_xlfn.SWITCH(Q46,"sq",U$7,"bn",V$7,"dl",W$7,"")&lt;IF(_uom="lbs",175,80),1.25,IF(_uom="lbs",5,2.5))))),"")</f>
        <v/>
      </c>
      <c s="70"/>
      <c s="63"/>
      <c s="97"/>
      <c s="44" t="str">
        <f>IFERROR(__xludf.DUMMYFUNCTION("IF(W46=MAX(FILTER(W$10:W$199,LOOKUP(ROW(Q$10:Q$199),FILTER(ROW(Q$10:Q$199),Q$10:Q$199&lt;&gt;Q$9:Q$198))=LOOKUP(ROW(Q46),FILTER(ROW(Q$10:Q$199),Q$10:Q$199&lt;&gt;Q$9:Q$198)))),X46,)"),"")</f>
        <v/>
      </c>
      <c s="42"/>
      <c s="63"/>
      <c s="64" t="str">
        <f t="shared" si="14"/>
        <v/>
      </c>
      <c s="65" t="str">
        <f>IFERROR(__xludf.DUMMYFUNCTION("""COMPUTED_VALUE"""),"ac")</f>
        <v>ac</v>
      </c>
      <c s="66">
        <f ca="1"/>
        <v>45222</v>
      </c>
      <c s="93" t="str">
        <f t="shared" si="156"/>
        <v>note:</v>
      </c>
      <c s="94" t="str">
        <f t="shared" si="186"/>
        <v/>
      </c>
      <c s="95" t="str">
        <f t="shared" si="264" ref="AI46:AI57">IF(OR(ISBLANK(U46),U46=""),"",U46)</f>
        <v/>
      </c>
      <c s="98" t="str">
        <f t="shared" si="265" ref="AJ46:AJ53">IF(ISBLANK(V46),"",V46)</f>
        <v/>
      </c>
      <c s="97" t="str">
        <f t="array" ref="AK46">IFERROR(IF(AE46="ac"+ISNUMBER(SEARCH("'",AJ46))+AI46="","",IF(ISNUMBER(SEARCH("lw",AJ46)),W46+SUBSTITUTE(AJ46,"lw+",""),MROUND(_xlfn.SWITCH(AE46,"sq",AI$7,"bn",AJ$7,"dl",AK$7,"")*IF(AJ46&gt;10,AJ46/100,VLOOKUP(AJ46,_rpe,SUBSTITUTE(AI46,"+","")+1,0)),IF(_xlfn.SWITCH(AE46,"sq",AI$7,"bn",AJ$7,"dl",AK$7,"")&lt;IF(_uom="lbs",175,80),1.25,IF(_uom="lbs",5,2.5))))),"")</f>
        <v/>
      </c>
      <c s="70"/>
      <c s="63"/>
      <c s="97"/>
      <c s="44" t="str">
        <f>IFERROR(__xludf.DUMMYFUNCTION("IF(AK46=MAX(FILTER(AK$10:AK$199,LOOKUP(ROW(AE$10:AE$199),FILTER(ROW(AE$10:AE$199),AE$10:AE$199&lt;&gt;AE$9:AE$198))=LOOKUP(ROW(AE46),FILTER(ROW(AE$10:AE$199),AE$10:AE$199&lt;&gt;AE$9:AE$198)))),AL46,)"),"")</f>
        <v/>
      </c>
      <c s="42"/>
      <c s="63"/>
      <c s="64" t="str">
        <f t="shared" si="17"/>
        <v/>
      </c>
      <c s="65" t="str">
        <f>IFERROR(__xludf.DUMMYFUNCTION("""COMPUTED_VALUE"""),"ac")</f>
        <v>ac</v>
      </c>
      <c s="66">
        <f ca="1"/>
        <v>45229</v>
      </c>
      <c s="93" t="str">
        <f t="shared" si="157"/>
        <v>note:</v>
      </c>
      <c s="94" t="str">
        <f t="shared" si="188"/>
        <v/>
      </c>
      <c s="95" t="str">
        <f t="shared" si="266" ref="AW46:AW53">IF(OR(ISBLANK(AI46),AI46=""),"",AI46)</f>
        <v/>
      </c>
      <c s="98" t="str">
        <f t="shared" si="219"/>
        <v/>
      </c>
      <c s="97" t="str">
        <f t="array" ref="AY46">IFERROR(IF(AS46="ac"+ISNUMBER(SEARCH("'",AX46))+AW46="","",IF(ISNUMBER(SEARCH("lw",AX46)),AK46+SUBSTITUTE(AX46,"lw+",""),MROUND(_xlfn.SWITCH(AS46,"sq",AW$7,"bn",AX$7,"dl",AY$7,"")*IF(AX46&gt;10,AX46/100,VLOOKUP(AX46,_rpe,SUBSTITUTE(AW46,"+","")+1,0)),IF(_xlfn.SWITCH(AS46,"sq",AW$7,"bn",AX$7,"dl",AY$7,"")&lt;IF(_uom="lbs",175,80),1.25,IF(_uom="lbs",5,2.5))))),"")</f>
        <v/>
      </c>
      <c s="70"/>
      <c s="63"/>
      <c s="97"/>
      <c s="44" t="str">
        <f>IFERROR(__xludf.DUMMYFUNCTION("IF(AY46=MAX(FILTER(AY$10:AY$199,LOOKUP(ROW(AS$10:AS$199),FILTER(ROW(AS$10:AS$199),AS$10:AS$199&lt;&gt;AS$9:AS$198))=LOOKUP(ROW(AS46),FILTER(ROW(AS$10:AS$199),AS$10:AS$199&lt;&gt;AS$9:AS$198)))),AZ46,)"),"")</f>
        <v/>
      </c>
      <c s="42"/>
      <c s="63"/>
      <c s="64" t="str">
        <f t="shared" si="19"/>
        <v/>
      </c>
      <c s="65" t="str">
        <f>IFERROR(__xludf.DUMMYFUNCTION("""COMPUTED_VALUE"""),"ac")</f>
        <v>ac</v>
      </c>
      <c s="66">
        <f ca="1"/>
        <v>45236</v>
      </c>
      <c s="93" t="str">
        <f t="shared" si="20"/>
        <v>note:</v>
      </c>
      <c s="94" t="str">
        <f t="shared" si="267" ref="BJ46:BJ53">IF(ISBLANK(AV46),"",AV46)</f>
        <v/>
      </c>
      <c s="95" t="str">
        <f t="shared" si="268" ref="BK46:BK53">IF(OR(ISBLANK(AW46),AW46=""),"",AW46)</f>
        <v/>
      </c>
      <c s="98" t="str">
        <f t="shared" si="269" ref="BL46:BL53">IF(ISBLANK(AX46),"",AX46)</f>
        <v/>
      </c>
      <c s="97" t="str">
        <f t="array" ref="BM46">IFERROR(IF(BG46="ac"+ISNUMBER(SEARCH("'",BL46))+BK46="","",IF(ISNUMBER(SEARCH("lw",BL46)),AY46+SUBSTITUTE(BL46,"lw+",""),MROUND(_xlfn.SWITCH(BG46,"sq",BK$7,"bn",BL$7,"dl",BM$7,"")*IF(BL46&gt;10,BL46/100,VLOOKUP(BL46,_rpe,SUBSTITUTE(BK46,"+","")+1,0)),IF(_xlfn.SWITCH(BG46,"sq",BK$7,"bn",BL$7,"dl",BM$7,"")&lt;IF(_uom="lbs",175,80),1.25,IF(_uom="lbs",5,2.5))))),"")</f>
        <v/>
      </c>
      <c s="70"/>
      <c s="63"/>
      <c s="97"/>
      <c s="44" t="str">
        <f>IFERROR(__xludf.DUMMYFUNCTION("IF(BM46=MAX(FILTER(BM$10:BM$199,LOOKUP(ROW(BG$10:BG$199),FILTER(ROW(BG$10:BG$199),BG$10:BG$199&lt;&gt;BG$9:BG$198))=LOOKUP(ROW(BG46),FILTER(ROW(BG$10:BG$199),BG$10:BG$199&lt;&gt;BG$9:BG$198)))),BN46,)"),"")</f>
        <v/>
      </c>
      <c s="42"/>
      <c s="63"/>
      <c s="64" t="str">
        <f t="shared" si="21"/>
        <v/>
      </c>
      <c s="65" t="str">
        <f>IFERROR(__xludf.DUMMYFUNCTION("""COMPUTED_VALUE"""),"ac")</f>
        <v>ac</v>
      </c>
      <c s="66">
        <f ca="1"/>
        <v>45243</v>
      </c>
      <c s="93" t="str">
        <f t="shared" si="22"/>
        <v>note:</v>
      </c>
      <c s="94" t="str">
        <f t="shared" si="270" ref="BX46:BX53">IF(ISBLANK(BJ46),"",BJ46)</f>
        <v/>
      </c>
      <c s="95" t="str">
        <f t="shared" si="271" ref="BY46:BY57">IF(OR(ISBLANK(BK46),BK46=""),"",BK46)</f>
        <v/>
      </c>
      <c s="98" t="str">
        <f t="shared" si="272" ref="BZ46:BZ53">IF(ISBLANK(BL46),"",BL46)</f>
        <v/>
      </c>
      <c s="97" t="str">
        <f t="array" ref="CA46">IFERROR(IF(BU46="ac"+ISNUMBER(SEARCH("'",BZ46))+BY46="","",IF(ISNUMBER(SEARCH("lw",BZ46)),BM46+SUBSTITUTE(BZ46,"lw+",""),MROUND(_xlfn.SWITCH(BU46,"sq",BY$7,"bn",BZ$7,"dl",CA$7,"")*IF(BZ46&gt;10,BZ46/100,VLOOKUP(BZ46,_rpe,SUBSTITUTE(BY46,"+","")+1,0)),IF(_xlfn.SWITCH(BU46,"sq",BY$7,"bn",BZ$7,"dl",CA$7,"")&lt;IF(_uom="lbs",175,80),1.25,IF(_uom="lbs",5,2.5))))),"")</f>
        <v/>
      </c>
      <c s="70"/>
      <c s="63"/>
      <c s="97"/>
      <c s="44" t="str">
        <f>IFERROR(__xludf.DUMMYFUNCTION("IF(CA46=MAX(FILTER(CA$10:CA$199,LOOKUP(ROW(BU$10:BU$199),FILTER(ROW(BU$10:BU$199),BU$10:BU$199&lt;&gt;BU$9:BU$198))=LOOKUP(ROW(BU46),FILTER(ROW(BU$10:BU$199),BU$10:BU$199&lt;&gt;BU$9:BU$198)))),CB46,)"),"")</f>
        <v/>
      </c>
      <c s="42"/>
      <c s="63"/>
      <c s="64" t="str">
        <f t="shared" si="24"/>
        <v/>
      </c>
      <c s="65" t="str">
        <f>IFERROR(__xludf.DUMMYFUNCTION("""COMPUTED_VALUE"""),"ac")</f>
        <v>ac</v>
      </c>
      <c s="66">
        <f ca="1"/>
        <v>45250</v>
      </c>
      <c s="93" t="str">
        <f t="shared" si="44"/>
        <v>note:</v>
      </c>
      <c s="94" t="str">
        <f t="shared" si="226"/>
        <v/>
      </c>
      <c s="95" t="str">
        <f t="shared" si="273" ref="CM46:CM57">IF(OR(ISBLANK(BY46),BY46=""),"",BY46)</f>
        <v/>
      </c>
      <c s="98" t="str">
        <f t="shared" si="274" ref="CN46:CN53">IF(ISBLANK(BZ46),"",BZ46)</f>
        <v/>
      </c>
      <c s="97" t="str">
        <f t="array" ref="CO46">IFERROR(IF(CI46="ac"+ISNUMBER(SEARCH("'",CN46))+CM46="","",IF(ISNUMBER(SEARCH("lw",CN46)),CA46+SUBSTITUTE(CN46,"lw+",""),MROUND(_xlfn.SWITCH(CI46,"sq",CM$7,"bn",CN$7,"dl",CO$7,"")*IF(CN46&gt;10,CN46/100,VLOOKUP(CN46,_rpe,SUBSTITUTE(CM46,"+","")+1,0)),IF(_xlfn.SWITCH(CI46,"sq",CM$7,"bn",CN$7,"dl",CO$7,"")&lt;IF(_uom="lbs",175,80),1.25,IF(_uom="lbs",5,2.5))))),"")</f>
        <v/>
      </c>
      <c s="70"/>
      <c s="63"/>
      <c s="97"/>
      <c s="44" t="str">
        <f>IFERROR(__xludf.DUMMYFUNCTION("IF(CO46=MAX(FILTER(CO$10:CO$199,LOOKUP(ROW(CI$10:CI$199),FILTER(ROW(CI$10:CI$199),CI$10:CI$199&lt;&gt;CI$9:CI$198))=LOOKUP(ROW(CI46),FILTER(ROW(CI$10:CI$199),CI$10:CI$199&lt;&gt;CI$9:CI$198)))),CP46,)"),"")</f>
        <v/>
      </c>
      <c s="42"/>
      <c s="63"/>
      <c s="64" t="str">
        <f t="shared" si="27"/>
        <v/>
      </c>
      <c s="65" t="str">
        <f>IFERROR(__xludf.DUMMYFUNCTION("""COMPUTED_VALUE"""),"ac")</f>
        <v>ac</v>
      </c>
      <c s="66">
        <f ca="1"/>
        <v>45257</v>
      </c>
      <c s="93" t="str">
        <f t="shared" si="45"/>
        <v>note:</v>
      </c>
      <c s="94" t="str">
        <f t="shared" si="196"/>
        <v/>
      </c>
      <c s="95" t="str">
        <f t="shared" si="275" ref="DA46:DA53">IF(OR(ISBLANK(CM46),CM46=""),"",CM46)</f>
        <v/>
      </c>
      <c s="98" t="str">
        <f t="shared" si="229"/>
        <v/>
      </c>
      <c s="97" t="str">
        <f t="array" ref="DC46">IFERROR(IF(CW46="ac"+ISNUMBER(SEARCH("'",DB46))+DA46="","",IF(ISNUMBER(SEARCH("lw",DB46)),CO46+SUBSTITUTE(DB46,"lw+",""),MROUND(_xlfn.SWITCH(CW46,"sq",DA$7,"bn",DB$7,"dl",DC$7,"")*IF(DB46&gt;10,DB46/100,VLOOKUP(DB46,_rpe,SUBSTITUTE(DA46,"+","")+1,0)),IF(_xlfn.SWITCH(CW46,"sq",DA$7,"bn",DB$7,"dl",DC$7,"")&lt;IF(_uom="lbs",175,80),1.25,IF(_uom="lbs",5,2.5))))),"")</f>
        <v/>
      </c>
      <c s="70"/>
      <c s="63"/>
      <c s="97"/>
      <c s="44" t="str">
        <f>IFERROR(__xludf.DUMMYFUNCTION("IF(DC46=MAX(FILTER(DC$10:DC$199,LOOKUP(ROW(CW$10:CW$199),FILTER(ROW(CW$10:CW$199),CW$10:CW$199&lt;&gt;CW$9:CW$198))=LOOKUP(ROW(CW46),FILTER(ROW(CW$10:CW$199),CW$10:CW$199&lt;&gt;CW$9:CW$198)))),DD46,)"),"")</f>
        <v/>
      </c>
      <c s="42"/>
      <c s="63"/>
      <c s="64" t="str">
        <f t="shared" si="30"/>
        <v/>
      </c>
      <c s="65" t="str">
        <f>IFERROR(__xludf.DUMMYFUNCTION("""COMPUTED_VALUE"""),"ac")</f>
        <v>ac</v>
      </c>
      <c s="66">
        <f ca="1"/>
        <v>45264</v>
      </c>
      <c s="93" t="str">
        <f t="shared" si="46"/>
        <v>note:</v>
      </c>
      <c s="94" t="str">
        <f t="shared" si="230"/>
        <v/>
      </c>
      <c s="95" t="str">
        <f t="shared" si="276" ref="DO46:DO53">IF(OR(ISBLANK(DA46),DA46=""),"",DA46)</f>
        <v/>
      </c>
      <c s="98" t="str">
        <f t="shared" si="277" ref="DP46:DP53">IF(ISBLANK(DB46),"",DB46)</f>
        <v/>
      </c>
      <c s="97" t="str">
        <f t="array" ref="DQ46">IFERROR(IF(DK46="ac"+ISNUMBER(SEARCH("'",DP46))+DO46="","",IF(ISNUMBER(SEARCH("lw",DP46)),DC46+SUBSTITUTE(DP46,"lw+",""),MROUND(_xlfn.SWITCH(DK46,"sq",DO$7,"bn",DP$7,"dl",DQ$7,"")*IF(DP46&gt;10,DP46/100,VLOOKUP(DP46,_rpe,SUBSTITUTE(DO46,"+","")+1,0)),IF(_xlfn.SWITCH(DK46,"sq",DO$7,"bn",DP$7,"dl",DQ$7,"")&lt;IF(_uom="lbs",175,80),1.25,IF(_uom="lbs",5,2.5))))),"")</f>
        <v/>
      </c>
      <c s="70"/>
      <c s="63"/>
      <c s="97"/>
      <c s="44" t="str">
        <f>IFERROR(__xludf.DUMMYFUNCTION("IF(DQ46=MAX(FILTER(DQ$10:DQ$199,LOOKUP(ROW(DK$10:DK$199),FILTER(ROW(DK$10:DK$199),DK$10:DK$199&lt;&gt;DK$9:DK$198))=LOOKUP(ROW(DK46),FILTER(ROW(DK$10:DK$199),DK$10:DK$199&lt;&gt;DK$9:DK$198)))),DR46,)"),"")</f>
        <v/>
      </c>
      <c s="42"/>
      <c s="63"/>
      <c s="64" t="str">
        <f t="shared" si="32"/>
        <v/>
      </c>
      <c s="65" t="str">
        <f>IFERROR(__xludf.DUMMYFUNCTION("""COMPUTED_VALUE"""),"ac")</f>
        <v>ac</v>
      </c>
      <c s="66">
        <f ca="1"/>
        <v>45271</v>
      </c>
      <c s="93" t="str">
        <f t="shared" si="47"/>
        <v>note:</v>
      </c>
      <c s="94" t="str">
        <f t="shared" si="233"/>
        <v/>
      </c>
      <c s="95" t="str">
        <f t="shared" si="278" ref="EC46:EC53">IF(OR(ISBLANK(DO46),DO46=""),"",DO46)</f>
        <v/>
      </c>
      <c s="98" t="str">
        <f t="shared" si="279" ref="ED46:ED53">IF(ISBLANK(DP46),"",DP46)</f>
        <v/>
      </c>
      <c s="97" t="str">
        <f t="array" ref="EE46">IFERROR(IF(DY46="ac"+ISNUMBER(SEARCH("'",ED46))+EC46="","",IF(ISNUMBER(SEARCH("lw",ED46)),DQ46+SUBSTITUTE(ED46,"lw+",""),MROUND(_xlfn.SWITCH(DY46,"sq",EC$7,"bn",ED$7,"dl",EE$7,"")*IF(ED46&gt;10,ED46/100,VLOOKUP(ED46,_rpe,SUBSTITUTE(EC46,"+","")+1,0)),IF(_xlfn.SWITCH(DY46,"sq",EC$7,"bn",ED$7,"dl",EE$7,"")&lt;IF(_uom="lbs",175,80),1.25,IF(_uom="lbs",5,2.5))))),"")</f>
        <v/>
      </c>
      <c s="70"/>
      <c s="63"/>
      <c s="97"/>
      <c s="44" t="str">
        <f>IFERROR(__xludf.DUMMYFUNCTION("IF(EE46=MAX(FILTER(EE$10:EE$199,LOOKUP(ROW(DY$10:DY$199),FILTER(ROW(DY$10:DY$199),DY$10:DY$199&lt;&gt;DY$9:DY$198))=LOOKUP(ROW(DY46),FILTER(ROW(DY$10:DY$199),DY$10:DY$199&lt;&gt;DY$9:DY$198)))),EF46,)"),"")</f>
        <v/>
      </c>
      <c s="42"/>
      <c s="63"/>
      <c s="64" t="str">
        <f t="shared" si="34"/>
        <v/>
      </c>
      <c s="65" t="str">
        <f>IFERROR(__xludf.DUMMYFUNCTION("""COMPUTED_VALUE"""),"ac")</f>
        <v>ac</v>
      </c>
      <c s="66">
        <f ca="1"/>
        <v>45278</v>
      </c>
      <c s="93" t="str">
        <f t="shared" si="48"/>
        <v>note:</v>
      </c>
      <c s="94" t="str">
        <f t="shared" si="203"/>
        <v/>
      </c>
      <c s="95" t="str">
        <f t="shared" si="280" ref="EQ46:EQ53">IF(OR(ISBLANK(EC46),EC46=""),"",EC46)</f>
        <v/>
      </c>
      <c s="98" t="str">
        <f t="shared" si="237"/>
        <v/>
      </c>
      <c s="97" t="str">
        <f t="array" ref="ES46">IFERROR(IF(EM46="ac"+ISNUMBER(SEARCH("'",ER46))+EQ46="","",IF(ISNUMBER(SEARCH("lw",ER46)),EE46+SUBSTITUTE(ER46,"lw+",""),MROUND(_xlfn.SWITCH(EM46,"sq",EQ$7,"bn",ER$7,"dl",ES$7,"")*IF(ER46&gt;10,ER46/100,VLOOKUP(ER46,_rpe,SUBSTITUTE(EQ46,"+","")+1,0)),IF(_xlfn.SWITCH(EM46,"sq",EQ$7,"bn",ER$7,"dl",ES$7,"")&lt;IF(_uom="lbs",175,80),1.25,IF(_uom="lbs",5,2.5))))),"")</f>
        <v/>
      </c>
      <c s="70"/>
      <c s="63"/>
      <c s="97"/>
      <c s="44" t="str">
        <f>IFERROR(__xludf.DUMMYFUNCTION("IF(ES46=MAX(FILTER(ES$10:ES$199,LOOKUP(ROW(EM$10:EM$199),FILTER(ROW(EM$10:EM$199),EM$10:EM$199&lt;&gt;EM$9:EM$198))=LOOKUP(ROW(EM46),FILTER(ROW(EM$10:EM$199),EM$10:EM$199&lt;&gt;EM$9:EM$198)))),ET46,)"),"")</f>
        <v/>
      </c>
      <c s="42"/>
      <c s="63"/>
      <c s="64" t="str">
        <f t="shared" si="36"/>
        <v/>
      </c>
      <c s="65" t="str">
        <f>IFERROR(__xludf.DUMMYFUNCTION("""COMPUTED_VALUE"""),"ac")</f>
        <v>ac</v>
      </c>
      <c s="66">
        <f ca="1"/>
        <v>45285</v>
      </c>
      <c s="93" t="str">
        <f t="shared" si="49"/>
        <v>note:</v>
      </c>
      <c s="94" t="str">
        <f t="shared" si="238"/>
        <v/>
      </c>
      <c s="95" t="str">
        <f t="shared" si="281" ref="FE46:FE53">IF(OR(ISBLANK(EQ46),EQ46=""),"",EQ46)</f>
        <v/>
      </c>
      <c s="98" t="str">
        <f t="shared" si="240"/>
        <v/>
      </c>
      <c s="97" t="str">
        <f t="array" ref="FG46">IFERROR(IF(FA46="ac"+ISNUMBER(SEARCH("'",FF46))+FE46="","",IF(ISNUMBER(SEARCH("lw",FF46)),ES46+SUBSTITUTE(FF46,"lw+",""),MROUND(_xlfn.SWITCH(FA46,"sq",FE$7,"bn",FF$7,"dl",FG$7,"")*IF(FF46&gt;10,FF46/100,VLOOKUP(FF46,_rpe,SUBSTITUTE(FE46,"+","")+1,0)),IF(_xlfn.SWITCH(FA46,"sq",FE$7,"bn",FF$7,"dl",FG$7,"")&lt;IF(_uom="lbs",175,80),1.25,IF(_uom="lbs",5,2.5))))),"")</f>
        <v/>
      </c>
      <c s="70"/>
      <c s="63"/>
      <c s="97"/>
      <c s="44" t="str">
        <f>IFERROR(__xludf.DUMMYFUNCTION("IF(FG46=MAX(FILTER(FG$10:FG$199,LOOKUP(ROW(FA$10:FA$199),FILTER(ROW(FA$10:FA$199),FA$10:FA$199&lt;&gt;FA$9:FA$198))=LOOKUP(ROW(FA46),FILTER(ROW(FA$10:FA$199),FA$10:FA$199&lt;&gt;FA$9:FA$198)))),FH46,)"),"")</f>
        <v/>
      </c>
      <c s="42"/>
      <c s="63"/>
      <c s="64" t="str">
        <f t="shared" si="38"/>
        <v/>
      </c>
      <c s="65" t="str">
        <f>IFERROR(__xludf.DUMMYFUNCTION("""COMPUTED_VALUE"""),"")</f>
        <v/>
      </c>
      <c s="66">
        <f ca="1"/>
        <v>45292</v>
      </c>
      <c s="93"/>
      <c s="94"/>
      <c s="95"/>
      <c s="98"/>
      <c s="97" t="str">
        <f t="array" ref="FU46">IFERROR(IF(FO46="ac"+ISNUMBER(SEARCH("'",FT46))+FS46="","",IF(ISNUMBER(SEARCH("lw",FT46)),FG46+SUBSTITUTE(FT46,"lw+",""),MROUND(_xlfn.SWITCH(FO46,"sq",FS$7,"bn",FT$7,"dl",FU$7,"")*IF(FT46&gt;10,FT46/100,VLOOKUP(FT46,_rpe,SUBSTITUTE(FS46,"+","")+1,0)),IF(_xlfn.SWITCH(FO46,"sq",FS$7,"bn",FT$7,"dl",FU$7,"")&lt;IF(_uom="lbs",175,80),1.25,IF(_uom="lbs",5,2.5))))),"")</f>
        <v/>
      </c>
      <c s="70"/>
      <c s="63"/>
      <c s="97"/>
      <c s="44" t="str">
        <f>IFERROR(__xludf.DUMMYFUNCTION("IF(FU46=MAX(FILTER(FU$10:FU$199,LOOKUP(ROW(FO$10:FO$199),FILTER(ROW(FO$10:FO$199),FO$10:FO$199&lt;&gt;FO$9:FO$198))=LOOKUP(ROW(FO46),FILTER(ROW(FO$10:FO$199),FO$10:FO$199&lt;&gt;FO$9:FO$198)))),FV46,)"),"")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47" spans="1:259" ht="15.75" hidden="1">
      <c r="A47" s="63"/>
      <c s="107"/>
      <c s="65" t="str">
        <f>IFERROR(__xludf.DUMMYFUNCTION("""COMPUTED_VALUE"""),"")</f>
        <v/>
      </c>
      <c s="66">
        <f ca="1"/>
        <v>45208</v>
      </c>
      <c s="93"/>
      <c s="94"/>
      <c s="95"/>
      <c s="96"/>
      <c s="97" t="str">
        <f t="array" ref="I47">IFERROR(IF(C47="ac"+ISNUMBER(SEARCH("'",H47))+G47="","",MROUND(_xlfn.SWITCH(C47,"sq",'Personal Info'!$O$15,"bn",'Personal Info'!$S$15,"dl",'Personal Info'!$W$15,"")*IF(H47&gt;10,H47/100,VLOOKUP(H47,_rpe,SUBSTITUTE(G47,"+","")+1,0)),IF(_xlfn.SWITCH(C47:C210,"sq",'Personal Info'!$O$15,"bn",'Personal Info'!$S$15,"dl",'Personal Info'!$W$15,"")&lt;IF(_uom="lbs",175,80),1.25,IF(_uom="lbs",5,2.5)))),"")</f>
        <v/>
      </c>
      <c s="70"/>
      <c s="63"/>
      <c s="97"/>
      <c s="44" t="str">
        <f>IFERROR(__xludf.DUMMYFUNCTION("IF(I47=MAX(FILTER(I$10:I$199,LOOKUP(ROW(C$10:C$199),FILTER(ROW(C$10:C$199),C$10:C$199&lt;&gt;C$9:C$198))=LOOKUP(ROW(C47),FILTER(ROW(C$10:C$199),C$10:C$199&lt;&gt;C$9:C$198)))),J47,)"),"")</f>
        <v/>
      </c>
      <c s="42"/>
      <c s="63"/>
      <c s="64" t="str">
        <f t="shared" si="11"/>
        <v/>
      </c>
      <c s="65" t="str">
        <f>IFERROR(__xludf.DUMMYFUNCTION("""COMPUTED_VALUE"""),"")</f>
        <v/>
      </c>
      <c s="66">
        <f ca="1"/>
        <v>45215</v>
      </c>
      <c s="93" t="str">
        <f t="shared" si="12"/>
        <v/>
      </c>
      <c s="94" t="str">
        <f t="shared" si="244"/>
        <v/>
      </c>
      <c s="95" t="str">
        <f t="shared" si="262"/>
        <v/>
      </c>
      <c s="98" t="str">
        <f t="shared" si="263"/>
        <v/>
      </c>
      <c s="97" t="str">
        <f t="array" ref="W47">IFERROR(IF(Q47="ac"+ISNUMBER(SEARCH("'",V47))+U47="","",IF(ISNUMBER(SEARCH("lw",V47)),I47+SUBSTITUTE(V47,"lw+",""),MROUND(_xlfn.SWITCH(Q47,"sq",U$7,"bn",V$7,"dl",W$7,"")*IF(V47&gt;10,V47/100,VLOOKUP(V47,_rpe,SUBSTITUTE(U47,"+","")+1,0)),IF(_xlfn.SWITCH(Q47,"sq",U$7,"bn",V$7,"dl",W$7,"")&lt;IF(_uom="lbs",175,80),1.25,IF(_uom="lbs",5,2.5))))),"")</f>
        <v/>
      </c>
      <c s="70"/>
      <c s="63"/>
      <c s="97"/>
      <c s="44" t="str">
        <f>IFERROR(__xludf.DUMMYFUNCTION("IF(W47=MAX(FILTER(W$10:W$199,LOOKUP(ROW(Q$10:Q$199),FILTER(ROW(Q$10:Q$199),Q$10:Q$199&lt;&gt;Q$9:Q$198))=LOOKUP(ROW(Q47),FILTER(ROW(Q$10:Q$199),Q$10:Q$199&lt;&gt;Q$9:Q$198)))),X47,)"),"")</f>
        <v/>
      </c>
      <c s="42"/>
      <c s="63"/>
      <c s="64" t="str">
        <f t="shared" si="14"/>
        <v/>
      </c>
      <c s="65" t="str">
        <f>IFERROR(__xludf.DUMMYFUNCTION("""COMPUTED_VALUE"""),"")</f>
        <v/>
      </c>
      <c s="66">
        <f ca="1"/>
        <v>45222</v>
      </c>
      <c s="93" t="str">
        <f t="shared" si="156"/>
        <v/>
      </c>
      <c s="94" t="str">
        <f t="shared" si="186"/>
        <v/>
      </c>
      <c s="95" t="str">
        <f t="shared" si="264"/>
        <v/>
      </c>
      <c s="98" t="str">
        <f t="shared" si="265"/>
        <v/>
      </c>
      <c s="97" t="str">
        <f t="array" ref="AK47">IFERROR(IF(AE47="ac"+ISNUMBER(SEARCH("'",AJ47))+AI47="","",IF(ISNUMBER(SEARCH("lw",AJ47)),W47+SUBSTITUTE(AJ47,"lw+",""),MROUND(_xlfn.SWITCH(AE47,"sq",AI$7,"bn",AJ$7,"dl",AK$7,"")*IF(AJ47&gt;10,AJ47/100,VLOOKUP(AJ47,_rpe,SUBSTITUTE(AI47,"+","")+1,0)),IF(_xlfn.SWITCH(AE47,"sq",AI$7,"bn",AJ$7,"dl",AK$7,"")&lt;IF(_uom="lbs",175,80),1.25,IF(_uom="lbs",5,2.5))))),"")</f>
        <v/>
      </c>
      <c s="70"/>
      <c s="63"/>
      <c s="97"/>
      <c s="44" t="str">
        <f>IFERROR(__xludf.DUMMYFUNCTION("IF(AK47=MAX(FILTER(AK$10:AK$199,LOOKUP(ROW(AE$10:AE$199),FILTER(ROW(AE$10:AE$199),AE$10:AE$199&lt;&gt;AE$9:AE$198))=LOOKUP(ROW(AE47),FILTER(ROW(AE$10:AE$199),AE$10:AE$199&lt;&gt;AE$9:AE$198)))),AL47,)"),"")</f>
        <v/>
      </c>
      <c s="42"/>
      <c s="63"/>
      <c s="64" t="str">
        <f t="shared" si="17"/>
        <v/>
      </c>
      <c s="65" t="str">
        <f>IFERROR(__xludf.DUMMYFUNCTION("""COMPUTED_VALUE"""),"")</f>
        <v/>
      </c>
      <c s="66">
        <f ca="1"/>
        <v>45229</v>
      </c>
      <c s="93" t="str">
        <f t="shared" si="157"/>
        <v/>
      </c>
      <c s="94" t="str">
        <f t="shared" si="188"/>
        <v/>
      </c>
      <c s="95" t="str">
        <f t="shared" si="266"/>
        <v/>
      </c>
      <c s="98" t="str">
        <f t="shared" si="219"/>
        <v/>
      </c>
      <c s="97" t="str">
        <f t="array" ref="AY47">IFERROR(IF(AS47="ac"+ISNUMBER(SEARCH("'",AX47))+AW47="","",IF(ISNUMBER(SEARCH("lw",AX47)),AK47+SUBSTITUTE(AX47,"lw+",""),MROUND(_xlfn.SWITCH(AS47,"sq",AW$7,"bn",AX$7,"dl",AY$7,"")*IF(AX47&gt;10,AX47/100,VLOOKUP(AX47,_rpe,SUBSTITUTE(AW47,"+","")+1,0)),IF(_xlfn.SWITCH(AS47,"sq",AW$7,"bn",AX$7,"dl",AY$7,"")&lt;IF(_uom="lbs",175,80),1.25,IF(_uom="lbs",5,2.5))))),"")</f>
        <v/>
      </c>
      <c s="70"/>
      <c s="63"/>
      <c s="97"/>
      <c s="44" t="str">
        <f>IFERROR(__xludf.DUMMYFUNCTION("IF(AY47=MAX(FILTER(AY$10:AY$199,LOOKUP(ROW(AS$10:AS$199),FILTER(ROW(AS$10:AS$199),AS$10:AS$199&lt;&gt;AS$9:AS$198))=LOOKUP(ROW(AS47),FILTER(ROW(AS$10:AS$199),AS$10:AS$199&lt;&gt;AS$9:AS$198)))),AZ47,)"),"")</f>
        <v/>
      </c>
      <c s="42"/>
      <c s="63"/>
      <c s="64" t="str">
        <f t="shared" si="19"/>
        <v/>
      </c>
      <c s="65" t="str">
        <f>IFERROR(__xludf.DUMMYFUNCTION("""COMPUTED_VALUE"""),"")</f>
        <v/>
      </c>
      <c s="66">
        <f ca="1"/>
        <v>45236</v>
      </c>
      <c s="93" t="str">
        <f t="shared" si="20"/>
        <v/>
      </c>
      <c s="94" t="str">
        <f t="shared" si="267"/>
        <v/>
      </c>
      <c s="95" t="str">
        <f t="shared" si="268"/>
        <v/>
      </c>
      <c s="98" t="str">
        <f t="shared" si="269"/>
        <v/>
      </c>
      <c s="97" t="str">
        <f t="array" ref="BM47">IFERROR(IF(BG47="ac"+ISNUMBER(SEARCH("'",BL47))+BK47="","",IF(ISNUMBER(SEARCH("lw",BL47)),AY47+SUBSTITUTE(BL47,"lw+",""),MROUND(_xlfn.SWITCH(BG47,"sq",BK$7,"bn",BL$7,"dl",BM$7,"")*IF(BL47&gt;10,BL47/100,VLOOKUP(BL47,_rpe,SUBSTITUTE(BK47,"+","")+1,0)),IF(_xlfn.SWITCH(BG47,"sq",BK$7,"bn",BL$7,"dl",BM$7,"")&lt;IF(_uom="lbs",175,80),1.25,IF(_uom="lbs",5,2.5))))),"")</f>
        <v/>
      </c>
      <c s="70"/>
      <c s="63"/>
      <c s="97"/>
      <c s="44" t="str">
        <f>IFERROR(__xludf.DUMMYFUNCTION("IF(BM47=MAX(FILTER(BM$10:BM$199,LOOKUP(ROW(BG$10:BG$199),FILTER(ROW(BG$10:BG$199),BG$10:BG$199&lt;&gt;BG$9:BG$198))=LOOKUP(ROW(BG47),FILTER(ROW(BG$10:BG$199),BG$10:BG$199&lt;&gt;BG$9:BG$198)))),BN47,)"),"")</f>
        <v/>
      </c>
      <c s="42"/>
      <c s="63"/>
      <c s="64" t="str">
        <f t="shared" si="21"/>
        <v/>
      </c>
      <c s="65" t="str">
        <f>IFERROR(__xludf.DUMMYFUNCTION("""COMPUTED_VALUE"""),"")</f>
        <v/>
      </c>
      <c s="66">
        <f ca="1"/>
        <v>45243</v>
      </c>
      <c s="93" t="str">
        <f t="shared" si="22"/>
        <v/>
      </c>
      <c s="94" t="str">
        <f t="shared" si="270"/>
        <v/>
      </c>
      <c s="95" t="str">
        <f t="shared" si="271"/>
        <v/>
      </c>
      <c s="98" t="str">
        <f t="shared" si="272"/>
        <v/>
      </c>
      <c s="97" t="str">
        <f t="array" ref="CA47">IFERROR(IF(BU47="ac"+ISNUMBER(SEARCH("'",BZ47))+BY47="","",IF(ISNUMBER(SEARCH("lw",BZ47)),BM47+SUBSTITUTE(BZ47,"lw+",""),MROUND(_xlfn.SWITCH(BU47,"sq",BY$7,"bn",BZ$7,"dl",CA$7,"")*IF(BZ47&gt;10,BZ47/100,VLOOKUP(BZ47,_rpe,SUBSTITUTE(BY47,"+","")+1,0)),IF(_xlfn.SWITCH(BU47,"sq",BY$7,"bn",BZ$7,"dl",CA$7,"")&lt;IF(_uom="lbs",175,80),1.25,IF(_uom="lbs",5,2.5))))),"")</f>
        <v/>
      </c>
      <c s="70"/>
      <c s="63"/>
      <c s="97"/>
      <c s="44" t="str">
        <f>IFERROR(__xludf.DUMMYFUNCTION("IF(CA47=MAX(FILTER(CA$10:CA$199,LOOKUP(ROW(BU$10:BU$199),FILTER(ROW(BU$10:BU$199),BU$10:BU$199&lt;&gt;BU$9:BU$198))=LOOKUP(ROW(BU47),FILTER(ROW(BU$10:BU$199),BU$10:BU$199&lt;&gt;BU$9:BU$198)))),CB47,)"),"")</f>
        <v/>
      </c>
      <c s="42"/>
      <c s="63"/>
      <c s="64" t="str">
        <f t="shared" si="24"/>
        <v/>
      </c>
      <c s="65" t="str">
        <f>IFERROR(__xludf.DUMMYFUNCTION("""COMPUTED_VALUE"""),"")</f>
        <v/>
      </c>
      <c s="66">
        <f ca="1"/>
        <v>45250</v>
      </c>
      <c s="93" t="str">
        <f t="shared" si="44"/>
        <v/>
      </c>
      <c s="94" t="str">
        <f t="shared" si="226"/>
        <v/>
      </c>
      <c s="95" t="str">
        <f t="shared" si="273"/>
        <v/>
      </c>
      <c s="98" t="str">
        <f t="shared" si="274"/>
        <v/>
      </c>
      <c s="97" t="str">
        <f t="array" ref="CO47">IFERROR(IF(CI47="ac"+ISNUMBER(SEARCH("'",CN47))+CM47="","",IF(ISNUMBER(SEARCH("lw",CN47)),CA47+SUBSTITUTE(CN47,"lw+",""),MROUND(_xlfn.SWITCH(CI47,"sq",CM$7,"bn",CN$7,"dl",CO$7,"")*IF(CN47&gt;10,CN47/100,VLOOKUP(CN47,_rpe,SUBSTITUTE(CM47,"+","")+1,0)),IF(_xlfn.SWITCH(CI47,"sq",CM$7,"bn",CN$7,"dl",CO$7,"")&lt;IF(_uom="lbs",175,80),1.25,IF(_uom="lbs",5,2.5))))),"")</f>
        <v/>
      </c>
      <c s="70"/>
      <c s="63"/>
      <c s="97"/>
      <c s="44" t="str">
        <f>IFERROR(__xludf.DUMMYFUNCTION("IF(CO47=MAX(FILTER(CO$10:CO$199,LOOKUP(ROW(CI$10:CI$199),FILTER(ROW(CI$10:CI$199),CI$10:CI$199&lt;&gt;CI$9:CI$198))=LOOKUP(ROW(CI47),FILTER(ROW(CI$10:CI$199),CI$10:CI$199&lt;&gt;CI$9:CI$198)))),CP47,)"),"")</f>
        <v/>
      </c>
      <c s="42"/>
      <c s="63"/>
      <c s="64" t="str">
        <f t="shared" si="27"/>
        <v/>
      </c>
      <c s="65" t="str">
        <f>IFERROR(__xludf.DUMMYFUNCTION("""COMPUTED_VALUE"""),"")</f>
        <v/>
      </c>
      <c s="66">
        <f ca="1"/>
        <v>45257</v>
      </c>
      <c s="93" t="str">
        <f t="shared" si="45"/>
        <v/>
      </c>
      <c s="94" t="str">
        <f t="shared" si="196"/>
        <v/>
      </c>
      <c s="95" t="str">
        <f t="shared" si="275"/>
        <v/>
      </c>
      <c s="98" t="str">
        <f t="shared" si="229"/>
        <v/>
      </c>
      <c s="97" t="str">
        <f t="array" ref="DC47">IFERROR(IF(CW47="ac"+ISNUMBER(SEARCH("'",DB47))+DA47="","",IF(ISNUMBER(SEARCH("lw",DB47)),CO47+SUBSTITUTE(DB47,"lw+",""),MROUND(_xlfn.SWITCH(CW47,"sq",DA$7,"bn",DB$7,"dl",DC$7,"")*IF(DB47&gt;10,DB47/100,VLOOKUP(DB47,_rpe,SUBSTITUTE(DA47,"+","")+1,0)),IF(_xlfn.SWITCH(CW47,"sq",DA$7,"bn",DB$7,"dl",DC$7,"")&lt;IF(_uom="lbs",175,80),1.25,IF(_uom="lbs",5,2.5))))),"")</f>
        <v/>
      </c>
      <c s="70"/>
      <c s="63"/>
      <c s="97"/>
      <c s="44" t="str">
        <f>IFERROR(__xludf.DUMMYFUNCTION("IF(DC47=MAX(FILTER(DC$10:DC$199,LOOKUP(ROW(CW$10:CW$199),FILTER(ROW(CW$10:CW$199),CW$10:CW$199&lt;&gt;CW$9:CW$198))=LOOKUP(ROW(CW47),FILTER(ROW(CW$10:CW$199),CW$10:CW$199&lt;&gt;CW$9:CW$198)))),DD47,)"),"")</f>
        <v/>
      </c>
      <c s="42"/>
      <c s="63"/>
      <c s="64" t="str">
        <f t="shared" si="30"/>
        <v/>
      </c>
      <c s="65" t="str">
        <f>IFERROR(__xludf.DUMMYFUNCTION("""COMPUTED_VALUE"""),"")</f>
        <v/>
      </c>
      <c s="66">
        <f ca="1"/>
        <v>45264</v>
      </c>
      <c s="93" t="str">
        <f t="shared" si="46"/>
        <v/>
      </c>
      <c s="94" t="str">
        <f t="shared" si="230"/>
        <v/>
      </c>
      <c s="95" t="str">
        <f t="shared" si="276"/>
        <v/>
      </c>
      <c s="98" t="str">
        <f t="shared" si="277"/>
        <v/>
      </c>
      <c s="97" t="str">
        <f t="array" ref="DQ47">IFERROR(IF(DK47="ac"+ISNUMBER(SEARCH("'",DP47))+DO47="","",IF(ISNUMBER(SEARCH("lw",DP47)),DC47+SUBSTITUTE(DP47,"lw+",""),MROUND(_xlfn.SWITCH(DK47,"sq",DO$7,"bn",DP$7,"dl",DQ$7,"")*IF(DP47&gt;10,DP47/100,VLOOKUP(DP47,_rpe,SUBSTITUTE(DO47,"+","")+1,0)),IF(_xlfn.SWITCH(DK47,"sq",DO$7,"bn",DP$7,"dl",DQ$7,"")&lt;IF(_uom="lbs",175,80),1.25,IF(_uom="lbs",5,2.5))))),"")</f>
        <v/>
      </c>
      <c s="70"/>
      <c s="63"/>
      <c s="97"/>
      <c s="44" t="str">
        <f>IFERROR(__xludf.DUMMYFUNCTION("IF(DQ47=MAX(FILTER(DQ$10:DQ$199,LOOKUP(ROW(DK$10:DK$199),FILTER(ROW(DK$10:DK$199),DK$10:DK$199&lt;&gt;DK$9:DK$198))=LOOKUP(ROW(DK47),FILTER(ROW(DK$10:DK$199),DK$10:DK$199&lt;&gt;DK$9:DK$198)))),DR47,)"),"")</f>
        <v/>
      </c>
      <c s="42"/>
      <c s="63"/>
      <c s="64" t="str">
        <f t="shared" si="32"/>
        <v/>
      </c>
      <c s="65" t="str">
        <f>IFERROR(__xludf.DUMMYFUNCTION("""COMPUTED_VALUE"""),"")</f>
        <v/>
      </c>
      <c s="66">
        <f ca="1"/>
        <v>45271</v>
      </c>
      <c s="93" t="str">
        <f t="shared" si="47"/>
        <v/>
      </c>
      <c s="94" t="str">
        <f t="shared" si="233"/>
        <v/>
      </c>
      <c s="95" t="str">
        <f t="shared" si="278"/>
        <v/>
      </c>
      <c s="98" t="str">
        <f t="shared" si="279"/>
        <v/>
      </c>
      <c s="97" t="str">
        <f t="array" ref="EE47">IFERROR(IF(DY47="ac"+ISNUMBER(SEARCH("'",ED47))+EC47="","",IF(ISNUMBER(SEARCH("lw",ED47)),DQ47+SUBSTITUTE(ED47,"lw+",""),MROUND(_xlfn.SWITCH(DY47,"sq",EC$7,"bn",ED$7,"dl",EE$7,"")*IF(ED47&gt;10,ED47/100,VLOOKUP(ED47,_rpe,SUBSTITUTE(EC47,"+","")+1,0)),IF(_xlfn.SWITCH(DY47,"sq",EC$7,"bn",ED$7,"dl",EE$7,"")&lt;IF(_uom="lbs",175,80),1.25,IF(_uom="lbs",5,2.5))))),"")</f>
        <v/>
      </c>
      <c s="70"/>
      <c s="63"/>
      <c s="97"/>
      <c s="44" t="str">
        <f>IFERROR(__xludf.DUMMYFUNCTION("IF(EE47=MAX(FILTER(EE$10:EE$199,LOOKUP(ROW(DY$10:DY$199),FILTER(ROW(DY$10:DY$199),DY$10:DY$199&lt;&gt;DY$9:DY$198))=LOOKUP(ROW(DY47),FILTER(ROW(DY$10:DY$199),DY$10:DY$199&lt;&gt;DY$9:DY$198)))),EF47,)"),"")</f>
        <v/>
      </c>
      <c s="42"/>
      <c s="63"/>
      <c s="64" t="str">
        <f t="shared" si="34"/>
        <v/>
      </c>
      <c s="65" t="str">
        <f>IFERROR(__xludf.DUMMYFUNCTION("""COMPUTED_VALUE"""),"")</f>
        <v/>
      </c>
      <c s="66">
        <f ca="1"/>
        <v>45278</v>
      </c>
      <c s="93" t="str">
        <f t="shared" si="48"/>
        <v/>
      </c>
      <c s="94" t="str">
        <f t="shared" si="203"/>
        <v/>
      </c>
      <c s="95" t="str">
        <f t="shared" si="280"/>
        <v/>
      </c>
      <c s="98" t="str">
        <f t="shared" si="237"/>
        <v/>
      </c>
      <c s="97" t="str">
        <f t="array" ref="ES47">IFERROR(IF(EM47="ac"+ISNUMBER(SEARCH("'",ER47))+EQ47="","",IF(ISNUMBER(SEARCH("lw",ER47)),EE47+SUBSTITUTE(ER47,"lw+",""),MROUND(_xlfn.SWITCH(EM47,"sq",EQ$7,"bn",ER$7,"dl",ES$7,"")*IF(ER47&gt;10,ER47/100,VLOOKUP(ER47,_rpe,SUBSTITUTE(EQ47,"+","")+1,0)),IF(_xlfn.SWITCH(EM47,"sq",EQ$7,"bn",ER$7,"dl",ES$7,"")&lt;IF(_uom="lbs",175,80),1.25,IF(_uom="lbs",5,2.5))))),"")</f>
        <v/>
      </c>
      <c s="70"/>
      <c s="63"/>
      <c s="97"/>
      <c s="44" t="str">
        <f>IFERROR(__xludf.DUMMYFUNCTION("IF(ES47=MAX(FILTER(ES$10:ES$199,LOOKUP(ROW(EM$10:EM$199),FILTER(ROW(EM$10:EM$199),EM$10:EM$199&lt;&gt;EM$9:EM$198))=LOOKUP(ROW(EM47),FILTER(ROW(EM$10:EM$199),EM$10:EM$199&lt;&gt;EM$9:EM$198)))),ET47,)"),"")</f>
        <v/>
      </c>
      <c s="42"/>
      <c s="63"/>
      <c s="64" t="str">
        <f t="shared" si="36"/>
        <v/>
      </c>
      <c s="65" t="str">
        <f>IFERROR(__xludf.DUMMYFUNCTION("""COMPUTED_VALUE"""),"")</f>
        <v/>
      </c>
      <c s="66">
        <f ca="1"/>
        <v>45285</v>
      </c>
      <c s="93" t="str">
        <f t="shared" si="49"/>
        <v/>
      </c>
      <c s="94" t="str">
        <f t="shared" si="238"/>
        <v/>
      </c>
      <c s="95" t="str">
        <f t="shared" si="281"/>
        <v/>
      </c>
      <c s="98" t="str">
        <f t="shared" si="240"/>
        <v/>
      </c>
      <c s="97" t="str">
        <f t="array" ref="FG47">IFERROR(IF(FA47="ac"+ISNUMBER(SEARCH("'",FF47))+FE47="","",IF(ISNUMBER(SEARCH("lw",FF47)),ES47+SUBSTITUTE(FF47,"lw+",""),MROUND(_xlfn.SWITCH(FA47,"sq",FE$7,"bn",FF$7,"dl",FG$7,"")*IF(FF47&gt;10,FF47/100,VLOOKUP(FF47,_rpe,SUBSTITUTE(FE47,"+","")+1,0)),IF(_xlfn.SWITCH(FA47,"sq",FE$7,"bn",FF$7,"dl",FG$7,"")&lt;IF(_uom="lbs",175,80),1.25,IF(_uom="lbs",5,2.5))))),"")</f>
        <v/>
      </c>
      <c s="70"/>
      <c s="63"/>
      <c s="97"/>
      <c s="44" t="str">
        <f>IFERROR(__xludf.DUMMYFUNCTION("IF(FG47=MAX(FILTER(FG$10:FG$199,LOOKUP(ROW(FA$10:FA$199),FILTER(ROW(FA$10:FA$199),FA$10:FA$199&lt;&gt;FA$9:FA$198))=LOOKUP(ROW(FA47),FILTER(ROW(FA$10:FA$199),FA$10:FA$199&lt;&gt;FA$9:FA$198)))),FH47,)"),"")</f>
        <v/>
      </c>
      <c s="42"/>
      <c s="63"/>
      <c s="64" t="str">
        <f t="shared" si="38"/>
        <v/>
      </c>
      <c s="65" t="str">
        <f>IFERROR(__xludf.DUMMYFUNCTION("""COMPUTED_VALUE"""),"")</f>
        <v/>
      </c>
      <c s="66">
        <f ca="1"/>
        <v>45292</v>
      </c>
      <c s="93" t="str">
        <f t="shared" si="282" ref="FQ47:FR47">IF(ISBLANK(FC47),"",FC47)</f>
        <v/>
      </c>
      <c s="94" t="str">
        <f t="shared" si="282"/>
        <v/>
      </c>
      <c s="95" t="str">
        <f t="shared" si="283" ref="FS47:FS52">IF(OR(ISBLANK(FE47),FE47=""),"",FE47)</f>
        <v/>
      </c>
      <c s="98" t="str">
        <f t="shared" si="284" ref="FT47:FT52">IF(ISBLANK(FF47),"",FF47)</f>
        <v/>
      </c>
      <c s="97" t="str">
        <f t="array" ref="FU47">IFERROR(IF(FO47="ac"+ISNUMBER(SEARCH("'",FT47))+FS47="","",IF(ISNUMBER(SEARCH("lw",FT47)),FG47+SUBSTITUTE(FT47,"lw+",""),MROUND(_xlfn.SWITCH(FO47,"sq",FS$7,"bn",FT$7,"dl",FU$7,"")*IF(FT47&gt;10,FT47/100,VLOOKUP(FT47,_rpe,SUBSTITUTE(FS47,"+","")+1,0)),IF(_xlfn.SWITCH(FO47,"sq",FS$7,"bn",FT$7,"dl",FU$7,"")&lt;IF(_uom="lbs",175,80),1.25,IF(_uom="lbs",5,2.5))))),"")</f>
        <v/>
      </c>
      <c s="70"/>
      <c s="63"/>
      <c s="97"/>
      <c s="44" t="str">
        <f>IFERROR(__xludf.DUMMYFUNCTION("IF(FU47=MAX(FILTER(FU$10:FU$199,LOOKUP(ROW(FO$10:FO$199),FILTER(ROW(FO$10:FO$199),FO$10:FO$199&lt;&gt;FO$9:FO$198))=LOOKUP(ROW(FO47),FILTER(ROW(FO$10:FO$199),FO$10:FO$199&lt;&gt;FO$9:FO$198)))),FV47,)"),"")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48" spans="1:259" ht="15.75" hidden="1">
      <c r="A48" s="63"/>
      <c s="107"/>
      <c s="65" t="str">
        <f>IFERROR(__xludf.DUMMYFUNCTION("""COMPUTED_VALUE"""),"")</f>
        <v/>
      </c>
      <c s="66">
        <f ca="1"/>
        <v>45208</v>
      </c>
      <c s="93"/>
      <c s="94"/>
      <c s="95"/>
      <c s="96"/>
      <c s="97" t="str">
        <f t="array" ref="I48">IFERROR(IF(C48="ac"+ISNUMBER(SEARCH("'",H48))+G48="","",MROUND(_xlfn.SWITCH(C48,"sq",'Personal Info'!$O$15,"bn",'Personal Info'!$S$15,"dl",'Personal Info'!$W$15,"")*IF(H48&gt;10,H48/100,VLOOKUP(H48,_rpe,SUBSTITUTE(G48,"+","")+1,0)),IF(_xlfn.SWITCH(C48:C210,"sq",'Personal Info'!$O$15,"bn",'Personal Info'!$S$15,"dl",'Personal Info'!$W$15,"")&lt;IF(_uom="lbs",175,80),1.25,IF(_uom="lbs",5,2.5)))),"")</f>
        <v/>
      </c>
      <c s="70"/>
      <c s="63"/>
      <c s="97"/>
      <c s="44" t="str">
        <f>IFERROR(__xludf.DUMMYFUNCTION("IF(I48=MAX(FILTER(I$10:I$199,LOOKUP(ROW(C$10:C$199),FILTER(ROW(C$10:C$199),C$10:C$199&lt;&gt;C$9:C$198))=LOOKUP(ROW(C48),FILTER(ROW(C$10:C$199),C$10:C$199&lt;&gt;C$9:C$198)))),J48,)"),"")</f>
        <v/>
      </c>
      <c s="42"/>
      <c s="63"/>
      <c s="64" t="str">
        <f t="shared" si="11"/>
        <v/>
      </c>
      <c s="65" t="str">
        <f>IFERROR(__xludf.DUMMYFUNCTION("""COMPUTED_VALUE"""),"")</f>
        <v/>
      </c>
      <c s="66">
        <f ca="1"/>
        <v>45215</v>
      </c>
      <c s="93" t="str">
        <f t="shared" si="12"/>
        <v/>
      </c>
      <c s="94" t="str">
        <f t="shared" si="244"/>
        <v/>
      </c>
      <c s="95" t="str">
        <f t="shared" si="262"/>
        <v/>
      </c>
      <c s="98" t="str">
        <f t="shared" si="263"/>
        <v/>
      </c>
      <c s="97" t="str">
        <f t="array" ref="W48">IFERROR(IF(Q48="ac"+ISNUMBER(SEARCH("'",V48))+U48="","",IF(ISNUMBER(SEARCH("lw",V48)),I48+SUBSTITUTE(V48,"lw+",""),MROUND(_xlfn.SWITCH(Q48,"sq",U$7,"bn",V$7,"dl",W$7,"")*IF(V48&gt;10,V48/100,VLOOKUP(V48,_rpe,SUBSTITUTE(U48,"+","")+1,0)),IF(_xlfn.SWITCH(Q48,"sq",U$7,"bn",V$7,"dl",W$7,"")&lt;IF(_uom="lbs",175,80),1.25,IF(_uom="lbs",5,2.5))))),"")</f>
        <v/>
      </c>
      <c s="70"/>
      <c s="63"/>
      <c s="97"/>
      <c s="44" t="str">
        <f>IFERROR(__xludf.DUMMYFUNCTION("IF(W48=MAX(FILTER(W$10:W$199,LOOKUP(ROW(Q$10:Q$199),FILTER(ROW(Q$10:Q$199),Q$10:Q$199&lt;&gt;Q$9:Q$198))=LOOKUP(ROW(Q48),FILTER(ROW(Q$10:Q$199),Q$10:Q$199&lt;&gt;Q$9:Q$198)))),X48,)"),"")</f>
        <v/>
      </c>
      <c s="42"/>
      <c s="63"/>
      <c s="64" t="str">
        <f t="shared" si="14"/>
        <v/>
      </c>
      <c s="65" t="str">
        <f>IFERROR(__xludf.DUMMYFUNCTION("""COMPUTED_VALUE"""),"")</f>
        <v/>
      </c>
      <c s="66">
        <f ca="1"/>
        <v>45222</v>
      </c>
      <c s="93" t="str">
        <f t="shared" si="156"/>
        <v/>
      </c>
      <c s="94" t="str">
        <f t="shared" si="186"/>
        <v/>
      </c>
      <c s="95" t="str">
        <f t="shared" si="264"/>
        <v/>
      </c>
      <c s="98" t="str">
        <f t="shared" si="265"/>
        <v/>
      </c>
      <c s="97" t="str">
        <f t="array" ref="AK48">IFERROR(IF(AE48="ac"+ISNUMBER(SEARCH("'",AJ48))+AI48="","",IF(ISNUMBER(SEARCH("lw",AJ48)),W48+SUBSTITUTE(AJ48,"lw+",""),MROUND(_xlfn.SWITCH(AE48,"sq",AI$7,"bn",AJ$7,"dl",AK$7,"")*IF(AJ48&gt;10,AJ48/100,VLOOKUP(AJ48,_rpe,SUBSTITUTE(AI48,"+","")+1,0)),IF(_xlfn.SWITCH(AE48,"sq",AI$7,"bn",AJ$7,"dl",AK$7,"")&lt;IF(_uom="lbs",175,80),1.25,IF(_uom="lbs",5,2.5))))),"")</f>
        <v/>
      </c>
      <c s="70"/>
      <c s="63"/>
      <c s="97"/>
      <c s="44" t="str">
        <f>IFERROR(__xludf.DUMMYFUNCTION("IF(AK48=MAX(FILTER(AK$10:AK$199,LOOKUP(ROW(AE$10:AE$199),FILTER(ROW(AE$10:AE$199),AE$10:AE$199&lt;&gt;AE$9:AE$198))=LOOKUP(ROW(AE48),FILTER(ROW(AE$10:AE$199),AE$10:AE$199&lt;&gt;AE$9:AE$198)))),AL48,)"),"")</f>
        <v/>
      </c>
      <c s="42"/>
      <c s="63"/>
      <c s="64" t="str">
        <f t="shared" si="17"/>
        <v/>
      </c>
      <c s="65" t="str">
        <f>IFERROR(__xludf.DUMMYFUNCTION("""COMPUTED_VALUE"""),"")</f>
        <v/>
      </c>
      <c s="66">
        <f ca="1"/>
        <v>45229</v>
      </c>
      <c s="93" t="str">
        <f t="shared" si="157"/>
        <v/>
      </c>
      <c s="94" t="str">
        <f t="shared" si="188"/>
        <v/>
      </c>
      <c s="95" t="str">
        <f t="shared" si="266"/>
        <v/>
      </c>
      <c s="98" t="str">
        <f t="shared" si="219"/>
        <v/>
      </c>
      <c s="97" t="str">
        <f t="array" ref="AY48">IFERROR(IF(AS48="ac"+ISNUMBER(SEARCH("'",AX48))+AW48="","",IF(ISNUMBER(SEARCH("lw",AX48)),AK48+SUBSTITUTE(AX48,"lw+",""),MROUND(_xlfn.SWITCH(AS48,"sq",AW$7,"bn",AX$7,"dl",AY$7,"")*IF(AX48&gt;10,AX48/100,VLOOKUP(AX48,_rpe,SUBSTITUTE(AW48,"+","")+1,0)),IF(_xlfn.SWITCH(AS48,"sq",AW$7,"bn",AX$7,"dl",AY$7,"")&lt;IF(_uom="lbs",175,80),1.25,IF(_uom="lbs",5,2.5))))),"")</f>
        <v/>
      </c>
      <c s="70"/>
      <c s="63"/>
      <c s="97"/>
      <c s="44" t="str">
        <f>IFERROR(__xludf.DUMMYFUNCTION("IF(AY48=MAX(FILTER(AY$10:AY$199,LOOKUP(ROW(AS$10:AS$199),FILTER(ROW(AS$10:AS$199),AS$10:AS$199&lt;&gt;AS$9:AS$198))=LOOKUP(ROW(AS48),FILTER(ROW(AS$10:AS$199),AS$10:AS$199&lt;&gt;AS$9:AS$198)))),AZ48,)"),"")</f>
        <v/>
      </c>
      <c s="42"/>
      <c s="63"/>
      <c s="64" t="str">
        <f t="shared" si="19"/>
        <v/>
      </c>
      <c s="65" t="str">
        <f>IFERROR(__xludf.DUMMYFUNCTION("""COMPUTED_VALUE"""),"")</f>
        <v/>
      </c>
      <c s="66">
        <f ca="1"/>
        <v>45236</v>
      </c>
      <c s="93" t="str">
        <f t="shared" si="20"/>
        <v/>
      </c>
      <c s="94" t="str">
        <f t="shared" si="267"/>
        <v/>
      </c>
      <c s="95" t="str">
        <f t="shared" si="268"/>
        <v/>
      </c>
      <c s="98" t="str">
        <f t="shared" si="269"/>
        <v/>
      </c>
      <c s="97" t="str">
        <f t="array" ref="BM48">IFERROR(IF(BG48="ac"+ISNUMBER(SEARCH("'",BL48))+BK48="","",IF(ISNUMBER(SEARCH("lw",BL48)),AY48+SUBSTITUTE(BL48,"lw+",""),MROUND(_xlfn.SWITCH(BG48,"sq",BK$7,"bn",BL$7,"dl",BM$7,"")*IF(BL48&gt;10,BL48/100,VLOOKUP(BL48,_rpe,SUBSTITUTE(BK48,"+","")+1,0)),IF(_xlfn.SWITCH(BG48,"sq",BK$7,"bn",BL$7,"dl",BM$7,"")&lt;IF(_uom="lbs",175,80),1.25,IF(_uom="lbs",5,2.5))))),"")</f>
        <v/>
      </c>
      <c s="70"/>
      <c s="63"/>
      <c s="97"/>
      <c s="44" t="str">
        <f>IFERROR(__xludf.DUMMYFUNCTION("IF(BM48=MAX(FILTER(BM$10:BM$199,LOOKUP(ROW(BG$10:BG$199),FILTER(ROW(BG$10:BG$199),BG$10:BG$199&lt;&gt;BG$9:BG$198))=LOOKUP(ROW(BG48),FILTER(ROW(BG$10:BG$199),BG$10:BG$199&lt;&gt;BG$9:BG$198)))),BN48,)"),"")</f>
        <v/>
      </c>
      <c s="42"/>
      <c s="63"/>
      <c s="64" t="str">
        <f t="shared" si="21"/>
        <v/>
      </c>
      <c s="65" t="str">
        <f>IFERROR(__xludf.DUMMYFUNCTION("""COMPUTED_VALUE"""),"")</f>
        <v/>
      </c>
      <c s="66">
        <f ca="1"/>
        <v>45243</v>
      </c>
      <c s="93" t="str">
        <f t="shared" si="22"/>
        <v/>
      </c>
      <c s="94" t="str">
        <f t="shared" si="270"/>
        <v/>
      </c>
      <c s="95" t="str">
        <f t="shared" si="271"/>
        <v/>
      </c>
      <c s="98" t="str">
        <f t="shared" si="272"/>
        <v/>
      </c>
      <c s="97" t="str">
        <f t="array" ref="CA48">IFERROR(IF(BU48="ac"+ISNUMBER(SEARCH("'",BZ48))+BY48="","",IF(ISNUMBER(SEARCH("lw",BZ48)),BM48+SUBSTITUTE(BZ48,"lw+",""),MROUND(_xlfn.SWITCH(BU48,"sq",BY$7,"bn",BZ$7,"dl",CA$7,"")*IF(BZ48&gt;10,BZ48/100,VLOOKUP(BZ48,_rpe,SUBSTITUTE(BY48,"+","")+1,0)),IF(_xlfn.SWITCH(BU48,"sq",BY$7,"bn",BZ$7,"dl",CA$7,"")&lt;IF(_uom="lbs",175,80),1.25,IF(_uom="lbs",5,2.5))))),"")</f>
        <v/>
      </c>
      <c s="70"/>
      <c s="63"/>
      <c s="97"/>
      <c s="44" t="str">
        <f>IFERROR(__xludf.DUMMYFUNCTION("IF(CA48=MAX(FILTER(CA$10:CA$199,LOOKUP(ROW(BU$10:BU$199),FILTER(ROW(BU$10:BU$199),BU$10:BU$199&lt;&gt;BU$9:BU$198))=LOOKUP(ROW(BU48),FILTER(ROW(BU$10:BU$199),BU$10:BU$199&lt;&gt;BU$9:BU$198)))),CB48,)"),"")</f>
        <v/>
      </c>
      <c s="42"/>
      <c s="63"/>
      <c s="64" t="str">
        <f t="shared" si="24"/>
        <v/>
      </c>
      <c s="65" t="str">
        <f>IFERROR(__xludf.DUMMYFUNCTION("""COMPUTED_VALUE"""),"")</f>
        <v/>
      </c>
      <c s="66">
        <f ca="1"/>
        <v>45250</v>
      </c>
      <c s="93" t="str">
        <f t="shared" si="44"/>
        <v/>
      </c>
      <c s="94" t="str">
        <f t="shared" si="226"/>
        <v/>
      </c>
      <c s="95" t="str">
        <f t="shared" si="273"/>
        <v/>
      </c>
      <c s="98" t="str">
        <f t="shared" si="274"/>
        <v/>
      </c>
      <c s="97" t="str">
        <f t="array" ref="CO48">IFERROR(IF(CI48="ac"+ISNUMBER(SEARCH("'",CN48))+CM48="","",IF(ISNUMBER(SEARCH("lw",CN48)),CA48+SUBSTITUTE(CN48,"lw+",""),MROUND(_xlfn.SWITCH(CI48,"sq",CM$7,"bn",CN$7,"dl",CO$7,"")*IF(CN48&gt;10,CN48/100,VLOOKUP(CN48,_rpe,SUBSTITUTE(CM48,"+","")+1,0)),IF(_xlfn.SWITCH(CI48,"sq",CM$7,"bn",CN$7,"dl",CO$7,"")&lt;IF(_uom="lbs",175,80),1.25,IF(_uom="lbs",5,2.5))))),"")</f>
        <v/>
      </c>
      <c s="70"/>
      <c s="63"/>
      <c s="97"/>
      <c s="44" t="str">
        <f>IFERROR(__xludf.DUMMYFUNCTION("IF(CO48=MAX(FILTER(CO$10:CO$199,LOOKUP(ROW(CI$10:CI$199),FILTER(ROW(CI$10:CI$199),CI$10:CI$199&lt;&gt;CI$9:CI$198))=LOOKUP(ROW(CI48),FILTER(ROW(CI$10:CI$199),CI$10:CI$199&lt;&gt;CI$9:CI$198)))),CP48,)"),"")</f>
        <v/>
      </c>
      <c s="42"/>
      <c s="63"/>
      <c s="64" t="str">
        <f t="shared" si="27"/>
        <v/>
      </c>
      <c s="65" t="str">
        <f>IFERROR(__xludf.DUMMYFUNCTION("""COMPUTED_VALUE"""),"")</f>
        <v/>
      </c>
      <c s="66">
        <f ca="1"/>
        <v>45257</v>
      </c>
      <c s="93" t="str">
        <f t="shared" si="45"/>
        <v/>
      </c>
      <c s="94" t="str">
        <f t="shared" si="196"/>
        <v/>
      </c>
      <c s="95" t="str">
        <f t="shared" si="275"/>
        <v/>
      </c>
      <c s="98" t="str">
        <f t="shared" si="229"/>
        <v/>
      </c>
      <c s="97" t="str">
        <f t="array" ref="DC48">IFERROR(IF(CW48="ac"+ISNUMBER(SEARCH("'",DB48))+DA48="","",IF(ISNUMBER(SEARCH("lw",DB48)),CO48+SUBSTITUTE(DB48,"lw+",""),MROUND(_xlfn.SWITCH(CW48,"sq",DA$7,"bn",DB$7,"dl",DC$7,"")*IF(DB48&gt;10,DB48/100,VLOOKUP(DB48,_rpe,SUBSTITUTE(DA48,"+","")+1,0)),IF(_xlfn.SWITCH(CW48,"sq",DA$7,"bn",DB$7,"dl",DC$7,"")&lt;IF(_uom="lbs",175,80),1.25,IF(_uom="lbs",5,2.5))))),"")</f>
        <v/>
      </c>
      <c s="70"/>
      <c s="63"/>
      <c s="97"/>
      <c s="44" t="str">
        <f>IFERROR(__xludf.DUMMYFUNCTION("IF(DC48=MAX(FILTER(DC$10:DC$199,LOOKUP(ROW(CW$10:CW$199),FILTER(ROW(CW$10:CW$199),CW$10:CW$199&lt;&gt;CW$9:CW$198))=LOOKUP(ROW(CW48),FILTER(ROW(CW$10:CW$199),CW$10:CW$199&lt;&gt;CW$9:CW$198)))),DD48,)"),"")</f>
        <v/>
      </c>
      <c s="42"/>
      <c s="63"/>
      <c s="64" t="str">
        <f t="shared" si="30"/>
        <v/>
      </c>
      <c s="65" t="str">
        <f>IFERROR(__xludf.DUMMYFUNCTION("""COMPUTED_VALUE"""),"")</f>
        <v/>
      </c>
      <c s="66">
        <f ca="1"/>
        <v>45264</v>
      </c>
      <c s="93" t="str">
        <f t="shared" si="46"/>
        <v/>
      </c>
      <c s="94" t="str">
        <f t="shared" si="230"/>
        <v/>
      </c>
      <c s="95" t="str">
        <f t="shared" si="276"/>
        <v/>
      </c>
      <c s="98" t="str">
        <f t="shared" si="277"/>
        <v/>
      </c>
      <c s="97" t="str">
        <f t="array" ref="DQ48">IFERROR(IF(DK48="ac"+ISNUMBER(SEARCH("'",DP48))+DO48="","",IF(ISNUMBER(SEARCH("lw",DP48)),DC48+SUBSTITUTE(DP48,"lw+",""),MROUND(_xlfn.SWITCH(DK48,"sq",DO$7,"bn",DP$7,"dl",DQ$7,"")*IF(DP48&gt;10,DP48/100,VLOOKUP(DP48,_rpe,SUBSTITUTE(DO48,"+","")+1,0)),IF(_xlfn.SWITCH(DK48,"sq",DO$7,"bn",DP$7,"dl",DQ$7,"")&lt;IF(_uom="lbs",175,80),1.25,IF(_uom="lbs",5,2.5))))),"")</f>
        <v/>
      </c>
      <c s="70"/>
      <c s="63"/>
      <c s="97"/>
      <c s="44" t="str">
        <f>IFERROR(__xludf.DUMMYFUNCTION("IF(DQ48=MAX(FILTER(DQ$10:DQ$199,LOOKUP(ROW(DK$10:DK$199),FILTER(ROW(DK$10:DK$199),DK$10:DK$199&lt;&gt;DK$9:DK$198))=LOOKUP(ROW(DK48),FILTER(ROW(DK$10:DK$199),DK$10:DK$199&lt;&gt;DK$9:DK$198)))),DR48,)"),"")</f>
        <v/>
      </c>
      <c s="42"/>
      <c s="63"/>
      <c s="64" t="str">
        <f t="shared" si="32"/>
        <v/>
      </c>
      <c s="65" t="str">
        <f>IFERROR(__xludf.DUMMYFUNCTION("""COMPUTED_VALUE"""),"")</f>
        <v/>
      </c>
      <c s="66">
        <f ca="1"/>
        <v>45271</v>
      </c>
      <c s="93" t="str">
        <f t="shared" si="47"/>
        <v/>
      </c>
      <c s="94" t="str">
        <f t="shared" si="233"/>
        <v/>
      </c>
      <c s="95" t="str">
        <f t="shared" si="278"/>
        <v/>
      </c>
      <c s="98" t="str">
        <f t="shared" si="279"/>
        <v/>
      </c>
      <c s="97" t="str">
        <f t="array" ref="EE48">IFERROR(IF(DY48="ac"+ISNUMBER(SEARCH("'",ED48))+EC48="","",IF(ISNUMBER(SEARCH("lw",ED48)),DQ48+SUBSTITUTE(ED48,"lw+",""),MROUND(_xlfn.SWITCH(DY48,"sq",EC$7,"bn",ED$7,"dl",EE$7,"")*IF(ED48&gt;10,ED48/100,VLOOKUP(ED48,_rpe,SUBSTITUTE(EC48,"+","")+1,0)),IF(_xlfn.SWITCH(DY48,"sq",EC$7,"bn",ED$7,"dl",EE$7,"")&lt;IF(_uom="lbs",175,80),1.25,IF(_uom="lbs",5,2.5))))),"")</f>
        <v/>
      </c>
      <c s="70"/>
      <c s="63"/>
      <c s="97"/>
      <c s="44" t="str">
        <f>IFERROR(__xludf.DUMMYFUNCTION("IF(EE48=MAX(FILTER(EE$10:EE$199,LOOKUP(ROW(DY$10:DY$199),FILTER(ROW(DY$10:DY$199),DY$10:DY$199&lt;&gt;DY$9:DY$198))=LOOKUP(ROW(DY48),FILTER(ROW(DY$10:DY$199),DY$10:DY$199&lt;&gt;DY$9:DY$198)))),EF48,)"),"")</f>
        <v/>
      </c>
      <c s="42"/>
      <c s="63"/>
      <c s="64" t="str">
        <f t="shared" si="34"/>
        <v/>
      </c>
      <c s="65" t="str">
        <f>IFERROR(__xludf.DUMMYFUNCTION("""COMPUTED_VALUE"""),"")</f>
        <v/>
      </c>
      <c s="66">
        <f ca="1"/>
        <v>45278</v>
      </c>
      <c s="93" t="str">
        <f t="shared" si="48"/>
        <v/>
      </c>
      <c s="94" t="str">
        <f t="shared" si="203"/>
        <v/>
      </c>
      <c s="95" t="str">
        <f t="shared" si="280"/>
        <v/>
      </c>
      <c s="98" t="str">
        <f t="shared" si="237"/>
        <v/>
      </c>
      <c s="97" t="str">
        <f t="array" ref="ES48">IFERROR(IF(EM48="ac"+ISNUMBER(SEARCH("'",ER48))+EQ48="","",IF(ISNUMBER(SEARCH("lw",ER48)),EE48+SUBSTITUTE(ER48,"lw+",""),MROUND(_xlfn.SWITCH(EM48,"sq",EQ$7,"bn",ER$7,"dl",ES$7,"")*IF(ER48&gt;10,ER48/100,VLOOKUP(ER48,_rpe,SUBSTITUTE(EQ48,"+","")+1,0)),IF(_xlfn.SWITCH(EM48,"sq",EQ$7,"bn",ER$7,"dl",ES$7,"")&lt;IF(_uom="lbs",175,80),1.25,IF(_uom="lbs",5,2.5))))),"")</f>
        <v/>
      </c>
      <c s="70"/>
      <c s="63"/>
      <c s="97"/>
      <c s="44" t="str">
        <f>IFERROR(__xludf.DUMMYFUNCTION("IF(ES48=MAX(FILTER(ES$10:ES$199,LOOKUP(ROW(EM$10:EM$199),FILTER(ROW(EM$10:EM$199),EM$10:EM$199&lt;&gt;EM$9:EM$198))=LOOKUP(ROW(EM48),FILTER(ROW(EM$10:EM$199),EM$10:EM$199&lt;&gt;EM$9:EM$198)))),ET48,)"),"")</f>
        <v/>
      </c>
      <c s="42"/>
      <c s="63"/>
      <c s="64" t="str">
        <f t="shared" si="36"/>
        <v/>
      </c>
      <c s="65" t="str">
        <f>IFERROR(__xludf.DUMMYFUNCTION("""COMPUTED_VALUE"""),"")</f>
        <v/>
      </c>
      <c s="66">
        <f ca="1"/>
        <v>45285</v>
      </c>
      <c s="93" t="str">
        <f t="shared" si="49"/>
        <v/>
      </c>
      <c s="94" t="str">
        <f t="shared" si="238"/>
        <v/>
      </c>
      <c s="95" t="str">
        <f t="shared" si="281"/>
        <v/>
      </c>
      <c s="98" t="str">
        <f t="shared" si="240"/>
        <v/>
      </c>
      <c s="97" t="str">
        <f t="array" ref="FG48">IFERROR(IF(FA48="ac"+ISNUMBER(SEARCH("'",FF48))+FE48="","",IF(ISNUMBER(SEARCH("lw",FF48)),ES48+SUBSTITUTE(FF48,"lw+",""),MROUND(_xlfn.SWITCH(FA48,"sq",FE$7,"bn",FF$7,"dl",FG$7,"")*IF(FF48&gt;10,FF48/100,VLOOKUP(FF48,_rpe,SUBSTITUTE(FE48,"+","")+1,0)),IF(_xlfn.SWITCH(FA48,"sq",FE$7,"bn",FF$7,"dl",FG$7,"")&lt;IF(_uom="lbs",175,80),1.25,IF(_uom="lbs",5,2.5))))),"")</f>
        <v/>
      </c>
      <c s="70"/>
      <c s="63"/>
      <c s="97"/>
      <c s="44" t="str">
        <f>IFERROR(__xludf.DUMMYFUNCTION("IF(FG48=MAX(FILTER(FG$10:FG$199,LOOKUP(ROW(FA$10:FA$199),FILTER(ROW(FA$10:FA$199),FA$10:FA$199&lt;&gt;FA$9:FA$198))=LOOKUP(ROW(FA48),FILTER(ROW(FA$10:FA$199),FA$10:FA$199&lt;&gt;FA$9:FA$198)))),FH48,)"),"")</f>
        <v/>
      </c>
      <c s="42"/>
      <c s="63"/>
      <c s="64" t="str">
        <f t="shared" si="38"/>
        <v/>
      </c>
      <c s="65" t="str">
        <f>IFERROR(__xludf.DUMMYFUNCTION("""COMPUTED_VALUE"""),"")</f>
        <v/>
      </c>
      <c s="66">
        <f ca="1"/>
        <v>45292</v>
      </c>
      <c s="93" t="str">
        <f t="shared" si="285" ref="FQ48:FR48">IF(ISBLANK(FC48),"",FC48)</f>
        <v/>
      </c>
      <c s="94" t="str">
        <f t="shared" si="285"/>
        <v/>
      </c>
      <c s="95" t="str">
        <f t="shared" si="283"/>
        <v/>
      </c>
      <c s="98" t="str">
        <f t="shared" si="284"/>
        <v/>
      </c>
      <c s="97" t="str">
        <f t="array" ref="FU48">IFERROR(IF(FO48="ac"+ISNUMBER(SEARCH("'",FT48))+FS48="","",IF(ISNUMBER(SEARCH("lw",FT48)),FG48+SUBSTITUTE(FT48,"lw+",""),MROUND(_xlfn.SWITCH(FO48,"sq",FS$7,"bn",FT$7,"dl",FU$7,"")*IF(FT48&gt;10,FT48/100,VLOOKUP(FT48,_rpe,SUBSTITUTE(FS48,"+","")+1,0)),IF(_xlfn.SWITCH(FO48,"sq",FS$7,"bn",FT$7,"dl",FU$7,"")&lt;IF(_uom="lbs",175,80),1.25,IF(_uom="lbs",5,2.5))))),"")</f>
        <v/>
      </c>
      <c s="70"/>
      <c s="63"/>
      <c s="97"/>
      <c s="44" t="str">
        <f>IFERROR(__xludf.DUMMYFUNCTION("IF(FU48=MAX(FILTER(FU$10:FU$199,LOOKUP(ROW(FO$10:FO$199),FILTER(ROW(FO$10:FO$199),FO$10:FO$199&lt;&gt;FO$9:FO$198))=LOOKUP(ROW(FO48),FILTER(ROW(FO$10:FO$199),FO$10:FO$199&lt;&gt;FO$9:FO$198)))),FV48,)"),"")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49" spans="1:259" ht="15.75" hidden="1">
      <c r="A49" s="63"/>
      <c s="107"/>
      <c s="65" t="str">
        <f>IFERROR(__xludf.DUMMYFUNCTION("""COMPUTED_VALUE"""),"")</f>
        <v/>
      </c>
      <c s="66">
        <f ca="1"/>
        <v>45208</v>
      </c>
      <c s="93"/>
      <c s="94"/>
      <c s="95"/>
      <c s="96"/>
      <c s="97" t="str">
        <f t="array" ref="I49">IFERROR(IF(C49="ac"+ISNUMBER(SEARCH("'",H49))+G49="","",MROUND(_xlfn.SWITCH(C49,"sq",'Personal Info'!$O$15,"bn",'Personal Info'!$S$15,"dl",'Personal Info'!$W$15,"")*IF(H49&gt;10,H49/100,VLOOKUP(H49,_rpe,SUBSTITUTE(G49,"+","")+1,0)),IF(_xlfn.SWITCH(C49:C210,"sq",'Personal Info'!$O$15,"bn",'Personal Info'!$S$15,"dl",'Personal Info'!$W$15,"")&lt;IF(_uom="lbs",175,80),1.25,IF(_uom="lbs",5,2.5)))),"")</f>
        <v/>
      </c>
      <c s="70"/>
      <c s="63"/>
      <c s="97"/>
      <c s="44" t="str">
        <f>IFERROR(__xludf.DUMMYFUNCTION("IF(I49=MAX(FILTER(I$10:I$199,LOOKUP(ROW(C$10:C$199),FILTER(ROW(C$10:C$199),C$10:C$199&lt;&gt;C$9:C$198))=LOOKUP(ROW(C49),FILTER(ROW(C$10:C$199),C$10:C$199&lt;&gt;C$9:C$198)))),J49,)"),"")</f>
        <v/>
      </c>
      <c s="42"/>
      <c s="63"/>
      <c s="64" t="str">
        <f t="shared" si="11"/>
        <v/>
      </c>
      <c s="65" t="str">
        <f>IFERROR(__xludf.DUMMYFUNCTION("""COMPUTED_VALUE"""),"")</f>
        <v/>
      </c>
      <c s="66">
        <f ca="1"/>
        <v>45215</v>
      </c>
      <c s="93" t="str">
        <f t="shared" si="12"/>
        <v/>
      </c>
      <c s="94" t="str">
        <f t="shared" si="244"/>
        <v/>
      </c>
      <c s="95" t="str">
        <f t="shared" si="262"/>
        <v/>
      </c>
      <c s="98" t="str">
        <f t="shared" si="263"/>
        <v/>
      </c>
      <c s="97" t="str">
        <f t="array" ref="W49">IFERROR(IF(Q49="ac"+ISNUMBER(SEARCH("'",V49))+U49="","",IF(ISNUMBER(SEARCH("lw",V49)),I49+SUBSTITUTE(V49,"lw+",""),MROUND(_xlfn.SWITCH(Q49,"sq",U$7,"bn",V$7,"dl",W$7,"")*IF(V49&gt;10,V49/100,VLOOKUP(V49,_rpe,SUBSTITUTE(U49,"+","")+1,0)),IF(_xlfn.SWITCH(Q49,"sq",U$7,"bn",V$7,"dl",W$7,"")&lt;IF(_uom="lbs",175,80),1.25,IF(_uom="lbs",5,2.5))))),"")</f>
        <v/>
      </c>
      <c s="70"/>
      <c s="63"/>
      <c s="97"/>
      <c s="44" t="str">
        <f>IFERROR(__xludf.DUMMYFUNCTION("IF(W49=MAX(FILTER(W$10:W$199,LOOKUP(ROW(Q$10:Q$199),FILTER(ROW(Q$10:Q$199),Q$10:Q$199&lt;&gt;Q$9:Q$198))=LOOKUP(ROW(Q49),FILTER(ROW(Q$10:Q$199),Q$10:Q$199&lt;&gt;Q$9:Q$198)))),X49,)"),"")</f>
        <v/>
      </c>
      <c s="42"/>
      <c s="63"/>
      <c s="64" t="str">
        <f t="shared" si="14"/>
        <v/>
      </c>
      <c s="65" t="str">
        <f>IFERROR(__xludf.DUMMYFUNCTION("""COMPUTED_VALUE"""),"")</f>
        <v/>
      </c>
      <c s="66">
        <f ca="1"/>
        <v>45222</v>
      </c>
      <c s="93" t="str">
        <f t="shared" si="156"/>
        <v/>
      </c>
      <c s="94" t="str">
        <f t="shared" si="186"/>
        <v/>
      </c>
      <c s="95" t="str">
        <f t="shared" si="264"/>
        <v/>
      </c>
      <c s="98" t="str">
        <f t="shared" si="265"/>
        <v/>
      </c>
      <c s="97" t="str">
        <f t="array" ref="AK49">IFERROR(IF(AE49="ac"+ISNUMBER(SEARCH("'",AJ49))+AI49="","",IF(ISNUMBER(SEARCH("lw",AJ49)),W49+SUBSTITUTE(AJ49,"lw+",""),MROUND(_xlfn.SWITCH(AE49,"sq",AI$7,"bn",AJ$7,"dl",AK$7,"")*IF(AJ49&gt;10,AJ49/100,VLOOKUP(AJ49,_rpe,SUBSTITUTE(AI49,"+","")+1,0)),IF(_xlfn.SWITCH(AE49,"sq",AI$7,"bn",AJ$7,"dl",AK$7,"")&lt;IF(_uom="lbs",175,80),1.25,IF(_uom="lbs",5,2.5))))),"")</f>
        <v/>
      </c>
      <c s="70"/>
      <c s="63"/>
      <c s="97"/>
      <c s="44" t="str">
        <f>IFERROR(__xludf.DUMMYFUNCTION("IF(AK49=MAX(FILTER(AK$10:AK$199,LOOKUP(ROW(AE$10:AE$199),FILTER(ROW(AE$10:AE$199),AE$10:AE$199&lt;&gt;AE$9:AE$198))=LOOKUP(ROW(AE49),FILTER(ROW(AE$10:AE$199),AE$10:AE$199&lt;&gt;AE$9:AE$198)))),AL49,)"),"")</f>
        <v/>
      </c>
      <c s="42"/>
      <c s="63"/>
      <c s="64" t="str">
        <f t="shared" si="17"/>
        <v/>
      </c>
      <c s="65" t="str">
        <f>IFERROR(__xludf.DUMMYFUNCTION("""COMPUTED_VALUE"""),"")</f>
        <v/>
      </c>
      <c s="66">
        <f ca="1"/>
        <v>45229</v>
      </c>
      <c s="93" t="str">
        <f t="shared" si="157"/>
        <v/>
      </c>
      <c s="94" t="str">
        <f t="shared" si="188"/>
        <v/>
      </c>
      <c s="95" t="str">
        <f t="shared" si="266"/>
        <v/>
      </c>
      <c s="98" t="str">
        <f t="shared" si="219"/>
        <v/>
      </c>
      <c s="97" t="str">
        <f t="array" ref="AY49">IFERROR(IF(AS49="ac"+ISNUMBER(SEARCH("'",AX49))+AW49="","",IF(ISNUMBER(SEARCH("lw",AX49)),AK49+SUBSTITUTE(AX49,"lw+",""),MROUND(_xlfn.SWITCH(AS49,"sq",AW$7,"bn",AX$7,"dl",AY$7,"")*IF(AX49&gt;10,AX49/100,VLOOKUP(AX49,_rpe,SUBSTITUTE(AW49,"+","")+1,0)),IF(_xlfn.SWITCH(AS49,"sq",AW$7,"bn",AX$7,"dl",AY$7,"")&lt;IF(_uom="lbs",175,80),1.25,IF(_uom="lbs",5,2.5))))),"")</f>
        <v/>
      </c>
      <c s="70"/>
      <c s="63"/>
      <c s="97"/>
      <c s="44" t="str">
        <f>IFERROR(__xludf.DUMMYFUNCTION("IF(AY49=MAX(FILTER(AY$10:AY$199,LOOKUP(ROW(AS$10:AS$199),FILTER(ROW(AS$10:AS$199),AS$10:AS$199&lt;&gt;AS$9:AS$198))=LOOKUP(ROW(AS49),FILTER(ROW(AS$10:AS$199),AS$10:AS$199&lt;&gt;AS$9:AS$198)))),AZ49,)"),"")</f>
        <v/>
      </c>
      <c s="42"/>
      <c s="63"/>
      <c s="64" t="str">
        <f t="shared" si="19"/>
        <v/>
      </c>
      <c s="65" t="str">
        <f>IFERROR(__xludf.DUMMYFUNCTION("""COMPUTED_VALUE"""),"")</f>
        <v/>
      </c>
      <c s="66">
        <f ca="1"/>
        <v>45236</v>
      </c>
      <c s="93" t="str">
        <f t="shared" si="20"/>
        <v/>
      </c>
      <c s="94" t="str">
        <f t="shared" si="267"/>
        <v/>
      </c>
      <c s="95" t="str">
        <f t="shared" si="268"/>
        <v/>
      </c>
      <c s="98" t="str">
        <f t="shared" si="269"/>
        <v/>
      </c>
      <c s="97" t="str">
        <f t="array" ref="BM49">IFERROR(IF(BG49="ac"+ISNUMBER(SEARCH("'",BL49))+BK49="","",IF(ISNUMBER(SEARCH("lw",BL49)),AY49+SUBSTITUTE(BL49,"lw+",""),MROUND(_xlfn.SWITCH(BG49,"sq",BK$7,"bn",BL$7,"dl",BM$7,"")*IF(BL49&gt;10,BL49/100,VLOOKUP(BL49,_rpe,SUBSTITUTE(BK49,"+","")+1,0)),IF(_xlfn.SWITCH(BG49,"sq",BK$7,"bn",BL$7,"dl",BM$7,"")&lt;IF(_uom="lbs",175,80),1.25,IF(_uom="lbs",5,2.5))))),"")</f>
        <v/>
      </c>
      <c s="70"/>
      <c s="63"/>
      <c s="97"/>
      <c s="44" t="str">
        <f>IFERROR(__xludf.DUMMYFUNCTION("IF(BM49=MAX(FILTER(BM$10:BM$199,LOOKUP(ROW(BG$10:BG$199),FILTER(ROW(BG$10:BG$199),BG$10:BG$199&lt;&gt;BG$9:BG$198))=LOOKUP(ROW(BG49),FILTER(ROW(BG$10:BG$199),BG$10:BG$199&lt;&gt;BG$9:BG$198)))),BN49,)"),"")</f>
        <v/>
      </c>
      <c s="42"/>
      <c s="63"/>
      <c s="64" t="str">
        <f t="shared" si="21"/>
        <v/>
      </c>
      <c s="65" t="str">
        <f>IFERROR(__xludf.DUMMYFUNCTION("""COMPUTED_VALUE"""),"")</f>
        <v/>
      </c>
      <c s="66">
        <f ca="1"/>
        <v>45243</v>
      </c>
      <c s="93" t="str">
        <f t="shared" si="22"/>
        <v/>
      </c>
      <c s="94" t="str">
        <f t="shared" si="270"/>
        <v/>
      </c>
      <c s="95" t="str">
        <f t="shared" si="271"/>
        <v/>
      </c>
      <c s="98" t="str">
        <f t="shared" si="272"/>
        <v/>
      </c>
      <c s="97" t="str">
        <f t="array" ref="CA49">IFERROR(IF(BU49="ac"+ISNUMBER(SEARCH("'",BZ49))+BY49="","",IF(ISNUMBER(SEARCH("lw",BZ49)),BM49+SUBSTITUTE(BZ49,"lw+",""),MROUND(_xlfn.SWITCH(BU49,"sq",BY$7,"bn",BZ$7,"dl",CA$7,"")*IF(BZ49&gt;10,BZ49/100,VLOOKUP(BZ49,_rpe,SUBSTITUTE(BY49,"+","")+1,0)),IF(_xlfn.SWITCH(BU49,"sq",BY$7,"bn",BZ$7,"dl",CA$7,"")&lt;IF(_uom="lbs",175,80),1.25,IF(_uom="lbs",5,2.5))))),"")</f>
        <v/>
      </c>
      <c s="70"/>
      <c s="63"/>
      <c s="97"/>
      <c s="44" t="str">
        <f>IFERROR(__xludf.DUMMYFUNCTION("IF(CA49=MAX(FILTER(CA$10:CA$199,LOOKUP(ROW(BU$10:BU$199),FILTER(ROW(BU$10:BU$199),BU$10:BU$199&lt;&gt;BU$9:BU$198))=LOOKUP(ROW(BU49),FILTER(ROW(BU$10:BU$199),BU$10:BU$199&lt;&gt;BU$9:BU$198)))),CB49,)"),"")</f>
        <v/>
      </c>
      <c s="42"/>
      <c s="63"/>
      <c s="64" t="str">
        <f t="shared" si="24"/>
        <v/>
      </c>
      <c s="65" t="str">
        <f>IFERROR(__xludf.DUMMYFUNCTION("""COMPUTED_VALUE"""),"")</f>
        <v/>
      </c>
      <c s="66">
        <f ca="1"/>
        <v>45250</v>
      </c>
      <c s="93" t="str">
        <f t="shared" si="44"/>
        <v/>
      </c>
      <c s="94" t="str">
        <f t="shared" si="226"/>
        <v/>
      </c>
      <c s="95" t="str">
        <f t="shared" si="273"/>
        <v/>
      </c>
      <c s="98" t="str">
        <f t="shared" si="274"/>
        <v/>
      </c>
      <c s="97" t="str">
        <f t="array" ref="CO49">IFERROR(IF(CI49="ac"+ISNUMBER(SEARCH("'",CN49))+CM49="","",IF(ISNUMBER(SEARCH("lw",CN49)),CA49+SUBSTITUTE(CN49,"lw+",""),MROUND(_xlfn.SWITCH(CI49,"sq",CM$7,"bn",CN$7,"dl",CO$7,"")*IF(CN49&gt;10,CN49/100,VLOOKUP(CN49,_rpe,SUBSTITUTE(CM49,"+","")+1,0)),IF(_xlfn.SWITCH(CI49,"sq",CM$7,"bn",CN$7,"dl",CO$7,"")&lt;IF(_uom="lbs",175,80),1.25,IF(_uom="lbs",5,2.5))))),"")</f>
        <v/>
      </c>
      <c s="70"/>
      <c s="63"/>
      <c s="97"/>
      <c s="44" t="str">
        <f>IFERROR(__xludf.DUMMYFUNCTION("IF(CO49=MAX(FILTER(CO$10:CO$199,LOOKUP(ROW(CI$10:CI$199),FILTER(ROW(CI$10:CI$199),CI$10:CI$199&lt;&gt;CI$9:CI$198))=LOOKUP(ROW(CI49),FILTER(ROW(CI$10:CI$199),CI$10:CI$199&lt;&gt;CI$9:CI$198)))),CP49,)"),"")</f>
        <v/>
      </c>
      <c s="42"/>
      <c s="63"/>
      <c s="64" t="str">
        <f t="shared" si="27"/>
        <v/>
      </c>
      <c s="65" t="str">
        <f>IFERROR(__xludf.DUMMYFUNCTION("""COMPUTED_VALUE"""),"")</f>
        <v/>
      </c>
      <c s="66">
        <f ca="1"/>
        <v>45257</v>
      </c>
      <c s="93" t="str">
        <f t="shared" si="45"/>
        <v/>
      </c>
      <c s="94" t="str">
        <f t="shared" si="196"/>
        <v/>
      </c>
      <c s="95" t="str">
        <f t="shared" si="275"/>
        <v/>
      </c>
      <c s="98" t="str">
        <f t="shared" si="229"/>
        <v/>
      </c>
      <c s="97" t="str">
        <f t="array" ref="DC49">IFERROR(IF(CW49="ac"+ISNUMBER(SEARCH("'",DB49))+DA49="","",IF(ISNUMBER(SEARCH("lw",DB49)),CO49+SUBSTITUTE(DB49,"lw+",""),MROUND(_xlfn.SWITCH(CW49,"sq",DA$7,"bn",DB$7,"dl",DC$7,"")*IF(DB49&gt;10,DB49/100,VLOOKUP(DB49,_rpe,SUBSTITUTE(DA49,"+","")+1,0)),IF(_xlfn.SWITCH(CW49,"sq",DA$7,"bn",DB$7,"dl",DC$7,"")&lt;IF(_uom="lbs",175,80),1.25,IF(_uom="lbs",5,2.5))))),"")</f>
        <v/>
      </c>
      <c s="70"/>
      <c s="63"/>
      <c s="97"/>
      <c s="44" t="str">
        <f>IFERROR(__xludf.DUMMYFUNCTION("IF(DC49=MAX(FILTER(DC$10:DC$199,LOOKUP(ROW(CW$10:CW$199),FILTER(ROW(CW$10:CW$199),CW$10:CW$199&lt;&gt;CW$9:CW$198))=LOOKUP(ROW(CW49),FILTER(ROW(CW$10:CW$199),CW$10:CW$199&lt;&gt;CW$9:CW$198)))),DD49,)"),"")</f>
        <v/>
      </c>
      <c s="42"/>
      <c s="63"/>
      <c s="64" t="str">
        <f t="shared" si="30"/>
        <v/>
      </c>
      <c s="65" t="str">
        <f>IFERROR(__xludf.DUMMYFUNCTION("""COMPUTED_VALUE"""),"")</f>
        <v/>
      </c>
      <c s="66">
        <f ca="1"/>
        <v>45264</v>
      </c>
      <c s="93" t="str">
        <f t="shared" si="46"/>
        <v/>
      </c>
      <c s="94" t="str">
        <f t="shared" si="230"/>
        <v/>
      </c>
      <c s="95" t="str">
        <f t="shared" si="276"/>
        <v/>
      </c>
      <c s="98" t="str">
        <f t="shared" si="277"/>
        <v/>
      </c>
      <c s="97" t="str">
        <f t="array" ref="DQ49">IFERROR(IF(DK49="ac"+ISNUMBER(SEARCH("'",DP49))+DO49="","",IF(ISNUMBER(SEARCH("lw",DP49)),DC49+SUBSTITUTE(DP49,"lw+",""),MROUND(_xlfn.SWITCH(DK49,"sq",DO$7,"bn",DP$7,"dl",DQ$7,"")*IF(DP49&gt;10,DP49/100,VLOOKUP(DP49,_rpe,SUBSTITUTE(DO49,"+","")+1,0)),IF(_xlfn.SWITCH(DK49,"sq",DO$7,"bn",DP$7,"dl",DQ$7,"")&lt;IF(_uom="lbs",175,80),1.25,IF(_uom="lbs",5,2.5))))),"")</f>
        <v/>
      </c>
      <c s="70"/>
      <c s="63"/>
      <c s="97"/>
      <c s="44" t="str">
        <f>IFERROR(__xludf.DUMMYFUNCTION("IF(DQ49=MAX(FILTER(DQ$10:DQ$199,LOOKUP(ROW(DK$10:DK$199),FILTER(ROW(DK$10:DK$199),DK$10:DK$199&lt;&gt;DK$9:DK$198))=LOOKUP(ROW(DK49),FILTER(ROW(DK$10:DK$199),DK$10:DK$199&lt;&gt;DK$9:DK$198)))),DR49,)"),"")</f>
        <v/>
      </c>
      <c s="42"/>
      <c s="63"/>
      <c s="64" t="str">
        <f t="shared" si="32"/>
        <v/>
      </c>
      <c s="65" t="str">
        <f>IFERROR(__xludf.DUMMYFUNCTION("""COMPUTED_VALUE"""),"")</f>
        <v/>
      </c>
      <c s="66">
        <f ca="1"/>
        <v>45271</v>
      </c>
      <c s="93" t="str">
        <f t="shared" si="47"/>
        <v/>
      </c>
      <c s="94" t="str">
        <f t="shared" si="233"/>
        <v/>
      </c>
      <c s="95" t="str">
        <f t="shared" si="278"/>
        <v/>
      </c>
      <c s="98" t="str">
        <f t="shared" si="279"/>
        <v/>
      </c>
      <c s="97" t="str">
        <f t="array" ref="EE49">IFERROR(IF(DY49="ac"+ISNUMBER(SEARCH("'",ED49))+EC49="","",IF(ISNUMBER(SEARCH("lw",ED49)),DQ49+SUBSTITUTE(ED49,"lw+",""),MROUND(_xlfn.SWITCH(DY49,"sq",EC$7,"bn",ED$7,"dl",EE$7,"")*IF(ED49&gt;10,ED49/100,VLOOKUP(ED49,_rpe,SUBSTITUTE(EC49,"+","")+1,0)),IF(_xlfn.SWITCH(DY49,"sq",EC$7,"bn",ED$7,"dl",EE$7,"")&lt;IF(_uom="lbs",175,80),1.25,IF(_uom="lbs",5,2.5))))),"")</f>
        <v/>
      </c>
      <c s="70"/>
      <c s="63"/>
      <c s="97"/>
      <c s="44" t="str">
        <f>IFERROR(__xludf.DUMMYFUNCTION("IF(EE49=MAX(FILTER(EE$10:EE$199,LOOKUP(ROW(DY$10:DY$199),FILTER(ROW(DY$10:DY$199),DY$10:DY$199&lt;&gt;DY$9:DY$198))=LOOKUP(ROW(DY49),FILTER(ROW(DY$10:DY$199),DY$10:DY$199&lt;&gt;DY$9:DY$198)))),EF49,)"),"")</f>
        <v/>
      </c>
      <c s="42"/>
      <c s="63"/>
      <c s="64" t="str">
        <f t="shared" si="34"/>
        <v/>
      </c>
      <c s="65" t="str">
        <f>IFERROR(__xludf.DUMMYFUNCTION("""COMPUTED_VALUE"""),"")</f>
        <v/>
      </c>
      <c s="66">
        <f ca="1"/>
        <v>45278</v>
      </c>
      <c s="93" t="str">
        <f t="shared" si="48"/>
        <v/>
      </c>
      <c s="94" t="str">
        <f t="shared" si="203"/>
        <v/>
      </c>
      <c s="95" t="str">
        <f t="shared" si="280"/>
        <v/>
      </c>
      <c s="98" t="str">
        <f t="shared" si="237"/>
        <v/>
      </c>
      <c s="97" t="str">
        <f t="array" ref="ES49">IFERROR(IF(EM49="ac"+ISNUMBER(SEARCH("'",ER49))+EQ49="","",IF(ISNUMBER(SEARCH("lw",ER49)),EE49+SUBSTITUTE(ER49,"lw+",""),MROUND(_xlfn.SWITCH(EM49,"sq",EQ$7,"bn",ER$7,"dl",ES$7,"")*IF(ER49&gt;10,ER49/100,VLOOKUP(ER49,_rpe,SUBSTITUTE(EQ49,"+","")+1,0)),IF(_xlfn.SWITCH(EM49,"sq",EQ$7,"bn",ER$7,"dl",ES$7,"")&lt;IF(_uom="lbs",175,80),1.25,IF(_uom="lbs",5,2.5))))),"")</f>
        <v/>
      </c>
      <c s="70"/>
      <c s="63"/>
      <c s="97"/>
      <c s="44" t="str">
        <f>IFERROR(__xludf.DUMMYFUNCTION("IF(ES49=MAX(FILTER(ES$10:ES$199,LOOKUP(ROW(EM$10:EM$199),FILTER(ROW(EM$10:EM$199),EM$10:EM$199&lt;&gt;EM$9:EM$198))=LOOKUP(ROW(EM49),FILTER(ROW(EM$10:EM$199),EM$10:EM$199&lt;&gt;EM$9:EM$198)))),ET49,)"),"")</f>
        <v/>
      </c>
      <c s="42"/>
      <c s="63"/>
      <c s="64" t="str">
        <f t="shared" si="36"/>
        <v/>
      </c>
      <c s="65" t="str">
        <f>IFERROR(__xludf.DUMMYFUNCTION("""COMPUTED_VALUE"""),"")</f>
        <v/>
      </c>
      <c s="66">
        <f ca="1"/>
        <v>45285</v>
      </c>
      <c s="93" t="str">
        <f t="shared" si="49"/>
        <v/>
      </c>
      <c s="94" t="str">
        <f t="shared" si="238"/>
        <v/>
      </c>
      <c s="95" t="str">
        <f t="shared" si="281"/>
        <v/>
      </c>
      <c s="98" t="str">
        <f t="shared" si="240"/>
        <v/>
      </c>
      <c s="97" t="str">
        <f t="array" ref="FG49">IFERROR(IF(FA49="ac"+ISNUMBER(SEARCH("'",FF49))+FE49="","",IF(ISNUMBER(SEARCH("lw",FF49)),ES49+SUBSTITUTE(FF49,"lw+",""),MROUND(_xlfn.SWITCH(FA49,"sq",FE$7,"bn",FF$7,"dl",FG$7,"")*IF(FF49&gt;10,FF49/100,VLOOKUP(FF49,_rpe,SUBSTITUTE(FE49,"+","")+1,0)),IF(_xlfn.SWITCH(FA49,"sq",FE$7,"bn",FF$7,"dl",FG$7,"")&lt;IF(_uom="lbs",175,80),1.25,IF(_uom="lbs",5,2.5))))),"")</f>
        <v/>
      </c>
      <c s="70"/>
      <c s="63"/>
      <c s="97"/>
      <c s="44" t="str">
        <f>IFERROR(__xludf.DUMMYFUNCTION("IF(FG49=MAX(FILTER(FG$10:FG$199,LOOKUP(ROW(FA$10:FA$199),FILTER(ROW(FA$10:FA$199),FA$10:FA$199&lt;&gt;FA$9:FA$198))=LOOKUP(ROW(FA49),FILTER(ROW(FA$10:FA$199),FA$10:FA$199&lt;&gt;FA$9:FA$198)))),FH49,)"),"")</f>
        <v/>
      </c>
      <c s="42"/>
      <c s="63"/>
      <c s="64" t="str">
        <f t="shared" si="38"/>
        <v/>
      </c>
      <c s="65" t="str">
        <f>IFERROR(__xludf.DUMMYFUNCTION("""COMPUTED_VALUE"""),"")</f>
        <v/>
      </c>
      <c s="66">
        <f ca="1"/>
        <v>45292</v>
      </c>
      <c s="93" t="str">
        <f t="shared" si="286" ref="FQ49:FR49">IF(ISBLANK(FC49),"",FC49)</f>
        <v/>
      </c>
      <c s="94" t="str">
        <f t="shared" si="286"/>
        <v/>
      </c>
      <c s="95" t="str">
        <f t="shared" si="283"/>
        <v/>
      </c>
      <c s="98" t="str">
        <f t="shared" si="284"/>
        <v/>
      </c>
      <c s="97" t="str">
        <f t="array" ref="FU49">IFERROR(IF(FO49="ac"+ISNUMBER(SEARCH("'",FT49))+FS49="","",IF(ISNUMBER(SEARCH("lw",FT49)),FG49+SUBSTITUTE(FT49,"lw+",""),MROUND(_xlfn.SWITCH(FO49,"sq",FS$7,"bn",FT$7,"dl",FU$7,"")*IF(FT49&gt;10,FT49/100,VLOOKUP(FT49,_rpe,SUBSTITUTE(FS49,"+","")+1,0)),IF(_xlfn.SWITCH(FO49,"sq",FS$7,"bn",FT$7,"dl",FU$7,"")&lt;IF(_uom="lbs",175,80),1.25,IF(_uom="lbs",5,2.5))))),"")</f>
        <v/>
      </c>
      <c s="70"/>
      <c s="63"/>
      <c s="97"/>
      <c s="44" t="str">
        <f>IFERROR(__xludf.DUMMYFUNCTION("IF(FU49=MAX(FILTER(FU$10:FU$199,LOOKUP(ROW(FO$10:FO$199),FILTER(ROW(FO$10:FO$199),FO$10:FO$199&lt;&gt;FO$9:FO$198))=LOOKUP(ROW(FO49),FILTER(ROW(FO$10:FO$199),FO$10:FO$199&lt;&gt;FO$9:FO$198)))),FV49,)"),"")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50" spans="1:259" ht="15.75" hidden="1">
      <c r="A50" s="63"/>
      <c s="107"/>
      <c s="65" t="str">
        <f>IFERROR(__xludf.DUMMYFUNCTION("""COMPUTED_VALUE"""),"")</f>
        <v/>
      </c>
      <c s="66">
        <f ca="1"/>
        <v>45208</v>
      </c>
      <c s="93"/>
      <c s="94"/>
      <c s="95"/>
      <c s="96"/>
      <c s="97" t="str">
        <f t="array" ref="I50">IFERROR(IF(C50="ac"+ISNUMBER(SEARCH("'",H50))+G50="","",MROUND(_xlfn.SWITCH(C50,"sq",'Personal Info'!$O$15,"bn",'Personal Info'!$S$15,"dl",'Personal Info'!$W$15,"")*IF(H50&gt;10,H50/100,VLOOKUP(H50,_rpe,SUBSTITUTE(G50,"+","")+1,0)),IF(_xlfn.SWITCH(C50:C210,"sq",'Personal Info'!$O$15,"bn",'Personal Info'!$S$15,"dl",'Personal Info'!$W$15,"")&lt;IF(_uom="lbs",175,80),1.25,IF(_uom="lbs",5,2.5)))),"")</f>
        <v/>
      </c>
      <c s="70"/>
      <c s="63"/>
      <c s="97"/>
      <c s="44" t="str">
        <f>IFERROR(__xludf.DUMMYFUNCTION("IF(I50=MAX(FILTER(I$10:I$199,LOOKUP(ROW(C$10:C$199),FILTER(ROW(C$10:C$199),C$10:C$199&lt;&gt;C$9:C$198))=LOOKUP(ROW(C50),FILTER(ROW(C$10:C$199),C$10:C$199&lt;&gt;C$9:C$198)))),J50,)"),"")</f>
        <v/>
      </c>
      <c s="42"/>
      <c s="81"/>
      <c s="64" t="str">
        <f t="shared" si="11"/>
        <v/>
      </c>
      <c s="65" t="str">
        <f>IFERROR(__xludf.DUMMYFUNCTION("""COMPUTED_VALUE"""),"")</f>
        <v/>
      </c>
      <c s="66">
        <f ca="1"/>
        <v>45215</v>
      </c>
      <c s="93" t="str">
        <f t="shared" si="12"/>
        <v/>
      </c>
      <c s="94" t="str">
        <f t="shared" si="244"/>
        <v/>
      </c>
      <c s="95" t="str">
        <f t="shared" si="262"/>
        <v/>
      </c>
      <c s="98" t="str">
        <f t="shared" si="263"/>
        <v/>
      </c>
      <c s="97" t="str">
        <f t="array" ref="W50">IFERROR(IF(Q50="ac"+ISNUMBER(SEARCH("'",V50))+U50="","",IF(ISNUMBER(SEARCH("lw",V50)),I50+SUBSTITUTE(V50,"lw+",""),MROUND(_xlfn.SWITCH(Q50,"sq",U$7,"bn",V$7,"dl",W$7,"")*IF(V50&gt;10,V50/100,VLOOKUP(V50,_rpe,SUBSTITUTE(U50,"+","")+1,0)),IF(_xlfn.SWITCH(Q50,"sq",U$7,"bn",V$7,"dl",W$7,"")&lt;IF(_uom="lbs",175,80),1.25,IF(_uom="lbs",5,2.5))))),"")</f>
        <v/>
      </c>
      <c s="70"/>
      <c s="63"/>
      <c s="97"/>
      <c s="44" t="str">
        <f>IFERROR(__xludf.DUMMYFUNCTION("IF(W50=MAX(FILTER(W$10:W$199,LOOKUP(ROW(Q$10:Q$199),FILTER(ROW(Q$10:Q$199),Q$10:Q$199&lt;&gt;Q$9:Q$198))=LOOKUP(ROW(Q50),FILTER(ROW(Q$10:Q$199),Q$10:Q$199&lt;&gt;Q$9:Q$198)))),X50,)"),"")</f>
        <v/>
      </c>
      <c s="42"/>
      <c s="81"/>
      <c s="64" t="str">
        <f t="shared" si="14"/>
        <v/>
      </c>
      <c s="65" t="str">
        <f>IFERROR(__xludf.DUMMYFUNCTION("""COMPUTED_VALUE"""),"")</f>
        <v/>
      </c>
      <c s="66">
        <f ca="1"/>
        <v>45222</v>
      </c>
      <c s="93" t="str">
        <f t="shared" si="156"/>
        <v/>
      </c>
      <c s="94" t="str">
        <f t="shared" si="186"/>
        <v/>
      </c>
      <c s="95" t="str">
        <f t="shared" si="264"/>
        <v/>
      </c>
      <c s="98" t="str">
        <f t="shared" si="265"/>
        <v/>
      </c>
      <c s="97" t="str">
        <f t="array" ref="AK50">IFERROR(IF(AE50="ac"+ISNUMBER(SEARCH("'",AJ50))+AI50="","",IF(ISNUMBER(SEARCH("lw",AJ50)),W50+SUBSTITUTE(AJ50,"lw+",""),MROUND(_xlfn.SWITCH(AE50,"sq",AI$7,"bn",AJ$7,"dl",AK$7,"")*IF(AJ50&gt;10,AJ50/100,VLOOKUP(AJ50,_rpe,SUBSTITUTE(AI50,"+","")+1,0)),IF(_xlfn.SWITCH(AE50,"sq",AI$7,"bn",AJ$7,"dl",AK$7,"")&lt;IF(_uom="lbs",175,80),1.25,IF(_uom="lbs",5,2.5))))),"")</f>
        <v/>
      </c>
      <c s="70"/>
      <c s="63"/>
      <c s="97"/>
      <c s="44" t="str">
        <f>IFERROR(__xludf.DUMMYFUNCTION("IF(AK50=MAX(FILTER(AK$10:AK$199,LOOKUP(ROW(AE$10:AE$199),FILTER(ROW(AE$10:AE$199),AE$10:AE$199&lt;&gt;AE$9:AE$198))=LOOKUP(ROW(AE50),FILTER(ROW(AE$10:AE$199),AE$10:AE$199&lt;&gt;AE$9:AE$198)))),AL50,)"),"")</f>
        <v/>
      </c>
      <c s="42"/>
      <c s="81"/>
      <c s="64" t="str">
        <f t="shared" si="17"/>
        <v/>
      </c>
      <c s="65" t="str">
        <f>IFERROR(__xludf.DUMMYFUNCTION("""COMPUTED_VALUE"""),"")</f>
        <v/>
      </c>
      <c s="66">
        <f ca="1"/>
        <v>45229</v>
      </c>
      <c s="93" t="str">
        <f t="shared" si="157"/>
        <v/>
      </c>
      <c s="94" t="str">
        <f t="shared" si="188"/>
        <v/>
      </c>
      <c s="95" t="str">
        <f t="shared" si="266"/>
        <v/>
      </c>
      <c s="98" t="str">
        <f t="shared" si="219"/>
        <v/>
      </c>
      <c s="97" t="str">
        <f t="array" ref="AY50">IFERROR(IF(AS50="ac"+ISNUMBER(SEARCH("'",AX50))+AW50="","",IF(ISNUMBER(SEARCH("lw",AX50)),AK50+SUBSTITUTE(AX50,"lw+",""),MROUND(_xlfn.SWITCH(AS50,"sq",AW$7,"bn",AX$7,"dl",AY$7,"")*IF(AX50&gt;10,AX50/100,VLOOKUP(AX50,_rpe,SUBSTITUTE(AW50,"+","")+1,0)),IF(_xlfn.SWITCH(AS50,"sq",AW$7,"bn",AX$7,"dl",AY$7,"")&lt;IF(_uom="lbs",175,80),1.25,IF(_uom="lbs",5,2.5))))),"")</f>
        <v/>
      </c>
      <c s="70"/>
      <c s="63"/>
      <c s="97"/>
      <c s="44" t="str">
        <f>IFERROR(__xludf.DUMMYFUNCTION("IF(AY50=MAX(FILTER(AY$10:AY$199,LOOKUP(ROW(AS$10:AS$199),FILTER(ROW(AS$10:AS$199),AS$10:AS$199&lt;&gt;AS$9:AS$198))=LOOKUP(ROW(AS50),FILTER(ROW(AS$10:AS$199),AS$10:AS$199&lt;&gt;AS$9:AS$198)))),AZ50,)"),"")</f>
        <v/>
      </c>
      <c s="42"/>
      <c s="81"/>
      <c s="64" t="str">
        <f t="shared" si="19"/>
        <v/>
      </c>
      <c s="65" t="str">
        <f>IFERROR(__xludf.DUMMYFUNCTION("""COMPUTED_VALUE"""),"")</f>
        <v/>
      </c>
      <c s="66">
        <f ca="1"/>
        <v>45236</v>
      </c>
      <c s="93" t="str">
        <f t="shared" si="20"/>
        <v/>
      </c>
      <c s="94" t="str">
        <f t="shared" si="267"/>
        <v/>
      </c>
      <c s="95" t="str">
        <f t="shared" si="268"/>
        <v/>
      </c>
      <c s="98" t="str">
        <f t="shared" si="269"/>
        <v/>
      </c>
      <c s="97" t="str">
        <f t="array" ref="BM50">IFERROR(IF(BG50="ac"+ISNUMBER(SEARCH("'",BL50))+BK50="","",IF(ISNUMBER(SEARCH("lw",BL50)),AY50+SUBSTITUTE(BL50,"lw+",""),MROUND(_xlfn.SWITCH(BG50,"sq",BK$7,"bn",BL$7,"dl",BM$7,"")*IF(BL50&gt;10,BL50/100,VLOOKUP(BL50,_rpe,SUBSTITUTE(BK50,"+","")+1,0)),IF(_xlfn.SWITCH(BG50,"sq",BK$7,"bn",BL$7,"dl",BM$7,"")&lt;IF(_uom="lbs",175,80),1.25,IF(_uom="lbs",5,2.5))))),"")</f>
        <v/>
      </c>
      <c s="70"/>
      <c s="63"/>
      <c s="97"/>
      <c s="44" t="str">
        <f>IFERROR(__xludf.DUMMYFUNCTION("IF(BM50=MAX(FILTER(BM$10:BM$199,LOOKUP(ROW(BG$10:BG$199),FILTER(ROW(BG$10:BG$199),BG$10:BG$199&lt;&gt;BG$9:BG$198))=LOOKUP(ROW(BG50),FILTER(ROW(BG$10:BG$199),BG$10:BG$199&lt;&gt;BG$9:BG$198)))),BN50,)"),"")</f>
        <v/>
      </c>
      <c s="42"/>
      <c s="81"/>
      <c s="64" t="str">
        <f t="shared" si="21"/>
        <v/>
      </c>
      <c s="65" t="str">
        <f>IFERROR(__xludf.DUMMYFUNCTION("""COMPUTED_VALUE"""),"")</f>
        <v/>
      </c>
      <c s="66">
        <f ca="1"/>
        <v>45243</v>
      </c>
      <c s="93" t="str">
        <f t="shared" si="22"/>
        <v/>
      </c>
      <c s="94" t="str">
        <f t="shared" si="270"/>
        <v/>
      </c>
      <c s="95" t="str">
        <f t="shared" si="271"/>
        <v/>
      </c>
      <c s="98" t="str">
        <f t="shared" si="272"/>
        <v/>
      </c>
      <c s="97" t="str">
        <f t="array" ref="CA50">IFERROR(IF(BU50="ac"+ISNUMBER(SEARCH("'",BZ50))+BY50="","",IF(ISNUMBER(SEARCH("lw",BZ50)),BM50+SUBSTITUTE(BZ50,"lw+",""),MROUND(_xlfn.SWITCH(BU50,"sq",BY$7,"bn",BZ$7,"dl",CA$7,"")*IF(BZ50&gt;10,BZ50/100,VLOOKUP(BZ50,_rpe,SUBSTITUTE(BY50,"+","")+1,0)),IF(_xlfn.SWITCH(BU50,"sq",BY$7,"bn",BZ$7,"dl",CA$7,"")&lt;IF(_uom="lbs",175,80),1.25,IF(_uom="lbs",5,2.5))))),"")</f>
        <v/>
      </c>
      <c s="70"/>
      <c s="63"/>
      <c s="97"/>
      <c s="44" t="str">
        <f>IFERROR(__xludf.DUMMYFUNCTION("IF(CA50=MAX(FILTER(CA$10:CA$199,LOOKUP(ROW(BU$10:BU$199),FILTER(ROW(BU$10:BU$199),BU$10:BU$199&lt;&gt;BU$9:BU$198))=LOOKUP(ROW(BU50),FILTER(ROW(BU$10:BU$199),BU$10:BU$199&lt;&gt;BU$9:BU$198)))),CB50,)"),"")</f>
        <v/>
      </c>
      <c s="42"/>
      <c s="81"/>
      <c s="64" t="str">
        <f t="shared" si="24"/>
        <v/>
      </c>
      <c s="65" t="str">
        <f>IFERROR(__xludf.DUMMYFUNCTION("""COMPUTED_VALUE"""),"")</f>
        <v/>
      </c>
      <c s="66">
        <f ca="1"/>
        <v>45250</v>
      </c>
      <c s="93" t="str">
        <f t="shared" si="44"/>
        <v/>
      </c>
      <c s="94" t="str">
        <f t="shared" si="226"/>
        <v/>
      </c>
      <c s="95" t="str">
        <f t="shared" si="273"/>
        <v/>
      </c>
      <c s="98" t="str">
        <f t="shared" si="274"/>
        <v/>
      </c>
      <c s="97" t="str">
        <f t="array" ref="CO50">IFERROR(IF(CI50="ac"+ISNUMBER(SEARCH("'",CN50))+CM50="","",IF(ISNUMBER(SEARCH("lw",CN50)),CA50+SUBSTITUTE(CN50,"lw+",""),MROUND(_xlfn.SWITCH(CI50,"sq",CM$7,"bn",CN$7,"dl",CO$7,"")*IF(CN50&gt;10,CN50/100,VLOOKUP(CN50,_rpe,SUBSTITUTE(CM50,"+","")+1,0)),IF(_xlfn.SWITCH(CI50,"sq",CM$7,"bn",CN$7,"dl",CO$7,"")&lt;IF(_uom="lbs",175,80),1.25,IF(_uom="lbs",5,2.5))))),"")</f>
        <v/>
      </c>
      <c s="70"/>
      <c s="63"/>
      <c s="97"/>
      <c s="44" t="str">
        <f>IFERROR(__xludf.DUMMYFUNCTION("IF(CO50=MAX(FILTER(CO$10:CO$199,LOOKUP(ROW(CI$10:CI$199),FILTER(ROW(CI$10:CI$199),CI$10:CI$199&lt;&gt;CI$9:CI$198))=LOOKUP(ROW(CI50),FILTER(ROW(CI$10:CI$199),CI$10:CI$199&lt;&gt;CI$9:CI$198)))),CP50,)"),"")</f>
        <v/>
      </c>
      <c s="42"/>
      <c s="81"/>
      <c s="64" t="str">
        <f t="shared" si="27"/>
        <v/>
      </c>
      <c s="65" t="str">
        <f>IFERROR(__xludf.DUMMYFUNCTION("""COMPUTED_VALUE"""),"")</f>
        <v/>
      </c>
      <c s="66">
        <f ca="1"/>
        <v>45257</v>
      </c>
      <c s="93" t="str">
        <f t="shared" si="45"/>
        <v/>
      </c>
      <c s="94" t="str">
        <f t="shared" si="196"/>
        <v/>
      </c>
      <c s="95" t="str">
        <f t="shared" si="275"/>
        <v/>
      </c>
      <c s="98" t="str">
        <f t="shared" si="229"/>
        <v/>
      </c>
      <c s="97" t="str">
        <f t="array" ref="DC50">IFERROR(IF(CW50="ac"+ISNUMBER(SEARCH("'",DB50))+DA50="","",IF(ISNUMBER(SEARCH("lw",DB50)),CO50+SUBSTITUTE(DB50,"lw+",""),MROUND(_xlfn.SWITCH(CW50,"sq",DA$7,"bn",DB$7,"dl",DC$7,"")*IF(DB50&gt;10,DB50/100,VLOOKUP(DB50,_rpe,SUBSTITUTE(DA50,"+","")+1,0)),IF(_xlfn.SWITCH(CW50,"sq",DA$7,"bn",DB$7,"dl",DC$7,"")&lt;IF(_uom="lbs",175,80),1.25,IF(_uom="lbs",5,2.5))))),"")</f>
        <v/>
      </c>
      <c s="70"/>
      <c s="63"/>
      <c s="97"/>
      <c s="44" t="str">
        <f>IFERROR(__xludf.DUMMYFUNCTION("IF(DC50=MAX(FILTER(DC$10:DC$199,LOOKUP(ROW(CW$10:CW$199),FILTER(ROW(CW$10:CW$199),CW$10:CW$199&lt;&gt;CW$9:CW$198))=LOOKUP(ROW(CW50),FILTER(ROW(CW$10:CW$199),CW$10:CW$199&lt;&gt;CW$9:CW$198)))),DD50,)"),"")</f>
        <v/>
      </c>
      <c s="42"/>
      <c s="81"/>
      <c s="64" t="str">
        <f t="shared" si="30"/>
        <v/>
      </c>
      <c s="65" t="str">
        <f>IFERROR(__xludf.DUMMYFUNCTION("""COMPUTED_VALUE"""),"")</f>
        <v/>
      </c>
      <c s="66">
        <f ca="1"/>
        <v>45264</v>
      </c>
      <c s="93" t="str">
        <f t="shared" si="46"/>
        <v/>
      </c>
      <c s="94" t="str">
        <f t="shared" si="230"/>
        <v/>
      </c>
      <c s="95" t="str">
        <f t="shared" si="276"/>
        <v/>
      </c>
      <c s="98" t="str">
        <f t="shared" si="277"/>
        <v/>
      </c>
      <c s="97" t="str">
        <f t="array" ref="DQ50">IFERROR(IF(DK50="ac"+ISNUMBER(SEARCH("'",DP50))+DO50="","",IF(ISNUMBER(SEARCH("lw",DP50)),DC50+SUBSTITUTE(DP50,"lw+",""),MROUND(_xlfn.SWITCH(DK50,"sq",DO$7,"bn",DP$7,"dl",DQ$7,"")*IF(DP50&gt;10,DP50/100,VLOOKUP(DP50,_rpe,SUBSTITUTE(DO50,"+","")+1,0)),IF(_xlfn.SWITCH(DK50,"sq",DO$7,"bn",DP$7,"dl",DQ$7,"")&lt;IF(_uom="lbs",175,80),1.25,IF(_uom="lbs",5,2.5))))),"")</f>
        <v/>
      </c>
      <c s="70"/>
      <c s="63"/>
      <c s="97"/>
      <c s="44" t="str">
        <f>IFERROR(__xludf.DUMMYFUNCTION("IF(DQ50=MAX(FILTER(DQ$10:DQ$199,LOOKUP(ROW(DK$10:DK$199),FILTER(ROW(DK$10:DK$199),DK$10:DK$199&lt;&gt;DK$9:DK$198))=LOOKUP(ROW(DK50),FILTER(ROW(DK$10:DK$199),DK$10:DK$199&lt;&gt;DK$9:DK$198)))),DR50,)"),"")</f>
        <v/>
      </c>
      <c s="42"/>
      <c s="81"/>
      <c s="64" t="str">
        <f t="shared" si="32"/>
        <v/>
      </c>
      <c s="65" t="str">
        <f>IFERROR(__xludf.DUMMYFUNCTION("""COMPUTED_VALUE"""),"")</f>
        <v/>
      </c>
      <c s="66">
        <f ca="1"/>
        <v>45271</v>
      </c>
      <c s="93" t="str">
        <f t="shared" si="47"/>
        <v/>
      </c>
      <c s="94" t="str">
        <f t="shared" si="233"/>
        <v/>
      </c>
      <c s="95" t="str">
        <f t="shared" si="278"/>
        <v/>
      </c>
      <c s="98" t="str">
        <f t="shared" si="279"/>
        <v/>
      </c>
      <c s="97" t="str">
        <f t="array" ref="EE50">IFERROR(IF(DY50="ac"+ISNUMBER(SEARCH("'",ED50))+EC50="","",IF(ISNUMBER(SEARCH("lw",ED50)),DQ50+SUBSTITUTE(ED50,"lw+",""),MROUND(_xlfn.SWITCH(DY50,"sq",EC$7,"bn",ED$7,"dl",EE$7,"")*IF(ED50&gt;10,ED50/100,VLOOKUP(ED50,_rpe,SUBSTITUTE(EC50,"+","")+1,0)),IF(_xlfn.SWITCH(DY50,"sq",EC$7,"bn",ED$7,"dl",EE$7,"")&lt;IF(_uom="lbs",175,80),1.25,IF(_uom="lbs",5,2.5))))),"")</f>
        <v/>
      </c>
      <c s="70"/>
      <c s="63"/>
      <c s="97"/>
      <c s="44" t="str">
        <f>IFERROR(__xludf.DUMMYFUNCTION("IF(EE50=MAX(FILTER(EE$10:EE$199,LOOKUP(ROW(DY$10:DY$199),FILTER(ROW(DY$10:DY$199),DY$10:DY$199&lt;&gt;DY$9:DY$198))=LOOKUP(ROW(DY50),FILTER(ROW(DY$10:DY$199),DY$10:DY$199&lt;&gt;DY$9:DY$198)))),EF50,)"),"")</f>
        <v/>
      </c>
      <c s="42"/>
      <c s="81"/>
      <c s="64" t="str">
        <f t="shared" si="34"/>
        <v/>
      </c>
      <c s="65" t="str">
        <f>IFERROR(__xludf.DUMMYFUNCTION("""COMPUTED_VALUE"""),"")</f>
        <v/>
      </c>
      <c s="66">
        <f ca="1"/>
        <v>45278</v>
      </c>
      <c s="93" t="str">
        <f t="shared" si="48"/>
        <v/>
      </c>
      <c s="94" t="str">
        <f t="shared" si="203"/>
        <v/>
      </c>
      <c s="95" t="str">
        <f t="shared" si="280"/>
        <v/>
      </c>
      <c s="98" t="str">
        <f t="shared" si="237"/>
        <v/>
      </c>
      <c s="97" t="str">
        <f t="array" ref="ES50">IFERROR(IF(EM50="ac"+ISNUMBER(SEARCH("'",ER50))+EQ50="","",IF(ISNUMBER(SEARCH("lw",ER50)),EE50+SUBSTITUTE(ER50,"lw+",""),MROUND(_xlfn.SWITCH(EM50,"sq",EQ$7,"bn",ER$7,"dl",ES$7,"")*IF(ER50&gt;10,ER50/100,VLOOKUP(ER50,_rpe,SUBSTITUTE(EQ50,"+","")+1,0)),IF(_xlfn.SWITCH(EM50,"sq",EQ$7,"bn",ER$7,"dl",ES$7,"")&lt;IF(_uom="lbs",175,80),1.25,IF(_uom="lbs",5,2.5))))),"")</f>
        <v/>
      </c>
      <c s="70"/>
      <c s="63"/>
      <c s="97"/>
      <c s="44" t="str">
        <f>IFERROR(__xludf.DUMMYFUNCTION("IF(ES50=MAX(FILTER(ES$10:ES$199,LOOKUP(ROW(EM$10:EM$199),FILTER(ROW(EM$10:EM$199),EM$10:EM$199&lt;&gt;EM$9:EM$198))=LOOKUP(ROW(EM50),FILTER(ROW(EM$10:EM$199),EM$10:EM$199&lt;&gt;EM$9:EM$198)))),ET50,)"),"")</f>
        <v/>
      </c>
      <c s="42"/>
      <c s="81"/>
      <c s="64" t="str">
        <f t="shared" si="36"/>
        <v/>
      </c>
      <c s="65" t="str">
        <f>IFERROR(__xludf.DUMMYFUNCTION("""COMPUTED_VALUE"""),"")</f>
        <v/>
      </c>
      <c s="66">
        <f ca="1"/>
        <v>45285</v>
      </c>
      <c s="93" t="str">
        <f t="shared" si="49"/>
        <v/>
      </c>
      <c s="94" t="str">
        <f t="shared" si="238"/>
        <v/>
      </c>
      <c s="95" t="str">
        <f t="shared" si="281"/>
        <v/>
      </c>
      <c s="98" t="str">
        <f t="shared" si="240"/>
        <v/>
      </c>
      <c s="97" t="str">
        <f t="array" ref="FG50">IFERROR(IF(FA50="ac"+ISNUMBER(SEARCH("'",FF50))+FE50="","",IF(ISNUMBER(SEARCH("lw",FF50)),ES50+SUBSTITUTE(FF50,"lw+",""),MROUND(_xlfn.SWITCH(FA50,"sq",FE$7,"bn",FF$7,"dl",FG$7,"")*IF(FF50&gt;10,FF50/100,VLOOKUP(FF50,_rpe,SUBSTITUTE(FE50,"+","")+1,0)),IF(_xlfn.SWITCH(FA50,"sq",FE$7,"bn",FF$7,"dl",FG$7,"")&lt;IF(_uom="lbs",175,80),1.25,IF(_uom="lbs",5,2.5))))),"")</f>
        <v/>
      </c>
      <c s="70"/>
      <c s="63"/>
      <c s="97"/>
      <c s="44" t="str">
        <f>IFERROR(__xludf.DUMMYFUNCTION("IF(FG50=MAX(FILTER(FG$10:FG$199,LOOKUP(ROW(FA$10:FA$199),FILTER(ROW(FA$10:FA$199),FA$10:FA$199&lt;&gt;FA$9:FA$198))=LOOKUP(ROW(FA50),FILTER(ROW(FA$10:FA$199),FA$10:FA$199&lt;&gt;FA$9:FA$198)))),FH50,)"),"")</f>
        <v/>
      </c>
      <c s="42"/>
      <c s="81"/>
      <c s="64" t="str">
        <f t="shared" si="38"/>
        <v/>
      </c>
      <c s="65" t="str">
        <f>IFERROR(__xludf.DUMMYFUNCTION("""COMPUTED_VALUE"""),"")</f>
        <v/>
      </c>
      <c s="66">
        <f ca="1"/>
        <v>45292</v>
      </c>
      <c s="93" t="str">
        <f t="shared" si="287" ref="FQ50:FR50">IF(ISBLANK(FC50),"",FC50)</f>
        <v/>
      </c>
      <c s="94" t="str">
        <f t="shared" si="287"/>
        <v/>
      </c>
      <c s="95" t="str">
        <f t="shared" si="283"/>
        <v/>
      </c>
      <c s="98" t="str">
        <f t="shared" si="284"/>
        <v/>
      </c>
      <c s="97" t="str">
        <f t="array" ref="FU50">IFERROR(IF(FO50="ac"+ISNUMBER(SEARCH("'",FT50))+FS50="","",IF(ISNUMBER(SEARCH("lw",FT50)),FG50+SUBSTITUTE(FT50,"lw+",""),MROUND(_xlfn.SWITCH(FO50,"sq",FS$7,"bn",FT$7,"dl",FU$7,"")*IF(FT50&gt;10,FT50/100,VLOOKUP(FT50,_rpe,SUBSTITUTE(FS50,"+","")+1,0)),IF(_xlfn.SWITCH(FO50,"sq",FS$7,"bn",FT$7,"dl",FU$7,"")&lt;IF(_uom="lbs",175,80),1.25,IF(_uom="lbs",5,2.5))))),"")</f>
        <v/>
      </c>
      <c s="70"/>
      <c s="63"/>
      <c s="97"/>
      <c s="44" t="str">
        <f>IFERROR(__xludf.DUMMYFUNCTION("IF(FU50=MAX(FILTER(FU$10:FU$199,LOOKUP(ROW(FO$10:FO$199),FILTER(ROW(FO$10:FO$199),FO$10:FO$199&lt;&gt;FO$9:FO$198))=LOOKUP(ROW(FO50),FILTER(ROW(FO$10:FO$199),FO$10:FO$199&lt;&gt;FO$9:FO$198)))),FV50,)"),"")</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51" spans="1:259" ht="15.75" hidden="1">
      <c r="A51" s="63"/>
      <c s="107"/>
      <c s="65" t="str">
        <f>IFERROR(__xludf.DUMMYFUNCTION("""COMPUTED_VALUE"""),"")</f>
        <v/>
      </c>
      <c s="66">
        <f ca="1"/>
        <v>45208</v>
      </c>
      <c s="93"/>
      <c s="94"/>
      <c s="95"/>
      <c s="96"/>
      <c s="97" t="str">
        <f t="array" ref="I51">IFERROR(IF(C51="ac"+ISNUMBER(SEARCH("'",H51))+G51="","",MROUND(_xlfn.SWITCH(C51,"sq",'Personal Info'!$O$15,"bn",'Personal Info'!$S$15,"dl",'Personal Info'!$W$15,"")*IF(H51&gt;10,H51/100,VLOOKUP(H51,_rpe,SUBSTITUTE(G51,"+","")+1,0)),IF(_xlfn.SWITCH(C51:C210,"sq",'Personal Info'!$O$15,"bn",'Personal Info'!$S$15,"dl",'Personal Info'!$W$15,"")&lt;IF(_uom="lbs",175,80),1.25,IF(_uom="lbs",5,2.5)))),"")</f>
        <v/>
      </c>
      <c s="70"/>
      <c s="63"/>
      <c s="97"/>
      <c s="44" t="str">
        <f>IFERROR(__xludf.DUMMYFUNCTION("IF(I51=MAX(FILTER(I$10:I$199,LOOKUP(ROW(C$10:C$199),FILTER(ROW(C$10:C$199),C$10:C$199&lt;&gt;C$9:C$198))=LOOKUP(ROW(C51),FILTER(ROW(C$10:C$199),C$10:C$199&lt;&gt;C$9:C$198)))),J51,)"),"")</f>
        <v/>
      </c>
      <c s="42"/>
      <c s="81"/>
      <c s="64" t="str">
        <f t="shared" si="11"/>
        <v/>
      </c>
      <c s="65" t="str">
        <f>IFERROR(__xludf.DUMMYFUNCTION("""COMPUTED_VALUE"""),"")</f>
        <v/>
      </c>
      <c s="66">
        <f ca="1"/>
        <v>45215</v>
      </c>
      <c s="93" t="str">
        <f t="shared" si="12"/>
        <v/>
      </c>
      <c s="94" t="str">
        <f t="shared" si="244"/>
        <v/>
      </c>
      <c s="95" t="str">
        <f t="shared" si="262"/>
        <v/>
      </c>
      <c s="98" t="str">
        <f t="shared" si="263"/>
        <v/>
      </c>
      <c s="97" t="str">
        <f t="array" ref="W51">IFERROR(IF(Q51="ac"+ISNUMBER(SEARCH("'",V51))+U51="","",IF(ISNUMBER(SEARCH("lw",V51)),I51+SUBSTITUTE(V51,"lw+",""),MROUND(_xlfn.SWITCH(Q51,"sq",U$7,"bn",V$7,"dl",W$7,"")*IF(V51&gt;10,V51/100,VLOOKUP(V51,_rpe,SUBSTITUTE(U51,"+","")+1,0)),IF(_xlfn.SWITCH(Q51,"sq",U$7,"bn",V$7,"dl",W$7,"")&lt;IF(_uom="lbs",175,80),1.25,IF(_uom="lbs",5,2.5))))),"")</f>
        <v/>
      </c>
      <c s="70"/>
      <c s="63"/>
      <c s="97"/>
      <c s="44" t="str">
        <f>IFERROR(__xludf.DUMMYFUNCTION("IF(W51=MAX(FILTER(W$10:W$199,LOOKUP(ROW(Q$10:Q$199),FILTER(ROW(Q$10:Q$199),Q$10:Q$199&lt;&gt;Q$9:Q$198))=LOOKUP(ROW(Q51),FILTER(ROW(Q$10:Q$199),Q$10:Q$199&lt;&gt;Q$9:Q$198)))),X51,)"),"")</f>
        <v/>
      </c>
      <c s="42"/>
      <c s="81"/>
      <c s="64" t="str">
        <f t="shared" si="14"/>
        <v/>
      </c>
      <c s="65" t="str">
        <f>IFERROR(__xludf.DUMMYFUNCTION("""COMPUTED_VALUE"""),"")</f>
        <v/>
      </c>
      <c s="66">
        <f ca="1"/>
        <v>45222</v>
      </c>
      <c s="93" t="str">
        <f t="shared" si="156"/>
        <v/>
      </c>
      <c s="94" t="str">
        <f t="shared" si="186"/>
        <v/>
      </c>
      <c s="95" t="str">
        <f t="shared" si="264"/>
        <v/>
      </c>
      <c s="98" t="str">
        <f t="shared" si="265"/>
        <v/>
      </c>
      <c s="97" t="str">
        <f t="array" ref="AK51">IFERROR(IF(AE51="ac"+ISNUMBER(SEARCH("'",AJ51))+AI51="","",IF(ISNUMBER(SEARCH("lw",AJ51)),W51+SUBSTITUTE(AJ51,"lw+",""),MROUND(_xlfn.SWITCH(AE51,"sq",AI$7,"bn",AJ$7,"dl",AK$7,"")*IF(AJ51&gt;10,AJ51/100,VLOOKUP(AJ51,_rpe,SUBSTITUTE(AI51,"+","")+1,0)),IF(_xlfn.SWITCH(AE51,"sq",AI$7,"bn",AJ$7,"dl",AK$7,"")&lt;IF(_uom="lbs",175,80),1.25,IF(_uom="lbs",5,2.5))))),"")</f>
        <v/>
      </c>
      <c s="70"/>
      <c s="63"/>
      <c s="97"/>
      <c s="44" t="str">
        <f>IFERROR(__xludf.DUMMYFUNCTION("IF(AK51=MAX(FILTER(AK$10:AK$199,LOOKUP(ROW(AE$10:AE$199),FILTER(ROW(AE$10:AE$199),AE$10:AE$199&lt;&gt;AE$9:AE$198))=LOOKUP(ROW(AE51),FILTER(ROW(AE$10:AE$199),AE$10:AE$199&lt;&gt;AE$9:AE$198)))),AL51,)"),"")</f>
        <v/>
      </c>
      <c s="42"/>
      <c s="81"/>
      <c s="64" t="str">
        <f t="shared" si="17"/>
        <v/>
      </c>
      <c s="65" t="str">
        <f>IFERROR(__xludf.DUMMYFUNCTION("""COMPUTED_VALUE"""),"")</f>
        <v/>
      </c>
      <c s="66">
        <f ca="1"/>
        <v>45229</v>
      </c>
      <c s="93" t="str">
        <f t="shared" si="157"/>
        <v/>
      </c>
      <c s="94" t="str">
        <f t="shared" si="188"/>
        <v/>
      </c>
      <c s="95" t="str">
        <f t="shared" si="266"/>
        <v/>
      </c>
      <c s="98" t="str">
        <f t="shared" si="219"/>
        <v/>
      </c>
      <c s="97" t="str">
        <f t="array" ref="AY51">IFERROR(IF(AS51="ac"+ISNUMBER(SEARCH("'",AX51))+AW51="","",IF(ISNUMBER(SEARCH("lw",AX51)),AK51+SUBSTITUTE(AX51,"lw+",""),MROUND(_xlfn.SWITCH(AS51,"sq",AW$7,"bn",AX$7,"dl",AY$7,"")*IF(AX51&gt;10,AX51/100,VLOOKUP(AX51,_rpe,SUBSTITUTE(AW51,"+","")+1,0)),IF(_xlfn.SWITCH(AS51,"sq",AW$7,"bn",AX$7,"dl",AY$7,"")&lt;IF(_uom="lbs",175,80),1.25,IF(_uom="lbs",5,2.5))))),"")</f>
        <v/>
      </c>
      <c s="70"/>
      <c s="63"/>
      <c s="97"/>
      <c s="44" t="str">
        <f>IFERROR(__xludf.DUMMYFUNCTION("IF(AY51=MAX(FILTER(AY$10:AY$199,LOOKUP(ROW(AS$10:AS$199),FILTER(ROW(AS$10:AS$199),AS$10:AS$199&lt;&gt;AS$9:AS$198))=LOOKUP(ROW(AS51),FILTER(ROW(AS$10:AS$199),AS$10:AS$199&lt;&gt;AS$9:AS$198)))),AZ51,)"),"")</f>
        <v/>
      </c>
      <c s="42"/>
      <c s="81"/>
      <c s="64" t="str">
        <f t="shared" si="19"/>
        <v/>
      </c>
      <c s="65" t="str">
        <f>IFERROR(__xludf.DUMMYFUNCTION("""COMPUTED_VALUE"""),"")</f>
        <v/>
      </c>
      <c s="66">
        <f ca="1"/>
        <v>45236</v>
      </c>
      <c s="93" t="str">
        <f t="shared" si="20"/>
        <v/>
      </c>
      <c s="94" t="str">
        <f t="shared" si="267"/>
        <v/>
      </c>
      <c s="95" t="str">
        <f t="shared" si="268"/>
        <v/>
      </c>
      <c s="98" t="str">
        <f t="shared" si="269"/>
        <v/>
      </c>
      <c s="97" t="str">
        <f t="array" ref="BM51">IFERROR(IF(BG51="ac"+ISNUMBER(SEARCH("'",BL51))+BK51="","",IF(ISNUMBER(SEARCH("lw",BL51)),AY51+SUBSTITUTE(BL51,"lw+",""),MROUND(_xlfn.SWITCH(BG51,"sq",BK$7,"bn",BL$7,"dl",BM$7,"")*IF(BL51&gt;10,BL51/100,VLOOKUP(BL51,_rpe,SUBSTITUTE(BK51,"+","")+1,0)),IF(_xlfn.SWITCH(BG51,"sq",BK$7,"bn",BL$7,"dl",BM$7,"")&lt;IF(_uom="lbs",175,80),1.25,IF(_uom="lbs",5,2.5))))),"")</f>
        <v/>
      </c>
      <c s="70"/>
      <c s="63"/>
      <c s="97"/>
      <c s="44" t="str">
        <f>IFERROR(__xludf.DUMMYFUNCTION("IF(BM51=MAX(FILTER(BM$10:BM$199,LOOKUP(ROW(BG$10:BG$199),FILTER(ROW(BG$10:BG$199),BG$10:BG$199&lt;&gt;BG$9:BG$198))=LOOKUP(ROW(BG51),FILTER(ROW(BG$10:BG$199),BG$10:BG$199&lt;&gt;BG$9:BG$198)))),BN51,)"),"")</f>
        <v/>
      </c>
      <c s="42"/>
      <c s="81"/>
      <c s="64" t="str">
        <f t="shared" si="21"/>
        <v/>
      </c>
      <c s="65" t="str">
        <f>IFERROR(__xludf.DUMMYFUNCTION("""COMPUTED_VALUE"""),"")</f>
        <v/>
      </c>
      <c s="66">
        <f ca="1"/>
        <v>45243</v>
      </c>
      <c s="93" t="str">
        <f t="shared" si="22"/>
        <v/>
      </c>
      <c s="94" t="str">
        <f t="shared" si="270"/>
        <v/>
      </c>
      <c s="95" t="str">
        <f t="shared" si="271"/>
        <v/>
      </c>
      <c s="98" t="str">
        <f t="shared" si="272"/>
        <v/>
      </c>
      <c s="97" t="str">
        <f t="array" ref="CA51">IFERROR(IF(BU51="ac"+ISNUMBER(SEARCH("'",BZ51))+BY51="","",IF(ISNUMBER(SEARCH("lw",BZ51)),BM51+SUBSTITUTE(BZ51,"lw+",""),MROUND(_xlfn.SWITCH(BU51,"sq",BY$7,"bn",BZ$7,"dl",CA$7,"")*IF(BZ51&gt;10,BZ51/100,VLOOKUP(BZ51,_rpe,SUBSTITUTE(BY51,"+","")+1,0)),IF(_xlfn.SWITCH(BU51,"sq",BY$7,"bn",BZ$7,"dl",CA$7,"")&lt;IF(_uom="lbs",175,80),1.25,IF(_uom="lbs",5,2.5))))),"")</f>
        <v/>
      </c>
      <c s="70"/>
      <c s="63"/>
      <c s="97"/>
      <c s="44" t="str">
        <f>IFERROR(__xludf.DUMMYFUNCTION("IF(CA51=MAX(FILTER(CA$10:CA$199,LOOKUP(ROW(BU$10:BU$199),FILTER(ROW(BU$10:BU$199),BU$10:BU$199&lt;&gt;BU$9:BU$198))=LOOKUP(ROW(BU51),FILTER(ROW(BU$10:BU$199),BU$10:BU$199&lt;&gt;BU$9:BU$198)))),CB51,)"),"")</f>
        <v/>
      </c>
      <c s="42"/>
      <c s="81"/>
      <c s="64" t="str">
        <f t="shared" si="24"/>
        <v/>
      </c>
      <c s="65" t="str">
        <f>IFERROR(__xludf.DUMMYFUNCTION("""COMPUTED_VALUE"""),"")</f>
        <v/>
      </c>
      <c s="66">
        <f ca="1"/>
        <v>45250</v>
      </c>
      <c s="93" t="str">
        <f t="shared" si="44"/>
        <v/>
      </c>
      <c s="94" t="str">
        <f t="shared" si="226"/>
        <v/>
      </c>
      <c s="95" t="str">
        <f t="shared" si="273"/>
        <v/>
      </c>
      <c s="98" t="str">
        <f t="shared" si="274"/>
        <v/>
      </c>
      <c s="97" t="str">
        <f t="array" ref="CO51">IFERROR(IF(CI51="ac"+ISNUMBER(SEARCH("'",CN51))+CM51="","",IF(ISNUMBER(SEARCH("lw",CN51)),CA51+SUBSTITUTE(CN51,"lw+",""),MROUND(_xlfn.SWITCH(CI51,"sq",CM$7,"bn",CN$7,"dl",CO$7,"")*IF(CN51&gt;10,CN51/100,VLOOKUP(CN51,_rpe,SUBSTITUTE(CM51,"+","")+1,0)),IF(_xlfn.SWITCH(CI51,"sq",CM$7,"bn",CN$7,"dl",CO$7,"")&lt;IF(_uom="lbs",175,80),1.25,IF(_uom="lbs",5,2.5))))),"")</f>
        <v/>
      </c>
      <c s="70"/>
      <c s="63"/>
      <c s="97"/>
      <c s="44" t="str">
        <f>IFERROR(__xludf.DUMMYFUNCTION("IF(CO51=MAX(FILTER(CO$10:CO$199,LOOKUP(ROW(CI$10:CI$199),FILTER(ROW(CI$10:CI$199),CI$10:CI$199&lt;&gt;CI$9:CI$198))=LOOKUP(ROW(CI51),FILTER(ROW(CI$10:CI$199),CI$10:CI$199&lt;&gt;CI$9:CI$198)))),CP51,)"),"")</f>
        <v/>
      </c>
      <c s="42"/>
      <c s="81"/>
      <c s="64" t="str">
        <f t="shared" si="27"/>
        <v/>
      </c>
      <c s="65" t="str">
        <f>IFERROR(__xludf.DUMMYFUNCTION("""COMPUTED_VALUE"""),"")</f>
        <v/>
      </c>
      <c s="66">
        <f ca="1"/>
        <v>45257</v>
      </c>
      <c s="93" t="str">
        <f t="shared" si="45"/>
        <v/>
      </c>
      <c s="94" t="str">
        <f t="shared" si="196"/>
        <v/>
      </c>
      <c s="95" t="str">
        <f t="shared" si="275"/>
        <v/>
      </c>
      <c s="98" t="str">
        <f t="shared" si="229"/>
        <v/>
      </c>
      <c s="97" t="str">
        <f t="array" ref="DC51">IFERROR(IF(CW51="ac"+ISNUMBER(SEARCH("'",DB51))+DA51="","",IF(ISNUMBER(SEARCH("lw",DB51)),CO51+SUBSTITUTE(DB51,"lw+",""),MROUND(_xlfn.SWITCH(CW51,"sq",DA$7,"bn",DB$7,"dl",DC$7,"")*IF(DB51&gt;10,DB51/100,VLOOKUP(DB51,_rpe,SUBSTITUTE(DA51,"+","")+1,0)),IF(_xlfn.SWITCH(CW51,"sq",DA$7,"bn",DB$7,"dl",DC$7,"")&lt;IF(_uom="lbs",175,80),1.25,IF(_uom="lbs",5,2.5))))),"")</f>
        <v/>
      </c>
      <c s="70"/>
      <c s="63"/>
      <c s="97"/>
      <c s="44" t="str">
        <f>IFERROR(__xludf.DUMMYFUNCTION("IF(DC51=MAX(FILTER(DC$10:DC$199,LOOKUP(ROW(CW$10:CW$199),FILTER(ROW(CW$10:CW$199),CW$10:CW$199&lt;&gt;CW$9:CW$198))=LOOKUP(ROW(CW51),FILTER(ROW(CW$10:CW$199),CW$10:CW$199&lt;&gt;CW$9:CW$198)))),DD51,)"),"")</f>
        <v/>
      </c>
      <c s="42"/>
      <c s="81"/>
      <c s="64" t="str">
        <f t="shared" si="30"/>
        <v/>
      </c>
      <c s="65" t="str">
        <f>IFERROR(__xludf.DUMMYFUNCTION("""COMPUTED_VALUE"""),"")</f>
        <v/>
      </c>
      <c s="66">
        <f ca="1"/>
        <v>45264</v>
      </c>
      <c s="93" t="str">
        <f t="shared" si="46"/>
        <v/>
      </c>
      <c s="94" t="str">
        <f t="shared" si="230"/>
        <v/>
      </c>
      <c s="95" t="str">
        <f t="shared" si="276"/>
        <v/>
      </c>
      <c s="98" t="str">
        <f t="shared" si="277"/>
        <v/>
      </c>
      <c s="97" t="str">
        <f t="array" ref="DQ51">IFERROR(IF(DK51="ac"+ISNUMBER(SEARCH("'",DP51))+DO51="","",IF(ISNUMBER(SEARCH("lw",DP51)),DC51+SUBSTITUTE(DP51,"lw+",""),MROUND(_xlfn.SWITCH(DK51,"sq",DO$7,"bn",DP$7,"dl",DQ$7,"")*IF(DP51&gt;10,DP51/100,VLOOKUP(DP51,_rpe,SUBSTITUTE(DO51,"+","")+1,0)),IF(_xlfn.SWITCH(DK51,"sq",DO$7,"bn",DP$7,"dl",DQ$7,"")&lt;IF(_uom="lbs",175,80),1.25,IF(_uom="lbs",5,2.5))))),"")</f>
        <v/>
      </c>
      <c s="70"/>
      <c s="63"/>
      <c s="97"/>
      <c s="44" t="str">
        <f>IFERROR(__xludf.DUMMYFUNCTION("IF(DQ51=MAX(FILTER(DQ$10:DQ$199,LOOKUP(ROW(DK$10:DK$199),FILTER(ROW(DK$10:DK$199),DK$10:DK$199&lt;&gt;DK$9:DK$198))=LOOKUP(ROW(DK51),FILTER(ROW(DK$10:DK$199),DK$10:DK$199&lt;&gt;DK$9:DK$198)))),DR51,)"),"")</f>
        <v/>
      </c>
      <c s="42"/>
      <c s="81"/>
      <c s="64" t="str">
        <f t="shared" si="32"/>
        <v/>
      </c>
      <c s="65" t="str">
        <f>IFERROR(__xludf.DUMMYFUNCTION("""COMPUTED_VALUE"""),"")</f>
        <v/>
      </c>
      <c s="66">
        <f ca="1"/>
        <v>45271</v>
      </c>
      <c s="93" t="str">
        <f t="shared" si="47"/>
        <v/>
      </c>
      <c s="94" t="str">
        <f t="shared" si="233"/>
        <v/>
      </c>
      <c s="95" t="str">
        <f t="shared" si="278"/>
        <v/>
      </c>
      <c s="98" t="str">
        <f t="shared" si="279"/>
        <v/>
      </c>
      <c s="97" t="str">
        <f t="array" ref="EE51">IFERROR(IF(DY51="ac"+ISNUMBER(SEARCH("'",ED51))+EC51="","",IF(ISNUMBER(SEARCH("lw",ED51)),DQ51+SUBSTITUTE(ED51,"lw+",""),MROUND(_xlfn.SWITCH(DY51,"sq",EC$7,"bn",ED$7,"dl",EE$7,"")*IF(ED51&gt;10,ED51/100,VLOOKUP(ED51,_rpe,SUBSTITUTE(EC51,"+","")+1,0)),IF(_xlfn.SWITCH(DY51,"sq",EC$7,"bn",ED$7,"dl",EE$7,"")&lt;IF(_uom="lbs",175,80),1.25,IF(_uom="lbs",5,2.5))))),"")</f>
        <v/>
      </c>
      <c s="70"/>
      <c s="63"/>
      <c s="97"/>
      <c s="44" t="str">
        <f>IFERROR(__xludf.DUMMYFUNCTION("IF(EE51=MAX(FILTER(EE$10:EE$199,LOOKUP(ROW(DY$10:DY$199),FILTER(ROW(DY$10:DY$199),DY$10:DY$199&lt;&gt;DY$9:DY$198))=LOOKUP(ROW(DY51),FILTER(ROW(DY$10:DY$199),DY$10:DY$199&lt;&gt;DY$9:DY$198)))),EF51,)"),"")</f>
        <v/>
      </c>
      <c s="42"/>
      <c s="81"/>
      <c s="64" t="str">
        <f t="shared" si="34"/>
        <v/>
      </c>
      <c s="65" t="str">
        <f>IFERROR(__xludf.DUMMYFUNCTION("""COMPUTED_VALUE"""),"")</f>
        <v/>
      </c>
      <c s="66">
        <f ca="1"/>
        <v>45278</v>
      </c>
      <c s="93" t="str">
        <f t="shared" si="48"/>
        <v/>
      </c>
      <c s="94" t="str">
        <f t="shared" si="203"/>
        <v/>
      </c>
      <c s="95" t="str">
        <f t="shared" si="280"/>
        <v/>
      </c>
      <c s="98" t="str">
        <f t="shared" si="237"/>
        <v/>
      </c>
      <c s="97" t="str">
        <f t="array" ref="ES51">IFERROR(IF(EM51="ac"+ISNUMBER(SEARCH("'",ER51))+EQ51="","",IF(ISNUMBER(SEARCH("lw",ER51)),EE51+SUBSTITUTE(ER51,"lw+",""),MROUND(_xlfn.SWITCH(EM51,"sq",EQ$7,"bn",ER$7,"dl",ES$7,"")*IF(ER51&gt;10,ER51/100,VLOOKUP(ER51,_rpe,SUBSTITUTE(EQ51,"+","")+1,0)),IF(_xlfn.SWITCH(EM51,"sq",EQ$7,"bn",ER$7,"dl",ES$7,"")&lt;IF(_uom="lbs",175,80),1.25,IF(_uom="lbs",5,2.5))))),"")</f>
        <v/>
      </c>
      <c s="70"/>
      <c s="63"/>
      <c s="97"/>
      <c s="44" t="str">
        <f>IFERROR(__xludf.DUMMYFUNCTION("IF(ES51=MAX(FILTER(ES$10:ES$199,LOOKUP(ROW(EM$10:EM$199),FILTER(ROW(EM$10:EM$199),EM$10:EM$199&lt;&gt;EM$9:EM$198))=LOOKUP(ROW(EM51),FILTER(ROW(EM$10:EM$199),EM$10:EM$199&lt;&gt;EM$9:EM$198)))),ET51,)"),"")</f>
        <v/>
      </c>
      <c s="42"/>
      <c s="81"/>
      <c s="64" t="str">
        <f t="shared" si="36"/>
        <v/>
      </c>
      <c s="65" t="str">
        <f>IFERROR(__xludf.DUMMYFUNCTION("""COMPUTED_VALUE"""),"")</f>
        <v/>
      </c>
      <c s="66">
        <f ca="1"/>
        <v>45285</v>
      </c>
      <c s="93" t="str">
        <f t="shared" si="49"/>
        <v/>
      </c>
      <c s="94" t="str">
        <f t="shared" si="238"/>
        <v/>
      </c>
      <c s="95" t="str">
        <f t="shared" si="281"/>
        <v/>
      </c>
      <c s="98" t="str">
        <f t="shared" si="240"/>
        <v/>
      </c>
      <c s="97" t="str">
        <f t="array" ref="FG51">IFERROR(IF(FA51="ac"+ISNUMBER(SEARCH("'",FF51))+FE51="","",IF(ISNUMBER(SEARCH("lw",FF51)),ES51+SUBSTITUTE(FF51,"lw+",""),MROUND(_xlfn.SWITCH(FA51,"sq",FE$7,"bn",FF$7,"dl",FG$7,"")*IF(FF51&gt;10,FF51/100,VLOOKUP(FF51,_rpe,SUBSTITUTE(FE51,"+","")+1,0)),IF(_xlfn.SWITCH(FA51,"sq",FE$7,"bn",FF$7,"dl",FG$7,"")&lt;IF(_uom="lbs",175,80),1.25,IF(_uom="lbs",5,2.5))))),"")</f>
        <v/>
      </c>
      <c s="70"/>
      <c s="63"/>
      <c s="97"/>
      <c s="44" t="str">
        <f>IFERROR(__xludf.DUMMYFUNCTION("IF(FG51=MAX(FILTER(FG$10:FG$199,LOOKUP(ROW(FA$10:FA$199),FILTER(ROW(FA$10:FA$199),FA$10:FA$199&lt;&gt;FA$9:FA$198))=LOOKUP(ROW(FA51),FILTER(ROW(FA$10:FA$199),FA$10:FA$199&lt;&gt;FA$9:FA$198)))),FH51,)"),"")</f>
        <v/>
      </c>
      <c s="42"/>
      <c s="81"/>
      <c s="64" t="str">
        <f t="shared" si="38"/>
        <v/>
      </c>
      <c s="65" t="str">
        <f>IFERROR(__xludf.DUMMYFUNCTION("""COMPUTED_VALUE"""),"")</f>
        <v/>
      </c>
      <c s="66">
        <f ca="1"/>
        <v>45292</v>
      </c>
      <c s="93" t="str">
        <f t="shared" si="288" ref="FQ51:FR51">IF(ISBLANK(FC51),"",FC51)</f>
        <v/>
      </c>
      <c s="94" t="str">
        <f t="shared" si="288"/>
        <v/>
      </c>
      <c s="95" t="str">
        <f t="shared" si="283"/>
        <v/>
      </c>
      <c s="98" t="str">
        <f t="shared" si="284"/>
        <v/>
      </c>
      <c s="97" t="str">
        <f t="array" ref="FU51">IFERROR(IF(FO51="ac"+ISNUMBER(SEARCH("'",FT51))+FS51="","",IF(ISNUMBER(SEARCH("lw",FT51)),FG51+SUBSTITUTE(FT51,"lw+",""),MROUND(_xlfn.SWITCH(FO51,"sq",FS$7,"bn",FT$7,"dl",FU$7,"")*IF(FT51&gt;10,FT51/100,VLOOKUP(FT51,_rpe,SUBSTITUTE(FS51,"+","")+1,0)),IF(_xlfn.SWITCH(FO51,"sq",FS$7,"bn",FT$7,"dl",FU$7,"")&lt;IF(_uom="lbs",175,80),1.25,IF(_uom="lbs",5,2.5))))),"")</f>
        <v/>
      </c>
      <c s="70"/>
      <c s="63"/>
      <c s="97"/>
      <c s="44" t="str">
        <f>IFERROR(__xludf.DUMMYFUNCTION("IF(FU51=MAX(FILTER(FU$10:FU$199,LOOKUP(ROW(FO$10:FO$199),FILTER(ROW(FO$10:FO$199),FO$10:FO$199&lt;&gt;FO$9:FO$198))=LOOKUP(ROW(FO51),FILTER(ROW(FO$10:FO$199),FO$10:FO$199&lt;&gt;FO$9:FO$198)))),FV51,)"),"")</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52" spans="1:259" ht="15.75">
      <c r="A52" s="63"/>
      <c s="107"/>
      <c s="65" t="str">
        <f>IFERROR(__xludf.DUMMYFUNCTION("""COMPUTED_VALUE"""),"")</f>
        <v/>
      </c>
      <c s="66">
        <f ca="1"/>
        <v>45208</v>
      </c>
      <c s="108"/>
      <c s="94"/>
      <c s="95"/>
      <c s="96"/>
      <c s="97" t="str">
        <f t="array" ref="I52">IFERROR(IF(C52="ac"+ISNUMBER(SEARCH("'",H52))+G52="","",MROUND(_xlfn.SWITCH(C52,"sq",'Personal Info'!$O$15,"bn",'Personal Info'!$S$15,"dl",'Personal Info'!$W$15,"")*IF(H52&gt;10,H52/100,VLOOKUP(H52,_rpe,SUBSTITUTE(G52,"+","")+1,0)),IF(_xlfn.SWITCH(C52:C210,"sq",'Personal Info'!$O$15,"bn",'Personal Info'!$S$15,"dl",'Personal Info'!$W$15,"")&lt;IF(_uom="lbs",175,80),1.25,IF(_uom="lbs",5,2.5)))),"")</f>
        <v/>
      </c>
      <c s="70"/>
      <c s="63"/>
      <c s="97"/>
      <c s="44" t="str">
        <f>IFERROR(__xludf.DUMMYFUNCTION("IF(I52=MAX(FILTER(I$10:I$199,LOOKUP(ROW(C$10:C$199),FILTER(ROW(C$10:C$199),C$10:C$199&lt;&gt;C$9:C$198))=LOOKUP(ROW(C52),FILTER(ROW(C$10:C$199),C$10:C$199&lt;&gt;C$9:C$198)))),J52,)"),"")</f>
        <v/>
      </c>
      <c s="42"/>
      <c s="81"/>
      <c s="64" t="str">
        <f t="shared" si="11"/>
        <v/>
      </c>
      <c s="65" t="str">
        <f>IFERROR(__xludf.DUMMYFUNCTION("""COMPUTED_VALUE"""),"")</f>
        <v/>
      </c>
      <c s="66">
        <f ca="1"/>
        <v>45215</v>
      </c>
      <c s="93" t="str">
        <f t="shared" si="12"/>
        <v/>
      </c>
      <c s="94" t="str">
        <f t="shared" si="244"/>
        <v/>
      </c>
      <c s="95" t="str">
        <f t="shared" si="262"/>
        <v/>
      </c>
      <c s="98" t="str">
        <f t="shared" si="263"/>
        <v/>
      </c>
      <c s="97" t="str">
        <f t="array" ref="W52">IFERROR(IF(Q52="ac"+ISNUMBER(SEARCH("'",V52))+U52="","",IF(ISNUMBER(SEARCH("lw",V52)),I52+SUBSTITUTE(V52,"lw+",""),MROUND(_xlfn.SWITCH(Q52,"sq",U$7,"bn",V$7,"dl",W$7,"")*IF(V52&gt;10,V52/100,VLOOKUP(V52,_rpe,SUBSTITUTE(U52,"+","")+1,0)),IF(_xlfn.SWITCH(Q52,"sq",U$7,"bn",V$7,"dl",W$7,"")&lt;IF(_uom="lbs",175,80),1.25,IF(_uom="lbs",5,2.5))))),"")</f>
        <v/>
      </c>
      <c s="70"/>
      <c s="63"/>
      <c s="97"/>
      <c s="44" t="str">
        <f>IFERROR(__xludf.DUMMYFUNCTION("IF(W52=MAX(FILTER(W$10:W$199,LOOKUP(ROW(Q$10:Q$199),FILTER(ROW(Q$10:Q$199),Q$10:Q$199&lt;&gt;Q$9:Q$198))=LOOKUP(ROW(Q52),FILTER(ROW(Q$10:Q$199),Q$10:Q$199&lt;&gt;Q$9:Q$198)))),X52,)"),"")</f>
        <v/>
      </c>
      <c s="42"/>
      <c s="81"/>
      <c s="64" t="str">
        <f t="shared" si="14"/>
        <v/>
      </c>
      <c s="65" t="str">
        <f>IFERROR(__xludf.DUMMYFUNCTION("""COMPUTED_VALUE"""),"")</f>
        <v/>
      </c>
      <c s="66">
        <f ca="1"/>
        <v>45222</v>
      </c>
      <c s="93" t="str">
        <f t="shared" si="156"/>
        <v/>
      </c>
      <c s="94" t="str">
        <f t="shared" si="186"/>
        <v/>
      </c>
      <c s="95" t="str">
        <f t="shared" si="264"/>
        <v/>
      </c>
      <c s="98" t="str">
        <f t="shared" si="265"/>
        <v/>
      </c>
      <c s="97" t="str">
        <f t="array" ref="AK52">IFERROR(IF(AE52="ac"+ISNUMBER(SEARCH("'",AJ52))+AI52="","",IF(ISNUMBER(SEARCH("lw",AJ52)),W52+SUBSTITUTE(AJ52,"lw+",""),MROUND(_xlfn.SWITCH(AE52,"sq",AI$7,"bn",AJ$7,"dl",AK$7,"")*IF(AJ52&gt;10,AJ52/100,VLOOKUP(AJ52,_rpe,SUBSTITUTE(AI52,"+","")+1,0)),IF(_xlfn.SWITCH(AE52,"sq",AI$7,"bn",AJ$7,"dl",AK$7,"")&lt;IF(_uom="lbs",175,80),1.25,IF(_uom="lbs",5,2.5))))),"")</f>
        <v/>
      </c>
      <c s="70"/>
      <c s="63"/>
      <c s="97"/>
      <c s="44" t="str">
        <f>IFERROR(__xludf.DUMMYFUNCTION("IF(AK52=MAX(FILTER(AK$10:AK$199,LOOKUP(ROW(AE$10:AE$199),FILTER(ROW(AE$10:AE$199),AE$10:AE$199&lt;&gt;AE$9:AE$198))=LOOKUP(ROW(AE52),FILTER(ROW(AE$10:AE$199),AE$10:AE$199&lt;&gt;AE$9:AE$198)))),AL52,)"),"")</f>
        <v/>
      </c>
      <c s="42"/>
      <c s="81"/>
      <c s="64" t="str">
        <f t="shared" si="17"/>
        <v/>
      </c>
      <c s="65" t="str">
        <f>IFERROR(__xludf.DUMMYFUNCTION("""COMPUTED_VALUE"""),"")</f>
        <v/>
      </c>
      <c s="66">
        <f ca="1"/>
        <v>45229</v>
      </c>
      <c s="93" t="str">
        <f t="shared" si="157"/>
        <v/>
      </c>
      <c s="94" t="str">
        <f t="shared" si="188"/>
        <v/>
      </c>
      <c s="95" t="str">
        <f t="shared" si="266"/>
        <v/>
      </c>
      <c s="98" t="str">
        <f t="shared" si="219"/>
        <v/>
      </c>
      <c s="97" t="str">
        <f t="array" ref="AY52">IFERROR(IF(AS52="ac"+ISNUMBER(SEARCH("'",AX52))+AW52="","",IF(ISNUMBER(SEARCH("lw",AX52)),AK52+SUBSTITUTE(AX52,"lw+",""),MROUND(_xlfn.SWITCH(AS52,"sq",AW$7,"bn",AX$7,"dl",AY$7,"")*IF(AX52&gt;10,AX52/100,VLOOKUP(AX52,_rpe,SUBSTITUTE(AW52,"+","")+1,0)),IF(_xlfn.SWITCH(AS52,"sq",AW$7,"bn",AX$7,"dl",AY$7,"")&lt;IF(_uom="lbs",175,80),1.25,IF(_uom="lbs",5,2.5))))),"")</f>
        <v/>
      </c>
      <c s="70"/>
      <c s="63"/>
      <c s="97"/>
      <c s="44" t="str">
        <f>IFERROR(__xludf.DUMMYFUNCTION("IF(AY52=MAX(FILTER(AY$10:AY$199,LOOKUP(ROW(AS$10:AS$199),FILTER(ROW(AS$10:AS$199),AS$10:AS$199&lt;&gt;AS$9:AS$198))=LOOKUP(ROW(AS52),FILTER(ROW(AS$10:AS$199),AS$10:AS$199&lt;&gt;AS$9:AS$198)))),AZ52,)"),"")</f>
        <v/>
      </c>
      <c s="42"/>
      <c s="81"/>
      <c s="64" t="str">
        <f t="shared" si="19"/>
        <v/>
      </c>
      <c s="65" t="str">
        <f>IFERROR(__xludf.DUMMYFUNCTION("""COMPUTED_VALUE"""),"")</f>
        <v/>
      </c>
      <c s="66">
        <f ca="1"/>
        <v>45236</v>
      </c>
      <c s="93" t="str">
        <f t="shared" si="20"/>
        <v/>
      </c>
      <c s="94" t="str">
        <f t="shared" si="267"/>
        <v/>
      </c>
      <c s="95" t="str">
        <f t="shared" si="268"/>
        <v/>
      </c>
      <c s="98" t="str">
        <f t="shared" si="269"/>
        <v/>
      </c>
      <c s="97" t="str">
        <f t="array" ref="BM52">IFERROR(IF(BG52="ac"+ISNUMBER(SEARCH("'",BL52))+BK52="","",IF(ISNUMBER(SEARCH("lw",BL52)),AY52+SUBSTITUTE(BL52,"lw+",""),MROUND(_xlfn.SWITCH(BG52,"sq",BK$7,"bn",BL$7,"dl",BM$7,"")*IF(BL52&gt;10,BL52/100,VLOOKUP(BL52,_rpe,SUBSTITUTE(BK52,"+","")+1,0)),IF(_xlfn.SWITCH(BG52,"sq",BK$7,"bn",BL$7,"dl",BM$7,"")&lt;IF(_uom="lbs",175,80),1.25,IF(_uom="lbs",5,2.5))))),"")</f>
        <v/>
      </c>
      <c s="70"/>
      <c s="63"/>
      <c s="97"/>
      <c s="44" t="str">
        <f>IFERROR(__xludf.DUMMYFUNCTION("IF(BM52=MAX(FILTER(BM$10:BM$199,LOOKUP(ROW(BG$10:BG$199),FILTER(ROW(BG$10:BG$199),BG$10:BG$199&lt;&gt;BG$9:BG$198))=LOOKUP(ROW(BG52),FILTER(ROW(BG$10:BG$199),BG$10:BG$199&lt;&gt;BG$9:BG$198)))),BN52,)"),"")</f>
        <v/>
      </c>
      <c s="42"/>
      <c s="81"/>
      <c s="64" t="str">
        <f t="shared" si="21"/>
        <v/>
      </c>
      <c s="65" t="str">
        <f>IFERROR(__xludf.DUMMYFUNCTION("""COMPUTED_VALUE"""),"")</f>
        <v/>
      </c>
      <c s="66">
        <f ca="1"/>
        <v>45243</v>
      </c>
      <c s="93" t="str">
        <f t="shared" si="22"/>
        <v/>
      </c>
      <c s="94" t="str">
        <f t="shared" si="270"/>
        <v/>
      </c>
      <c s="95" t="str">
        <f t="shared" si="271"/>
        <v/>
      </c>
      <c s="98" t="str">
        <f t="shared" si="272"/>
        <v/>
      </c>
      <c s="97" t="str">
        <f t="array" ref="CA52">IFERROR(IF(BU52="ac"+ISNUMBER(SEARCH("'",BZ52))+BY52="","",IF(ISNUMBER(SEARCH("lw",BZ52)),BM52+SUBSTITUTE(BZ52,"lw+",""),MROUND(_xlfn.SWITCH(BU52,"sq",BY$7,"bn",BZ$7,"dl",CA$7,"")*IF(BZ52&gt;10,BZ52/100,VLOOKUP(BZ52,_rpe,SUBSTITUTE(BY52,"+","")+1,0)),IF(_xlfn.SWITCH(BU52,"sq",BY$7,"bn",BZ$7,"dl",CA$7,"")&lt;IF(_uom="lbs",175,80),1.25,IF(_uom="lbs",5,2.5))))),"")</f>
        <v/>
      </c>
      <c s="70"/>
      <c s="63"/>
      <c s="97"/>
      <c s="44" t="str">
        <f>IFERROR(__xludf.DUMMYFUNCTION("IF(CA52=MAX(FILTER(CA$10:CA$199,LOOKUP(ROW(BU$10:BU$199),FILTER(ROW(BU$10:BU$199),BU$10:BU$199&lt;&gt;BU$9:BU$198))=LOOKUP(ROW(BU52),FILTER(ROW(BU$10:BU$199),BU$10:BU$199&lt;&gt;BU$9:BU$198)))),CB52,)"),"")</f>
        <v/>
      </c>
      <c s="42"/>
      <c s="81"/>
      <c s="64" t="str">
        <f t="shared" si="24"/>
        <v/>
      </c>
      <c s="65" t="str">
        <f>IFERROR(__xludf.DUMMYFUNCTION("""COMPUTED_VALUE"""),"")</f>
        <v/>
      </c>
      <c s="66">
        <f ca="1"/>
        <v>45250</v>
      </c>
      <c s="93" t="str">
        <f t="shared" si="44"/>
        <v/>
      </c>
      <c s="94" t="str">
        <f t="shared" si="226"/>
        <v/>
      </c>
      <c s="95" t="str">
        <f t="shared" si="273"/>
        <v/>
      </c>
      <c s="98" t="str">
        <f t="shared" si="274"/>
        <v/>
      </c>
      <c s="97" t="str">
        <f t="array" ref="CO52">IFERROR(IF(CI52="ac"+ISNUMBER(SEARCH("'",CN52))+CM52="","",IF(ISNUMBER(SEARCH("lw",CN52)),CA52+SUBSTITUTE(CN52,"lw+",""),MROUND(_xlfn.SWITCH(CI52,"sq",CM$7,"bn",CN$7,"dl",CO$7,"")*IF(CN52&gt;10,CN52/100,VLOOKUP(CN52,_rpe,SUBSTITUTE(CM52,"+","")+1,0)),IF(_xlfn.SWITCH(CI52,"sq",CM$7,"bn",CN$7,"dl",CO$7,"")&lt;IF(_uom="lbs",175,80),1.25,IF(_uom="lbs",5,2.5))))),"")</f>
        <v/>
      </c>
      <c s="70"/>
      <c s="63"/>
      <c s="97"/>
      <c s="44" t="str">
        <f>IFERROR(__xludf.DUMMYFUNCTION("IF(CO52=MAX(FILTER(CO$10:CO$199,LOOKUP(ROW(CI$10:CI$199),FILTER(ROW(CI$10:CI$199),CI$10:CI$199&lt;&gt;CI$9:CI$198))=LOOKUP(ROW(CI52),FILTER(ROW(CI$10:CI$199),CI$10:CI$199&lt;&gt;CI$9:CI$198)))),CP52,)"),"")</f>
        <v/>
      </c>
      <c s="42"/>
      <c s="81"/>
      <c s="64" t="str">
        <f t="shared" si="27"/>
        <v/>
      </c>
      <c s="65" t="str">
        <f>IFERROR(__xludf.DUMMYFUNCTION("""COMPUTED_VALUE"""),"")</f>
        <v/>
      </c>
      <c s="66">
        <f ca="1"/>
        <v>45257</v>
      </c>
      <c s="93" t="str">
        <f t="shared" si="45"/>
        <v/>
      </c>
      <c s="94" t="str">
        <f t="shared" si="196"/>
        <v/>
      </c>
      <c s="95" t="str">
        <f t="shared" si="275"/>
        <v/>
      </c>
      <c s="98" t="str">
        <f t="shared" si="229"/>
        <v/>
      </c>
      <c s="97" t="str">
        <f t="array" ref="DC52">IFERROR(IF(CW52="ac"+ISNUMBER(SEARCH("'",DB52))+DA52="","",IF(ISNUMBER(SEARCH("lw",DB52)),CO52+SUBSTITUTE(DB52,"lw+",""),MROUND(_xlfn.SWITCH(CW52,"sq",DA$7,"bn",DB$7,"dl",DC$7,"")*IF(DB52&gt;10,DB52/100,VLOOKUP(DB52,_rpe,SUBSTITUTE(DA52,"+","")+1,0)),IF(_xlfn.SWITCH(CW52,"sq",DA$7,"bn",DB$7,"dl",DC$7,"")&lt;IF(_uom="lbs",175,80),1.25,IF(_uom="lbs",5,2.5))))),"")</f>
        <v/>
      </c>
      <c s="70"/>
      <c s="63"/>
      <c s="97"/>
      <c s="44" t="str">
        <f>IFERROR(__xludf.DUMMYFUNCTION("IF(DC52=MAX(FILTER(DC$10:DC$199,LOOKUP(ROW(CW$10:CW$199),FILTER(ROW(CW$10:CW$199),CW$10:CW$199&lt;&gt;CW$9:CW$198))=LOOKUP(ROW(CW52),FILTER(ROW(CW$10:CW$199),CW$10:CW$199&lt;&gt;CW$9:CW$198)))),DD52,)"),"")</f>
        <v/>
      </c>
      <c s="42"/>
      <c s="81"/>
      <c s="64" t="str">
        <f t="shared" si="30"/>
        <v/>
      </c>
      <c s="65" t="str">
        <f>IFERROR(__xludf.DUMMYFUNCTION("""COMPUTED_VALUE"""),"")</f>
        <v/>
      </c>
      <c s="66">
        <f ca="1"/>
        <v>45264</v>
      </c>
      <c s="93" t="str">
        <f t="shared" si="46"/>
        <v/>
      </c>
      <c s="94" t="str">
        <f t="shared" si="230"/>
        <v/>
      </c>
      <c s="95" t="str">
        <f t="shared" si="276"/>
        <v/>
      </c>
      <c s="98" t="str">
        <f t="shared" si="277"/>
        <v/>
      </c>
      <c s="97" t="str">
        <f t="array" ref="DQ52">IFERROR(IF(DK52="ac"+ISNUMBER(SEARCH("'",DP52))+DO52="","",IF(ISNUMBER(SEARCH("lw",DP52)),DC52+SUBSTITUTE(DP52,"lw+",""),MROUND(_xlfn.SWITCH(DK52,"sq",DO$7,"bn",DP$7,"dl",DQ$7,"")*IF(DP52&gt;10,DP52/100,VLOOKUP(DP52,_rpe,SUBSTITUTE(DO52,"+","")+1,0)),IF(_xlfn.SWITCH(DK52,"sq",DO$7,"bn",DP$7,"dl",DQ$7,"")&lt;IF(_uom="lbs",175,80),1.25,IF(_uom="lbs",5,2.5))))),"")</f>
        <v/>
      </c>
      <c s="70"/>
      <c s="63"/>
      <c s="97"/>
      <c s="44" t="str">
        <f>IFERROR(__xludf.DUMMYFUNCTION("IF(DQ52=MAX(FILTER(DQ$10:DQ$199,LOOKUP(ROW(DK$10:DK$199),FILTER(ROW(DK$10:DK$199),DK$10:DK$199&lt;&gt;DK$9:DK$198))=LOOKUP(ROW(DK52),FILTER(ROW(DK$10:DK$199),DK$10:DK$199&lt;&gt;DK$9:DK$198)))),DR52,)"),"")</f>
        <v/>
      </c>
      <c s="42"/>
      <c s="81"/>
      <c s="64" t="str">
        <f t="shared" si="32"/>
        <v/>
      </c>
      <c s="65" t="str">
        <f>IFERROR(__xludf.DUMMYFUNCTION("""COMPUTED_VALUE"""),"")</f>
        <v/>
      </c>
      <c s="66">
        <f ca="1"/>
        <v>45271</v>
      </c>
      <c s="93" t="str">
        <f t="shared" si="47"/>
        <v/>
      </c>
      <c s="94" t="str">
        <f t="shared" si="233"/>
        <v/>
      </c>
      <c s="95" t="str">
        <f t="shared" si="278"/>
        <v/>
      </c>
      <c s="98" t="str">
        <f t="shared" si="279"/>
        <v/>
      </c>
      <c s="97" t="str">
        <f t="array" ref="EE52">IFERROR(IF(DY52="ac"+ISNUMBER(SEARCH("'",ED52))+EC52="","",IF(ISNUMBER(SEARCH("lw",ED52)),DQ52+SUBSTITUTE(ED52,"lw+",""),MROUND(_xlfn.SWITCH(DY52,"sq",EC$7,"bn",ED$7,"dl",EE$7,"")*IF(ED52&gt;10,ED52/100,VLOOKUP(ED52,_rpe,SUBSTITUTE(EC52,"+","")+1,0)),IF(_xlfn.SWITCH(DY52,"sq",EC$7,"bn",ED$7,"dl",EE$7,"")&lt;IF(_uom="lbs",175,80),1.25,IF(_uom="lbs",5,2.5))))),"")</f>
        <v/>
      </c>
      <c s="70"/>
      <c s="63"/>
      <c s="97"/>
      <c s="44" t="str">
        <f>IFERROR(__xludf.DUMMYFUNCTION("IF(EE52=MAX(FILTER(EE$10:EE$199,LOOKUP(ROW(DY$10:DY$199),FILTER(ROW(DY$10:DY$199),DY$10:DY$199&lt;&gt;DY$9:DY$198))=LOOKUP(ROW(DY52),FILTER(ROW(DY$10:DY$199),DY$10:DY$199&lt;&gt;DY$9:DY$198)))),EF52,)"),"")</f>
        <v/>
      </c>
      <c s="42"/>
      <c s="81"/>
      <c s="64" t="str">
        <f t="shared" si="34"/>
        <v/>
      </c>
      <c s="65" t="str">
        <f>IFERROR(__xludf.DUMMYFUNCTION("""COMPUTED_VALUE"""),"")</f>
        <v/>
      </c>
      <c s="66">
        <f ca="1"/>
        <v>45278</v>
      </c>
      <c s="93" t="str">
        <f t="shared" si="48"/>
        <v/>
      </c>
      <c s="94" t="str">
        <f t="shared" si="203"/>
        <v/>
      </c>
      <c s="95" t="str">
        <f t="shared" si="280"/>
        <v/>
      </c>
      <c s="98" t="str">
        <f t="shared" si="237"/>
        <v/>
      </c>
      <c s="97" t="str">
        <f t="array" ref="ES52">IFERROR(IF(EM52="ac"+ISNUMBER(SEARCH("'",ER52))+EQ52="","",IF(ISNUMBER(SEARCH("lw",ER52)),EE52+SUBSTITUTE(ER52,"lw+",""),MROUND(_xlfn.SWITCH(EM52,"sq",EQ$7,"bn",ER$7,"dl",ES$7,"")*IF(ER52&gt;10,ER52/100,VLOOKUP(ER52,_rpe,SUBSTITUTE(EQ52,"+","")+1,0)),IF(_xlfn.SWITCH(EM52,"sq",EQ$7,"bn",ER$7,"dl",ES$7,"")&lt;IF(_uom="lbs",175,80),1.25,IF(_uom="lbs",5,2.5))))),"")</f>
        <v/>
      </c>
      <c s="70"/>
      <c s="63"/>
      <c s="97"/>
      <c s="44" t="str">
        <f>IFERROR(__xludf.DUMMYFUNCTION("IF(ES52=MAX(FILTER(ES$10:ES$199,LOOKUP(ROW(EM$10:EM$199),FILTER(ROW(EM$10:EM$199),EM$10:EM$199&lt;&gt;EM$9:EM$198))=LOOKUP(ROW(EM52),FILTER(ROW(EM$10:EM$199),EM$10:EM$199&lt;&gt;EM$9:EM$198)))),ET52,)"),"")</f>
        <v/>
      </c>
      <c s="42"/>
      <c s="81"/>
      <c s="64" t="str">
        <f t="shared" si="36"/>
        <v/>
      </c>
      <c s="65" t="str">
        <f>IFERROR(__xludf.DUMMYFUNCTION("""COMPUTED_VALUE"""),"")</f>
        <v/>
      </c>
      <c s="66">
        <f ca="1"/>
        <v>45285</v>
      </c>
      <c s="93" t="str">
        <f t="shared" si="49"/>
        <v/>
      </c>
      <c s="94" t="str">
        <f t="shared" si="238"/>
        <v/>
      </c>
      <c s="95" t="str">
        <f t="shared" si="281"/>
        <v/>
      </c>
      <c s="98" t="str">
        <f t="shared" si="240"/>
        <v/>
      </c>
      <c s="97" t="str">
        <f t="array" ref="FG52">IFERROR(IF(FA52="ac"+ISNUMBER(SEARCH("'",FF52))+FE52="","",IF(ISNUMBER(SEARCH("lw",FF52)),ES52+SUBSTITUTE(FF52,"lw+",""),MROUND(_xlfn.SWITCH(FA52,"sq",FE$7,"bn",FF$7,"dl",FG$7,"")*IF(FF52&gt;10,FF52/100,VLOOKUP(FF52,_rpe,SUBSTITUTE(FE52,"+","")+1,0)),IF(_xlfn.SWITCH(FA52,"sq",FE$7,"bn",FF$7,"dl",FG$7,"")&lt;IF(_uom="lbs",175,80),1.25,IF(_uom="lbs",5,2.5))))),"")</f>
        <v/>
      </c>
      <c s="70"/>
      <c s="63"/>
      <c s="97"/>
      <c s="44" t="str">
        <f>IFERROR(__xludf.DUMMYFUNCTION("IF(FG52=MAX(FILTER(FG$10:FG$199,LOOKUP(ROW(FA$10:FA$199),FILTER(ROW(FA$10:FA$199),FA$10:FA$199&lt;&gt;FA$9:FA$198))=LOOKUP(ROW(FA52),FILTER(ROW(FA$10:FA$199),FA$10:FA$199&lt;&gt;FA$9:FA$198)))),FH52,)"),"")</f>
        <v/>
      </c>
      <c s="42"/>
      <c s="81"/>
      <c s="64" t="str">
        <f t="shared" si="38"/>
        <v/>
      </c>
      <c s="65" t="str">
        <f>IFERROR(__xludf.DUMMYFUNCTION("""COMPUTED_VALUE"""),"")</f>
        <v/>
      </c>
      <c s="66">
        <f ca="1"/>
        <v>45292</v>
      </c>
      <c s="93" t="str">
        <f t="shared" si="289" ref="FQ52:FR52">IF(ISBLANK(FC52),"",FC52)</f>
        <v/>
      </c>
      <c s="94" t="str">
        <f t="shared" si="289"/>
        <v/>
      </c>
      <c s="95" t="str">
        <f t="shared" si="283"/>
        <v/>
      </c>
      <c s="98" t="str">
        <f t="shared" si="284"/>
        <v/>
      </c>
      <c s="97" t="str">
        <f t="array" ref="FU52">IFERROR(IF(FO52="ac"+ISNUMBER(SEARCH("'",FT52))+FS52="","",IF(ISNUMBER(SEARCH("lw",FT52)),FG52+SUBSTITUTE(FT52,"lw+",""),MROUND(_xlfn.SWITCH(FO52,"sq",FS$7,"bn",FT$7,"dl",FU$7,"")*IF(FT52&gt;10,FT52/100,VLOOKUP(FT52,_rpe,SUBSTITUTE(FS52,"+","")+1,0)),IF(_xlfn.SWITCH(FO52,"sq",FS$7,"bn",FT$7,"dl",FU$7,"")&lt;IF(_uom="lbs",175,80),1.25,IF(_uom="lbs",5,2.5))))),"")</f>
        <v/>
      </c>
      <c s="70"/>
      <c s="63"/>
      <c s="97"/>
      <c s="44" t="str">
        <f>IFERROR(__xludf.DUMMYFUNCTION("IF(FU52=MAX(FILTER(FU$10:FU$199,LOOKUP(ROW(FO$10:FO$199),FILTER(ROW(FO$10:FO$199),FO$10:FO$199&lt;&gt;FO$9:FO$198))=LOOKUP(ROW(FO52),FILTER(ROW(FO$10:FO$199),FO$10:FO$199&lt;&gt;FO$9:FO$198)))),FV52,)"),"")</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53" spans="1:259" ht="15.75">
      <c r="A53" s="63"/>
      <c s="107"/>
      <c s="65" t="str">
        <f>IFERROR(__xludf.DUMMYFUNCTION("""COMPUTED_VALUE"""),"ac")</f>
        <v>ac</v>
      </c>
      <c s="66">
        <f ca="1"/>
        <v>45208</v>
      </c>
      <c s="93" t="s">
        <v>175</v>
      </c>
      <c s="94"/>
      <c s="95"/>
      <c s="96"/>
      <c s="97" t="str">
        <f t="array" ref="I53">IFERROR(IF(C53="ac"+ISNUMBER(SEARCH("'",H53))+G53="","",MROUND(_xlfn.SWITCH(C53,"sq",'Personal Info'!$O$15,"bn",'Personal Info'!$S$15,"dl",'Personal Info'!$W$15,"")*IF(H53&gt;10,H53/100,VLOOKUP(H53,_rpe,SUBSTITUTE(G53,"+","")+1,0)),IF(_xlfn.SWITCH(C53:C210,"sq",'Personal Info'!$O$15,"bn",'Personal Info'!$S$15,"dl",'Personal Info'!$W$15,"")&lt;IF(_uom="lbs",175,80),1.25,IF(_uom="lbs",5,2.5)))),"")</f>
        <v/>
      </c>
      <c s="70"/>
      <c s="63"/>
      <c s="97"/>
      <c s="44" t="str">
        <f>IFERROR(__xludf.DUMMYFUNCTION("IF(I53=MAX(FILTER(I$10:I$199,LOOKUP(ROW(C$10:C$199),FILTER(ROW(C$10:C$199),C$10:C$199&lt;&gt;C$9:C$198))=LOOKUP(ROW(C53),FILTER(ROW(C$10:C$199),C$10:C$199&lt;&gt;C$9:C$198)))),J53,)"),"")</f>
        <v/>
      </c>
      <c s="42"/>
      <c s="81"/>
      <c s="64" t="str">
        <f t="shared" si="11"/>
        <v/>
      </c>
      <c s="65" t="str">
        <f>IFERROR(__xludf.DUMMYFUNCTION("""COMPUTED_VALUE"""),"ac")</f>
        <v>ac</v>
      </c>
      <c s="66">
        <f ca="1"/>
        <v>45215</v>
      </c>
      <c s="93" t="str">
        <f t="shared" si="12"/>
        <v>Day 3</v>
      </c>
      <c s="94" t="str">
        <f t="shared" si="244"/>
        <v/>
      </c>
      <c s="95" t="str">
        <f t="shared" si="262"/>
        <v/>
      </c>
      <c s="98" t="str">
        <f t="shared" si="263"/>
        <v/>
      </c>
      <c s="97" t="str">
        <f t="array" ref="W53">IFERROR(IF(Q53="ac"+ISNUMBER(SEARCH("'",V53))+U53="","",IF(ISNUMBER(SEARCH("lw",V53)),I53+SUBSTITUTE(V53,"lw+",""),MROUND(_xlfn.SWITCH(Q53,"sq",U$7,"bn",V$7,"dl",W$7,"")*IF(V53&gt;10,V53/100,VLOOKUP(V53,_rpe,SUBSTITUTE(U53,"+","")+1,0)),IF(_xlfn.SWITCH(Q53,"sq",U$7,"bn",V$7,"dl",W$7,"")&lt;IF(_uom="lbs",175,80),1.25,IF(_uom="lbs",5,2.5))))),"")</f>
        <v/>
      </c>
      <c s="70"/>
      <c s="63"/>
      <c s="97"/>
      <c s="44" t="str">
        <f>IFERROR(__xludf.DUMMYFUNCTION("IF(W53=MAX(FILTER(W$10:W$199,LOOKUP(ROW(Q$10:Q$199),FILTER(ROW(Q$10:Q$199),Q$10:Q$199&lt;&gt;Q$9:Q$198))=LOOKUP(ROW(Q53),FILTER(ROW(Q$10:Q$199),Q$10:Q$199&lt;&gt;Q$9:Q$198)))),X53,)"),"")</f>
        <v/>
      </c>
      <c s="42"/>
      <c s="81"/>
      <c s="64" t="str">
        <f t="shared" si="14"/>
        <v/>
      </c>
      <c s="65" t="str">
        <f>IFERROR(__xludf.DUMMYFUNCTION("""COMPUTED_VALUE"""),"ac")</f>
        <v>ac</v>
      </c>
      <c s="66">
        <f ca="1"/>
        <v>45222</v>
      </c>
      <c s="93" t="str">
        <f t="shared" si="156"/>
        <v>Day 3</v>
      </c>
      <c s="94" t="str">
        <f t="shared" si="186"/>
        <v/>
      </c>
      <c s="95" t="str">
        <f t="shared" si="264"/>
        <v/>
      </c>
      <c s="98" t="str">
        <f t="shared" si="265"/>
        <v/>
      </c>
      <c s="97" t="str">
        <f t="array" ref="AK53">IFERROR(IF(AE53="ac"+ISNUMBER(SEARCH("'",AJ53))+AI53="","",IF(ISNUMBER(SEARCH("lw",AJ53)),W53+SUBSTITUTE(AJ53,"lw+",""),MROUND(_xlfn.SWITCH(AE53,"sq",AI$7,"bn",AJ$7,"dl",AK$7,"")*IF(AJ53&gt;10,AJ53/100,VLOOKUP(AJ53,_rpe,SUBSTITUTE(AI53,"+","")+1,0)),IF(_xlfn.SWITCH(AE53,"sq",AI$7,"bn",AJ$7,"dl",AK$7,"")&lt;IF(_uom="lbs",175,80),1.25,IF(_uom="lbs",5,2.5))))),"")</f>
        <v/>
      </c>
      <c s="70"/>
      <c s="63"/>
      <c s="97"/>
      <c s="44" t="str">
        <f>IFERROR(__xludf.DUMMYFUNCTION("IF(AK53=MAX(FILTER(AK$10:AK$199,LOOKUP(ROW(AE$10:AE$199),FILTER(ROW(AE$10:AE$199),AE$10:AE$199&lt;&gt;AE$9:AE$198))=LOOKUP(ROW(AE53),FILTER(ROW(AE$10:AE$199),AE$10:AE$199&lt;&gt;AE$9:AE$198)))),AL53,)"),"")</f>
        <v/>
      </c>
      <c s="42"/>
      <c s="81"/>
      <c s="64" t="str">
        <f t="shared" si="17"/>
        <v/>
      </c>
      <c s="65" t="str">
        <f>IFERROR(__xludf.DUMMYFUNCTION("""COMPUTED_VALUE"""),"ac")</f>
        <v>ac</v>
      </c>
      <c s="66">
        <f ca="1"/>
        <v>45229</v>
      </c>
      <c s="93" t="str">
        <f t="shared" si="157"/>
        <v>Day 3</v>
      </c>
      <c s="94" t="str">
        <f t="shared" si="188"/>
        <v/>
      </c>
      <c s="95" t="str">
        <f t="shared" si="266"/>
        <v/>
      </c>
      <c s="98" t="str">
        <f t="shared" si="219"/>
        <v/>
      </c>
      <c s="97" t="str">
        <f t="array" ref="AY53">IFERROR(IF(AS53="ac"+ISNUMBER(SEARCH("'",AX53))+AW53="","",IF(ISNUMBER(SEARCH("lw",AX53)),AK53+SUBSTITUTE(AX53,"lw+",""),MROUND(_xlfn.SWITCH(AS53,"sq",AW$7,"bn",AX$7,"dl",AY$7,"")*IF(AX53&gt;10,AX53/100,VLOOKUP(AX53,_rpe,SUBSTITUTE(AW53,"+","")+1,0)),IF(_xlfn.SWITCH(AS53,"sq",AW$7,"bn",AX$7,"dl",AY$7,"")&lt;IF(_uom="lbs",175,80),1.25,IF(_uom="lbs",5,2.5))))),"")</f>
        <v/>
      </c>
      <c s="70"/>
      <c s="63"/>
      <c s="97"/>
      <c s="44" t="str">
        <f>IFERROR(__xludf.DUMMYFUNCTION("IF(AY53=MAX(FILTER(AY$10:AY$199,LOOKUP(ROW(AS$10:AS$199),FILTER(ROW(AS$10:AS$199),AS$10:AS$199&lt;&gt;AS$9:AS$198))=LOOKUP(ROW(AS53),FILTER(ROW(AS$10:AS$199),AS$10:AS$199&lt;&gt;AS$9:AS$198)))),AZ53,)"),"")</f>
        <v/>
      </c>
      <c s="42"/>
      <c s="81"/>
      <c s="64" t="str">
        <f t="shared" si="19"/>
        <v/>
      </c>
      <c s="65" t="str">
        <f>IFERROR(__xludf.DUMMYFUNCTION("""COMPUTED_VALUE"""),"ac")</f>
        <v>ac</v>
      </c>
      <c s="66">
        <f ca="1"/>
        <v>45236</v>
      </c>
      <c s="93" t="str">
        <f t="shared" si="20"/>
        <v>Day 3</v>
      </c>
      <c s="94" t="str">
        <f t="shared" si="267"/>
        <v/>
      </c>
      <c s="95" t="str">
        <f t="shared" si="268"/>
        <v/>
      </c>
      <c s="98" t="str">
        <f t="shared" si="269"/>
        <v/>
      </c>
      <c s="97" t="str">
        <f t="array" ref="BM53">IFERROR(IF(BG53="ac"+ISNUMBER(SEARCH("'",BL53))+BK53="","",IF(ISNUMBER(SEARCH("lw",BL53)),AY53+SUBSTITUTE(BL53,"lw+",""),MROUND(_xlfn.SWITCH(BG53,"sq",BK$7,"bn",BL$7,"dl",BM$7,"")*IF(BL53&gt;10,BL53/100,VLOOKUP(BL53,_rpe,SUBSTITUTE(BK53,"+","")+1,0)),IF(_xlfn.SWITCH(BG53,"sq",BK$7,"bn",BL$7,"dl",BM$7,"")&lt;IF(_uom="lbs",175,80),1.25,IF(_uom="lbs",5,2.5))))),"")</f>
        <v/>
      </c>
      <c s="70"/>
      <c s="63"/>
      <c s="97"/>
      <c s="44" t="str">
        <f>IFERROR(__xludf.DUMMYFUNCTION("IF(BM53=MAX(FILTER(BM$10:BM$199,LOOKUP(ROW(BG$10:BG$199),FILTER(ROW(BG$10:BG$199),BG$10:BG$199&lt;&gt;BG$9:BG$198))=LOOKUP(ROW(BG53),FILTER(ROW(BG$10:BG$199),BG$10:BG$199&lt;&gt;BG$9:BG$198)))),BN53,)"),"")</f>
        <v/>
      </c>
      <c s="42"/>
      <c s="81"/>
      <c s="64" t="str">
        <f t="shared" si="21"/>
        <v/>
      </c>
      <c s="65" t="str">
        <f>IFERROR(__xludf.DUMMYFUNCTION("""COMPUTED_VALUE"""),"ac")</f>
        <v>ac</v>
      </c>
      <c s="66">
        <f ca="1"/>
        <v>45243</v>
      </c>
      <c s="93" t="str">
        <f t="shared" si="22"/>
        <v>Day 3</v>
      </c>
      <c s="94" t="str">
        <f t="shared" si="270"/>
        <v/>
      </c>
      <c s="95" t="str">
        <f t="shared" si="271"/>
        <v/>
      </c>
      <c s="98" t="str">
        <f t="shared" si="272"/>
        <v/>
      </c>
      <c s="97" t="str">
        <f t="array" ref="CA53">IFERROR(IF(BU53="ac"+ISNUMBER(SEARCH("'",BZ53))+BY53="","",IF(ISNUMBER(SEARCH("lw",BZ53)),BM53+SUBSTITUTE(BZ53,"lw+",""),MROUND(_xlfn.SWITCH(BU53,"sq",BY$7,"bn",BZ$7,"dl",CA$7,"")*IF(BZ53&gt;10,BZ53/100,VLOOKUP(BZ53,_rpe,SUBSTITUTE(BY53,"+","")+1,0)),IF(_xlfn.SWITCH(BU53,"sq",BY$7,"bn",BZ$7,"dl",CA$7,"")&lt;IF(_uom="lbs",175,80),1.25,IF(_uom="lbs",5,2.5))))),"")</f>
        <v/>
      </c>
      <c s="70"/>
      <c s="63"/>
      <c s="97"/>
      <c s="44" t="str">
        <f>IFERROR(__xludf.DUMMYFUNCTION("IF(CA53=MAX(FILTER(CA$10:CA$199,LOOKUP(ROW(BU$10:BU$199),FILTER(ROW(BU$10:BU$199),BU$10:BU$199&lt;&gt;BU$9:BU$198))=LOOKUP(ROW(BU53),FILTER(ROW(BU$10:BU$199),BU$10:BU$199&lt;&gt;BU$9:BU$198)))),CB53,)"),"")</f>
        <v/>
      </c>
      <c s="42"/>
      <c s="81"/>
      <c s="64" t="str">
        <f t="shared" si="24"/>
        <v/>
      </c>
      <c s="65" t="str">
        <f>IFERROR(__xludf.DUMMYFUNCTION("""COMPUTED_VALUE"""),"ac")</f>
        <v>ac</v>
      </c>
      <c s="66">
        <f ca="1"/>
        <v>45250</v>
      </c>
      <c s="93" t="str">
        <f t="shared" si="44"/>
        <v>Day 3</v>
      </c>
      <c s="94" t="str">
        <f t="shared" si="226"/>
        <v/>
      </c>
      <c s="95" t="str">
        <f t="shared" si="273"/>
        <v/>
      </c>
      <c s="98" t="str">
        <f t="shared" si="274"/>
        <v/>
      </c>
      <c s="97" t="str">
        <f t="array" ref="CO53">IFERROR(IF(CI53="ac"+ISNUMBER(SEARCH("'",CN53))+CM53="","",IF(ISNUMBER(SEARCH("lw",CN53)),CA53+SUBSTITUTE(CN53,"lw+",""),MROUND(_xlfn.SWITCH(CI53,"sq",CM$7,"bn",CN$7,"dl",CO$7,"")*IF(CN53&gt;10,CN53/100,VLOOKUP(CN53,_rpe,SUBSTITUTE(CM53,"+","")+1,0)),IF(_xlfn.SWITCH(CI53,"sq",CM$7,"bn",CN$7,"dl",CO$7,"")&lt;IF(_uom="lbs",175,80),1.25,IF(_uom="lbs",5,2.5))))),"")</f>
        <v/>
      </c>
      <c s="70"/>
      <c s="63"/>
      <c s="97"/>
      <c s="44" t="str">
        <f>IFERROR(__xludf.DUMMYFUNCTION("IF(CO53=MAX(FILTER(CO$10:CO$199,LOOKUP(ROW(CI$10:CI$199),FILTER(ROW(CI$10:CI$199),CI$10:CI$199&lt;&gt;CI$9:CI$198))=LOOKUP(ROW(CI53),FILTER(ROW(CI$10:CI$199),CI$10:CI$199&lt;&gt;CI$9:CI$198)))),CP53,)"),"")</f>
        <v/>
      </c>
      <c s="42"/>
      <c s="81"/>
      <c s="64" t="str">
        <f t="shared" si="27"/>
        <v/>
      </c>
      <c s="65" t="str">
        <f>IFERROR(__xludf.DUMMYFUNCTION("""COMPUTED_VALUE"""),"ac")</f>
        <v>ac</v>
      </c>
      <c s="66">
        <f ca="1"/>
        <v>45257</v>
      </c>
      <c s="93" t="str">
        <f t="shared" si="45"/>
        <v>Day 3</v>
      </c>
      <c s="94" t="str">
        <f t="shared" si="196"/>
        <v/>
      </c>
      <c s="95" t="str">
        <f t="shared" si="275"/>
        <v/>
      </c>
      <c s="98" t="str">
        <f t="shared" si="229"/>
        <v/>
      </c>
      <c s="97" t="str">
        <f t="array" ref="DC53">IFERROR(IF(CW53="ac"+ISNUMBER(SEARCH("'",DB53))+DA53="","",IF(ISNUMBER(SEARCH("lw",DB53)),CO53+SUBSTITUTE(DB53,"lw+",""),MROUND(_xlfn.SWITCH(CW53,"sq",DA$7,"bn",DB$7,"dl",DC$7,"")*IF(DB53&gt;10,DB53/100,VLOOKUP(DB53,_rpe,SUBSTITUTE(DA53,"+","")+1,0)),IF(_xlfn.SWITCH(CW53,"sq",DA$7,"bn",DB$7,"dl",DC$7,"")&lt;IF(_uom="lbs",175,80),1.25,IF(_uom="lbs",5,2.5))))),"")</f>
        <v/>
      </c>
      <c s="70"/>
      <c s="63"/>
      <c s="97"/>
      <c s="44" t="str">
        <f>IFERROR(__xludf.DUMMYFUNCTION("IF(DC53=MAX(FILTER(DC$10:DC$199,LOOKUP(ROW(CW$10:CW$199),FILTER(ROW(CW$10:CW$199),CW$10:CW$199&lt;&gt;CW$9:CW$198))=LOOKUP(ROW(CW53),FILTER(ROW(CW$10:CW$199),CW$10:CW$199&lt;&gt;CW$9:CW$198)))),DD53,)"),"")</f>
        <v/>
      </c>
      <c s="42"/>
      <c s="81"/>
      <c s="64" t="str">
        <f t="shared" si="30"/>
        <v/>
      </c>
      <c s="65" t="str">
        <f>IFERROR(__xludf.DUMMYFUNCTION("""COMPUTED_VALUE"""),"ac")</f>
        <v>ac</v>
      </c>
      <c s="66">
        <f ca="1"/>
        <v>45264</v>
      </c>
      <c s="93" t="str">
        <f t="shared" si="46"/>
        <v>Day 3</v>
      </c>
      <c s="94" t="str">
        <f t="shared" si="230"/>
        <v/>
      </c>
      <c s="95" t="str">
        <f t="shared" si="276"/>
        <v/>
      </c>
      <c s="98" t="str">
        <f t="shared" si="277"/>
        <v/>
      </c>
      <c s="97" t="str">
        <f t="array" ref="DQ53">IFERROR(IF(DK53="ac"+ISNUMBER(SEARCH("'",DP53))+DO53="","",IF(ISNUMBER(SEARCH("lw",DP53)),DC53+SUBSTITUTE(DP53,"lw+",""),MROUND(_xlfn.SWITCH(DK53,"sq",DO$7,"bn",DP$7,"dl",DQ$7,"")*IF(DP53&gt;10,DP53/100,VLOOKUP(DP53,_rpe,SUBSTITUTE(DO53,"+","")+1,0)),IF(_xlfn.SWITCH(DK53,"sq",DO$7,"bn",DP$7,"dl",DQ$7,"")&lt;IF(_uom="lbs",175,80),1.25,IF(_uom="lbs",5,2.5))))),"")</f>
        <v/>
      </c>
      <c s="70"/>
      <c s="63"/>
      <c s="97"/>
      <c s="44" t="str">
        <f>IFERROR(__xludf.DUMMYFUNCTION("IF(DQ53=MAX(FILTER(DQ$10:DQ$199,LOOKUP(ROW(DK$10:DK$199),FILTER(ROW(DK$10:DK$199),DK$10:DK$199&lt;&gt;DK$9:DK$198))=LOOKUP(ROW(DK53),FILTER(ROW(DK$10:DK$199),DK$10:DK$199&lt;&gt;DK$9:DK$198)))),DR53,)"),"")</f>
        <v/>
      </c>
      <c s="42"/>
      <c s="81"/>
      <c s="64" t="str">
        <f t="shared" si="32"/>
        <v/>
      </c>
      <c s="65" t="str">
        <f>IFERROR(__xludf.DUMMYFUNCTION("""COMPUTED_VALUE"""),"ac")</f>
        <v>ac</v>
      </c>
      <c s="66">
        <f ca="1"/>
        <v>45271</v>
      </c>
      <c s="93" t="str">
        <f t="shared" si="47"/>
        <v>Day 3</v>
      </c>
      <c s="94" t="str">
        <f t="shared" si="233"/>
        <v/>
      </c>
      <c s="95" t="str">
        <f t="shared" si="278"/>
        <v/>
      </c>
      <c s="98" t="str">
        <f t="shared" si="279"/>
        <v/>
      </c>
      <c s="97" t="str">
        <f t="array" ref="EE53">IFERROR(IF(DY53="ac"+ISNUMBER(SEARCH("'",ED53))+EC53="","",IF(ISNUMBER(SEARCH("lw",ED53)),DQ53+SUBSTITUTE(ED53,"lw+",""),MROUND(_xlfn.SWITCH(DY53,"sq",EC$7,"bn",ED$7,"dl",EE$7,"")*IF(ED53&gt;10,ED53/100,VLOOKUP(ED53,_rpe,SUBSTITUTE(EC53,"+","")+1,0)),IF(_xlfn.SWITCH(DY53,"sq",EC$7,"bn",ED$7,"dl",EE$7,"")&lt;IF(_uom="lbs",175,80),1.25,IF(_uom="lbs",5,2.5))))),"")</f>
        <v/>
      </c>
      <c s="70"/>
      <c s="63"/>
      <c s="97"/>
      <c s="44" t="str">
        <f>IFERROR(__xludf.DUMMYFUNCTION("IF(EE53=MAX(FILTER(EE$10:EE$199,LOOKUP(ROW(DY$10:DY$199),FILTER(ROW(DY$10:DY$199),DY$10:DY$199&lt;&gt;DY$9:DY$198))=LOOKUP(ROW(DY53),FILTER(ROW(DY$10:DY$199),DY$10:DY$199&lt;&gt;DY$9:DY$198)))),EF53,)"),"")</f>
        <v/>
      </c>
      <c s="42"/>
      <c s="81"/>
      <c s="64" t="str">
        <f t="shared" si="34"/>
        <v/>
      </c>
      <c s="65" t="str">
        <f>IFERROR(__xludf.DUMMYFUNCTION("""COMPUTED_VALUE"""),"ac")</f>
        <v>ac</v>
      </c>
      <c s="66">
        <f ca="1"/>
        <v>45278</v>
      </c>
      <c s="93" t="str">
        <f t="shared" si="48"/>
        <v>Day 3</v>
      </c>
      <c s="94" t="str">
        <f t="shared" si="203"/>
        <v/>
      </c>
      <c s="95" t="str">
        <f t="shared" si="280"/>
        <v/>
      </c>
      <c s="98" t="str">
        <f t="shared" si="237"/>
        <v/>
      </c>
      <c s="97" t="str">
        <f t="array" ref="ES53">IFERROR(IF(EM53="ac"+ISNUMBER(SEARCH("'",ER53))+EQ53="","",IF(ISNUMBER(SEARCH("lw",ER53)),EE53+SUBSTITUTE(ER53,"lw+",""),MROUND(_xlfn.SWITCH(EM53,"sq",EQ$7,"bn",ER$7,"dl",ES$7,"")*IF(ER53&gt;10,ER53/100,VLOOKUP(ER53,_rpe,SUBSTITUTE(EQ53,"+","")+1,0)),IF(_xlfn.SWITCH(EM53,"sq",EQ$7,"bn",ER$7,"dl",ES$7,"")&lt;IF(_uom="lbs",175,80),1.25,IF(_uom="lbs",5,2.5))))),"")</f>
        <v/>
      </c>
      <c s="70"/>
      <c s="63"/>
      <c s="97"/>
      <c s="44" t="str">
        <f>IFERROR(__xludf.DUMMYFUNCTION("IF(ES53=MAX(FILTER(ES$10:ES$199,LOOKUP(ROW(EM$10:EM$199),FILTER(ROW(EM$10:EM$199),EM$10:EM$199&lt;&gt;EM$9:EM$198))=LOOKUP(ROW(EM53),FILTER(ROW(EM$10:EM$199),EM$10:EM$199&lt;&gt;EM$9:EM$198)))),ET53,)"),"")</f>
        <v/>
      </c>
      <c s="42"/>
      <c s="81"/>
      <c s="64" t="str">
        <f t="shared" si="36"/>
        <v/>
      </c>
      <c s="65" t="str">
        <f>IFERROR(__xludf.DUMMYFUNCTION("""COMPUTED_VALUE"""),"ac")</f>
        <v>ac</v>
      </c>
      <c s="66">
        <f ca="1"/>
        <v>45285</v>
      </c>
      <c s="93" t="str">
        <f t="shared" si="49"/>
        <v>Day 3</v>
      </c>
      <c s="94" t="str">
        <f t="shared" si="238"/>
        <v/>
      </c>
      <c s="95" t="str">
        <f t="shared" si="281"/>
        <v/>
      </c>
      <c s="98" t="str">
        <f t="shared" si="240"/>
        <v/>
      </c>
      <c s="97" t="str">
        <f t="array" ref="FG53">IFERROR(IF(FA53="ac"+ISNUMBER(SEARCH("'",FF53))+FE53="","",IF(ISNUMBER(SEARCH("lw",FF53)),ES53+SUBSTITUTE(FF53,"lw+",""),MROUND(_xlfn.SWITCH(FA53,"sq",FE$7,"bn",FF$7,"dl",FG$7,"")*IF(FF53&gt;10,FF53/100,VLOOKUP(FF53,_rpe,SUBSTITUTE(FE53,"+","")+1,0)),IF(_xlfn.SWITCH(FA53,"sq",FE$7,"bn",FF$7,"dl",FG$7,"")&lt;IF(_uom="lbs",175,80),1.25,IF(_uom="lbs",5,2.5))))),"")</f>
        <v/>
      </c>
      <c s="70"/>
      <c s="63"/>
      <c s="97"/>
      <c s="44" t="str">
        <f>IFERROR(__xludf.DUMMYFUNCTION("IF(FG53=MAX(FILTER(FG$10:FG$199,LOOKUP(ROW(FA$10:FA$199),FILTER(ROW(FA$10:FA$199),FA$10:FA$199&lt;&gt;FA$9:FA$198))=LOOKUP(ROW(FA53),FILTER(ROW(FA$10:FA$199),FA$10:FA$199&lt;&gt;FA$9:FA$198)))),FH53,)"),"")</f>
        <v/>
      </c>
      <c s="42"/>
      <c s="81"/>
      <c s="64" t="str">
        <f t="shared" si="38"/>
        <v/>
      </c>
      <c s="65" t="str">
        <f>IFERROR(__xludf.DUMMYFUNCTION("""COMPUTED_VALUE"""),"ac")</f>
        <v>ac</v>
      </c>
      <c s="66">
        <f ca="1"/>
        <v>45292</v>
      </c>
      <c s="93" t="s">
        <v>176</v>
      </c>
      <c s="94"/>
      <c s="95"/>
      <c s="98"/>
      <c s="97" t="str">
        <f t="array" ref="FU53">IFERROR(IF(FO53="ac"+ISNUMBER(SEARCH("'",FT53))+FS53="","",IF(ISNUMBER(SEARCH("lw",FT53)),FG53+SUBSTITUTE(FT53,"lw+",""),MROUND(_xlfn.SWITCH(FO53,"sq",FS$7,"bn",FT$7,"dl",FU$7,"")*IF(FT53&gt;10,FT53/100,VLOOKUP(FT53,_rpe,SUBSTITUTE(FS53,"+","")+1,0)),IF(_xlfn.SWITCH(FO53,"sq",FS$7,"bn",FT$7,"dl",FU$7,"")&lt;IF(_uom="lbs",175,80),1.25,IF(_uom="lbs",5,2.5))))),"")</f>
        <v/>
      </c>
      <c s="70"/>
      <c s="63"/>
      <c s="97"/>
      <c s="44" t="str">
        <f>IFERROR(__xludf.DUMMYFUNCTION("IF(FU53=MAX(FILTER(FU$10:FU$199,LOOKUP(ROW(FO$10:FO$199),FILTER(ROW(FO$10:FO$199),FO$10:FO$199&lt;&gt;FO$9:FO$198))=LOOKUP(ROW(FO53),FILTER(ROW(FO$10:FO$199),FO$10:FO$199&lt;&gt;FO$9:FO$198)))),FV53,)"),"")</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54" spans="1:259" ht="15.75" collapsed="1">
      <c r="A54" s="63"/>
      <c s="64" t="s">
        <v>177</v>
      </c>
      <c s="65" t="str">
        <f>IFERROR(__xludf.DUMMYFUNCTION("""COMPUTED_VALUE"""),"sq")</f>
        <v>sq</v>
      </c>
      <c s="66">
        <f ca="1"/>
        <v>45208</v>
      </c>
      <c s="93" t="s">
        <v>123</v>
      </c>
      <c s="94">
        <v>3</v>
      </c>
      <c s="95">
        <v>5</v>
      </c>
      <c s="97" t="str">
        <f>IF(OR(gen="SELECT",gen="MALE"),"74% or @6","76% or @6")</f>
        <v>74% or @6</v>
      </c>
      <c s="97" t="str">
        <f t="array" ref="I54">IFERROR(IF(C54="ac"+ISNUMBER(SEARCH("'",H54))+G54="","",MROUND(_xlfn.SWITCH(C54,"sq",'Personal Info'!$O$15,"bn",'Personal Info'!$S$15,"dl",'Personal Info'!$W$15,"")*IF(H54&gt;10,H54/100,VLOOKUP(H54,_rpe,SUBSTITUTE(G54,"+","")+1,0)),IF(_xlfn.SWITCH(C54:C210,"sq",'Personal Info'!$O$15,"bn",'Personal Info'!$S$15,"dl",'Personal Info'!$W$15,"")&lt;IF(_uom="lbs",175,80),1.25,IF(_uom="lbs",5,2.5)))),"")</f>
        <v/>
      </c>
      <c s="70"/>
      <c s="63"/>
      <c s="97"/>
      <c s="44" t="str">
        <f>IFERROR(__xludf.DUMMYFUNCTION("IF(I54=MAX(FILTER(I$10:I$199,LOOKUP(ROW(C$10:C$199),FILTER(ROW(C$10:C$199),C$10:C$199&lt;&gt;C$9:C$198))=LOOKUP(ROW(C54),FILTER(ROW(C$10:C$199),C$10:C$199&lt;&gt;C$9:C$198)))),J54,)"),"")</f>
        <v/>
      </c>
      <c s="42"/>
      <c s="81"/>
      <c s="64" t="str">
        <f t="shared" si="11"/>
        <v>SQ 2: strength</v>
      </c>
      <c s="65" t="str">
        <f>IFERROR(__xludf.DUMMYFUNCTION("""COMPUTED_VALUE"""),"sq")</f>
        <v>sq</v>
      </c>
      <c s="66">
        <f ca="1"/>
        <v>45215</v>
      </c>
      <c s="93" t="str">
        <f t="shared" si="12"/>
        <v>Competition Squat</v>
      </c>
      <c s="94">
        <v>4</v>
      </c>
      <c s="95">
        <f t="shared" si="262"/>
        <v>5</v>
      </c>
      <c s="97" t="str">
        <f>IF(OR(gen="SELECT",gen="MALE"),"77% or @6.5","79% or @6.5")</f>
        <v>77% or @6.5</v>
      </c>
      <c s="97" t="str">
        <f t="array" ref="W54">IFERROR(IF(Q54="ac"+ISNUMBER(SEARCH("'",V54))+U54="","",IF(ISNUMBER(SEARCH("lw",V54)),I54+SUBSTITUTE(V54,"lw+",""),MROUND(_xlfn.SWITCH(Q54,"sq",U$7,"bn",V$7,"dl",W$7,"")*IF(V54&gt;10,V54/100,VLOOKUP(V54,_rpe,SUBSTITUTE(U54,"+","")+1,0)),IF(_xlfn.SWITCH(Q54,"sq",U$7,"bn",V$7,"dl",W$7,"")&lt;IF(_uom="lbs",175,80),1.25,IF(_uom="lbs",5,2.5))))),"")</f>
        <v/>
      </c>
      <c s="70"/>
      <c s="63"/>
      <c s="97"/>
      <c s="44" t="str">
        <f>IFERROR(__xludf.DUMMYFUNCTION("IF(W54=MAX(FILTER(W$10:W$199,LOOKUP(ROW(Q$10:Q$199),FILTER(ROW(Q$10:Q$199),Q$10:Q$199&lt;&gt;Q$9:Q$198))=LOOKUP(ROW(Q54),FILTER(ROW(Q$10:Q$199),Q$10:Q$199&lt;&gt;Q$9:Q$198)))),X54,)"),"")</f>
        <v/>
      </c>
      <c s="42"/>
      <c s="81"/>
      <c s="64" t="str">
        <f t="shared" si="14"/>
        <v>SQ 2: strength</v>
      </c>
      <c s="65" t="str">
        <f>IFERROR(__xludf.DUMMYFUNCTION("""COMPUTED_VALUE"""),"sq")</f>
        <v>sq</v>
      </c>
      <c s="66">
        <f ca="1"/>
        <v>45222</v>
      </c>
      <c s="93" t="str">
        <f t="shared" si="156"/>
        <v>Competition Squat</v>
      </c>
      <c s="94">
        <f t="shared" si="186"/>
        <v>4</v>
      </c>
      <c s="95">
        <f t="shared" si="264"/>
        <v>5</v>
      </c>
      <c s="98" t="str">
        <f>IF(OR(gen="SELECT",gen="MALE"),"79% or @7.5","81% or @7.5")</f>
        <v>79% or @7.5</v>
      </c>
      <c s="97" t="str">
        <f t="array" ref="AK54">IFERROR(IF(AE54="ac"+ISNUMBER(SEARCH("'",AJ54))+AI54="","",IF(ISNUMBER(SEARCH("lw",AJ54)),W54+SUBSTITUTE(AJ54,"lw+",""),MROUND(_xlfn.SWITCH(AE54,"sq",AI$7,"bn",AJ$7,"dl",AK$7,"")*IF(AJ54&gt;10,AJ54/100,VLOOKUP(AJ54,_rpe,SUBSTITUTE(AI54,"+","")+1,0)),IF(_xlfn.SWITCH(AE54,"sq",AI$7,"bn",AJ$7,"dl",AK$7,"")&lt;IF(_uom="lbs",175,80),1.25,IF(_uom="lbs",5,2.5))))),"")</f>
        <v/>
      </c>
      <c s="70"/>
      <c s="63"/>
      <c s="97"/>
      <c s="44" t="str">
        <f>IFERROR(__xludf.DUMMYFUNCTION("IF(AK54=MAX(FILTER(AK$10:AK$199,LOOKUP(ROW(AE$10:AE$199),FILTER(ROW(AE$10:AE$199),AE$10:AE$199&lt;&gt;AE$9:AE$198))=LOOKUP(ROW(AE54),FILTER(ROW(AE$10:AE$199),AE$10:AE$199&lt;&gt;AE$9:AE$198)))),AL54,)"),"")</f>
        <v/>
      </c>
      <c s="42"/>
      <c s="81"/>
      <c s="64" t="str">
        <f t="shared" si="17"/>
        <v>SQ 2: strength</v>
      </c>
      <c s="65" t="str">
        <f>IFERROR(__xludf.DUMMYFUNCTION("""COMPUTED_VALUE"""),"sq")</f>
        <v>sq</v>
      </c>
      <c s="66">
        <f ca="1"/>
        <v>45229</v>
      </c>
      <c s="93" t="str">
        <f t="shared" si="157"/>
        <v>Competition Squat</v>
      </c>
      <c s="94">
        <f t="shared" si="188"/>
        <v>4</v>
      </c>
      <c s="103" t="s">
        <v>178</v>
      </c>
      <c s="98" t="str">
        <f>IF(OR(gen="SELECT",gen="MALE"),"81% or @8","83% or @8")</f>
        <v>81% or @8</v>
      </c>
      <c s="97" t="str">
        <f t="array" ref="AY54">IFERROR(IF(AS54="ac"+ISNUMBER(SEARCH("'",AX54))+AW54="","",IF(ISNUMBER(SEARCH("lw",AX54)),AK54+SUBSTITUTE(AX54,"lw+",""),MROUND(_xlfn.SWITCH(AS54,"sq",AW$7,"bn",AX$7,"dl",AY$7,"")*IF(AX54&gt;10,AX54/100,VLOOKUP(AX54,_rpe,SUBSTITUTE(AW54,"+","")+1,0)),IF(_xlfn.SWITCH(AS54,"sq",AW$7,"bn",AX$7,"dl",AY$7,"")&lt;IF(_uom="lbs",175,80),1.25,IF(_uom="lbs",5,2.5))))),"")</f>
        <v/>
      </c>
      <c s="70"/>
      <c s="63"/>
      <c s="97"/>
      <c s="44" t="str">
        <f>IFERROR(__xludf.DUMMYFUNCTION("IF(AY54=MAX(FILTER(AY$10:AY$199,LOOKUP(ROW(AS$10:AS$199),FILTER(ROW(AS$10:AS$199),AS$10:AS$199&lt;&gt;AS$9:AS$198))=LOOKUP(ROW(AS54),FILTER(ROW(AS$10:AS$199),AS$10:AS$199&lt;&gt;AS$9:AS$198)))),AZ54,)"),"")</f>
        <v/>
      </c>
      <c s="42"/>
      <c s="81"/>
      <c s="64" t="str">
        <f t="shared" si="19"/>
        <v>SQ 2: strength</v>
      </c>
      <c s="65" t="str">
        <f>IFERROR(__xludf.DUMMYFUNCTION("""COMPUTED_VALUE"""),"sq")</f>
        <v>sq</v>
      </c>
      <c s="66">
        <f ca="1"/>
        <v>45236</v>
      </c>
      <c s="93" t="str">
        <f t="shared" si="20"/>
        <v>Competition Squat</v>
      </c>
      <c s="94">
        <v>3</v>
      </c>
      <c s="95">
        <v>3</v>
      </c>
      <c s="98" t="str">
        <f>IF(OR(gen="SELECT",gen="MALE"),"78% or @5","80% or @5")</f>
        <v>78% or @5</v>
      </c>
      <c s="97" t="str">
        <f t="array" ref="BM54">IFERROR(IF(BG54="ac"+ISNUMBER(SEARCH("'",BL54))+BK54="","",IF(ISNUMBER(SEARCH("lw",BL54)),AY54+SUBSTITUTE(BL54,"lw+",""),MROUND(_xlfn.SWITCH(BG54,"sq",BK$7,"bn",BL$7,"dl",BM$7,"")*IF(BL54&gt;10,BL54/100,VLOOKUP(BL54,_rpe,SUBSTITUTE(BK54,"+","")+1,0)),IF(_xlfn.SWITCH(BG54,"sq",BK$7,"bn",BL$7,"dl",BM$7,"")&lt;IF(_uom="lbs",175,80),1.25,IF(_uom="lbs",5,2.5))))),"")</f>
        <v/>
      </c>
      <c s="70"/>
      <c s="63"/>
      <c s="97"/>
      <c s="44" t="str">
        <f>IFERROR(__xludf.DUMMYFUNCTION("IF(BM54=MAX(FILTER(BM$10:BM$199,LOOKUP(ROW(BG$10:BG$199),FILTER(ROW(BG$10:BG$199),BG$10:BG$199&lt;&gt;BG$9:BG$198))=LOOKUP(ROW(BG54),FILTER(ROW(BG$10:BG$199),BG$10:BG$199&lt;&gt;BG$9:BG$198)))),BN54,)"),"")</f>
        <v/>
      </c>
      <c s="42"/>
      <c s="81"/>
      <c s="64" t="str">
        <f t="shared" si="21"/>
        <v>SQ 2: strength</v>
      </c>
      <c s="65" t="str">
        <f>IFERROR(__xludf.DUMMYFUNCTION("""COMPUTED_VALUE"""),"sq")</f>
        <v>sq</v>
      </c>
      <c s="66">
        <f ca="1"/>
        <v>45243</v>
      </c>
      <c s="93" t="str">
        <f t="shared" si="22"/>
        <v>Competition Squat</v>
      </c>
      <c s="94">
        <v>4</v>
      </c>
      <c s="95">
        <f t="shared" si="271"/>
        <v>3</v>
      </c>
      <c s="98" t="str">
        <f>IF(OR(gen="SELECT",gen="MALE"),"82% or @6.5","83% or @6.5")</f>
        <v>82% or @6.5</v>
      </c>
      <c s="97" t="str">
        <f t="array" ref="CA54">IFERROR(IF(BU54="ac"+ISNUMBER(SEARCH("'",BZ54))+BY54="","",IF(ISNUMBER(SEARCH("lw",BZ54)),BM54+SUBSTITUTE(BZ54,"lw+",""),MROUND(_xlfn.SWITCH(BU54,"sq",BY$7,"bn",BZ$7,"dl",CA$7,"")*IF(BZ54&gt;10,BZ54/100,VLOOKUP(BZ54,_rpe,SUBSTITUTE(BY54,"+","")+1,0)),IF(_xlfn.SWITCH(BU54,"sq",BY$7,"bn",BZ$7,"dl",CA$7,"")&lt;IF(_uom="lbs",175,80),1.25,IF(_uom="lbs",5,2.5))))),"")</f>
        <v/>
      </c>
      <c s="70"/>
      <c s="63"/>
      <c s="97"/>
      <c s="44" t="str">
        <f>IFERROR(__xludf.DUMMYFUNCTION("IF(CA54=MAX(FILTER(CA$10:CA$199,LOOKUP(ROW(BU$10:BU$199),FILTER(ROW(BU$10:BU$199),BU$10:BU$199&lt;&gt;BU$9:BU$198))=LOOKUP(ROW(BU54),FILTER(ROW(BU$10:BU$199),BU$10:BU$199&lt;&gt;BU$9:BU$198)))),CB54,)"),"")</f>
        <v/>
      </c>
      <c s="42"/>
      <c s="81"/>
      <c s="64" t="str">
        <f t="shared" si="24"/>
        <v>SQ 2: strength</v>
      </c>
      <c s="65" t="str">
        <f>IFERROR(__xludf.DUMMYFUNCTION("""COMPUTED_VALUE"""),"sq")</f>
        <v>sq</v>
      </c>
      <c s="66">
        <f ca="1"/>
        <v>45250</v>
      </c>
      <c s="93" t="str">
        <f t="shared" si="44"/>
        <v>Competition Squat</v>
      </c>
      <c s="94">
        <v>3</v>
      </c>
      <c s="95">
        <f t="shared" si="273"/>
        <v>3</v>
      </c>
      <c s="98" t="str">
        <f>IF(OR(gen="SELECT",gen="MALE"),"85% or @7.5","86% or @7.5")</f>
        <v>85% or @7.5</v>
      </c>
      <c s="97" t="str">
        <f t="array" ref="CO54">IFERROR(IF(CI54="ac"+ISNUMBER(SEARCH("'",CN54))+CM54="","",IF(ISNUMBER(SEARCH("lw",CN54)),CA54+SUBSTITUTE(CN54,"lw+",""),MROUND(_xlfn.SWITCH(CI54,"sq",CM$7,"bn",CN$7,"dl",CO$7,"")*IF(CN54&gt;10,CN54/100,VLOOKUP(CN54,_rpe,SUBSTITUTE(CM54,"+","")+1,0)),IF(_xlfn.SWITCH(CI54,"sq",CM$7,"bn",CN$7,"dl",CO$7,"")&lt;IF(_uom="lbs",175,80),1.25,IF(_uom="lbs",5,2.5))))),"")</f>
        <v/>
      </c>
      <c s="70"/>
      <c s="63"/>
      <c s="97"/>
      <c s="44" t="str">
        <f>IFERROR(__xludf.DUMMYFUNCTION("IF(CO54=MAX(FILTER(CO$10:CO$199,LOOKUP(ROW(CI$10:CI$199),FILTER(ROW(CI$10:CI$199),CI$10:CI$199&lt;&gt;CI$9:CI$198))=LOOKUP(ROW(CI54),FILTER(ROW(CI$10:CI$199),CI$10:CI$199&lt;&gt;CI$9:CI$198)))),CP54,)"),"")</f>
        <v/>
      </c>
      <c s="42"/>
      <c s="81"/>
      <c s="64" t="str">
        <f t="shared" si="27"/>
        <v>SQ 2: strength</v>
      </c>
      <c s="65" t="str">
        <f>IFERROR(__xludf.DUMMYFUNCTION("""COMPUTED_VALUE"""),"sq")</f>
        <v>sq</v>
      </c>
      <c s="66">
        <f ca="1"/>
        <v>45257</v>
      </c>
      <c s="93" t="str">
        <f t="shared" si="45"/>
        <v>Competition Squat</v>
      </c>
      <c s="94">
        <v>4</v>
      </c>
      <c s="95">
        <v>2</v>
      </c>
      <c s="98" t="str">
        <f>IF(OR(gen="SELECT",gen="MALE"),"87% or @7.5","88% or @7.5")</f>
        <v>87% or @7.5</v>
      </c>
      <c s="97" t="str">
        <f t="array" ref="DC54">IFERROR(IF(CW54="ac"+ISNUMBER(SEARCH("'",DB54))+DA54="","",IF(ISNUMBER(SEARCH("lw",DB54)),CO54+SUBSTITUTE(DB54,"lw+",""),MROUND(_xlfn.SWITCH(CW54,"sq",DA$7,"bn",DB$7,"dl",DC$7,"")*IF(DB54&gt;10,DB54/100,VLOOKUP(DB54,_rpe,SUBSTITUTE(DA54,"+","")+1,0)),IF(_xlfn.SWITCH(CW54,"sq",DA$7,"bn",DB$7,"dl",DC$7,"")&lt;IF(_uom="lbs",175,80),1.25,IF(_uom="lbs",5,2.5))))),"")</f>
        <v/>
      </c>
      <c s="70"/>
      <c s="63"/>
      <c s="97"/>
      <c s="44" t="str">
        <f>IFERROR(__xludf.DUMMYFUNCTION("IF(DC54=MAX(FILTER(DC$10:DC$199,LOOKUP(ROW(CW$10:CW$199),FILTER(ROW(CW$10:CW$199),CW$10:CW$199&lt;&gt;CW$9:CW$198))=LOOKUP(ROW(CW54),FILTER(ROW(CW$10:CW$199),CW$10:CW$199&lt;&gt;CW$9:CW$198)))),DD54,)"),"")</f>
        <v/>
      </c>
      <c s="42"/>
      <c s="81"/>
      <c s="64" t="str">
        <f t="shared" si="30"/>
        <v>SQ 2: strength</v>
      </c>
      <c s="65" t="str">
        <f>IFERROR(__xludf.DUMMYFUNCTION("""COMPUTED_VALUE"""),"sq")</f>
        <v>sq</v>
      </c>
      <c s="66">
        <f ca="1"/>
        <v>45264</v>
      </c>
      <c s="93" t="str">
        <f t="shared" si="46"/>
        <v>Competition Squat</v>
      </c>
      <c s="94">
        <v>1</v>
      </c>
      <c s="95">
        <v>3</v>
      </c>
      <c s="106" t="s">
        <v>164</v>
      </c>
      <c s="97" t="str">
        <f t="array" ref="DQ54">IFERROR(IF(DK54="ac"+ISNUMBER(SEARCH("'",DP54))+DO54="","",IF(ISNUMBER(SEARCH("lw",DP54)),DC54+SUBSTITUTE(DP54,"lw+",""),MROUND(_xlfn.SWITCH(DK54,"sq",DO$7,"bn",DP$7,"dl",DQ$7,"")*IF(DP54&gt;10,DP54/100,VLOOKUP(DP54,_rpe,SUBSTITUTE(DO54,"+","")+1,0)),IF(_xlfn.SWITCH(DK54,"sq",DO$7,"bn",DP$7,"dl",DQ$7,"")&lt;IF(_uom="lbs",175,80),1.25,IF(_uom="lbs",5,2.5))))),"")</f>
        <v/>
      </c>
      <c s="70"/>
      <c s="63"/>
      <c s="97"/>
      <c s="44" t="str">
        <f>IFERROR(__xludf.DUMMYFUNCTION("IF(DQ54=MAX(FILTER(DQ$10:DQ$199,LOOKUP(ROW(DK$10:DK$199),FILTER(ROW(DK$10:DK$199),DK$10:DK$199&lt;&gt;DK$9:DK$198))=LOOKUP(ROW(DK54),FILTER(ROW(DK$10:DK$199),DK$10:DK$199&lt;&gt;DK$9:DK$198)))),DR54,)"),"")</f>
        <v/>
      </c>
      <c s="42"/>
      <c s="81"/>
      <c s="64" t="str">
        <f t="shared" si="32"/>
        <v>SQ 2: strength</v>
      </c>
      <c s="65" t="str">
        <f>IFERROR(__xludf.DUMMYFUNCTION("""COMPUTED_VALUE"""),"sq")</f>
        <v>sq</v>
      </c>
      <c s="66">
        <f ca="1"/>
        <v>45271</v>
      </c>
      <c s="93" t="str">
        <f t="shared" si="47"/>
        <v>Competition Squat</v>
      </c>
      <c s="94">
        <v>3</v>
      </c>
      <c s="95">
        <v>4</v>
      </c>
      <c s="98" t="s">
        <v>179</v>
      </c>
      <c s="97" t="str">
        <f t="array" ref="EE54">IFERROR(IF(DY54="ac"+ISNUMBER(SEARCH("'",ED54))+EC54="","",IF(ISNUMBER(SEARCH("lw",ED54)),DQ54+SUBSTITUTE(ED54,"lw+",""),MROUND(_xlfn.SWITCH(DY54,"sq",EC$7,"bn",ED$7,"dl",EE$7,"")*IF(ED54&gt;10,ED54/100,VLOOKUP(ED54,_rpe,SUBSTITUTE(EC54,"+","")+1,0)),IF(_xlfn.SWITCH(DY54,"sq",EC$7,"bn",ED$7,"dl",EE$7,"")&lt;IF(_uom="lbs",175,80),1.25,IF(_uom="lbs",5,2.5))))),"")</f>
        <v/>
      </c>
      <c s="70"/>
      <c s="63"/>
      <c s="97"/>
      <c s="44" t="str">
        <f>IFERROR(__xludf.DUMMYFUNCTION("IF(EE54=MAX(FILTER(EE$10:EE$199,LOOKUP(ROW(DY$10:DY$199),FILTER(ROW(DY$10:DY$199),DY$10:DY$199&lt;&gt;DY$9:DY$198))=LOOKUP(ROW(DY54),FILTER(ROW(DY$10:DY$199),DY$10:DY$199&lt;&gt;DY$9:DY$198)))),EF54,)"),"")</f>
        <v/>
      </c>
      <c s="42"/>
      <c s="81"/>
      <c s="64" t="str">
        <f t="shared" si="34"/>
        <v>SQ 2: strength</v>
      </c>
      <c s="65" t="str">
        <f>IFERROR(__xludf.DUMMYFUNCTION("""COMPUTED_VALUE"""),"sq")</f>
        <v>sq</v>
      </c>
      <c s="66">
        <f ca="1"/>
        <v>45278</v>
      </c>
      <c s="93" t="str">
        <f t="shared" si="48"/>
        <v>Competition Squat</v>
      </c>
      <c s="94">
        <v>4</v>
      </c>
      <c s="95">
        <v>3</v>
      </c>
      <c s="98" t="s">
        <v>180</v>
      </c>
      <c s="97" t="str">
        <f t="array" ref="ES54">IFERROR(IF(EM54="ac"+ISNUMBER(SEARCH("'",ER54))+EQ54="","",IF(ISNUMBER(SEARCH("lw",ER54)),EE54+SUBSTITUTE(ER54,"lw+",""),MROUND(_xlfn.SWITCH(EM54,"sq",EQ$7,"bn",ER$7,"dl",ES$7,"")*IF(ER54&gt;10,ER54/100,VLOOKUP(ER54,_rpe,SUBSTITUTE(EQ54,"+","")+1,0)),IF(_xlfn.SWITCH(EM54,"sq",EQ$7,"bn",ER$7,"dl",ES$7,"")&lt;IF(_uom="lbs",175,80),1.25,IF(_uom="lbs",5,2.5))))),"")</f>
        <v/>
      </c>
      <c s="70"/>
      <c s="63"/>
      <c s="97"/>
      <c s="44" t="str">
        <f>IFERROR(__xludf.DUMMYFUNCTION("IF(ES54=MAX(FILTER(ES$10:ES$199,LOOKUP(ROW(EM$10:EM$199),FILTER(ROW(EM$10:EM$199),EM$10:EM$199&lt;&gt;EM$9:EM$198))=LOOKUP(ROW(EM54),FILTER(ROW(EM$10:EM$199),EM$10:EM$199&lt;&gt;EM$9:EM$198)))),ET54,)"),"")</f>
        <v/>
      </c>
      <c s="42"/>
      <c s="81"/>
      <c s="64" t="str">
        <f t="shared" si="36"/>
        <v>SQ 2: strength</v>
      </c>
      <c s="65" t="str">
        <f>IFERROR(__xludf.DUMMYFUNCTION("""COMPUTED_VALUE"""),"sq")</f>
        <v>sq</v>
      </c>
      <c s="66">
        <f ca="1"/>
        <v>45285</v>
      </c>
      <c s="93" t="str">
        <f t="shared" si="49"/>
        <v>Competition Squat</v>
      </c>
      <c s="94">
        <v>5</v>
      </c>
      <c s="95">
        <v>2</v>
      </c>
      <c s="98" t="s">
        <v>181</v>
      </c>
      <c s="97" t="str">
        <f t="array" ref="FG54">IFERROR(IF(FA54="ac"+ISNUMBER(SEARCH("'",FF54))+FE54="","",IF(ISNUMBER(SEARCH("lw",FF54)),ES54+SUBSTITUTE(FF54,"lw+",""),MROUND(_xlfn.SWITCH(FA54,"sq",FE$7,"bn",FF$7,"dl",FG$7,"")*IF(FF54&gt;10,FF54/100,VLOOKUP(FF54,_rpe,SUBSTITUTE(FE54,"+","")+1,0)),IF(_xlfn.SWITCH(FA54,"sq",FE$7,"bn",FF$7,"dl",FG$7,"")&lt;IF(_uom="lbs",175,80),1.25,IF(_uom="lbs",5,2.5))))),"")</f>
        <v/>
      </c>
      <c s="70"/>
      <c s="63"/>
      <c s="97"/>
      <c s="44" t="str">
        <f>IFERROR(__xludf.DUMMYFUNCTION("IF(FG54=MAX(FILTER(FG$10:FG$199,LOOKUP(ROW(FA$10:FA$199),FILTER(ROW(FA$10:FA$199),FA$10:FA$199&lt;&gt;FA$9:FA$198))=LOOKUP(ROW(FA54),FILTER(ROW(FA$10:FA$199),FA$10:FA$199&lt;&gt;FA$9:FA$198)))),FH54,)"),"")</f>
        <v/>
      </c>
      <c s="42"/>
      <c s="81"/>
      <c s="64" t="str">
        <f t="shared" si="38"/>
        <v>SQ 2: strength</v>
      </c>
      <c s="65" t="str">
        <f>IFERROR(__xludf.DUMMYFUNCTION("""COMPUTED_VALUE"""),"")</f>
        <v/>
      </c>
      <c s="66">
        <f ca="1"/>
        <v>45292</v>
      </c>
      <c s="93"/>
      <c s="94"/>
      <c s="95"/>
      <c s="98"/>
      <c s="97" t="str">
        <f t="array" ref="FU54">IFERROR(IF(FO54="ac"+ISNUMBER(SEARCH("'",FT54))+FS54="","",IF(ISNUMBER(SEARCH("lw",FT54)),FG54+SUBSTITUTE(FT54,"lw+",""),MROUND(_xlfn.SWITCH(FO54,"sq",FS$7,"bn",FT$7,"dl",FU$7,"")*IF(FT54&gt;10,FT54/100,VLOOKUP(FT54,_rpe,SUBSTITUTE(FS54,"+","")+1,0)),IF(_xlfn.SWITCH(FO54,"sq",FS$7,"bn",FT$7,"dl",FU$7,"")&lt;IF(_uom="lbs",175,80),1.25,IF(_uom="lbs",5,2.5))))),"")</f>
        <v/>
      </c>
      <c s="70"/>
      <c s="63"/>
      <c s="97"/>
      <c s="44" t="str">
        <f>IFERROR(__xludf.DUMMYFUNCTION("IF(FU54=MAX(FILTER(FU$10:FU$199,LOOKUP(ROW(FO$10:FO$199),FILTER(ROW(FO$10:FO$199),FO$10:FO$199&lt;&gt;FO$9:FO$198))=LOOKUP(ROW(FO54),FILTER(ROW(FO$10:FO$199),FO$10:FO$199&lt;&gt;FO$9:FO$198)))),FV54,)"),"")</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55" spans="1:259" ht="15.75" hidden="1" outlineLevel="1">
      <c r="A55" s="63"/>
      <c s="107"/>
      <c s="65" t="str">
        <f>IFERROR(__xludf.DUMMYFUNCTION("""COMPUTED_VALUE"""),"")</f>
        <v/>
      </c>
      <c s="66">
        <f ca="1"/>
        <v>45208</v>
      </c>
      <c s="108"/>
      <c s="94"/>
      <c s="95"/>
      <c s="96"/>
      <c s="97" t="str">
        <f t="array" ref="I55">IFERROR(IF(C55="ac"+ISNUMBER(SEARCH("'",H55))+G55="","",MROUND(_xlfn.SWITCH(C55,"sq",'Personal Info'!$O$15,"bn",'Personal Info'!$S$15,"dl",'Personal Info'!$W$15,"")*IF(H55&gt;10,H55/100,VLOOKUP(H55,_rpe,SUBSTITUTE(G55,"+","")+1,0)),IF(_xlfn.SWITCH(C55:C210,"sq",'Personal Info'!$O$15,"bn",'Personal Info'!$S$15,"dl",'Personal Info'!$W$15,"")&lt;IF(_uom="lbs",175,80),1.25,IF(_uom="lbs",5,2.5)))),"")</f>
        <v/>
      </c>
      <c s="70"/>
      <c s="63"/>
      <c s="97"/>
      <c s="44" t="str">
        <f>IFERROR(__xludf.DUMMYFUNCTION("IF(I55=MAX(FILTER(I$10:I$199,LOOKUP(ROW(C$10:C$199),FILTER(ROW(C$10:C$199),C$10:C$199&lt;&gt;C$9:C$198))=LOOKUP(ROW(C55),FILTER(ROW(C$10:C$199),C$10:C$199&lt;&gt;C$9:C$198)))),J55,)"),"")</f>
        <v/>
      </c>
      <c s="42"/>
      <c s="81"/>
      <c s="64" t="str">
        <f t="shared" si="11"/>
        <v/>
      </c>
      <c s="65" t="str">
        <f>IFERROR(__xludf.DUMMYFUNCTION("""COMPUTED_VALUE"""),"")</f>
        <v/>
      </c>
      <c s="66">
        <f ca="1"/>
        <v>45215</v>
      </c>
      <c s="93" t="str">
        <f t="shared" si="12"/>
        <v/>
      </c>
      <c s="94" t="str">
        <f t="shared" si="290" ref="T55:T57">IF(ISBLANK(F55),"",F55)</f>
        <v/>
      </c>
      <c s="95" t="str">
        <f t="shared" si="262"/>
        <v/>
      </c>
      <c s="98" t="str">
        <f t="shared" si="291" ref="V55:V57">IF(ISBLANK(H55),"",H55)</f>
        <v/>
      </c>
      <c s="97" t="str">
        <f t="array" ref="W55">IFERROR(IF(Q55="ac"+ISNUMBER(SEARCH("'",V55))+U55="","",IF(ISNUMBER(SEARCH("lw",V55)),I55+SUBSTITUTE(V55,"lw+",""),MROUND(_xlfn.SWITCH(Q55,"sq",U$7,"bn",V$7,"dl",W$7,"")*IF(V55&gt;10,V55/100,VLOOKUP(V55,_rpe,SUBSTITUTE(U55,"+","")+1,0)),IF(_xlfn.SWITCH(Q55,"sq",U$7,"bn",V$7,"dl",W$7,"")&lt;IF(_uom="lbs",175,80),1.25,IF(_uom="lbs",5,2.5))))),"")</f>
        <v/>
      </c>
      <c s="70"/>
      <c s="63"/>
      <c s="97"/>
      <c s="44" t="str">
        <f>IFERROR(__xludf.DUMMYFUNCTION("IF(W55=MAX(FILTER(W$10:W$199,LOOKUP(ROW(Q$10:Q$199),FILTER(ROW(Q$10:Q$199),Q$10:Q$199&lt;&gt;Q$9:Q$198))=LOOKUP(ROW(Q55),FILTER(ROW(Q$10:Q$199),Q$10:Q$199&lt;&gt;Q$9:Q$198)))),X55,)"),"")</f>
        <v/>
      </c>
      <c s="42"/>
      <c s="81"/>
      <c s="64" t="str">
        <f t="shared" si="14"/>
        <v/>
      </c>
      <c s="65" t="str">
        <f>IFERROR(__xludf.DUMMYFUNCTION("""COMPUTED_VALUE"""),"")</f>
        <v/>
      </c>
      <c s="66">
        <f ca="1"/>
        <v>45222</v>
      </c>
      <c s="93" t="str">
        <f t="shared" si="156"/>
        <v/>
      </c>
      <c s="94" t="str">
        <f t="shared" si="186"/>
        <v/>
      </c>
      <c s="95" t="str">
        <f t="shared" si="264"/>
        <v/>
      </c>
      <c s="98" t="str">
        <f t="shared" si="292" ref="AJ55:AJ57">IF(ISBLANK(V55),"",V55)</f>
        <v/>
      </c>
      <c s="97" t="str">
        <f t="array" ref="AK55">IFERROR(IF(AE55="ac"+ISNUMBER(SEARCH("'",AJ55))+AI55="","",IF(ISNUMBER(SEARCH("lw",AJ55)),W55+SUBSTITUTE(AJ55,"lw+",""),MROUND(_xlfn.SWITCH(AE55,"sq",AI$7,"bn",AJ$7,"dl",AK$7,"")*IF(AJ55&gt;10,AJ55/100,VLOOKUP(AJ55,_rpe,SUBSTITUTE(AI55,"+","")+1,0)),IF(_xlfn.SWITCH(AE55,"sq",AI$7,"bn",AJ$7,"dl",AK$7,"")&lt;IF(_uom="lbs",175,80),1.25,IF(_uom="lbs",5,2.5))))),"")</f>
        <v/>
      </c>
      <c s="70"/>
      <c s="63"/>
      <c s="97"/>
      <c s="44" t="str">
        <f>IFERROR(__xludf.DUMMYFUNCTION("IF(AK55=MAX(FILTER(AK$10:AK$199,LOOKUP(ROW(AE$10:AE$199),FILTER(ROW(AE$10:AE$199),AE$10:AE$199&lt;&gt;AE$9:AE$198))=LOOKUP(ROW(AE55),FILTER(ROW(AE$10:AE$199),AE$10:AE$199&lt;&gt;AE$9:AE$198)))),AL55,)"),"")</f>
        <v/>
      </c>
      <c s="42"/>
      <c s="81"/>
      <c s="64" t="str">
        <f t="shared" si="17"/>
        <v/>
      </c>
      <c s="65" t="str">
        <f>IFERROR(__xludf.DUMMYFUNCTION("""COMPUTED_VALUE"""),"")</f>
        <v/>
      </c>
      <c s="66">
        <f ca="1"/>
        <v>45229</v>
      </c>
      <c s="93" t="str">
        <f t="shared" si="157"/>
        <v/>
      </c>
      <c s="94" t="str">
        <f t="shared" si="188"/>
        <v/>
      </c>
      <c s="95" t="str">
        <f t="shared" si="293" ref="AW55:AW57">IF(OR(ISBLANK(AI55),AI55=""),"",AI55)</f>
        <v/>
      </c>
      <c s="98" t="str">
        <f t="shared" si="294" ref="AX55:AX75">IF(ISBLANK(AJ55),"",AJ55)</f>
        <v/>
      </c>
      <c s="97" t="str">
        <f t="array" ref="AY55">IFERROR(IF(AS55="ac"+ISNUMBER(SEARCH("'",AX55))+AW55="","",IF(ISNUMBER(SEARCH("lw",AX55)),AK55+SUBSTITUTE(AX55,"lw+",""),MROUND(_xlfn.SWITCH(AS55,"sq",AW$7,"bn",AX$7,"dl",AY$7,"")*IF(AX55&gt;10,AX55/100,VLOOKUP(AX55,_rpe,SUBSTITUTE(AW55,"+","")+1,0)),IF(_xlfn.SWITCH(AS55,"sq",AW$7,"bn",AX$7,"dl",AY$7,"")&lt;IF(_uom="lbs",175,80),1.25,IF(_uom="lbs",5,2.5))))),"")</f>
        <v/>
      </c>
      <c s="70"/>
      <c s="63"/>
      <c s="97"/>
      <c s="44" t="str">
        <f>IFERROR(__xludf.DUMMYFUNCTION("IF(AY55=MAX(FILTER(AY$10:AY$199,LOOKUP(ROW(AS$10:AS$199),FILTER(ROW(AS$10:AS$199),AS$10:AS$199&lt;&gt;AS$9:AS$198))=LOOKUP(ROW(AS55),FILTER(ROW(AS$10:AS$199),AS$10:AS$199&lt;&gt;AS$9:AS$198)))),AZ55,)"),"")</f>
        <v/>
      </c>
      <c s="42"/>
      <c s="81"/>
      <c s="64" t="str">
        <f t="shared" si="19"/>
        <v/>
      </c>
      <c s="65" t="str">
        <f>IFERROR(__xludf.DUMMYFUNCTION("""COMPUTED_VALUE"""),"")</f>
        <v/>
      </c>
      <c s="66">
        <f ca="1"/>
        <v>45236</v>
      </c>
      <c s="93" t="str">
        <f t="shared" si="20"/>
        <v/>
      </c>
      <c s="94" t="str">
        <f t="shared" si="295" ref="BJ55:BJ57">IF(ISBLANK(AV55),"",AV55)</f>
        <v/>
      </c>
      <c s="95" t="str">
        <f t="shared" si="296" ref="BK55:BK57">IF(OR(ISBLANK(AW55),AW55=""),"",AW55)</f>
        <v/>
      </c>
      <c s="98" t="str">
        <f t="shared" si="297" ref="BL55:BL57">IF(ISBLANK(AX55),"",AX55)</f>
        <v/>
      </c>
      <c s="97" t="str">
        <f t="array" ref="BM55">IFERROR(IF(BG55="ac"+ISNUMBER(SEARCH("'",BL55))+BK55="","",IF(ISNUMBER(SEARCH("lw",BL55)),AY55+SUBSTITUTE(BL55,"lw+",""),MROUND(_xlfn.SWITCH(BG55,"sq",BK$7,"bn",BL$7,"dl",BM$7,"")*IF(BL55&gt;10,BL55/100,VLOOKUP(BL55,_rpe,SUBSTITUTE(BK55,"+","")+1,0)),IF(_xlfn.SWITCH(BG55,"sq",BK$7,"bn",BL$7,"dl",BM$7,"")&lt;IF(_uom="lbs",175,80),1.25,IF(_uom="lbs",5,2.5))))),"")</f>
        <v/>
      </c>
      <c s="70"/>
      <c s="63"/>
      <c s="97"/>
      <c s="44" t="str">
        <f>IFERROR(__xludf.DUMMYFUNCTION("IF(BM55=MAX(FILTER(BM$10:BM$199,LOOKUP(ROW(BG$10:BG$199),FILTER(ROW(BG$10:BG$199),BG$10:BG$199&lt;&gt;BG$9:BG$198))=LOOKUP(ROW(BG55),FILTER(ROW(BG$10:BG$199),BG$10:BG$199&lt;&gt;BG$9:BG$198)))),BN55,)"),"")</f>
        <v/>
      </c>
      <c s="42"/>
      <c s="81"/>
      <c s="64" t="str">
        <f t="shared" si="21"/>
        <v/>
      </c>
      <c s="65" t="str">
        <f>IFERROR(__xludf.DUMMYFUNCTION("""COMPUTED_VALUE"""),"")</f>
        <v/>
      </c>
      <c s="66">
        <f ca="1"/>
        <v>45243</v>
      </c>
      <c s="93" t="str">
        <f t="shared" si="22"/>
        <v/>
      </c>
      <c s="94" t="str">
        <f t="shared" si="298" ref="BX55:BX57">IF(ISBLANK(BJ55),"",BJ55)</f>
        <v/>
      </c>
      <c s="95" t="str">
        <f t="shared" si="271"/>
        <v/>
      </c>
      <c s="98" t="str">
        <f t="shared" si="299" ref="BZ55:BZ57">IF(ISBLANK(BL55),"",BL55)</f>
        <v/>
      </c>
      <c s="97" t="str">
        <f t="array" ref="CA55">IFERROR(IF(BU55="ac"+ISNUMBER(SEARCH("'",BZ55))+BY55="","",IF(ISNUMBER(SEARCH("lw",BZ55)),BM55+SUBSTITUTE(BZ55,"lw+",""),MROUND(_xlfn.SWITCH(BU55,"sq",BY$7,"bn",BZ$7,"dl",CA$7,"")*IF(BZ55&gt;10,BZ55/100,VLOOKUP(BZ55,_rpe,SUBSTITUTE(BY55,"+","")+1,0)),IF(_xlfn.SWITCH(BU55,"sq",BY$7,"bn",BZ$7,"dl",CA$7,"")&lt;IF(_uom="lbs",175,80),1.25,IF(_uom="lbs",5,2.5))))),"")</f>
        <v/>
      </c>
      <c s="70"/>
      <c s="63"/>
      <c s="97"/>
      <c s="44" t="str">
        <f>IFERROR(__xludf.DUMMYFUNCTION("IF(CA55=MAX(FILTER(CA$10:CA$199,LOOKUP(ROW(BU$10:BU$199),FILTER(ROW(BU$10:BU$199),BU$10:BU$199&lt;&gt;BU$9:BU$198))=LOOKUP(ROW(BU55),FILTER(ROW(BU$10:BU$199),BU$10:BU$199&lt;&gt;BU$9:BU$198)))),CB55,)"),"")</f>
        <v/>
      </c>
      <c s="42"/>
      <c s="81"/>
      <c s="64" t="str">
        <f t="shared" si="24"/>
        <v/>
      </c>
      <c s="65" t="str">
        <f>IFERROR(__xludf.DUMMYFUNCTION("""COMPUTED_VALUE"""),"")</f>
        <v/>
      </c>
      <c s="66">
        <f ca="1"/>
        <v>45250</v>
      </c>
      <c s="93" t="str">
        <f t="shared" si="44"/>
        <v/>
      </c>
      <c s="94" t="str">
        <f t="shared" si="300" ref="CL55:CL76">IF(ISBLANK(BX55),"",BX55)</f>
        <v/>
      </c>
      <c s="95" t="str">
        <f t="shared" si="273"/>
        <v/>
      </c>
      <c s="98" t="str">
        <f t="shared" si="301" ref="CN55:CN57">IF(ISBLANK(BZ55),"",BZ55)</f>
        <v/>
      </c>
      <c s="97" t="str">
        <f t="array" ref="CO55">IFERROR(IF(CI55="ac"+ISNUMBER(SEARCH("'",CN55))+CM55="","",IF(ISNUMBER(SEARCH("lw",CN55)),CA55+SUBSTITUTE(CN55,"lw+",""),MROUND(_xlfn.SWITCH(CI55,"sq",CM$7,"bn",CN$7,"dl",CO$7,"")*IF(CN55&gt;10,CN55/100,VLOOKUP(CN55,_rpe,SUBSTITUTE(CM55,"+","")+1,0)),IF(_xlfn.SWITCH(CI55,"sq",CM$7,"bn",CN$7,"dl",CO$7,"")&lt;IF(_uom="lbs",175,80),1.25,IF(_uom="lbs",5,2.5))))),"")</f>
        <v/>
      </c>
      <c s="70"/>
      <c s="63"/>
      <c s="97"/>
      <c s="44" t="str">
        <f>IFERROR(__xludf.DUMMYFUNCTION("IF(CO55=MAX(FILTER(CO$10:CO$199,LOOKUP(ROW(CI$10:CI$199),FILTER(ROW(CI$10:CI$199),CI$10:CI$199&lt;&gt;CI$9:CI$198))=LOOKUP(ROW(CI55),FILTER(ROW(CI$10:CI$199),CI$10:CI$199&lt;&gt;CI$9:CI$198)))),CP55,)"),"")</f>
        <v/>
      </c>
      <c s="42"/>
      <c s="81"/>
      <c s="64" t="str">
        <f t="shared" si="27"/>
        <v/>
      </c>
      <c s="65" t="str">
        <f>IFERROR(__xludf.DUMMYFUNCTION("""COMPUTED_VALUE"""),"")</f>
        <v/>
      </c>
      <c s="66">
        <f ca="1"/>
        <v>45257</v>
      </c>
      <c s="93" t="str">
        <f t="shared" si="45"/>
        <v/>
      </c>
      <c s="94" t="str">
        <f t="shared" si="302" ref="CZ55:CZ76">IF(ISBLANK(CL55),"",CL55)</f>
        <v/>
      </c>
      <c s="95" t="str">
        <f t="shared" si="303" ref="DA55:DA57">IF(OR(ISBLANK(CM55),CM55=""),"",CM55)</f>
        <v/>
      </c>
      <c s="98" t="str">
        <f t="shared" si="304" ref="DB55:DB75">IF(ISBLANK(CN55),"",CN55)</f>
        <v/>
      </c>
      <c s="97" t="str">
        <f t="array" ref="DC55">IFERROR(IF(CW55="ac"+ISNUMBER(SEARCH("'",DB55))+DA55="","",IF(ISNUMBER(SEARCH("lw",DB55)),CO55+SUBSTITUTE(DB55,"lw+",""),MROUND(_xlfn.SWITCH(CW55,"sq",DA$7,"bn",DB$7,"dl",DC$7,"")*IF(DB55&gt;10,DB55/100,VLOOKUP(DB55,_rpe,SUBSTITUTE(DA55,"+","")+1,0)),IF(_xlfn.SWITCH(CW55,"sq",DA$7,"bn",DB$7,"dl",DC$7,"")&lt;IF(_uom="lbs",175,80),1.25,IF(_uom="lbs",5,2.5))))),"")</f>
        <v/>
      </c>
      <c s="70"/>
      <c s="63"/>
      <c s="97"/>
      <c s="44" t="str">
        <f>IFERROR(__xludf.DUMMYFUNCTION("IF(DC55=MAX(FILTER(DC$10:DC$199,LOOKUP(ROW(CW$10:CW$199),FILTER(ROW(CW$10:CW$199),CW$10:CW$199&lt;&gt;CW$9:CW$198))=LOOKUP(ROW(CW55),FILTER(ROW(CW$10:CW$199),CW$10:CW$199&lt;&gt;CW$9:CW$198)))),DD55,)"),"")</f>
        <v/>
      </c>
      <c s="42"/>
      <c s="81"/>
      <c s="64" t="str">
        <f t="shared" si="30"/>
        <v/>
      </c>
      <c s="65" t="str">
        <f>IFERROR(__xludf.DUMMYFUNCTION("""COMPUTED_VALUE"""),"")</f>
        <v/>
      </c>
      <c s="66">
        <f ca="1"/>
        <v>45264</v>
      </c>
      <c s="93" t="str">
        <f t="shared" si="46"/>
        <v/>
      </c>
      <c s="94" t="str">
        <f t="shared" si="305" ref="DN55:DN76">IF(ISBLANK(CZ55),"",CZ55)</f>
        <v/>
      </c>
      <c s="95" t="str">
        <f t="shared" si="306" ref="DO55:DO57">IF(OR(ISBLANK(DA55),DA55=""),"",DA55)</f>
        <v/>
      </c>
      <c s="98" t="str">
        <f t="shared" si="307" ref="DP55:DP57">IF(ISBLANK(DB55),"",DB55)</f>
        <v/>
      </c>
      <c s="97" t="str">
        <f t="array" ref="DQ55">IFERROR(IF(DK55="ac"+ISNUMBER(SEARCH("'",DP55))+DO55="","",IF(ISNUMBER(SEARCH("lw",DP55)),DC55+SUBSTITUTE(DP55,"lw+",""),MROUND(_xlfn.SWITCH(DK55,"sq",DO$7,"bn",DP$7,"dl",DQ$7,"")*IF(DP55&gt;10,DP55/100,VLOOKUP(DP55,_rpe,SUBSTITUTE(DO55,"+","")+1,0)),IF(_xlfn.SWITCH(DK55,"sq",DO$7,"bn",DP$7,"dl",DQ$7,"")&lt;IF(_uom="lbs",175,80),1.25,IF(_uom="lbs",5,2.5))))),"")</f>
        <v/>
      </c>
      <c s="70"/>
      <c s="63"/>
      <c s="97"/>
      <c s="44" t="str">
        <f>IFERROR(__xludf.DUMMYFUNCTION("IF(DQ55=MAX(FILTER(DQ$10:DQ$199,LOOKUP(ROW(DK$10:DK$199),FILTER(ROW(DK$10:DK$199),DK$10:DK$199&lt;&gt;DK$9:DK$198))=LOOKUP(ROW(DK55),FILTER(ROW(DK$10:DK$199),DK$10:DK$199&lt;&gt;DK$9:DK$198)))),DR55,)"),"")</f>
        <v/>
      </c>
      <c s="42"/>
      <c s="81"/>
      <c s="64" t="str">
        <f t="shared" si="32"/>
        <v/>
      </c>
      <c s="65" t="str">
        <f>IFERROR(__xludf.DUMMYFUNCTION("""COMPUTED_VALUE"""),"")</f>
        <v/>
      </c>
      <c s="66">
        <f ca="1"/>
        <v>45271</v>
      </c>
      <c s="93" t="str">
        <f t="shared" si="47"/>
        <v/>
      </c>
      <c s="94" t="str">
        <f t="shared" si="308" ref="EB55:EB76">IF(ISBLANK(DN55),"",DN55)</f>
        <v/>
      </c>
      <c s="95" t="str">
        <f t="shared" si="309" ref="EC55:EC57">IF(OR(ISBLANK(DO55),DO55=""),"",DO55)</f>
        <v/>
      </c>
      <c s="98" t="str">
        <f t="shared" si="310" ref="ED55:ED57">IF(ISBLANK(DP55),"",DP55)</f>
        <v/>
      </c>
      <c s="97" t="str">
        <f t="array" ref="EE55">IFERROR(IF(DY55="ac"+ISNUMBER(SEARCH("'",ED55))+EC55="","",IF(ISNUMBER(SEARCH("lw",ED55)),DQ55+SUBSTITUTE(ED55,"lw+",""),MROUND(_xlfn.SWITCH(DY55,"sq",EC$7,"bn",ED$7,"dl",EE$7,"")*IF(ED55&gt;10,ED55/100,VLOOKUP(ED55,_rpe,SUBSTITUTE(EC55,"+","")+1,0)),IF(_xlfn.SWITCH(DY55,"sq",EC$7,"bn",ED$7,"dl",EE$7,"")&lt;IF(_uom="lbs",175,80),1.25,IF(_uom="lbs",5,2.5))))),"")</f>
        <v/>
      </c>
      <c s="70"/>
      <c s="63"/>
      <c s="97"/>
      <c s="44" t="str">
        <f>IFERROR(__xludf.DUMMYFUNCTION("IF(EE55=MAX(FILTER(EE$10:EE$199,LOOKUP(ROW(DY$10:DY$199),FILTER(ROW(DY$10:DY$199),DY$10:DY$199&lt;&gt;DY$9:DY$198))=LOOKUP(ROW(DY55),FILTER(ROW(DY$10:DY$199),DY$10:DY$199&lt;&gt;DY$9:DY$198)))),EF55,)"),"")</f>
        <v/>
      </c>
      <c s="42"/>
      <c s="81"/>
      <c s="64" t="str">
        <f t="shared" si="34"/>
        <v/>
      </c>
      <c s="65" t="str">
        <f>IFERROR(__xludf.DUMMYFUNCTION("""COMPUTED_VALUE"""),"")</f>
        <v/>
      </c>
      <c s="66">
        <f ca="1"/>
        <v>45278</v>
      </c>
      <c s="93" t="str">
        <f t="shared" si="48"/>
        <v/>
      </c>
      <c s="94" t="str">
        <f t="shared" si="311" ref="EP55:EP76">IF(ISBLANK(EB55),"",EB55)</f>
        <v/>
      </c>
      <c s="95" t="str">
        <f t="shared" si="312" ref="EQ55:EQ57">IF(OR(ISBLANK(EC55),EC55=""),"",EC55)</f>
        <v/>
      </c>
      <c s="98" t="str">
        <f t="shared" si="313" ref="ER55:ER75">IF(ISBLANK(ED55),"",ED55)</f>
        <v/>
      </c>
      <c s="97" t="str">
        <f t="array" ref="ES55">IFERROR(IF(EM55="ac"+ISNUMBER(SEARCH("'",ER55))+EQ55="","",IF(ISNUMBER(SEARCH("lw",ER55)),EE55+SUBSTITUTE(ER55,"lw+",""),MROUND(_xlfn.SWITCH(EM55,"sq",EQ$7,"bn",ER$7,"dl",ES$7,"")*IF(ER55&gt;10,ER55/100,VLOOKUP(ER55,_rpe,SUBSTITUTE(EQ55,"+","")+1,0)),IF(_xlfn.SWITCH(EM55,"sq",EQ$7,"bn",ER$7,"dl",ES$7,"")&lt;IF(_uom="lbs",175,80),1.25,IF(_uom="lbs",5,2.5))))),"")</f>
        <v/>
      </c>
      <c s="70"/>
      <c s="63"/>
      <c s="97"/>
      <c s="44" t="str">
        <f>IFERROR(__xludf.DUMMYFUNCTION("IF(ES55=MAX(FILTER(ES$10:ES$199,LOOKUP(ROW(EM$10:EM$199),FILTER(ROW(EM$10:EM$199),EM$10:EM$199&lt;&gt;EM$9:EM$198))=LOOKUP(ROW(EM55),FILTER(ROW(EM$10:EM$199),EM$10:EM$199&lt;&gt;EM$9:EM$198)))),ET55,)"),"")</f>
        <v/>
      </c>
      <c s="42"/>
      <c s="81"/>
      <c s="64" t="str">
        <f t="shared" si="36"/>
        <v/>
      </c>
      <c s="65" t="str">
        <f>IFERROR(__xludf.DUMMYFUNCTION("""COMPUTED_VALUE"""),"")</f>
        <v/>
      </c>
      <c s="66">
        <f ca="1"/>
        <v>45285</v>
      </c>
      <c s="93" t="str">
        <f t="shared" si="49"/>
        <v/>
      </c>
      <c s="94" t="str">
        <f t="shared" si="314" ref="FD55:FD76">IF(ISBLANK(EP55),"",EP55)</f>
        <v/>
      </c>
      <c s="95" t="str">
        <f t="shared" si="315" ref="FE55:FE57">IF(OR(ISBLANK(EQ55),EQ55=""),"",EQ55)</f>
        <v/>
      </c>
      <c s="98" t="str">
        <f t="shared" si="316" ref="FF55:FF75">IF(ISBLANK(ER55),"",ER55)</f>
        <v/>
      </c>
      <c s="97" t="str">
        <f t="array" ref="FG55">IFERROR(IF(FA55="ac"+ISNUMBER(SEARCH("'",FF55))+FE55="","",IF(ISNUMBER(SEARCH("lw",FF55)),ES55+SUBSTITUTE(FF55,"lw+",""),MROUND(_xlfn.SWITCH(FA55,"sq",FE$7,"bn",FF$7,"dl",FG$7,"")*IF(FF55&gt;10,FF55/100,VLOOKUP(FF55,_rpe,SUBSTITUTE(FE55,"+","")+1,0)),IF(_xlfn.SWITCH(FA55,"sq",FE$7,"bn",FF$7,"dl",FG$7,"")&lt;IF(_uom="lbs",175,80),1.25,IF(_uom="lbs",5,2.5))))),"")</f>
        <v/>
      </c>
      <c s="70"/>
      <c s="63"/>
      <c s="97"/>
      <c s="44" t="str">
        <f>IFERROR(__xludf.DUMMYFUNCTION("IF(FG55=MAX(FILTER(FG$10:FG$199,LOOKUP(ROW(FA$10:FA$199),FILTER(ROW(FA$10:FA$199),FA$10:FA$199&lt;&gt;FA$9:FA$198))=LOOKUP(ROW(FA55),FILTER(ROW(FA$10:FA$199),FA$10:FA$199&lt;&gt;FA$9:FA$198)))),FH55,)"),"")</f>
        <v/>
      </c>
      <c s="42"/>
      <c s="81"/>
      <c s="64" t="str">
        <f t="shared" si="38"/>
        <v/>
      </c>
      <c s="65" t="str">
        <f>IFERROR(__xludf.DUMMYFUNCTION("""COMPUTED_VALUE"""),"")</f>
        <v/>
      </c>
      <c s="66">
        <f ca="1"/>
        <v>45292</v>
      </c>
      <c s="93" t="str">
        <f t="shared" si="317" ref="FQ55:FR55">IF(ISBLANK(FC55),"",FC55)</f>
        <v/>
      </c>
      <c s="94" t="str">
        <f t="shared" si="317"/>
        <v/>
      </c>
      <c s="95" t="str">
        <f t="shared" si="318" ref="FS55:FS57">IF(OR(ISBLANK(FE55),FE55=""),"",FE55)</f>
        <v/>
      </c>
      <c s="98" t="str">
        <f t="shared" si="319" ref="FT55:FT57">IF(ISBLANK(FF55),"",FF55)</f>
        <v/>
      </c>
      <c s="97" t="str">
        <f t="array" ref="FU55">IFERROR(IF(FO55="ac"+ISNUMBER(SEARCH("'",FT55))+FS55="","",IF(ISNUMBER(SEARCH("lw",FT55)),FG55+SUBSTITUTE(FT55,"lw+",""),MROUND(_xlfn.SWITCH(FO55,"sq",FS$7,"bn",FT$7,"dl",FU$7,"")*IF(FT55&gt;10,FT55/100,VLOOKUP(FT55,_rpe,SUBSTITUTE(FS55,"+","")+1,0)),IF(_xlfn.SWITCH(FO55,"sq",FS$7,"bn",FT$7,"dl",FU$7,"")&lt;IF(_uom="lbs",175,80),1.25,IF(_uom="lbs",5,2.5))))),"")</f>
        <v/>
      </c>
      <c s="70"/>
      <c s="63"/>
      <c s="97"/>
      <c s="44" t="str">
        <f>IFERROR(__xludf.DUMMYFUNCTION("IF(FU55=MAX(FILTER(FU$10:FU$199,LOOKUP(ROW(FO$10:FO$199),FILTER(ROW(FO$10:FO$199),FO$10:FO$199&lt;&gt;FO$9:FO$198))=LOOKUP(ROW(FO55),FILTER(ROW(FO$10:FO$199),FO$10:FO$199&lt;&gt;FO$9:FO$198)))),FV55,)"),"")</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56" spans="1:259" ht="15.75" hidden="1" outlineLevel="1">
      <c r="A56" s="63"/>
      <c s="107"/>
      <c s="65" t="str">
        <f>IFERROR(__xludf.DUMMYFUNCTION("""COMPUTED_VALUE"""),"")</f>
        <v/>
      </c>
      <c s="66">
        <f ca="1"/>
        <v>45208</v>
      </c>
      <c s="108"/>
      <c s="94"/>
      <c s="95"/>
      <c s="96"/>
      <c s="97" t="str">
        <f t="array" ref="I56">IFERROR(IF(C56="ac"+ISNUMBER(SEARCH("'",H56))+G56="","",MROUND(_xlfn.SWITCH(C56,"sq",'Personal Info'!$O$15,"bn",'Personal Info'!$S$15,"dl",'Personal Info'!$W$15,"")*IF(H56&gt;10,H56/100,VLOOKUP(H56,_rpe,SUBSTITUTE(G56,"+","")+1,0)),IF(_xlfn.SWITCH(C56:C210,"sq",'Personal Info'!$O$15,"bn",'Personal Info'!$S$15,"dl",'Personal Info'!$W$15,"")&lt;IF(_uom="lbs",175,80),1.25,IF(_uom="lbs",5,2.5)))),"")</f>
        <v/>
      </c>
      <c s="70"/>
      <c s="63"/>
      <c s="97"/>
      <c s="44" t="str">
        <f>IFERROR(__xludf.DUMMYFUNCTION("IF(I56=MAX(FILTER(I$10:I$199,LOOKUP(ROW(C$10:C$199),FILTER(ROW(C$10:C$199),C$10:C$199&lt;&gt;C$9:C$198))=LOOKUP(ROW(C56),FILTER(ROW(C$10:C$199),C$10:C$199&lt;&gt;C$9:C$198)))),J56,)"),"")</f>
        <v/>
      </c>
      <c s="42"/>
      <c s="81"/>
      <c s="64" t="str">
        <f t="shared" si="11"/>
        <v/>
      </c>
      <c s="65" t="str">
        <f>IFERROR(__xludf.DUMMYFUNCTION("""COMPUTED_VALUE"""),"")</f>
        <v/>
      </c>
      <c s="66">
        <f ca="1"/>
        <v>45215</v>
      </c>
      <c s="93" t="str">
        <f t="shared" si="12"/>
        <v/>
      </c>
      <c s="94" t="str">
        <f t="shared" si="290"/>
        <v/>
      </c>
      <c s="95" t="str">
        <f t="shared" si="262"/>
        <v/>
      </c>
      <c s="98" t="str">
        <f t="shared" si="291"/>
        <v/>
      </c>
      <c s="97" t="str">
        <f t="array" ref="W56">IFERROR(IF(Q56="ac"+ISNUMBER(SEARCH("'",V56))+U56="","",IF(ISNUMBER(SEARCH("lw",V56)),I56+SUBSTITUTE(V56,"lw+",""),MROUND(_xlfn.SWITCH(Q56,"sq",U$7,"bn",V$7,"dl",W$7,"")*IF(V56&gt;10,V56/100,VLOOKUP(V56,_rpe,SUBSTITUTE(U56,"+","")+1,0)),IF(_xlfn.SWITCH(Q56,"sq",U$7,"bn",V$7,"dl",W$7,"")&lt;IF(_uom="lbs",175,80),1.25,IF(_uom="lbs",5,2.5))))),"")</f>
        <v/>
      </c>
      <c s="70"/>
      <c s="63"/>
      <c s="97"/>
      <c s="44" t="str">
        <f>IFERROR(__xludf.DUMMYFUNCTION("IF(W56=MAX(FILTER(W$10:W$199,LOOKUP(ROW(Q$10:Q$199),FILTER(ROW(Q$10:Q$199),Q$10:Q$199&lt;&gt;Q$9:Q$198))=LOOKUP(ROW(Q56),FILTER(ROW(Q$10:Q$199),Q$10:Q$199&lt;&gt;Q$9:Q$198)))),X56,)"),"")</f>
        <v/>
      </c>
      <c s="42"/>
      <c s="81"/>
      <c s="64" t="str">
        <f t="shared" si="14"/>
        <v/>
      </c>
      <c s="65" t="str">
        <f>IFERROR(__xludf.DUMMYFUNCTION("""COMPUTED_VALUE"""),"")</f>
        <v/>
      </c>
      <c s="66">
        <f ca="1"/>
        <v>45222</v>
      </c>
      <c s="93" t="str">
        <f t="shared" si="156"/>
        <v/>
      </c>
      <c s="94" t="str">
        <f t="shared" si="186"/>
        <v/>
      </c>
      <c s="95" t="str">
        <f t="shared" si="264"/>
        <v/>
      </c>
      <c s="98" t="str">
        <f t="shared" si="292"/>
        <v/>
      </c>
      <c s="97" t="str">
        <f t="array" ref="AK56">IFERROR(IF(AE56="ac"+ISNUMBER(SEARCH("'",AJ56))+AI56="","",IF(ISNUMBER(SEARCH("lw",AJ56)),W56+SUBSTITUTE(AJ56,"lw+",""),MROUND(_xlfn.SWITCH(AE56,"sq",AI$7,"bn",AJ$7,"dl",AK$7,"")*IF(AJ56&gt;10,AJ56/100,VLOOKUP(AJ56,_rpe,SUBSTITUTE(AI56,"+","")+1,0)),IF(_xlfn.SWITCH(AE56,"sq",AI$7,"bn",AJ$7,"dl",AK$7,"")&lt;IF(_uom="lbs",175,80),1.25,IF(_uom="lbs",5,2.5))))),"")</f>
        <v/>
      </c>
      <c s="70"/>
      <c s="63"/>
      <c s="97"/>
      <c s="44" t="str">
        <f>IFERROR(__xludf.DUMMYFUNCTION("IF(AK56=MAX(FILTER(AK$10:AK$199,LOOKUP(ROW(AE$10:AE$199),FILTER(ROW(AE$10:AE$199),AE$10:AE$199&lt;&gt;AE$9:AE$198))=LOOKUP(ROW(AE56),FILTER(ROW(AE$10:AE$199),AE$10:AE$199&lt;&gt;AE$9:AE$198)))),AL56,)"),"")</f>
        <v/>
      </c>
      <c s="42"/>
      <c s="81"/>
      <c s="64" t="str">
        <f t="shared" si="17"/>
        <v/>
      </c>
      <c s="65" t="str">
        <f>IFERROR(__xludf.DUMMYFUNCTION("""COMPUTED_VALUE"""),"")</f>
        <v/>
      </c>
      <c s="66">
        <f ca="1"/>
        <v>45229</v>
      </c>
      <c s="93" t="str">
        <f t="shared" si="157"/>
        <v/>
      </c>
      <c s="94" t="str">
        <f t="shared" si="188"/>
        <v/>
      </c>
      <c s="95" t="str">
        <f t="shared" si="293"/>
        <v/>
      </c>
      <c s="98" t="str">
        <f t="shared" si="294"/>
        <v/>
      </c>
      <c s="97" t="str">
        <f t="array" ref="AY56">IFERROR(IF(AS56="ac"+ISNUMBER(SEARCH("'",AX56))+AW56="","",IF(ISNUMBER(SEARCH("lw",AX56)),AK56+SUBSTITUTE(AX56,"lw+",""),MROUND(_xlfn.SWITCH(AS56,"sq",AW$7,"bn",AX$7,"dl",AY$7,"")*IF(AX56&gt;10,AX56/100,VLOOKUP(AX56,_rpe,SUBSTITUTE(AW56,"+","")+1,0)),IF(_xlfn.SWITCH(AS56,"sq",AW$7,"bn",AX$7,"dl",AY$7,"")&lt;IF(_uom="lbs",175,80),1.25,IF(_uom="lbs",5,2.5))))),"")</f>
        <v/>
      </c>
      <c s="70"/>
      <c s="63"/>
      <c s="97"/>
      <c s="44" t="str">
        <f>IFERROR(__xludf.DUMMYFUNCTION("IF(AY56=MAX(FILTER(AY$10:AY$199,LOOKUP(ROW(AS$10:AS$199),FILTER(ROW(AS$10:AS$199),AS$10:AS$199&lt;&gt;AS$9:AS$198))=LOOKUP(ROW(AS56),FILTER(ROW(AS$10:AS$199),AS$10:AS$199&lt;&gt;AS$9:AS$198)))),AZ56,)"),"")</f>
        <v/>
      </c>
      <c s="42"/>
      <c s="81"/>
      <c s="64" t="str">
        <f t="shared" si="19"/>
        <v/>
      </c>
      <c s="65" t="str">
        <f>IFERROR(__xludf.DUMMYFUNCTION("""COMPUTED_VALUE"""),"")</f>
        <v/>
      </c>
      <c s="66">
        <f ca="1"/>
        <v>45236</v>
      </c>
      <c s="93" t="str">
        <f t="shared" si="20"/>
        <v/>
      </c>
      <c s="94" t="str">
        <f t="shared" si="295"/>
        <v/>
      </c>
      <c s="95" t="str">
        <f t="shared" si="296"/>
        <v/>
      </c>
      <c s="98" t="str">
        <f t="shared" si="297"/>
        <v/>
      </c>
      <c s="97" t="str">
        <f t="array" ref="BM56">IFERROR(IF(BG56="ac"+ISNUMBER(SEARCH("'",BL56))+BK56="","",IF(ISNUMBER(SEARCH("lw",BL56)),AY56+SUBSTITUTE(BL56,"lw+",""),MROUND(_xlfn.SWITCH(BG56,"sq",BK$7,"bn",BL$7,"dl",BM$7,"")*IF(BL56&gt;10,BL56/100,VLOOKUP(BL56,_rpe,SUBSTITUTE(BK56,"+","")+1,0)),IF(_xlfn.SWITCH(BG56,"sq",BK$7,"bn",BL$7,"dl",BM$7,"")&lt;IF(_uom="lbs",175,80),1.25,IF(_uom="lbs",5,2.5))))),"")</f>
        <v/>
      </c>
      <c s="70"/>
      <c s="63"/>
      <c s="97"/>
      <c s="44" t="str">
        <f>IFERROR(__xludf.DUMMYFUNCTION("IF(BM56=MAX(FILTER(BM$10:BM$199,LOOKUP(ROW(BG$10:BG$199),FILTER(ROW(BG$10:BG$199),BG$10:BG$199&lt;&gt;BG$9:BG$198))=LOOKUP(ROW(BG56),FILTER(ROW(BG$10:BG$199),BG$10:BG$199&lt;&gt;BG$9:BG$198)))),BN56,)"),"")</f>
        <v/>
      </c>
      <c s="42"/>
      <c s="81"/>
      <c s="64" t="str">
        <f t="shared" si="21"/>
        <v/>
      </c>
      <c s="65" t="str">
        <f>IFERROR(__xludf.DUMMYFUNCTION("""COMPUTED_VALUE"""),"")</f>
        <v/>
      </c>
      <c s="66">
        <f ca="1"/>
        <v>45243</v>
      </c>
      <c s="93" t="str">
        <f t="shared" si="22"/>
        <v/>
      </c>
      <c s="94" t="str">
        <f t="shared" si="298"/>
        <v/>
      </c>
      <c s="95" t="str">
        <f t="shared" si="271"/>
        <v/>
      </c>
      <c s="98" t="str">
        <f t="shared" si="299"/>
        <v/>
      </c>
      <c s="97" t="str">
        <f t="array" ref="CA56">IFERROR(IF(BU56="ac"+ISNUMBER(SEARCH("'",BZ56))+BY56="","",IF(ISNUMBER(SEARCH("lw",BZ56)),BM56+SUBSTITUTE(BZ56,"lw+",""),MROUND(_xlfn.SWITCH(BU56,"sq",BY$7,"bn",BZ$7,"dl",CA$7,"")*IF(BZ56&gt;10,BZ56/100,VLOOKUP(BZ56,_rpe,SUBSTITUTE(BY56,"+","")+1,0)),IF(_xlfn.SWITCH(BU56,"sq",BY$7,"bn",BZ$7,"dl",CA$7,"")&lt;IF(_uom="lbs",175,80),1.25,IF(_uom="lbs",5,2.5))))),"")</f>
        <v/>
      </c>
      <c s="70"/>
      <c s="63"/>
      <c s="97"/>
      <c s="44" t="str">
        <f>IFERROR(__xludf.DUMMYFUNCTION("IF(CA56=MAX(FILTER(CA$10:CA$199,LOOKUP(ROW(BU$10:BU$199),FILTER(ROW(BU$10:BU$199),BU$10:BU$199&lt;&gt;BU$9:BU$198))=LOOKUP(ROW(BU56),FILTER(ROW(BU$10:BU$199),BU$10:BU$199&lt;&gt;BU$9:BU$198)))),CB56,)"),"")</f>
        <v/>
      </c>
      <c s="42"/>
      <c s="81"/>
      <c s="64" t="str">
        <f t="shared" si="24"/>
        <v/>
      </c>
      <c s="65" t="str">
        <f>IFERROR(__xludf.DUMMYFUNCTION("""COMPUTED_VALUE"""),"")</f>
        <v/>
      </c>
      <c s="66">
        <f ca="1"/>
        <v>45250</v>
      </c>
      <c s="93" t="str">
        <f t="shared" si="44"/>
        <v/>
      </c>
      <c s="94" t="str">
        <f t="shared" si="300"/>
        <v/>
      </c>
      <c s="95" t="str">
        <f t="shared" si="273"/>
        <v/>
      </c>
      <c s="98" t="str">
        <f t="shared" si="301"/>
        <v/>
      </c>
      <c s="97" t="str">
        <f t="array" ref="CO56">IFERROR(IF(CI56="ac"+ISNUMBER(SEARCH("'",CN56))+CM56="","",IF(ISNUMBER(SEARCH("lw",CN56)),CA56+SUBSTITUTE(CN56,"lw+",""),MROUND(_xlfn.SWITCH(CI56,"sq",CM$7,"bn",CN$7,"dl",CO$7,"")*IF(CN56&gt;10,CN56/100,VLOOKUP(CN56,_rpe,SUBSTITUTE(CM56,"+","")+1,0)),IF(_xlfn.SWITCH(CI56,"sq",CM$7,"bn",CN$7,"dl",CO$7,"")&lt;IF(_uom="lbs",175,80),1.25,IF(_uom="lbs",5,2.5))))),"")</f>
        <v/>
      </c>
      <c s="70"/>
      <c s="63"/>
      <c s="97"/>
      <c s="44" t="str">
        <f>IFERROR(__xludf.DUMMYFUNCTION("IF(CO56=MAX(FILTER(CO$10:CO$199,LOOKUP(ROW(CI$10:CI$199),FILTER(ROW(CI$10:CI$199),CI$10:CI$199&lt;&gt;CI$9:CI$198))=LOOKUP(ROW(CI56),FILTER(ROW(CI$10:CI$199),CI$10:CI$199&lt;&gt;CI$9:CI$198)))),CP56,)"),"")</f>
        <v/>
      </c>
      <c s="42"/>
      <c s="81"/>
      <c s="64" t="str">
        <f t="shared" si="27"/>
        <v/>
      </c>
      <c s="65" t="str">
        <f>IFERROR(__xludf.DUMMYFUNCTION("""COMPUTED_VALUE"""),"")</f>
        <v/>
      </c>
      <c s="66">
        <f ca="1"/>
        <v>45257</v>
      </c>
      <c s="93" t="str">
        <f t="shared" si="45"/>
        <v/>
      </c>
      <c s="94" t="str">
        <f t="shared" si="302"/>
        <v/>
      </c>
      <c s="95" t="str">
        <f t="shared" si="303"/>
        <v/>
      </c>
      <c s="98" t="str">
        <f t="shared" si="304"/>
        <v/>
      </c>
      <c s="97" t="str">
        <f t="array" ref="DC56">IFERROR(IF(CW56="ac"+ISNUMBER(SEARCH("'",DB56))+DA56="","",IF(ISNUMBER(SEARCH("lw",DB56)),CO56+SUBSTITUTE(DB56,"lw+",""),MROUND(_xlfn.SWITCH(CW56,"sq",DA$7,"bn",DB$7,"dl",DC$7,"")*IF(DB56&gt;10,DB56/100,VLOOKUP(DB56,_rpe,SUBSTITUTE(DA56,"+","")+1,0)),IF(_xlfn.SWITCH(CW56,"sq",DA$7,"bn",DB$7,"dl",DC$7,"")&lt;IF(_uom="lbs",175,80),1.25,IF(_uom="lbs",5,2.5))))),"")</f>
        <v/>
      </c>
      <c s="70"/>
      <c s="63"/>
      <c s="97"/>
      <c s="44" t="str">
        <f>IFERROR(__xludf.DUMMYFUNCTION("IF(DC56=MAX(FILTER(DC$10:DC$199,LOOKUP(ROW(CW$10:CW$199),FILTER(ROW(CW$10:CW$199),CW$10:CW$199&lt;&gt;CW$9:CW$198))=LOOKUP(ROW(CW56),FILTER(ROW(CW$10:CW$199),CW$10:CW$199&lt;&gt;CW$9:CW$198)))),DD56,)"),"")</f>
        <v/>
      </c>
      <c s="42"/>
      <c s="81"/>
      <c s="64" t="str">
        <f t="shared" si="30"/>
        <v/>
      </c>
      <c s="65" t="str">
        <f>IFERROR(__xludf.DUMMYFUNCTION("""COMPUTED_VALUE"""),"")</f>
        <v/>
      </c>
      <c s="66">
        <f ca="1"/>
        <v>45264</v>
      </c>
      <c s="93" t="str">
        <f t="shared" si="46"/>
        <v/>
      </c>
      <c s="94" t="str">
        <f t="shared" si="305"/>
        <v/>
      </c>
      <c s="95" t="str">
        <f t="shared" si="306"/>
        <v/>
      </c>
      <c s="98" t="str">
        <f t="shared" si="307"/>
        <v/>
      </c>
      <c s="97" t="str">
        <f t="array" ref="DQ56">IFERROR(IF(DK56="ac"+ISNUMBER(SEARCH("'",DP56))+DO56="","",IF(ISNUMBER(SEARCH("lw",DP56)),DC56+SUBSTITUTE(DP56,"lw+",""),MROUND(_xlfn.SWITCH(DK56,"sq",DO$7,"bn",DP$7,"dl",DQ$7,"")*IF(DP56&gt;10,DP56/100,VLOOKUP(DP56,_rpe,SUBSTITUTE(DO56,"+","")+1,0)),IF(_xlfn.SWITCH(DK56,"sq",DO$7,"bn",DP$7,"dl",DQ$7,"")&lt;IF(_uom="lbs",175,80),1.25,IF(_uom="lbs",5,2.5))))),"")</f>
        <v/>
      </c>
      <c s="70"/>
      <c s="63"/>
      <c s="97"/>
      <c s="44" t="str">
        <f>IFERROR(__xludf.DUMMYFUNCTION("IF(DQ56=MAX(FILTER(DQ$10:DQ$199,LOOKUP(ROW(DK$10:DK$199),FILTER(ROW(DK$10:DK$199),DK$10:DK$199&lt;&gt;DK$9:DK$198))=LOOKUP(ROW(DK56),FILTER(ROW(DK$10:DK$199),DK$10:DK$199&lt;&gt;DK$9:DK$198)))),DR56,)"),"")</f>
        <v/>
      </c>
      <c s="42"/>
      <c s="81"/>
      <c s="64" t="str">
        <f t="shared" si="32"/>
        <v/>
      </c>
      <c s="65" t="str">
        <f>IFERROR(__xludf.DUMMYFUNCTION("""COMPUTED_VALUE"""),"")</f>
        <v/>
      </c>
      <c s="66">
        <f ca="1"/>
        <v>45271</v>
      </c>
      <c s="93" t="str">
        <f t="shared" si="47"/>
        <v/>
      </c>
      <c s="94" t="str">
        <f t="shared" si="308"/>
        <v/>
      </c>
      <c s="95" t="str">
        <f t="shared" si="309"/>
        <v/>
      </c>
      <c s="98" t="str">
        <f t="shared" si="310"/>
        <v/>
      </c>
      <c s="97" t="str">
        <f t="array" ref="EE56">IFERROR(IF(DY56="ac"+ISNUMBER(SEARCH("'",ED56))+EC56="","",IF(ISNUMBER(SEARCH("lw",ED56)),DQ56+SUBSTITUTE(ED56,"lw+",""),MROUND(_xlfn.SWITCH(DY56,"sq",EC$7,"bn",ED$7,"dl",EE$7,"")*IF(ED56&gt;10,ED56/100,VLOOKUP(ED56,_rpe,SUBSTITUTE(EC56,"+","")+1,0)),IF(_xlfn.SWITCH(DY56,"sq",EC$7,"bn",ED$7,"dl",EE$7,"")&lt;IF(_uom="lbs",175,80),1.25,IF(_uom="lbs",5,2.5))))),"")</f>
        <v/>
      </c>
      <c s="70"/>
      <c s="63"/>
      <c s="97"/>
      <c s="44" t="str">
        <f>IFERROR(__xludf.DUMMYFUNCTION("IF(EE56=MAX(FILTER(EE$10:EE$199,LOOKUP(ROW(DY$10:DY$199),FILTER(ROW(DY$10:DY$199),DY$10:DY$199&lt;&gt;DY$9:DY$198))=LOOKUP(ROW(DY56),FILTER(ROW(DY$10:DY$199),DY$10:DY$199&lt;&gt;DY$9:DY$198)))),EF56,)"),"")</f>
        <v/>
      </c>
      <c s="42"/>
      <c s="81"/>
      <c s="64" t="str">
        <f t="shared" si="34"/>
        <v/>
      </c>
      <c s="65" t="str">
        <f>IFERROR(__xludf.DUMMYFUNCTION("""COMPUTED_VALUE"""),"")</f>
        <v/>
      </c>
      <c s="66">
        <f ca="1"/>
        <v>45278</v>
      </c>
      <c s="93" t="str">
        <f t="shared" si="48"/>
        <v/>
      </c>
      <c s="94" t="str">
        <f t="shared" si="311"/>
        <v/>
      </c>
      <c s="95" t="str">
        <f t="shared" si="312"/>
        <v/>
      </c>
      <c s="98" t="str">
        <f t="shared" si="313"/>
        <v/>
      </c>
      <c s="97" t="str">
        <f t="array" ref="ES56">IFERROR(IF(EM56="ac"+ISNUMBER(SEARCH("'",ER56))+EQ56="","",IF(ISNUMBER(SEARCH("lw",ER56)),EE56+SUBSTITUTE(ER56,"lw+",""),MROUND(_xlfn.SWITCH(EM56,"sq",EQ$7,"bn",ER$7,"dl",ES$7,"")*IF(ER56&gt;10,ER56/100,VLOOKUP(ER56,_rpe,SUBSTITUTE(EQ56,"+","")+1,0)),IF(_xlfn.SWITCH(EM56,"sq",EQ$7,"bn",ER$7,"dl",ES$7,"")&lt;IF(_uom="lbs",175,80),1.25,IF(_uom="lbs",5,2.5))))),"")</f>
        <v/>
      </c>
      <c s="70"/>
      <c s="63"/>
      <c s="97"/>
      <c s="44" t="str">
        <f>IFERROR(__xludf.DUMMYFUNCTION("IF(ES56=MAX(FILTER(ES$10:ES$199,LOOKUP(ROW(EM$10:EM$199),FILTER(ROW(EM$10:EM$199),EM$10:EM$199&lt;&gt;EM$9:EM$198))=LOOKUP(ROW(EM56),FILTER(ROW(EM$10:EM$199),EM$10:EM$199&lt;&gt;EM$9:EM$198)))),ET56,)"),"")</f>
        <v/>
      </c>
      <c s="42"/>
      <c s="81"/>
      <c s="64" t="str">
        <f t="shared" si="36"/>
        <v/>
      </c>
      <c s="65" t="str">
        <f>IFERROR(__xludf.DUMMYFUNCTION("""COMPUTED_VALUE"""),"")</f>
        <v/>
      </c>
      <c s="66">
        <f ca="1"/>
        <v>45285</v>
      </c>
      <c s="93" t="str">
        <f t="shared" si="49"/>
        <v/>
      </c>
      <c s="94" t="str">
        <f t="shared" si="314"/>
        <v/>
      </c>
      <c s="95" t="str">
        <f t="shared" si="315"/>
        <v/>
      </c>
      <c s="98" t="str">
        <f t="shared" si="316"/>
        <v/>
      </c>
      <c s="97" t="str">
        <f t="array" ref="FG56">IFERROR(IF(FA56="ac"+ISNUMBER(SEARCH("'",FF56))+FE56="","",IF(ISNUMBER(SEARCH("lw",FF56)),ES56+SUBSTITUTE(FF56,"lw+",""),MROUND(_xlfn.SWITCH(FA56,"sq",FE$7,"bn",FF$7,"dl",FG$7,"")*IF(FF56&gt;10,FF56/100,VLOOKUP(FF56,_rpe,SUBSTITUTE(FE56,"+","")+1,0)),IF(_xlfn.SWITCH(FA56,"sq",FE$7,"bn",FF$7,"dl",FG$7,"")&lt;IF(_uom="lbs",175,80),1.25,IF(_uom="lbs",5,2.5))))),"")</f>
        <v/>
      </c>
      <c s="70"/>
      <c s="63"/>
      <c s="97"/>
      <c s="44" t="str">
        <f>IFERROR(__xludf.DUMMYFUNCTION("IF(FG56=MAX(FILTER(FG$10:FG$199,LOOKUP(ROW(FA$10:FA$199),FILTER(ROW(FA$10:FA$199),FA$10:FA$199&lt;&gt;FA$9:FA$198))=LOOKUP(ROW(FA56),FILTER(ROW(FA$10:FA$199),FA$10:FA$199&lt;&gt;FA$9:FA$198)))),FH56,)"),"")</f>
        <v/>
      </c>
      <c s="42"/>
      <c s="81"/>
      <c s="64" t="str">
        <f t="shared" si="38"/>
        <v/>
      </c>
      <c s="65" t="str">
        <f>IFERROR(__xludf.DUMMYFUNCTION("""COMPUTED_VALUE"""),"")</f>
        <v/>
      </c>
      <c s="66">
        <f ca="1"/>
        <v>45292</v>
      </c>
      <c s="93" t="str">
        <f t="shared" si="320" ref="FQ56:FR56">IF(ISBLANK(FC56),"",FC56)</f>
        <v/>
      </c>
      <c s="94" t="str">
        <f t="shared" si="320"/>
        <v/>
      </c>
      <c s="95" t="str">
        <f t="shared" si="318"/>
        <v/>
      </c>
      <c s="98" t="str">
        <f t="shared" si="319"/>
        <v/>
      </c>
      <c s="97" t="str">
        <f t="array" ref="FU56">IFERROR(IF(FO56="ac"+ISNUMBER(SEARCH("'",FT56))+FS56="","",IF(ISNUMBER(SEARCH("lw",FT56)),FG56+SUBSTITUTE(FT56,"lw+",""),MROUND(_xlfn.SWITCH(FO56,"sq",FS$7,"bn",FT$7,"dl",FU$7,"")*IF(FT56&gt;10,FT56/100,VLOOKUP(FT56,_rpe,SUBSTITUTE(FS56,"+","")+1,0)),IF(_xlfn.SWITCH(FO56,"sq",FS$7,"bn",FT$7,"dl",FU$7,"")&lt;IF(_uom="lbs",175,80),1.25,IF(_uom="lbs",5,2.5))))),"")</f>
        <v/>
      </c>
      <c s="70"/>
      <c s="63"/>
      <c s="97"/>
      <c s="44" t="str">
        <f>IFERROR(__xludf.DUMMYFUNCTION("IF(FU56=MAX(FILTER(FU$10:FU$199,LOOKUP(ROW(FO$10:FO$199),FILTER(ROW(FO$10:FO$199),FO$10:FO$199&lt;&gt;FO$9:FO$198))=LOOKUP(ROW(FO56),FILTER(ROW(FO$10:FO$199),FO$10:FO$199&lt;&gt;FO$9:FO$198)))),FV56,)"),"")</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57" spans="1:259" ht="15.75" hidden="1" outlineLevel="1">
      <c r="A57" s="63"/>
      <c s="107"/>
      <c s="65" t="str">
        <f>IFERROR(__xludf.DUMMYFUNCTION("""COMPUTED_VALUE"""),"")</f>
        <v/>
      </c>
      <c s="66">
        <f ca="1"/>
        <v>45208</v>
      </c>
      <c s="108"/>
      <c s="94"/>
      <c s="95"/>
      <c s="96"/>
      <c s="97" t="str">
        <f t="array" ref="I57">IFERROR(IF(C57="ac"+ISNUMBER(SEARCH("'",H57))+G57="","",MROUND(_xlfn.SWITCH(C57,"sq",'Personal Info'!$O$15,"bn",'Personal Info'!$S$15,"dl",'Personal Info'!$W$15,"")*IF(H57&gt;10,H57/100,VLOOKUP(H57,_rpe,SUBSTITUTE(G57,"+","")+1,0)),IF(_xlfn.SWITCH(C57:C210,"sq",'Personal Info'!$O$15,"bn",'Personal Info'!$S$15,"dl",'Personal Info'!$W$15,"")&lt;IF(_uom="lbs",175,80),1.25,IF(_uom="lbs",5,2.5)))),"")</f>
        <v/>
      </c>
      <c s="70"/>
      <c s="63"/>
      <c s="97"/>
      <c s="44" t="str">
        <f>IFERROR(__xludf.DUMMYFUNCTION("IF(I57=MAX(FILTER(I$10:I$199,LOOKUP(ROW(C$10:C$199),FILTER(ROW(C$10:C$199),C$10:C$199&lt;&gt;C$9:C$198))=LOOKUP(ROW(C57),FILTER(ROW(C$10:C$199),C$10:C$199&lt;&gt;C$9:C$198)))),J57,)"),"")</f>
        <v/>
      </c>
      <c s="42"/>
      <c s="81"/>
      <c s="64" t="str">
        <f t="shared" si="11"/>
        <v/>
      </c>
      <c s="65" t="str">
        <f>IFERROR(__xludf.DUMMYFUNCTION("""COMPUTED_VALUE"""),"")</f>
        <v/>
      </c>
      <c s="66">
        <f ca="1"/>
        <v>45215</v>
      </c>
      <c s="93" t="str">
        <f t="shared" si="12"/>
        <v/>
      </c>
      <c s="94" t="str">
        <f t="shared" si="290"/>
        <v/>
      </c>
      <c s="95" t="str">
        <f t="shared" si="262"/>
        <v/>
      </c>
      <c s="98" t="str">
        <f t="shared" si="291"/>
        <v/>
      </c>
      <c s="97" t="str">
        <f t="array" ref="W57">IFERROR(IF(Q57="ac"+ISNUMBER(SEARCH("'",V57))+U57="","",IF(ISNUMBER(SEARCH("lw",V57)),I57+SUBSTITUTE(V57,"lw+",""),MROUND(_xlfn.SWITCH(Q57,"sq",U$7,"bn",V$7,"dl",W$7,"")*IF(V57&gt;10,V57/100,VLOOKUP(V57,_rpe,SUBSTITUTE(U57,"+","")+1,0)),IF(_xlfn.SWITCH(Q57,"sq",U$7,"bn",V$7,"dl",W$7,"")&lt;IF(_uom="lbs",175,80),1.25,IF(_uom="lbs",5,2.5))))),"")</f>
        <v/>
      </c>
      <c s="70"/>
      <c s="63"/>
      <c s="97"/>
      <c s="44" t="str">
        <f>IFERROR(__xludf.DUMMYFUNCTION("IF(W57=MAX(FILTER(W$10:W$199,LOOKUP(ROW(Q$10:Q$199),FILTER(ROW(Q$10:Q$199),Q$10:Q$199&lt;&gt;Q$9:Q$198))=LOOKUP(ROW(Q57),FILTER(ROW(Q$10:Q$199),Q$10:Q$199&lt;&gt;Q$9:Q$198)))),X57,)"),"")</f>
        <v/>
      </c>
      <c s="42"/>
      <c s="81"/>
      <c s="64" t="str">
        <f t="shared" si="14"/>
        <v/>
      </c>
      <c s="65" t="str">
        <f>IFERROR(__xludf.DUMMYFUNCTION("""COMPUTED_VALUE"""),"")</f>
        <v/>
      </c>
      <c s="66">
        <f ca="1"/>
        <v>45222</v>
      </c>
      <c s="93" t="str">
        <f t="shared" si="156"/>
        <v/>
      </c>
      <c s="94" t="str">
        <f t="shared" si="186"/>
        <v/>
      </c>
      <c s="95" t="str">
        <f t="shared" si="264"/>
        <v/>
      </c>
      <c s="98" t="str">
        <f t="shared" si="292"/>
        <v/>
      </c>
      <c s="97" t="str">
        <f t="array" ref="AK57">IFERROR(IF(AE57="ac"+ISNUMBER(SEARCH("'",AJ57))+AI57="","",IF(ISNUMBER(SEARCH("lw",AJ57)),W57+SUBSTITUTE(AJ57,"lw+",""),MROUND(_xlfn.SWITCH(AE57,"sq",AI$7,"bn",AJ$7,"dl",AK$7,"")*IF(AJ57&gt;10,AJ57/100,VLOOKUP(AJ57,_rpe,SUBSTITUTE(AI57,"+","")+1,0)),IF(_xlfn.SWITCH(AE57,"sq",AI$7,"bn",AJ$7,"dl",AK$7,"")&lt;IF(_uom="lbs",175,80),1.25,IF(_uom="lbs",5,2.5))))),"")</f>
        <v/>
      </c>
      <c s="70"/>
      <c s="63"/>
      <c s="97"/>
      <c s="44" t="str">
        <f>IFERROR(__xludf.DUMMYFUNCTION("IF(AK57=MAX(FILTER(AK$10:AK$199,LOOKUP(ROW(AE$10:AE$199),FILTER(ROW(AE$10:AE$199),AE$10:AE$199&lt;&gt;AE$9:AE$198))=LOOKUP(ROW(AE57),FILTER(ROW(AE$10:AE$199),AE$10:AE$199&lt;&gt;AE$9:AE$198)))),AL57,)"),"")</f>
        <v/>
      </c>
      <c s="42"/>
      <c s="81"/>
      <c s="64" t="str">
        <f t="shared" si="17"/>
        <v/>
      </c>
      <c s="65" t="str">
        <f>IFERROR(__xludf.DUMMYFUNCTION("""COMPUTED_VALUE"""),"")</f>
        <v/>
      </c>
      <c s="66">
        <f ca="1"/>
        <v>45229</v>
      </c>
      <c s="93" t="str">
        <f t="shared" si="157"/>
        <v/>
      </c>
      <c s="94" t="str">
        <f t="shared" si="188"/>
        <v/>
      </c>
      <c s="95" t="str">
        <f t="shared" si="293"/>
        <v/>
      </c>
      <c s="98" t="str">
        <f t="shared" si="294"/>
        <v/>
      </c>
      <c s="97" t="str">
        <f t="array" ref="AY57">IFERROR(IF(AS57="ac"+ISNUMBER(SEARCH("'",AX57))+AW57="","",IF(ISNUMBER(SEARCH("lw",AX57)),AK57+SUBSTITUTE(AX57,"lw+",""),MROUND(_xlfn.SWITCH(AS57,"sq",AW$7,"bn",AX$7,"dl",AY$7,"")*IF(AX57&gt;10,AX57/100,VLOOKUP(AX57,_rpe,SUBSTITUTE(AW57,"+","")+1,0)),IF(_xlfn.SWITCH(AS57,"sq",AW$7,"bn",AX$7,"dl",AY$7,"")&lt;IF(_uom="lbs",175,80),1.25,IF(_uom="lbs",5,2.5))))),"")</f>
        <v/>
      </c>
      <c s="70"/>
      <c s="63"/>
      <c s="97"/>
      <c s="44" t="str">
        <f>IFERROR(__xludf.DUMMYFUNCTION("IF(AY57=MAX(FILTER(AY$10:AY$199,LOOKUP(ROW(AS$10:AS$199),FILTER(ROW(AS$10:AS$199),AS$10:AS$199&lt;&gt;AS$9:AS$198))=LOOKUP(ROW(AS57),FILTER(ROW(AS$10:AS$199),AS$10:AS$199&lt;&gt;AS$9:AS$198)))),AZ57,)"),"")</f>
        <v/>
      </c>
      <c s="42"/>
      <c s="81"/>
      <c s="64" t="str">
        <f t="shared" si="19"/>
        <v/>
      </c>
      <c s="65" t="str">
        <f>IFERROR(__xludf.DUMMYFUNCTION("""COMPUTED_VALUE"""),"")</f>
        <v/>
      </c>
      <c s="66">
        <f ca="1"/>
        <v>45236</v>
      </c>
      <c s="93" t="str">
        <f t="shared" si="20"/>
        <v/>
      </c>
      <c s="94" t="str">
        <f t="shared" si="295"/>
        <v/>
      </c>
      <c s="95" t="str">
        <f t="shared" si="296"/>
        <v/>
      </c>
      <c s="98" t="str">
        <f t="shared" si="297"/>
        <v/>
      </c>
      <c s="97" t="str">
        <f t="array" ref="BM57">IFERROR(IF(BG57="ac"+ISNUMBER(SEARCH("'",BL57))+BK57="","",IF(ISNUMBER(SEARCH("lw",BL57)),AY57+SUBSTITUTE(BL57,"lw+",""),MROUND(_xlfn.SWITCH(BG57,"sq",BK$7,"bn",BL$7,"dl",BM$7,"")*IF(BL57&gt;10,BL57/100,VLOOKUP(BL57,_rpe,SUBSTITUTE(BK57,"+","")+1,0)),IF(_xlfn.SWITCH(BG57,"sq",BK$7,"bn",BL$7,"dl",BM$7,"")&lt;IF(_uom="lbs",175,80),1.25,IF(_uom="lbs",5,2.5))))),"")</f>
        <v/>
      </c>
      <c s="70"/>
      <c s="63"/>
      <c s="97"/>
      <c s="44" t="str">
        <f>IFERROR(__xludf.DUMMYFUNCTION("IF(BM57=MAX(FILTER(BM$10:BM$199,LOOKUP(ROW(BG$10:BG$199),FILTER(ROW(BG$10:BG$199),BG$10:BG$199&lt;&gt;BG$9:BG$198))=LOOKUP(ROW(BG57),FILTER(ROW(BG$10:BG$199),BG$10:BG$199&lt;&gt;BG$9:BG$198)))),BN57,)"),"")</f>
        <v/>
      </c>
      <c s="42"/>
      <c s="81"/>
      <c s="64" t="str">
        <f t="shared" si="21"/>
        <v/>
      </c>
      <c s="65" t="str">
        <f>IFERROR(__xludf.DUMMYFUNCTION("""COMPUTED_VALUE"""),"")</f>
        <v/>
      </c>
      <c s="66">
        <f ca="1"/>
        <v>45243</v>
      </c>
      <c s="93" t="str">
        <f t="shared" si="22"/>
        <v/>
      </c>
      <c s="94" t="str">
        <f t="shared" si="298"/>
        <v/>
      </c>
      <c s="95" t="str">
        <f t="shared" si="271"/>
        <v/>
      </c>
      <c s="98" t="str">
        <f t="shared" si="299"/>
        <v/>
      </c>
      <c s="97" t="str">
        <f t="array" ref="CA57">IFERROR(IF(BU57="ac"+ISNUMBER(SEARCH("'",BZ57))+BY57="","",IF(ISNUMBER(SEARCH("lw",BZ57)),BM57+SUBSTITUTE(BZ57,"lw+",""),MROUND(_xlfn.SWITCH(BU57,"sq",BY$7,"bn",BZ$7,"dl",CA$7,"")*IF(BZ57&gt;10,BZ57/100,VLOOKUP(BZ57,_rpe,SUBSTITUTE(BY57,"+","")+1,0)),IF(_xlfn.SWITCH(BU57,"sq",BY$7,"bn",BZ$7,"dl",CA$7,"")&lt;IF(_uom="lbs",175,80),1.25,IF(_uom="lbs",5,2.5))))),"")</f>
        <v/>
      </c>
      <c s="70"/>
      <c s="63"/>
      <c s="97"/>
      <c s="44" t="str">
        <f>IFERROR(__xludf.DUMMYFUNCTION("IF(CA57=MAX(FILTER(CA$10:CA$199,LOOKUP(ROW(BU$10:BU$199),FILTER(ROW(BU$10:BU$199),BU$10:BU$199&lt;&gt;BU$9:BU$198))=LOOKUP(ROW(BU57),FILTER(ROW(BU$10:BU$199),BU$10:BU$199&lt;&gt;BU$9:BU$198)))),CB57,)"),"")</f>
        <v/>
      </c>
      <c s="42"/>
      <c s="81"/>
      <c s="64" t="str">
        <f t="shared" si="24"/>
        <v/>
      </c>
      <c s="65" t="str">
        <f>IFERROR(__xludf.DUMMYFUNCTION("""COMPUTED_VALUE"""),"")</f>
        <v/>
      </c>
      <c s="66">
        <f ca="1"/>
        <v>45250</v>
      </c>
      <c s="93" t="str">
        <f t="shared" si="44"/>
        <v/>
      </c>
      <c s="94" t="str">
        <f t="shared" si="300"/>
        <v/>
      </c>
      <c s="95" t="str">
        <f t="shared" si="273"/>
        <v/>
      </c>
      <c s="98" t="str">
        <f t="shared" si="301"/>
        <v/>
      </c>
      <c s="97" t="str">
        <f t="array" ref="CO57">IFERROR(IF(CI57="ac"+ISNUMBER(SEARCH("'",CN57))+CM57="","",IF(ISNUMBER(SEARCH("lw",CN57)),CA57+SUBSTITUTE(CN57,"lw+",""),MROUND(_xlfn.SWITCH(CI57,"sq",CM$7,"bn",CN$7,"dl",CO$7,"")*IF(CN57&gt;10,CN57/100,VLOOKUP(CN57,_rpe,SUBSTITUTE(CM57,"+","")+1,0)),IF(_xlfn.SWITCH(CI57,"sq",CM$7,"bn",CN$7,"dl",CO$7,"")&lt;IF(_uom="lbs",175,80),1.25,IF(_uom="lbs",5,2.5))))),"")</f>
        <v/>
      </c>
      <c s="70"/>
      <c s="63"/>
      <c s="97"/>
      <c s="44" t="str">
        <f>IFERROR(__xludf.DUMMYFUNCTION("IF(CO57=MAX(FILTER(CO$10:CO$199,LOOKUP(ROW(CI$10:CI$199),FILTER(ROW(CI$10:CI$199),CI$10:CI$199&lt;&gt;CI$9:CI$198))=LOOKUP(ROW(CI57),FILTER(ROW(CI$10:CI$199),CI$10:CI$199&lt;&gt;CI$9:CI$198)))),CP57,)"),"")</f>
        <v/>
      </c>
      <c s="42"/>
      <c s="81"/>
      <c s="64" t="str">
        <f t="shared" si="27"/>
        <v/>
      </c>
      <c s="65" t="str">
        <f>IFERROR(__xludf.DUMMYFUNCTION("""COMPUTED_VALUE"""),"")</f>
        <v/>
      </c>
      <c s="66">
        <f ca="1"/>
        <v>45257</v>
      </c>
      <c s="93" t="str">
        <f t="shared" si="45"/>
        <v/>
      </c>
      <c s="94" t="str">
        <f t="shared" si="302"/>
        <v/>
      </c>
      <c s="95" t="str">
        <f t="shared" si="303"/>
        <v/>
      </c>
      <c s="98" t="str">
        <f t="shared" si="304"/>
        <v/>
      </c>
      <c s="97" t="str">
        <f t="array" ref="DC57">IFERROR(IF(CW57="ac"+ISNUMBER(SEARCH("'",DB57))+DA57="","",IF(ISNUMBER(SEARCH("lw",DB57)),CO57+SUBSTITUTE(DB57,"lw+",""),MROUND(_xlfn.SWITCH(CW57,"sq",DA$7,"bn",DB$7,"dl",DC$7,"")*IF(DB57&gt;10,DB57/100,VLOOKUP(DB57,_rpe,SUBSTITUTE(DA57,"+","")+1,0)),IF(_xlfn.SWITCH(CW57,"sq",DA$7,"bn",DB$7,"dl",DC$7,"")&lt;IF(_uom="lbs",175,80),1.25,IF(_uom="lbs",5,2.5))))),"")</f>
        <v/>
      </c>
      <c s="70"/>
      <c s="63"/>
      <c s="97"/>
      <c s="44" t="str">
        <f>IFERROR(__xludf.DUMMYFUNCTION("IF(DC57=MAX(FILTER(DC$10:DC$199,LOOKUP(ROW(CW$10:CW$199),FILTER(ROW(CW$10:CW$199),CW$10:CW$199&lt;&gt;CW$9:CW$198))=LOOKUP(ROW(CW57),FILTER(ROW(CW$10:CW$199),CW$10:CW$199&lt;&gt;CW$9:CW$198)))),DD57,)"),"")</f>
        <v/>
      </c>
      <c s="42"/>
      <c s="81"/>
      <c s="64" t="str">
        <f t="shared" si="30"/>
        <v/>
      </c>
      <c s="65" t="str">
        <f>IFERROR(__xludf.DUMMYFUNCTION("""COMPUTED_VALUE"""),"")</f>
        <v/>
      </c>
      <c s="66">
        <f ca="1"/>
        <v>45264</v>
      </c>
      <c s="93" t="str">
        <f t="shared" si="46"/>
        <v/>
      </c>
      <c s="94" t="str">
        <f t="shared" si="305"/>
        <v/>
      </c>
      <c s="95" t="str">
        <f t="shared" si="306"/>
        <v/>
      </c>
      <c s="98" t="str">
        <f t="shared" si="307"/>
        <v/>
      </c>
      <c s="97" t="str">
        <f t="array" ref="DQ57">IFERROR(IF(DK57="ac"+ISNUMBER(SEARCH("'",DP57))+DO57="","",IF(ISNUMBER(SEARCH("lw",DP57)),DC57+SUBSTITUTE(DP57,"lw+",""),MROUND(_xlfn.SWITCH(DK57,"sq",DO$7,"bn",DP$7,"dl",DQ$7,"")*IF(DP57&gt;10,DP57/100,VLOOKUP(DP57,_rpe,SUBSTITUTE(DO57,"+","")+1,0)),IF(_xlfn.SWITCH(DK57,"sq",DO$7,"bn",DP$7,"dl",DQ$7,"")&lt;IF(_uom="lbs",175,80),1.25,IF(_uom="lbs",5,2.5))))),"")</f>
        <v/>
      </c>
      <c s="70"/>
      <c s="63"/>
      <c s="97"/>
      <c s="44" t="str">
        <f>IFERROR(__xludf.DUMMYFUNCTION("IF(DQ57=MAX(FILTER(DQ$10:DQ$199,LOOKUP(ROW(DK$10:DK$199),FILTER(ROW(DK$10:DK$199),DK$10:DK$199&lt;&gt;DK$9:DK$198))=LOOKUP(ROW(DK57),FILTER(ROW(DK$10:DK$199),DK$10:DK$199&lt;&gt;DK$9:DK$198)))),DR57,)"),"")</f>
        <v/>
      </c>
      <c s="42"/>
      <c s="81"/>
      <c s="64" t="str">
        <f t="shared" si="32"/>
        <v/>
      </c>
      <c s="65" t="str">
        <f>IFERROR(__xludf.DUMMYFUNCTION("""COMPUTED_VALUE"""),"")</f>
        <v/>
      </c>
      <c s="66">
        <f ca="1"/>
        <v>45271</v>
      </c>
      <c s="93" t="str">
        <f t="shared" si="47"/>
        <v/>
      </c>
      <c s="94" t="str">
        <f t="shared" si="308"/>
        <v/>
      </c>
      <c s="95" t="str">
        <f t="shared" si="309"/>
        <v/>
      </c>
      <c s="98" t="str">
        <f t="shared" si="310"/>
        <v/>
      </c>
      <c s="97" t="str">
        <f t="array" ref="EE57">IFERROR(IF(DY57="ac"+ISNUMBER(SEARCH("'",ED57))+EC57="","",IF(ISNUMBER(SEARCH("lw",ED57)),DQ57+SUBSTITUTE(ED57,"lw+",""),MROUND(_xlfn.SWITCH(DY57,"sq",EC$7,"bn",ED$7,"dl",EE$7,"")*IF(ED57&gt;10,ED57/100,VLOOKUP(ED57,_rpe,SUBSTITUTE(EC57,"+","")+1,0)),IF(_xlfn.SWITCH(DY57,"sq",EC$7,"bn",ED$7,"dl",EE$7,"")&lt;IF(_uom="lbs",175,80),1.25,IF(_uom="lbs",5,2.5))))),"")</f>
        <v/>
      </c>
      <c s="70"/>
      <c s="63"/>
      <c s="97"/>
      <c s="44" t="str">
        <f>IFERROR(__xludf.DUMMYFUNCTION("IF(EE57=MAX(FILTER(EE$10:EE$199,LOOKUP(ROW(DY$10:DY$199),FILTER(ROW(DY$10:DY$199),DY$10:DY$199&lt;&gt;DY$9:DY$198))=LOOKUP(ROW(DY57),FILTER(ROW(DY$10:DY$199),DY$10:DY$199&lt;&gt;DY$9:DY$198)))),EF57,)"),"")</f>
        <v/>
      </c>
      <c s="42"/>
      <c s="81"/>
      <c s="64" t="str">
        <f t="shared" si="34"/>
        <v/>
      </c>
      <c s="65" t="str">
        <f>IFERROR(__xludf.DUMMYFUNCTION("""COMPUTED_VALUE"""),"")</f>
        <v/>
      </c>
      <c s="66">
        <f ca="1"/>
        <v>45278</v>
      </c>
      <c s="93" t="str">
        <f t="shared" si="48"/>
        <v/>
      </c>
      <c s="94" t="str">
        <f t="shared" si="311"/>
        <v/>
      </c>
      <c s="95" t="str">
        <f t="shared" si="312"/>
        <v/>
      </c>
      <c s="98" t="str">
        <f t="shared" si="313"/>
        <v/>
      </c>
      <c s="97" t="str">
        <f t="array" ref="ES57">IFERROR(IF(EM57="ac"+ISNUMBER(SEARCH("'",ER57))+EQ57="","",IF(ISNUMBER(SEARCH("lw",ER57)),EE57+SUBSTITUTE(ER57,"lw+",""),MROUND(_xlfn.SWITCH(EM57,"sq",EQ$7,"bn",ER$7,"dl",ES$7,"")*IF(ER57&gt;10,ER57/100,VLOOKUP(ER57,_rpe,SUBSTITUTE(EQ57,"+","")+1,0)),IF(_xlfn.SWITCH(EM57,"sq",EQ$7,"bn",ER$7,"dl",ES$7,"")&lt;IF(_uom="lbs",175,80),1.25,IF(_uom="lbs",5,2.5))))),"")</f>
        <v/>
      </c>
      <c s="70"/>
      <c s="63"/>
      <c s="97"/>
      <c s="44" t="str">
        <f>IFERROR(__xludf.DUMMYFUNCTION("IF(ES57=MAX(FILTER(ES$10:ES$199,LOOKUP(ROW(EM$10:EM$199),FILTER(ROW(EM$10:EM$199),EM$10:EM$199&lt;&gt;EM$9:EM$198))=LOOKUP(ROW(EM57),FILTER(ROW(EM$10:EM$199),EM$10:EM$199&lt;&gt;EM$9:EM$198)))),ET57,)"),"")</f>
        <v/>
      </c>
      <c s="42"/>
      <c s="81"/>
      <c s="64" t="str">
        <f t="shared" si="36"/>
        <v/>
      </c>
      <c s="65" t="str">
        <f>IFERROR(__xludf.DUMMYFUNCTION("""COMPUTED_VALUE"""),"")</f>
        <v/>
      </c>
      <c s="66">
        <f ca="1"/>
        <v>45285</v>
      </c>
      <c s="93" t="str">
        <f t="shared" si="49"/>
        <v/>
      </c>
      <c s="94" t="str">
        <f t="shared" si="314"/>
        <v/>
      </c>
      <c s="95" t="str">
        <f t="shared" si="315"/>
        <v/>
      </c>
      <c s="98" t="str">
        <f t="shared" si="316"/>
        <v/>
      </c>
      <c s="97" t="str">
        <f t="array" ref="FG57">IFERROR(IF(FA57="ac"+ISNUMBER(SEARCH("'",FF57))+FE57="","",IF(ISNUMBER(SEARCH("lw",FF57)),ES57+SUBSTITUTE(FF57,"lw+",""),MROUND(_xlfn.SWITCH(FA57,"sq",FE$7,"bn",FF$7,"dl",FG$7,"")*IF(FF57&gt;10,FF57/100,VLOOKUP(FF57,_rpe,SUBSTITUTE(FE57,"+","")+1,0)),IF(_xlfn.SWITCH(FA57,"sq",FE$7,"bn",FF$7,"dl",FG$7,"")&lt;IF(_uom="lbs",175,80),1.25,IF(_uom="lbs",5,2.5))))),"")</f>
        <v/>
      </c>
      <c s="70"/>
      <c s="63"/>
      <c s="97"/>
      <c s="44" t="str">
        <f>IFERROR(__xludf.DUMMYFUNCTION("IF(FG57=MAX(FILTER(FG$10:FG$199,LOOKUP(ROW(FA$10:FA$199),FILTER(ROW(FA$10:FA$199),FA$10:FA$199&lt;&gt;FA$9:FA$198))=LOOKUP(ROW(FA57),FILTER(ROW(FA$10:FA$199),FA$10:FA$199&lt;&gt;FA$9:FA$198)))),FH57,)"),"")</f>
        <v/>
      </c>
      <c s="42"/>
      <c s="81"/>
      <c s="64" t="str">
        <f t="shared" si="38"/>
        <v/>
      </c>
      <c s="65" t="str">
        <f>IFERROR(__xludf.DUMMYFUNCTION("""COMPUTED_VALUE"""),"")</f>
        <v/>
      </c>
      <c s="66">
        <f ca="1"/>
        <v>45292</v>
      </c>
      <c s="93" t="str">
        <f t="shared" si="321" ref="FQ57:FR57">IF(ISBLANK(FC57),"",FC57)</f>
        <v/>
      </c>
      <c s="94" t="str">
        <f t="shared" si="321"/>
        <v/>
      </c>
      <c s="95" t="str">
        <f t="shared" si="318"/>
        <v/>
      </c>
      <c s="98" t="str">
        <f t="shared" si="319"/>
        <v/>
      </c>
      <c s="97" t="str">
        <f t="array" ref="FU57">IFERROR(IF(FO57="ac"+ISNUMBER(SEARCH("'",FT57))+FS57="","",IF(ISNUMBER(SEARCH("lw",FT57)),FG57+SUBSTITUTE(FT57,"lw+",""),MROUND(_xlfn.SWITCH(FO57,"sq",FS$7,"bn",FT$7,"dl",FU$7,"")*IF(FT57&gt;10,FT57/100,VLOOKUP(FT57,_rpe,SUBSTITUTE(FS57,"+","")+1,0)),IF(_xlfn.SWITCH(FO57,"sq",FS$7,"bn",FT$7,"dl",FU$7,"")&lt;IF(_uom="lbs",175,80),1.25,IF(_uom="lbs",5,2.5))))),"")</f>
        <v/>
      </c>
      <c s="70"/>
      <c s="63"/>
      <c s="97"/>
      <c s="44" t="str">
        <f>IFERROR(__xludf.DUMMYFUNCTION("IF(FU57=MAX(FILTER(FU$10:FU$199,LOOKUP(ROW(FO$10:FO$199),FILTER(ROW(FO$10:FO$199),FO$10:FO$199&lt;&gt;FO$9:FO$198))=LOOKUP(ROW(FO57),FILTER(ROW(FO$10:FO$199),FO$10:FO$199&lt;&gt;FO$9:FO$198)))),FV57,)"),"")</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58" spans="1:259" ht="15.75" collapsed="1">
      <c r="A58" s="63"/>
      <c s="64" t="s">
        <v>182</v>
      </c>
      <c s="65" t="str">
        <f>IFERROR(__xludf.DUMMYFUNCTION("""COMPUTED_VALUE"""),"ac")</f>
        <v>ac</v>
      </c>
      <c s="66">
        <f ca="1"/>
        <v>45208</v>
      </c>
      <c s="93" t="s">
        <v>183</v>
      </c>
      <c s="94">
        <v>3</v>
      </c>
      <c s="95">
        <v>15</v>
      </c>
      <c s="106" t="s">
        <v>143</v>
      </c>
      <c s="97" t="str">
        <f t="array" ref="I58">IFERROR(IF(C58="ac"+ISNUMBER(SEARCH("'",H58))+G58="","",MROUND(_xlfn.SWITCH(C58,"sq",'Personal Info'!$O$15,"bn",'Personal Info'!$S$15,"dl",'Personal Info'!$W$15,"")*IF(H58&gt;10,H58/100,VLOOKUP(H58,_rpe,SUBSTITUTE(G58,"+","")+1,0)),IF(_xlfn.SWITCH(C58:C210,"sq",'Personal Info'!$O$15,"bn",'Personal Info'!$S$15,"dl",'Personal Info'!$W$15,"")&lt;IF(_uom="lbs",175,80),1.25,IF(_uom="lbs",5,2.5)))),"")</f>
        <v/>
      </c>
      <c s="70"/>
      <c s="63"/>
      <c s="97"/>
      <c s="44" t="str">
        <f>IFERROR(__xludf.DUMMYFUNCTION("IF(I58=MAX(FILTER(I$10:I$199,LOOKUP(ROW(C$10:C$199),FILTER(ROW(C$10:C$199),C$10:C$199&lt;&gt;C$9:C$198))=LOOKUP(ROW(C58),FILTER(ROW(C$10:C$199),C$10:C$199&lt;&gt;C$9:C$198)))),J58,)"),"")</f>
        <v/>
      </c>
      <c s="42"/>
      <c s="81"/>
      <c s="64" t="str">
        <f t="shared" si="11"/>
        <v>lats - vertical</v>
      </c>
      <c s="65" t="str">
        <f>IFERROR(__xludf.DUMMYFUNCTION("""COMPUTED_VALUE"""),"ac")</f>
        <v>ac</v>
      </c>
      <c s="66">
        <f ca="1"/>
        <v>45215</v>
      </c>
      <c s="93" t="str">
        <f t="shared" si="12"/>
        <v>Pull-ups</v>
      </c>
      <c s="94">
        <f>IF(OR(gen="SELECT",gen="MALE"),3,4)</f>
        <v>3</v>
      </c>
      <c s="95">
        <v>14</v>
      </c>
      <c s="106" t="s">
        <v>184</v>
      </c>
      <c s="97" t="str">
        <f t="array" ref="W58">IFERROR(IF(Q58="ac"+ISNUMBER(SEARCH("'",V58))+U58="","",IF(ISNUMBER(SEARCH("lw",V58)),I58+SUBSTITUTE(V58,"lw+",""),MROUND(_xlfn.SWITCH(Q58,"sq",U$7,"bn",V$7,"dl",W$7,"")*IF(V58&gt;10,V58/100,VLOOKUP(V58,_rpe,SUBSTITUTE(U58,"+","")+1,0)),IF(_xlfn.SWITCH(Q58,"sq",U$7,"bn",V$7,"dl",W$7,"")&lt;IF(_uom="lbs",175,80),1.25,IF(_uom="lbs",5,2.5))))),"")</f>
        <v/>
      </c>
      <c s="70"/>
      <c s="63"/>
      <c s="97"/>
      <c s="44" t="str">
        <f>IFERROR(__xludf.DUMMYFUNCTION("IF(W58=MAX(FILTER(W$10:W$199,LOOKUP(ROW(Q$10:Q$199),FILTER(ROW(Q$10:Q$199),Q$10:Q$199&lt;&gt;Q$9:Q$198))=LOOKUP(ROW(Q58),FILTER(ROW(Q$10:Q$199),Q$10:Q$199&lt;&gt;Q$9:Q$198)))),X58,)"),"")</f>
        <v/>
      </c>
      <c s="42"/>
      <c s="81"/>
      <c s="64" t="str">
        <f t="shared" si="14"/>
        <v>lats - vertical</v>
      </c>
      <c s="65" t="str">
        <f>IFERROR(__xludf.DUMMYFUNCTION("""COMPUTED_VALUE"""),"ac")</f>
        <v>ac</v>
      </c>
      <c s="66">
        <f ca="1"/>
        <v>45222</v>
      </c>
      <c s="93" t="str">
        <f t="shared" si="156"/>
        <v>Pull-ups</v>
      </c>
      <c s="94">
        <f t="shared" si="186"/>
        <v>3</v>
      </c>
      <c s="95">
        <v>13</v>
      </c>
      <c s="106" t="s">
        <v>141</v>
      </c>
      <c s="97" t="str">
        <f t="array" ref="AK58">IFERROR(IF(AE58="ac"+ISNUMBER(SEARCH("'",AJ58))+AI58="","",IF(ISNUMBER(SEARCH("lw",AJ58)),W58+SUBSTITUTE(AJ58,"lw+",""),MROUND(_xlfn.SWITCH(AE58,"sq",AI$7,"bn",AJ$7,"dl",AK$7,"")*IF(AJ58&gt;10,AJ58/100,VLOOKUP(AJ58,_rpe,SUBSTITUTE(AI58,"+","")+1,0)),IF(_xlfn.SWITCH(AE58,"sq",AI$7,"bn",AJ$7,"dl",AK$7,"")&lt;IF(_uom="lbs",175,80),1.25,IF(_uom="lbs",5,2.5))))),"")</f>
        <v/>
      </c>
      <c s="70"/>
      <c s="63"/>
      <c s="97"/>
      <c s="44" t="str">
        <f>IFERROR(__xludf.DUMMYFUNCTION("IF(AK58=MAX(FILTER(AK$10:AK$199,LOOKUP(ROW(AE$10:AE$199),FILTER(ROW(AE$10:AE$199),AE$10:AE$199&lt;&gt;AE$9:AE$198))=LOOKUP(ROW(AE58),FILTER(ROW(AE$10:AE$199),AE$10:AE$199&lt;&gt;AE$9:AE$198)))),AL58,)"),"")</f>
        <v/>
      </c>
      <c s="42"/>
      <c s="81"/>
      <c s="64" t="str">
        <f t="shared" si="17"/>
        <v>lats - vertical</v>
      </c>
      <c s="65" t="str">
        <f>IFERROR(__xludf.DUMMYFUNCTION("""COMPUTED_VALUE"""),"ac")</f>
        <v>ac</v>
      </c>
      <c s="66">
        <f ca="1"/>
        <v>45229</v>
      </c>
      <c s="93" t="str">
        <f t="shared" si="157"/>
        <v>Pull-ups</v>
      </c>
      <c s="94">
        <f t="shared" si="188"/>
        <v>3</v>
      </c>
      <c s="95">
        <v>12</v>
      </c>
      <c s="98" t="str">
        <f t="shared" si="294"/>
        <v>@8-9</v>
      </c>
      <c s="97" t="str">
        <f t="array" ref="AY58">IFERROR(IF(AS58="ac"+ISNUMBER(SEARCH("'",AX58))+AW58="","",IF(ISNUMBER(SEARCH("lw",AX58)),AK58+SUBSTITUTE(AX58,"lw+",""),MROUND(_xlfn.SWITCH(AS58,"sq",AW$7,"bn",AX$7,"dl",AY$7,"")*IF(AX58&gt;10,AX58/100,VLOOKUP(AX58,_rpe,SUBSTITUTE(AW58,"+","")+1,0)),IF(_xlfn.SWITCH(AS58,"sq",AW$7,"bn",AX$7,"dl",AY$7,"")&lt;IF(_uom="lbs",175,80),1.25,IF(_uom="lbs",5,2.5))))),"")</f>
        <v/>
      </c>
      <c s="70"/>
      <c s="63"/>
      <c s="97"/>
      <c s="44" t="str">
        <f>IFERROR(__xludf.DUMMYFUNCTION("IF(AY58=MAX(FILTER(AY$10:AY$199,LOOKUP(ROW(AS$10:AS$199),FILTER(ROW(AS$10:AS$199),AS$10:AS$199&lt;&gt;AS$9:AS$198))=LOOKUP(ROW(AS58),FILTER(ROW(AS$10:AS$199),AS$10:AS$199&lt;&gt;AS$9:AS$198)))),AZ58,)"),"")</f>
        <v/>
      </c>
      <c s="42"/>
      <c s="81"/>
      <c s="64" t="str">
        <f t="shared" si="19"/>
        <v>lats - vertical</v>
      </c>
      <c s="65" t="str">
        <f>IFERROR(__xludf.DUMMYFUNCTION("""COMPUTED_VALUE"""),"ac")</f>
        <v>ac</v>
      </c>
      <c s="66">
        <f ca="1"/>
        <v>45236</v>
      </c>
      <c s="93" t="str">
        <f t="shared" si="20"/>
        <v>Pull-ups</v>
      </c>
      <c s="94">
        <v>2</v>
      </c>
      <c s="95">
        <v>15</v>
      </c>
      <c s="106" t="s">
        <v>142</v>
      </c>
      <c s="97" t="str">
        <f t="array" ref="BM58">IFERROR(IF(BG58="ac"+ISNUMBER(SEARCH("'",BL58))+BK58="","",IF(ISNUMBER(SEARCH("lw",BL58)),AY58+SUBSTITUTE(BL58,"lw+",""),MROUND(_xlfn.SWITCH(BG58,"sq",BK$7,"bn",BL$7,"dl",BM$7,"")*IF(BL58&gt;10,BL58/100,VLOOKUP(BL58,_rpe,SUBSTITUTE(BK58,"+","")+1,0)),IF(_xlfn.SWITCH(BG58,"sq",BK$7,"bn",BL$7,"dl",BM$7,"")&lt;IF(_uom="lbs",175,80),1.25,IF(_uom="lbs",5,2.5))))),"")</f>
        <v/>
      </c>
      <c s="70"/>
      <c s="63"/>
      <c s="97"/>
      <c s="44" t="str">
        <f>IFERROR(__xludf.DUMMYFUNCTION("IF(BM58=MAX(FILTER(BM$10:BM$199,LOOKUP(ROW(BG$10:BG$199),FILTER(ROW(BG$10:BG$199),BG$10:BG$199&lt;&gt;BG$9:BG$198))=LOOKUP(ROW(BG58),FILTER(ROW(BG$10:BG$199),BG$10:BG$199&lt;&gt;BG$9:BG$198)))),BN58,)"),"")</f>
        <v/>
      </c>
      <c s="42"/>
      <c s="81"/>
      <c s="64" t="str">
        <f t="shared" si="21"/>
        <v>lats - vertical</v>
      </c>
      <c s="65" t="str">
        <f>IFERROR(__xludf.DUMMYFUNCTION("""COMPUTED_VALUE"""),"ac")</f>
        <v>ac</v>
      </c>
      <c s="66">
        <f ca="1"/>
        <v>45243</v>
      </c>
      <c s="93" t="str">
        <f t="shared" si="22"/>
        <v>Pull-ups</v>
      </c>
      <c s="94">
        <v>3</v>
      </c>
      <c s="95">
        <v>14</v>
      </c>
      <c s="106" t="s">
        <v>140</v>
      </c>
      <c s="97" t="str">
        <f t="array" ref="CA58">IFERROR(IF(BU58="ac"+ISNUMBER(SEARCH("'",BZ58))+BY58="","",IF(ISNUMBER(SEARCH("lw",BZ58)),BM58+SUBSTITUTE(BZ58,"lw+",""),MROUND(_xlfn.SWITCH(BU58,"sq",BY$7,"bn",BZ$7,"dl",CA$7,"")*IF(BZ58&gt;10,BZ58/100,VLOOKUP(BZ58,_rpe,SUBSTITUTE(BY58,"+","")+1,0)),IF(_xlfn.SWITCH(BU58,"sq",BY$7,"bn",BZ$7,"dl",CA$7,"")&lt;IF(_uom="lbs",175,80),1.25,IF(_uom="lbs",5,2.5))))),"")</f>
        <v/>
      </c>
      <c s="70"/>
      <c s="63"/>
      <c s="97"/>
      <c s="44" t="str">
        <f>IFERROR(__xludf.DUMMYFUNCTION("IF(CA58=MAX(FILTER(CA$10:CA$199,LOOKUP(ROW(BU$10:BU$199),FILTER(ROW(BU$10:BU$199),BU$10:BU$199&lt;&gt;BU$9:BU$198))=LOOKUP(ROW(BU58),FILTER(ROW(BU$10:BU$199),BU$10:BU$199&lt;&gt;BU$9:BU$198)))),CB58,)"),"")</f>
        <v/>
      </c>
      <c s="42"/>
      <c s="81"/>
      <c s="64" t="str">
        <f t="shared" si="24"/>
        <v>lats - vertical</v>
      </c>
      <c s="65" t="str">
        <f>IFERROR(__xludf.DUMMYFUNCTION("""COMPUTED_VALUE"""),"ac")</f>
        <v>ac</v>
      </c>
      <c s="66">
        <f ca="1"/>
        <v>45250</v>
      </c>
      <c s="93" t="str">
        <f t="shared" si="44"/>
        <v>Pull-ups</v>
      </c>
      <c s="94">
        <f t="shared" si="300"/>
        <v>3</v>
      </c>
      <c s="95">
        <v>13</v>
      </c>
      <c s="106" t="s">
        <v>141</v>
      </c>
      <c s="97" t="str">
        <f t="array" ref="CO58">IFERROR(IF(CI58="ac"+ISNUMBER(SEARCH("'",CN58))+CM58="","",IF(ISNUMBER(SEARCH("lw",CN58)),CA58+SUBSTITUTE(CN58,"lw+",""),MROUND(_xlfn.SWITCH(CI58,"sq",CM$7,"bn",CN$7,"dl",CO$7,"")*IF(CN58&gt;10,CN58/100,VLOOKUP(CN58,_rpe,SUBSTITUTE(CM58,"+","")+1,0)),IF(_xlfn.SWITCH(CI58,"sq",CM$7,"bn",CN$7,"dl",CO$7,"")&lt;IF(_uom="lbs",175,80),1.25,IF(_uom="lbs",5,2.5))))),"")</f>
        <v/>
      </c>
      <c s="70"/>
      <c s="63"/>
      <c s="97"/>
      <c s="44" t="str">
        <f>IFERROR(__xludf.DUMMYFUNCTION("IF(CO58=MAX(FILTER(CO$10:CO$199,LOOKUP(ROW(CI$10:CI$199),FILTER(ROW(CI$10:CI$199),CI$10:CI$199&lt;&gt;CI$9:CI$198))=LOOKUP(ROW(CI58),FILTER(ROW(CI$10:CI$199),CI$10:CI$199&lt;&gt;CI$9:CI$198)))),CP58,)"),"")</f>
        <v/>
      </c>
      <c s="42"/>
      <c s="81"/>
      <c s="64" t="str">
        <f t="shared" si="27"/>
        <v>lats - vertical</v>
      </c>
      <c s="65" t="str">
        <f>IFERROR(__xludf.DUMMYFUNCTION("""COMPUTED_VALUE"""),"ac")</f>
        <v>ac</v>
      </c>
      <c s="66">
        <f ca="1"/>
        <v>45257</v>
      </c>
      <c s="93" t="str">
        <f t="shared" si="45"/>
        <v>Pull-ups</v>
      </c>
      <c s="94">
        <f t="shared" si="302"/>
        <v>3</v>
      </c>
      <c s="95">
        <v>12</v>
      </c>
      <c s="98" t="str">
        <f t="shared" si="304"/>
        <v>@8-9</v>
      </c>
      <c s="97" t="str">
        <f t="array" ref="DC58">IFERROR(IF(CW58="ac"+ISNUMBER(SEARCH("'",DB58))+DA58="","",IF(ISNUMBER(SEARCH("lw",DB58)),CO58+SUBSTITUTE(DB58,"lw+",""),MROUND(_xlfn.SWITCH(CW58,"sq",DA$7,"bn",DB$7,"dl",DC$7,"")*IF(DB58&gt;10,DB58/100,VLOOKUP(DB58,_rpe,SUBSTITUTE(DA58,"+","")+1,0)),IF(_xlfn.SWITCH(CW58,"sq",DA$7,"bn",DB$7,"dl",DC$7,"")&lt;IF(_uom="lbs",175,80),1.25,IF(_uom="lbs",5,2.5))))),"")</f>
        <v/>
      </c>
      <c s="70"/>
      <c s="63"/>
      <c s="97"/>
      <c s="44" t="str">
        <f>IFERROR(__xludf.DUMMYFUNCTION("IF(DC58=MAX(FILTER(DC$10:DC$199,LOOKUP(ROW(CW$10:CW$199),FILTER(ROW(CW$10:CW$199),CW$10:CW$199&lt;&gt;CW$9:CW$198))=LOOKUP(ROW(CW58),FILTER(ROW(CW$10:CW$199),CW$10:CW$199&lt;&gt;CW$9:CW$198)))),DD58,)"),"")</f>
        <v/>
      </c>
      <c s="42"/>
      <c s="81"/>
      <c s="64" t="str">
        <f t="shared" si="30"/>
        <v>lats - vertical</v>
      </c>
      <c s="65" t="str">
        <f>IFERROR(__xludf.DUMMYFUNCTION("""COMPUTED_VALUE"""),"ac")</f>
        <v>ac</v>
      </c>
      <c s="66">
        <f ca="1"/>
        <v>45264</v>
      </c>
      <c s="93" t="str">
        <f t="shared" si="46"/>
        <v>Pull-ups</v>
      </c>
      <c s="94">
        <f t="shared" si="305"/>
        <v>3</v>
      </c>
      <c s="95">
        <v>11</v>
      </c>
      <c s="106" t="s">
        <v>143</v>
      </c>
      <c s="97" t="str">
        <f t="array" ref="DQ58">IFERROR(IF(DK58="ac"+ISNUMBER(SEARCH("'",DP58))+DO58="","",IF(ISNUMBER(SEARCH("lw",DP58)),DC58+SUBSTITUTE(DP58,"lw+",""),MROUND(_xlfn.SWITCH(DK58,"sq",DO$7,"bn",DP$7,"dl",DQ$7,"")*IF(DP58&gt;10,DP58/100,VLOOKUP(DP58,_rpe,SUBSTITUTE(DO58,"+","")+1,0)),IF(_xlfn.SWITCH(DK58,"sq",DO$7,"bn",DP$7,"dl",DQ$7,"")&lt;IF(_uom="lbs",175,80),1.25,IF(_uom="lbs",5,2.5))))),"")</f>
        <v/>
      </c>
      <c s="70"/>
      <c s="63"/>
      <c s="97"/>
      <c s="44" t="str">
        <f>IFERROR(__xludf.DUMMYFUNCTION("IF(DQ58=MAX(FILTER(DQ$10:DQ$199,LOOKUP(ROW(DK$10:DK$199),FILTER(ROW(DK$10:DK$199),DK$10:DK$199&lt;&gt;DK$9:DK$198))=LOOKUP(ROW(DK58),FILTER(ROW(DK$10:DK$199),DK$10:DK$199&lt;&gt;DK$9:DK$198)))),DR58,)"),"")</f>
        <v/>
      </c>
      <c s="42"/>
      <c s="81"/>
      <c s="64" t="str">
        <f t="shared" si="32"/>
        <v>lats - vertical</v>
      </c>
      <c s="65" t="str">
        <f>IFERROR(__xludf.DUMMYFUNCTION("""COMPUTED_VALUE"""),"ac")</f>
        <v>ac</v>
      </c>
      <c s="66">
        <f ca="1"/>
        <v>45271</v>
      </c>
      <c s="93" t="str">
        <f t="shared" si="47"/>
        <v>Pull-ups</v>
      </c>
      <c s="94">
        <f t="shared" si="308"/>
        <v>3</v>
      </c>
      <c s="95">
        <v>10</v>
      </c>
      <c s="106" t="s">
        <v>141</v>
      </c>
      <c s="97" t="str">
        <f t="array" ref="EE58">IFERROR(IF(DY58="ac"+ISNUMBER(SEARCH("'",ED58))+EC58="","",IF(ISNUMBER(SEARCH("lw",ED58)),DQ58+SUBSTITUTE(ED58,"lw+",""),MROUND(_xlfn.SWITCH(DY58,"sq",EC$7,"bn",ED$7,"dl",EE$7,"")*IF(ED58&gt;10,ED58/100,VLOOKUP(ED58,_rpe,SUBSTITUTE(EC58,"+","")+1,0)),IF(_xlfn.SWITCH(DY58,"sq",EC$7,"bn",ED$7,"dl",EE$7,"")&lt;IF(_uom="lbs",175,80),1.25,IF(_uom="lbs",5,2.5))))),"")</f>
        <v/>
      </c>
      <c s="70"/>
      <c s="63"/>
      <c s="97"/>
      <c s="44" t="str">
        <f>IFERROR(__xludf.DUMMYFUNCTION("IF(EE58=MAX(FILTER(EE$10:EE$199,LOOKUP(ROW(DY$10:DY$199),FILTER(ROW(DY$10:DY$199),DY$10:DY$199&lt;&gt;DY$9:DY$198))=LOOKUP(ROW(DY58),FILTER(ROW(DY$10:DY$199),DY$10:DY$199&lt;&gt;DY$9:DY$198)))),EF58,)"),"")</f>
        <v/>
      </c>
      <c s="42"/>
      <c s="81"/>
      <c s="64" t="str">
        <f t="shared" si="34"/>
        <v>lats - vertical</v>
      </c>
      <c s="65" t="str">
        <f>IFERROR(__xludf.DUMMYFUNCTION("""COMPUTED_VALUE"""),"ac")</f>
        <v>ac</v>
      </c>
      <c s="66">
        <f ca="1"/>
        <v>45278</v>
      </c>
      <c s="93" t="str">
        <f t="shared" si="48"/>
        <v>Pull-ups</v>
      </c>
      <c s="94">
        <f t="shared" si="311"/>
        <v>3</v>
      </c>
      <c s="95">
        <v>9</v>
      </c>
      <c s="98" t="str">
        <f t="shared" si="313"/>
        <v>@8-9</v>
      </c>
      <c s="97" t="str">
        <f t="array" ref="ES58">IFERROR(IF(EM58="ac"+ISNUMBER(SEARCH("'",ER58))+EQ58="","",IF(ISNUMBER(SEARCH("lw",ER58)),EE58+SUBSTITUTE(ER58,"lw+",""),MROUND(_xlfn.SWITCH(EM58,"sq",EQ$7,"bn",ER$7,"dl",ES$7,"")*IF(ER58&gt;10,ER58/100,VLOOKUP(ER58,_rpe,SUBSTITUTE(EQ58,"+","")+1,0)),IF(_xlfn.SWITCH(EM58,"sq",EQ$7,"bn",ER$7,"dl",ES$7,"")&lt;IF(_uom="lbs",175,80),1.25,IF(_uom="lbs",5,2.5))))),"")</f>
        <v/>
      </c>
      <c s="70"/>
      <c s="63"/>
      <c s="97"/>
      <c s="44" t="str">
        <f>IFERROR(__xludf.DUMMYFUNCTION("IF(ES58=MAX(FILTER(ES$10:ES$199,LOOKUP(ROW(EM$10:EM$199),FILTER(ROW(EM$10:EM$199),EM$10:EM$199&lt;&gt;EM$9:EM$198))=LOOKUP(ROW(EM58),FILTER(ROW(EM$10:EM$199),EM$10:EM$199&lt;&gt;EM$9:EM$198)))),ET58,)"),"")</f>
        <v/>
      </c>
      <c s="42"/>
      <c s="81"/>
      <c s="64" t="str">
        <f t="shared" si="36"/>
        <v>lats - vertical</v>
      </c>
      <c s="65" t="str">
        <f>IFERROR(__xludf.DUMMYFUNCTION("""COMPUTED_VALUE"""),"ac")</f>
        <v>ac</v>
      </c>
      <c s="66">
        <f ca="1"/>
        <v>45285</v>
      </c>
      <c s="93" t="str">
        <f t="shared" si="49"/>
        <v>Pull-ups</v>
      </c>
      <c s="94">
        <f t="shared" si="314"/>
        <v>3</v>
      </c>
      <c s="95">
        <v>8</v>
      </c>
      <c s="98" t="str">
        <f t="shared" si="316"/>
        <v>@8-9</v>
      </c>
      <c s="97" t="str">
        <f t="array" ref="FG58">IFERROR(IF(FA58="ac"+ISNUMBER(SEARCH("'",FF58))+FE58="","",IF(ISNUMBER(SEARCH("lw",FF58)),ES58+SUBSTITUTE(FF58,"lw+",""),MROUND(_xlfn.SWITCH(FA58,"sq",FE$7,"bn",FF$7,"dl",FG$7,"")*IF(FF58&gt;10,FF58/100,VLOOKUP(FF58,_rpe,SUBSTITUTE(FE58,"+","")+1,0)),IF(_xlfn.SWITCH(FA58,"sq",FE$7,"bn",FF$7,"dl",FG$7,"")&lt;IF(_uom="lbs",175,80),1.25,IF(_uom="lbs",5,2.5))))),"")</f>
        <v/>
      </c>
      <c s="70"/>
      <c s="63"/>
      <c s="97"/>
      <c s="44" t="str">
        <f>IFERROR(__xludf.DUMMYFUNCTION("IF(FG58=MAX(FILTER(FG$10:FG$199,LOOKUP(ROW(FA$10:FA$199),FILTER(ROW(FA$10:FA$199),FA$10:FA$199&lt;&gt;FA$9:FA$198))=LOOKUP(ROW(FA58),FILTER(ROW(FA$10:FA$199),FA$10:FA$199&lt;&gt;FA$9:FA$198)))),FH58,)"),"")</f>
        <v/>
      </c>
      <c s="42"/>
      <c s="81"/>
      <c s="64" t="str">
        <f t="shared" si="38"/>
        <v>lats - vertical</v>
      </c>
      <c s="65" t="str">
        <f>IFERROR(__xludf.DUMMYFUNCTION("""COMPUTED_VALUE"""),"")</f>
        <v/>
      </c>
      <c s="66">
        <f ca="1"/>
        <v>45292</v>
      </c>
      <c s="93"/>
      <c s="94"/>
      <c s="95"/>
      <c s="98"/>
      <c s="97" t="str">
        <f t="array" ref="FU58">IFERROR(IF(FO58="ac"+ISNUMBER(SEARCH("'",FT58))+FS58="","",IF(ISNUMBER(SEARCH("lw",FT58)),FG58+SUBSTITUTE(FT58,"lw+",""),MROUND(_xlfn.SWITCH(FO58,"sq",FS$7,"bn",FT$7,"dl",FU$7,"")*IF(FT58&gt;10,FT58/100,VLOOKUP(FT58,_rpe,SUBSTITUTE(FS58,"+","")+1,0)),IF(_xlfn.SWITCH(FO58,"sq",FS$7,"bn",FT$7,"dl",FU$7,"")&lt;IF(_uom="lbs",175,80),1.25,IF(_uom="lbs",5,2.5))))),"")</f>
        <v/>
      </c>
      <c s="70"/>
      <c s="63"/>
      <c s="97"/>
      <c s="44" t="str">
        <f>IFERROR(__xludf.DUMMYFUNCTION("IF(FU58=MAX(FILTER(FU$10:FU$199,LOOKUP(ROW(FO$10:FO$199),FILTER(ROW(FO$10:FO$199),FO$10:FO$199&lt;&gt;FO$9:FO$198))=LOOKUP(ROW(FO58),FILTER(ROW(FO$10:FO$199),FO$10:FO$199&lt;&gt;FO$9:FO$198)))),FV58,)"),"")</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59" spans="1:259" ht="15.75" hidden="1" outlineLevel="1">
      <c r="A59" s="63"/>
      <c s="107"/>
      <c s="65" t="str">
        <f>IFERROR(__xludf.DUMMYFUNCTION("""COMPUTED_VALUE"""),"")</f>
        <v/>
      </c>
      <c s="66">
        <f ca="1"/>
        <v>45208</v>
      </c>
      <c s="108"/>
      <c s="94"/>
      <c s="95"/>
      <c s="96"/>
      <c s="97" t="str">
        <f t="array" ref="I59">IFERROR(IF(C59="ac"+ISNUMBER(SEARCH("'",H59))+G59="","",MROUND(_xlfn.SWITCH(C59,"sq",'Personal Info'!$O$15,"bn",'Personal Info'!$S$15,"dl",'Personal Info'!$W$15,"")*IF(H59&gt;10,H59/100,VLOOKUP(H59,_rpe,SUBSTITUTE(G59,"+","")+1,0)),IF(_xlfn.SWITCH(C59:C210,"sq",'Personal Info'!$O$15,"bn",'Personal Info'!$S$15,"dl",'Personal Info'!$W$15,"")&lt;IF(_uom="lbs",175,80),1.25,IF(_uom="lbs",5,2.5)))),"")</f>
        <v/>
      </c>
      <c s="70"/>
      <c s="63"/>
      <c s="97"/>
      <c s="44" t="str">
        <f>IFERROR(__xludf.DUMMYFUNCTION("IF(I59=MAX(FILTER(I$10:I$199,LOOKUP(ROW(C$10:C$199),FILTER(ROW(C$10:C$199),C$10:C$199&lt;&gt;C$9:C$198))=LOOKUP(ROW(C59),FILTER(ROW(C$10:C$199),C$10:C$199&lt;&gt;C$9:C$198)))),J59,)"),"")</f>
        <v/>
      </c>
      <c s="42"/>
      <c s="81"/>
      <c s="64" t="str">
        <f t="shared" si="11"/>
        <v/>
      </c>
      <c s="65" t="str">
        <f>IFERROR(__xludf.DUMMYFUNCTION("""COMPUTED_VALUE"""),"")</f>
        <v/>
      </c>
      <c s="66">
        <f ca="1"/>
        <v>45215</v>
      </c>
      <c s="93" t="str">
        <f t="shared" si="12"/>
        <v/>
      </c>
      <c s="94" t="str">
        <f t="shared" si="322" ref="T59:T65">IF(ISBLANK(F59),"",F59)</f>
        <v/>
      </c>
      <c s="95" t="str">
        <f t="shared" si="323" ref="U59:U61">IF(OR(ISBLANK(G59),G59=""),"",G59)</f>
        <v/>
      </c>
      <c s="98" t="str">
        <f t="shared" si="324" ref="V59:V61">IF(ISBLANK(H59),"",H59)</f>
        <v/>
      </c>
      <c s="97" t="str">
        <f t="array" ref="W59">IFERROR(IF(Q59="ac"+ISNUMBER(SEARCH("'",V59))+U59="","",IF(ISNUMBER(SEARCH("lw",V59)),I59+SUBSTITUTE(V59,"lw+",""),MROUND(_xlfn.SWITCH(Q59,"sq",U$7,"bn",V$7,"dl",W$7,"")*IF(V59&gt;10,V59/100,VLOOKUP(V59,_rpe,SUBSTITUTE(U59,"+","")+1,0)),IF(_xlfn.SWITCH(Q59,"sq",U$7,"bn",V$7,"dl",W$7,"")&lt;IF(_uom="lbs",175,80),1.25,IF(_uom="lbs",5,2.5))))),"")</f>
        <v/>
      </c>
      <c s="70"/>
      <c s="63"/>
      <c s="97"/>
      <c s="44" t="str">
        <f>IFERROR(__xludf.DUMMYFUNCTION("IF(W59=MAX(FILTER(W$10:W$199,LOOKUP(ROW(Q$10:Q$199),FILTER(ROW(Q$10:Q$199),Q$10:Q$199&lt;&gt;Q$9:Q$198))=LOOKUP(ROW(Q59),FILTER(ROW(Q$10:Q$199),Q$10:Q$199&lt;&gt;Q$9:Q$198)))),X59,)"),"")</f>
        <v/>
      </c>
      <c s="42"/>
      <c s="81"/>
      <c s="64" t="str">
        <f t="shared" si="14"/>
        <v/>
      </c>
      <c s="65" t="str">
        <f>IFERROR(__xludf.DUMMYFUNCTION("""COMPUTED_VALUE"""),"")</f>
        <v/>
      </c>
      <c s="66">
        <f ca="1"/>
        <v>45222</v>
      </c>
      <c s="93" t="str">
        <f t="shared" si="156"/>
        <v/>
      </c>
      <c s="94" t="str">
        <f t="shared" si="186"/>
        <v/>
      </c>
      <c s="95" t="str">
        <f t="shared" si="325" ref="AI59:AI61">IF(OR(ISBLANK(U59),U59=""),"",U59)</f>
        <v/>
      </c>
      <c s="98" t="str">
        <f t="shared" si="326" ref="AJ59:AJ61">IF(ISBLANK(V59),"",V59)</f>
        <v/>
      </c>
      <c s="97" t="str">
        <f t="array" ref="AK59">IFERROR(IF(AE59="ac"+ISNUMBER(SEARCH("'",AJ59))+AI59="","",IF(ISNUMBER(SEARCH("lw",AJ59)),W59+SUBSTITUTE(AJ59,"lw+",""),MROUND(_xlfn.SWITCH(AE59,"sq",AI$7,"bn",AJ$7,"dl",AK$7,"")*IF(AJ59&gt;10,AJ59/100,VLOOKUP(AJ59,_rpe,SUBSTITUTE(AI59,"+","")+1,0)),IF(_xlfn.SWITCH(AE59,"sq",AI$7,"bn",AJ$7,"dl",AK$7,"")&lt;IF(_uom="lbs",175,80),1.25,IF(_uom="lbs",5,2.5))))),"")</f>
        <v/>
      </c>
      <c s="70"/>
      <c s="63"/>
      <c s="97"/>
      <c s="44" t="str">
        <f>IFERROR(__xludf.DUMMYFUNCTION("IF(AK59=MAX(FILTER(AK$10:AK$199,LOOKUP(ROW(AE$10:AE$199),FILTER(ROW(AE$10:AE$199),AE$10:AE$199&lt;&gt;AE$9:AE$198))=LOOKUP(ROW(AE59),FILTER(ROW(AE$10:AE$199),AE$10:AE$199&lt;&gt;AE$9:AE$198)))),AL59,)"),"")</f>
        <v/>
      </c>
      <c s="42"/>
      <c s="81"/>
      <c s="64" t="str">
        <f t="shared" si="17"/>
        <v/>
      </c>
      <c s="65" t="str">
        <f>IFERROR(__xludf.DUMMYFUNCTION("""COMPUTED_VALUE"""),"")</f>
        <v/>
      </c>
      <c s="66">
        <f ca="1"/>
        <v>45229</v>
      </c>
      <c s="93" t="str">
        <f t="shared" si="157"/>
        <v/>
      </c>
      <c s="94" t="str">
        <f t="shared" si="188"/>
        <v/>
      </c>
      <c s="95" t="str">
        <f t="shared" si="327" ref="AW59:AW61">IF(OR(ISBLANK(AI59),AI59=""),"",AI59)</f>
        <v/>
      </c>
      <c s="98" t="str">
        <f t="shared" si="294"/>
        <v/>
      </c>
      <c s="97" t="str">
        <f t="array" ref="AY59">IFERROR(IF(AS59="ac"+ISNUMBER(SEARCH("'",AX59))+AW59="","",IF(ISNUMBER(SEARCH("lw",AX59)),AK59+SUBSTITUTE(AX59,"lw+",""),MROUND(_xlfn.SWITCH(AS59,"sq",AW$7,"bn",AX$7,"dl",AY$7,"")*IF(AX59&gt;10,AX59/100,VLOOKUP(AX59,_rpe,SUBSTITUTE(AW59,"+","")+1,0)),IF(_xlfn.SWITCH(AS59,"sq",AW$7,"bn",AX$7,"dl",AY$7,"")&lt;IF(_uom="lbs",175,80),1.25,IF(_uom="lbs",5,2.5))))),"")</f>
        <v/>
      </c>
      <c s="70"/>
      <c s="63"/>
      <c s="97"/>
      <c s="44" t="str">
        <f>IFERROR(__xludf.DUMMYFUNCTION("IF(AY59=MAX(FILTER(AY$10:AY$199,LOOKUP(ROW(AS$10:AS$199),FILTER(ROW(AS$10:AS$199),AS$10:AS$199&lt;&gt;AS$9:AS$198))=LOOKUP(ROW(AS59),FILTER(ROW(AS$10:AS$199),AS$10:AS$199&lt;&gt;AS$9:AS$198)))),AZ59,)"),"")</f>
        <v/>
      </c>
      <c s="42"/>
      <c s="81"/>
      <c s="64" t="str">
        <f t="shared" si="19"/>
        <v/>
      </c>
      <c s="65" t="str">
        <f>IFERROR(__xludf.DUMMYFUNCTION("""COMPUTED_VALUE"""),"")</f>
        <v/>
      </c>
      <c s="66">
        <f ca="1"/>
        <v>45236</v>
      </c>
      <c s="93" t="str">
        <f t="shared" si="20"/>
        <v/>
      </c>
      <c s="94" t="str">
        <f t="shared" si="328" ref="BJ59:BJ61">IF(ISBLANK(AV59),"",AV59)</f>
        <v/>
      </c>
      <c s="95" t="str">
        <f t="shared" si="329" ref="BK59:BK61">IF(OR(ISBLANK(AW59),AW59=""),"",AW59)</f>
        <v/>
      </c>
      <c s="98" t="str">
        <f t="shared" si="330" ref="BL59:BL61">IF(ISBLANK(AX59),"",AX59)</f>
        <v/>
      </c>
      <c s="97" t="str">
        <f t="array" ref="BM59">IFERROR(IF(BG59="ac"+ISNUMBER(SEARCH("'",BL59))+BK59="","",IF(ISNUMBER(SEARCH("lw",BL59)),AY59+SUBSTITUTE(BL59,"lw+",""),MROUND(_xlfn.SWITCH(BG59,"sq",BK$7,"bn",BL$7,"dl",BM$7,"")*IF(BL59&gt;10,BL59/100,VLOOKUP(BL59,_rpe,SUBSTITUTE(BK59,"+","")+1,0)),IF(_xlfn.SWITCH(BG59,"sq",BK$7,"bn",BL$7,"dl",BM$7,"")&lt;IF(_uom="lbs",175,80),1.25,IF(_uom="lbs",5,2.5))))),"")</f>
        <v/>
      </c>
      <c s="70"/>
      <c s="63"/>
      <c s="97"/>
      <c s="44" t="str">
        <f>IFERROR(__xludf.DUMMYFUNCTION("IF(BM59=MAX(FILTER(BM$10:BM$199,LOOKUP(ROW(BG$10:BG$199),FILTER(ROW(BG$10:BG$199),BG$10:BG$199&lt;&gt;BG$9:BG$198))=LOOKUP(ROW(BG59),FILTER(ROW(BG$10:BG$199),BG$10:BG$199&lt;&gt;BG$9:BG$198)))),BN59,)"),"")</f>
        <v/>
      </c>
      <c s="42"/>
      <c s="81"/>
      <c s="64" t="str">
        <f t="shared" si="21"/>
        <v/>
      </c>
      <c s="65" t="str">
        <f>IFERROR(__xludf.DUMMYFUNCTION("""COMPUTED_VALUE"""),"")</f>
        <v/>
      </c>
      <c s="66">
        <f ca="1"/>
        <v>45243</v>
      </c>
      <c s="93" t="str">
        <f t="shared" si="22"/>
        <v/>
      </c>
      <c s="94" t="str">
        <f t="shared" si="331" ref="BX59:BX61">IF(ISBLANK(BJ59),"",BJ59)</f>
        <v/>
      </c>
      <c s="95" t="str">
        <f t="shared" si="332" ref="BY59:BY61">IF(OR(ISBLANK(BK59),BK59=""),"",BK59)</f>
        <v/>
      </c>
      <c s="98" t="str">
        <f t="shared" si="333" ref="BZ59:BZ61">IF(ISBLANK(BL59),"",BL59)</f>
        <v/>
      </c>
      <c s="97" t="str">
        <f t="array" ref="CA59">IFERROR(IF(BU59="ac"+ISNUMBER(SEARCH("'",BZ59))+BY59="","",IF(ISNUMBER(SEARCH("lw",BZ59)),BM59+SUBSTITUTE(BZ59,"lw+",""),MROUND(_xlfn.SWITCH(BU59,"sq",BY$7,"bn",BZ$7,"dl",CA$7,"")*IF(BZ59&gt;10,BZ59/100,VLOOKUP(BZ59,_rpe,SUBSTITUTE(BY59,"+","")+1,0)),IF(_xlfn.SWITCH(BU59,"sq",BY$7,"bn",BZ$7,"dl",CA$7,"")&lt;IF(_uom="lbs",175,80),1.25,IF(_uom="lbs",5,2.5))))),"")</f>
        <v/>
      </c>
      <c s="70"/>
      <c s="63"/>
      <c s="97"/>
      <c s="44" t="str">
        <f>IFERROR(__xludf.DUMMYFUNCTION("IF(CA59=MAX(FILTER(CA$10:CA$199,LOOKUP(ROW(BU$10:BU$199),FILTER(ROW(BU$10:BU$199),BU$10:BU$199&lt;&gt;BU$9:BU$198))=LOOKUP(ROW(BU59),FILTER(ROW(BU$10:BU$199),BU$10:BU$199&lt;&gt;BU$9:BU$198)))),CB59,)"),"")</f>
        <v/>
      </c>
      <c s="42"/>
      <c s="81"/>
      <c s="64" t="str">
        <f t="shared" si="24"/>
        <v/>
      </c>
      <c s="65" t="str">
        <f>IFERROR(__xludf.DUMMYFUNCTION("""COMPUTED_VALUE"""),"")</f>
        <v/>
      </c>
      <c s="66">
        <f ca="1"/>
        <v>45250</v>
      </c>
      <c s="93" t="str">
        <f t="shared" si="44"/>
        <v/>
      </c>
      <c s="94" t="str">
        <f t="shared" si="300"/>
        <v/>
      </c>
      <c s="95" t="str">
        <f t="shared" si="334" ref="CM59:CM61">IF(OR(ISBLANK(BY59),BY59=""),"",BY59)</f>
        <v/>
      </c>
      <c s="98" t="str">
        <f t="shared" si="335" ref="CN59:CN61">IF(ISBLANK(BZ59),"",BZ59)</f>
        <v/>
      </c>
      <c s="97" t="str">
        <f t="array" ref="CO59">IFERROR(IF(CI59="ac"+ISNUMBER(SEARCH("'",CN59))+CM59="","",IF(ISNUMBER(SEARCH("lw",CN59)),CA59+SUBSTITUTE(CN59,"lw+",""),MROUND(_xlfn.SWITCH(CI59,"sq",CM$7,"bn",CN$7,"dl",CO$7,"")*IF(CN59&gt;10,CN59/100,VLOOKUP(CN59,_rpe,SUBSTITUTE(CM59,"+","")+1,0)),IF(_xlfn.SWITCH(CI59,"sq",CM$7,"bn",CN$7,"dl",CO$7,"")&lt;IF(_uom="lbs",175,80),1.25,IF(_uom="lbs",5,2.5))))),"")</f>
        <v/>
      </c>
      <c s="70"/>
      <c s="63"/>
      <c s="97"/>
      <c s="44" t="str">
        <f>IFERROR(__xludf.DUMMYFUNCTION("IF(CO59=MAX(FILTER(CO$10:CO$199,LOOKUP(ROW(CI$10:CI$199),FILTER(ROW(CI$10:CI$199),CI$10:CI$199&lt;&gt;CI$9:CI$198))=LOOKUP(ROW(CI59),FILTER(ROW(CI$10:CI$199),CI$10:CI$199&lt;&gt;CI$9:CI$198)))),CP59,)"),"")</f>
        <v/>
      </c>
      <c s="42"/>
      <c s="81"/>
      <c s="64" t="str">
        <f t="shared" si="27"/>
        <v/>
      </c>
      <c s="65" t="str">
        <f>IFERROR(__xludf.DUMMYFUNCTION("""COMPUTED_VALUE"""),"")</f>
        <v/>
      </c>
      <c s="66">
        <f ca="1"/>
        <v>45257</v>
      </c>
      <c s="93" t="str">
        <f t="shared" si="45"/>
        <v/>
      </c>
      <c s="94" t="str">
        <f t="shared" si="302"/>
        <v/>
      </c>
      <c s="95" t="str">
        <f t="shared" si="336" ref="DA59:DA61">IF(OR(ISBLANK(CM59),CM59=""),"",CM59)</f>
        <v/>
      </c>
      <c s="98" t="str">
        <f t="shared" si="304"/>
        <v/>
      </c>
      <c s="97" t="str">
        <f t="array" ref="DC59">IFERROR(IF(CW59="ac"+ISNUMBER(SEARCH("'",DB59))+DA59="","",IF(ISNUMBER(SEARCH("lw",DB59)),CO59+SUBSTITUTE(DB59,"lw+",""),MROUND(_xlfn.SWITCH(CW59,"sq",DA$7,"bn",DB$7,"dl",DC$7,"")*IF(DB59&gt;10,DB59/100,VLOOKUP(DB59,_rpe,SUBSTITUTE(DA59,"+","")+1,0)),IF(_xlfn.SWITCH(CW59,"sq",DA$7,"bn",DB$7,"dl",DC$7,"")&lt;IF(_uom="lbs",175,80),1.25,IF(_uom="lbs",5,2.5))))),"")</f>
        <v/>
      </c>
      <c s="70"/>
      <c s="63"/>
      <c s="97"/>
      <c s="44" t="str">
        <f>IFERROR(__xludf.DUMMYFUNCTION("IF(DC59=MAX(FILTER(DC$10:DC$199,LOOKUP(ROW(CW$10:CW$199),FILTER(ROW(CW$10:CW$199),CW$10:CW$199&lt;&gt;CW$9:CW$198))=LOOKUP(ROW(CW59),FILTER(ROW(CW$10:CW$199),CW$10:CW$199&lt;&gt;CW$9:CW$198)))),DD59,)"),"")</f>
        <v/>
      </c>
      <c s="42"/>
      <c s="81"/>
      <c s="64" t="str">
        <f t="shared" si="30"/>
        <v/>
      </c>
      <c s="65" t="str">
        <f>IFERROR(__xludf.DUMMYFUNCTION("""COMPUTED_VALUE"""),"")</f>
        <v/>
      </c>
      <c s="66">
        <f ca="1"/>
        <v>45264</v>
      </c>
      <c s="93" t="str">
        <f t="shared" si="46"/>
        <v/>
      </c>
      <c s="94" t="str">
        <f t="shared" si="305"/>
        <v/>
      </c>
      <c s="95" t="str">
        <f t="shared" si="337" ref="DO59:DO61">IF(OR(ISBLANK(DA59),DA59=""),"",DA59)</f>
        <v/>
      </c>
      <c s="98" t="str">
        <f t="shared" si="338" ref="DP59:DP61">IF(ISBLANK(DB59),"",DB59)</f>
        <v/>
      </c>
      <c s="97" t="str">
        <f t="array" ref="DQ59">IFERROR(IF(DK59="ac"+ISNUMBER(SEARCH("'",DP59))+DO59="","",IF(ISNUMBER(SEARCH("lw",DP59)),DC59+SUBSTITUTE(DP59,"lw+",""),MROUND(_xlfn.SWITCH(DK59,"sq",DO$7,"bn",DP$7,"dl",DQ$7,"")*IF(DP59&gt;10,DP59/100,VLOOKUP(DP59,_rpe,SUBSTITUTE(DO59,"+","")+1,0)),IF(_xlfn.SWITCH(DK59,"sq",DO$7,"bn",DP$7,"dl",DQ$7,"")&lt;IF(_uom="lbs",175,80),1.25,IF(_uom="lbs",5,2.5))))),"")</f>
        <v/>
      </c>
      <c s="70"/>
      <c s="63"/>
      <c s="97"/>
      <c s="44" t="str">
        <f>IFERROR(__xludf.DUMMYFUNCTION("IF(DQ59=MAX(FILTER(DQ$10:DQ$199,LOOKUP(ROW(DK$10:DK$199),FILTER(ROW(DK$10:DK$199),DK$10:DK$199&lt;&gt;DK$9:DK$198))=LOOKUP(ROW(DK59),FILTER(ROW(DK$10:DK$199),DK$10:DK$199&lt;&gt;DK$9:DK$198)))),DR59,)"),"")</f>
        <v/>
      </c>
      <c s="42"/>
      <c s="81"/>
      <c s="64" t="str">
        <f t="shared" si="32"/>
        <v/>
      </c>
      <c s="65" t="str">
        <f>IFERROR(__xludf.DUMMYFUNCTION("""COMPUTED_VALUE"""),"")</f>
        <v/>
      </c>
      <c s="66">
        <f ca="1"/>
        <v>45271</v>
      </c>
      <c s="93" t="str">
        <f t="shared" si="47"/>
        <v/>
      </c>
      <c s="94" t="str">
        <f t="shared" si="308"/>
        <v/>
      </c>
      <c s="95" t="str">
        <f t="shared" si="339" ref="EC59:EC61">IF(OR(ISBLANK(DO59),DO59=""),"",DO59)</f>
        <v/>
      </c>
      <c s="98" t="str">
        <f t="shared" si="340" ref="ED59:ED61">IF(ISBLANK(DP59),"",DP59)</f>
        <v/>
      </c>
      <c s="97" t="str">
        <f t="array" ref="EE59">IFERROR(IF(DY59="ac"+ISNUMBER(SEARCH("'",ED59))+EC59="","",IF(ISNUMBER(SEARCH("lw",ED59)),DQ59+SUBSTITUTE(ED59,"lw+",""),MROUND(_xlfn.SWITCH(DY59,"sq",EC$7,"bn",ED$7,"dl",EE$7,"")*IF(ED59&gt;10,ED59/100,VLOOKUP(ED59,_rpe,SUBSTITUTE(EC59,"+","")+1,0)),IF(_xlfn.SWITCH(DY59,"sq",EC$7,"bn",ED$7,"dl",EE$7,"")&lt;IF(_uom="lbs",175,80),1.25,IF(_uom="lbs",5,2.5))))),"")</f>
        <v/>
      </c>
      <c s="70"/>
      <c s="63"/>
      <c s="97"/>
      <c s="44" t="str">
        <f>IFERROR(__xludf.DUMMYFUNCTION("IF(EE59=MAX(FILTER(EE$10:EE$199,LOOKUP(ROW(DY$10:DY$199),FILTER(ROW(DY$10:DY$199),DY$10:DY$199&lt;&gt;DY$9:DY$198))=LOOKUP(ROW(DY59),FILTER(ROW(DY$10:DY$199),DY$10:DY$199&lt;&gt;DY$9:DY$198)))),EF59,)"),"")</f>
        <v/>
      </c>
      <c s="42"/>
      <c s="81"/>
      <c s="64" t="str">
        <f t="shared" si="34"/>
        <v/>
      </c>
      <c s="65" t="str">
        <f>IFERROR(__xludf.DUMMYFUNCTION("""COMPUTED_VALUE"""),"")</f>
        <v/>
      </c>
      <c s="66">
        <f ca="1"/>
        <v>45278</v>
      </c>
      <c s="93" t="str">
        <f t="shared" si="48"/>
        <v/>
      </c>
      <c s="94" t="str">
        <f t="shared" si="311"/>
        <v/>
      </c>
      <c s="95" t="str">
        <f t="shared" si="341" ref="EQ59:EQ61">IF(OR(ISBLANK(EC59),EC59=""),"",EC59)</f>
        <v/>
      </c>
      <c s="98" t="str">
        <f t="shared" si="313"/>
        <v/>
      </c>
      <c s="97" t="str">
        <f t="array" ref="ES59">IFERROR(IF(EM59="ac"+ISNUMBER(SEARCH("'",ER59))+EQ59="","",IF(ISNUMBER(SEARCH("lw",ER59)),EE59+SUBSTITUTE(ER59,"lw+",""),MROUND(_xlfn.SWITCH(EM59,"sq",EQ$7,"bn",ER$7,"dl",ES$7,"")*IF(ER59&gt;10,ER59/100,VLOOKUP(ER59,_rpe,SUBSTITUTE(EQ59,"+","")+1,0)),IF(_xlfn.SWITCH(EM59,"sq",EQ$7,"bn",ER$7,"dl",ES$7,"")&lt;IF(_uom="lbs",175,80),1.25,IF(_uom="lbs",5,2.5))))),"")</f>
        <v/>
      </c>
      <c s="70"/>
      <c s="63"/>
      <c s="97"/>
      <c s="44" t="str">
        <f>IFERROR(__xludf.DUMMYFUNCTION("IF(ES59=MAX(FILTER(ES$10:ES$199,LOOKUP(ROW(EM$10:EM$199),FILTER(ROW(EM$10:EM$199),EM$10:EM$199&lt;&gt;EM$9:EM$198))=LOOKUP(ROW(EM59),FILTER(ROW(EM$10:EM$199),EM$10:EM$199&lt;&gt;EM$9:EM$198)))),ET59,)"),"")</f>
        <v/>
      </c>
      <c s="42"/>
      <c s="81"/>
      <c s="64" t="str">
        <f t="shared" si="36"/>
        <v/>
      </c>
      <c s="65" t="str">
        <f>IFERROR(__xludf.DUMMYFUNCTION("""COMPUTED_VALUE"""),"")</f>
        <v/>
      </c>
      <c s="66">
        <f ca="1"/>
        <v>45285</v>
      </c>
      <c s="93" t="str">
        <f t="shared" si="49"/>
        <v/>
      </c>
      <c s="94" t="str">
        <f t="shared" si="314"/>
        <v/>
      </c>
      <c s="95" t="str">
        <f t="shared" si="342" ref="FE59:FE61">IF(OR(ISBLANK(EQ59),EQ59=""),"",EQ59)</f>
        <v/>
      </c>
      <c s="98" t="str">
        <f t="shared" si="316"/>
        <v/>
      </c>
      <c s="97" t="str">
        <f t="array" ref="FG59">IFERROR(IF(FA59="ac"+ISNUMBER(SEARCH("'",FF59))+FE59="","",IF(ISNUMBER(SEARCH("lw",FF59)),ES59+SUBSTITUTE(FF59,"lw+",""),MROUND(_xlfn.SWITCH(FA59,"sq",FE$7,"bn",FF$7,"dl",FG$7,"")*IF(FF59&gt;10,FF59/100,VLOOKUP(FF59,_rpe,SUBSTITUTE(FE59,"+","")+1,0)),IF(_xlfn.SWITCH(FA59,"sq",FE$7,"bn",FF$7,"dl",FG$7,"")&lt;IF(_uom="lbs",175,80),1.25,IF(_uom="lbs",5,2.5))))),"")</f>
        <v/>
      </c>
      <c s="70"/>
      <c s="63"/>
      <c s="97"/>
      <c s="44" t="str">
        <f>IFERROR(__xludf.DUMMYFUNCTION("IF(FG59=MAX(FILTER(FG$10:FG$199,LOOKUP(ROW(FA$10:FA$199),FILTER(ROW(FA$10:FA$199),FA$10:FA$199&lt;&gt;FA$9:FA$198))=LOOKUP(ROW(FA59),FILTER(ROW(FA$10:FA$199),FA$10:FA$199&lt;&gt;FA$9:FA$198)))),FH59,)"),"")</f>
        <v/>
      </c>
      <c s="42"/>
      <c s="81"/>
      <c s="64" t="str">
        <f t="shared" si="38"/>
        <v/>
      </c>
      <c s="65" t="str">
        <f>IFERROR(__xludf.DUMMYFUNCTION("""COMPUTED_VALUE"""),"")</f>
        <v/>
      </c>
      <c s="66">
        <f ca="1"/>
        <v>45292</v>
      </c>
      <c s="93"/>
      <c s="94"/>
      <c s="95"/>
      <c s="98"/>
      <c s="97" t="str">
        <f t="array" ref="FU59">IFERROR(IF(FO59="ac"+ISNUMBER(SEARCH("'",FT59))+FS59="","",IF(ISNUMBER(SEARCH("lw",FT59)),FG59+SUBSTITUTE(FT59,"lw+",""),MROUND(_xlfn.SWITCH(FO59,"sq",FS$7,"bn",FT$7,"dl",FU$7,"")*IF(FT59&gt;10,FT59/100,VLOOKUP(FT59,_rpe,SUBSTITUTE(FS59,"+","")+1,0)),IF(_xlfn.SWITCH(FO59,"sq",FS$7,"bn",FT$7,"dl",FU$7,"")&lt;IF(_uom="lbs",175,80),1.25,IF(_uom="lbs",5,2.5))))),"")</f>
        <v/>
      </c>
      <c s="70"/>
      <c s="63"/>
      <c s="97"/>
      <c s="44" t="str">
        <f>IFERROR(__xludf.DUMMYFUNCTION("IF(FU59=MAX(FILTER(FU$10:FU$199,LOOKUP(ROW(FO$10:FO$199),FILTER(ROW(FO$10:FO$199),FO$10:FO$199&lt;&gt;FO$9:FO$198))=LOOKUP(ROW(FO59),FILTER(ROW(FO$10:FO$199),FO$10:FO$199&lt;&gt;FO$9:FO$198)))),FV59,)"),"")</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60" spans="1:259" ht="15.75" hidden="1" outlineLevel="1">
      <c r="A60" s="63"/>
      <c s="107"/>
      <c s="65" t="str">
        <f>IFERROR(__xludf.DUMMYFUNCTION("""COMPUTED_VALUE"""),"")</f>
        <v/>
      </c>
      <c s="66">
        <f ca="1"/>
        <v>45208</v>
      </c>
      <c s="108"/>
      <c s="94"/>
      <c s="95"/>
      <c s="96"/>
      <c s="97" t="str">
        <f t="array" ref="I60">IFERROR(IF(C60="ac"+ISNUMBER(SEARCH("'",H60))+G60="","",MROUND(_xlfn.SWITCH(C60,"sq",'Personal Info'!$O$15,"bn",'Personal Info'!$S$15,"dl",'Personal Info'!$W$15,"")*IF(H60&gt;10,H60/100,VLOOKUP(H60,_rpe,SUBSTITUTE(G60,"+","")+1,0)),IF(_xlfn.SWITCH(C60:C210,"sq",'Personal Info'!$O$15,"bn",'Personal Info'!$S$15,"dl",'Personal Info'!$W$15,"")&lt;IF(_uom="lbs",175,80),1.25,IF(_uom="lbs",5,2.5)))),"")</f>
        <v/>
      </c>
      <c s="70"/>
      <c s="63"/>
      <c s="97"/>
      <c s="44" t="str">
        <f>IFERROR(__xludf.DUMMYFUNCTION("IF(I60=MAX(FILTER(I$10:I$199,LOOKUP(ROW(C$10:C$199),FILTER(ROW(C$10:C$199),C$10:C$199&lt;&gt;C$9:C$198))=LOOKUP(ROW(C60),FILTER(ROW(C$10:C$199),C$10:C$199&lt;&gt;C$9:C$198)))),J60,)"),"")</f>
        <v/>
      </c>
      <c s="42"/>
      <c s="81"/>
      <c s="64" t="str">
        <f t="shared" si="11"/>
        <v/>
      </c>
      <c s="65" t="str">
        <f>IFERROR(__xludf.DUMMYFUNCTION("""COMPUTED_VALUE"""),"")</f>
        <v/>
      </c>
      <c s="66">
        <f ca="1"/>
        <v>45215</v>
      </c>
      <c s="93" t="str">
        <f t="shared" si="12"/>
        <v/>
      </c>
      <c s="94" t="str">
        <f t="shared" si="322"/>
        <v/>
      </c>
      <c s="95" t="str">
        <f t="shared" si="323"/>
        <v/>
      </c>
      <c s="98" t="str">
        <f t="shared" si="324"/>
        <v/>
      </c>
      <c s="97" t="str">
        <f t="array" ref="W60">IFERROR(IF(Q60="ac"+ISNUMBER(SEARCH("'",V60))+U60="","",IF(ISNUMBER(SEARCH("lw",V60)),I60+SUBSTITUTE(V60,"lw+",""),MROUND(_xlfn.SWITCH(Q60,"sq",U$7,"bn",V$7,"dl",W$7,"")*IF(V60&gt;10,V60/100,VLOOKUP(V60,_rpe,SUBSTITUTE(U60,"+","")+1,0)),IF(_xlfn.SWITCH(Q60,"sq",U$7,"bn",V$7,"dl",W$7,"")&lt;IF(_uom="lbs",175,80),1.25,IF(_uom="lbs",5,2.5))))),"")</f>
        <v/>
      </c>
      <c s="70"/>
      <c s="63"/>
      <c s="97"/>
      <c s="44" t="str">
        <f>IFERROR(__xludf.DUMMYFUNCTION("IF(W60=MAX(FILTER(W$10:W$199,LOOKUP(ROW(Q$10:Q$199),FILTER(ROW(Q$10:Q$199),Q$10:Q$199&lt;&gt;Q$9:Q$198))=LOOKUP(ROW(Q60),FILTER(ROW(Q$10:Q$199),Q$10:Q$199&lt;&gt;Q$9:Q$198)))),X60,)"),"")</f>
        <v/>
      </c>
      <c s="42"/>
      <c s="81"/>
      <c s="64" t="str">
        <f t="shared" si="14"/>
        <v/>
      </c>
      <c s="65" t="str">
        <f>IFERROR(__xludf.DUMMYFUNCTION("""COMPUTED_VALUE"""),"")</f>
        <v/>
      </c>
      <c s="66">
        <f ca="1"/>
        <v>45222</v>
      </c>
      <c s="93" t="str">
        <f t="shared" si="156"/>
        <v/>
      </c>
      <c s="94" t="str">
        <f t="shared" si="186"/>
        <v/>
      </c>
      <c s="95" t="str">
        <f t="shared" si="325"/>
        <v/>
      </c>
      <c s="98" t="str">
        <f t="shared" si="326"/>
        <v/>
      </c>
      <c s="97" t="str">
        <f t="array" ref="AK60">IFERROR(IF(AE60="ac"+ISNUMBER(SEARCH("'",AJ60))+AI60="","",IF(ISNUMBER(SEARCH("lw",AJ60)),W60+SUBSTITUTE(AJ60,"lw+",""),MROUND(_xlfn.SWITCH(AE60,"sq",AI$7,"bn",AJ$7,"dl",AK$7,"")*IF(AJ60&gt;10,AJ60/100,VLOOKUP(AJ60,_rpe,SUBSTITUTE(AI60,"+","")+1,0)),IF(_xlfn.SWITCH(AE60,"sq",AI$7,"bn",AJ$7,"dl",AK$7,"")&lt;IF(_uom="lbs",175,80),1.25,IF(_uom="lbs",5,2.5))))),"")</f>
        <v/>
      </c>
      <c s="70"/>
      <c s="63"/>
      <c s="97"/>
      <c s="44" t="str">
        <f>IFERROR(__xludf.DUMMYFUNCTION("IF(AK60=MAX(FILTER(AK$10:AK$199,LOOKUP(ROW(AE$10:AE$199),FILTER(ROW(AE$10:AE$199),AE$10:AE$199&lt;&gt;AE$9:AE$198))=LOOKUP(ROW(AE60),FILTER(ROW(AE$10:AE$199),AE$10:AE$199&lt;&gt;AE$9:AE$198)))),AL60,)"),"")</f>
        <v/>
      </c>
      <c s="42"/>
      <c s="81"/>
      <c s="64" t="str">
        <f t="shared" si="17"/>
        <v/>
      </c>
      <c s="65" t="str">
        <f>IFERROR(__xludf.DUMMYFUNCTION("""COMPUTED_VALUE"""),"")</f>
        <v/>
      </c>
      <c s="66">
        <f ca="1"/>
        <v>45229</v>
      </c>
      <c s="93" t="str">
        <f t="shared" si="157"/>
        <v/>
      </c>
      <c s="94" t="str">
        <f t="shared" si="188"/>
        <v/>
      </c>
      <c s="95" t="str">
        <f t="shared" si="327"/>
        <v/>
      </c>
      <c s="98" t="str">
        <f t="shared" si="294"/>
        <v/>
      </c>
      <c s="97" t="str">
        <f t="array" ref="AY60">IFERROR(IF(AS60="ac"+ISNUMBER(SEARCH("'",AX60))+AW60="","",IF(ISNUMBER(SEARCH("lw",AX60)),AK60+SUBSTITUTE(AX60,"lw+",""),MROUND(_xlfn.SWITCH(AS60,"sq",AW$7,"bn",AX$7,"dl",AY$7,"")*IF(AX60&gt;10,AX60/100,VLOOKUP(AX60,_rpe,SUBSTITUTE(AW60,"+","")+1,0)),IF(_xlfn.SWITCH(AS60,"sq",AW$7,"bn",AX$7,"dl",AY$7,"")&lt;IF(_uom="lbs",175,80),1.25,IF(_uom="lbs",5,2.5))))),"")</f>
        <v/>
      </c>
      <c s="70"/>
      <c s="63"/>
      <c s="97"/>
      <c s="44" t="str">
        <f>IFERROR(__xludf.DUMMYFUNCTION("IF(AY60=MAX(FILTER(AY$10:AY$199,LOOKUP(ROW(AS$10:AS$199),FILTER(ROW(AS$10:AS$199),AS$10:AS$199&lt;&gt;AS$9:AS$198))=LOOKUP(ROW(AS60),FILTER(ROW(AS$10:AS$199),AS$10:AS$199&lt;&gt;AS$9:AS$198)))),AZ60,)"),"")</f>
        <v/>
      </c>
      <c s="42"/>
      <c s="81"/>
      <c s="64" t="str">
        <f t="shared" si="19"/>
        <v/>
      </c>
      <c s="65" t="str">
        <f>IFERROR(__xludf.DUMMYFUNCTION("""COMPUTED_VALUE"""),"")</f>
        <v/>
      </c>
      <c s="66">
        <f ca="1"/>
        <v>45236</v>
      </c>
      <c s="93" t="str">
        <f t="shared" si="20"/>
        <v/>
      </c>
      <c s="94" t="str">
        <f t="shared" si="328"/>
        <v/>
      </c>
      <c s="95" t="str">
        <f t="shared" si="329"/>
        <v/>
      </c>
      <c s="98" t="str">
        <f t="shared" si="330"/>
        <v/>
      </c>
      <c s="97" t="str">
        <f t="array" ref="BM60">IFERROR(IF(BG60="ac"+ISNUMBER(SEARCH("'",BL60))+BK60="","",IF(ISNUMBER(SEARCH("lw",BL60)),AY60+SUBSTITUTE(BL60,"lw+",""),MROUND(_xlfn.SWITCH(BG60,"sq",BK$7,"bn",BL$7,"dl",BM$7,"")*IF(BL60&gt;10,BL60/100,VLOOKUP(BL60,_rpe,SUBSTITUTE(BK60,"+","")+1,0)),IF(_xlfn.SWITCH(BG60,"sq",BK$7,"bn",BL$7,"dl",BM$7,"")&lt;IF(_uom="lbs",175,80),1.25,IF(_uom="lbs",5,2.5))))),"")</f>
        <v/>
      </c>
      <c s="70"/>
      <c s="63"/>
      <c s="97"/>
      <c s="44" t="str">
        <f>IFERROR(__xludf.DUMMYFUNCTION("IF(BM60=MAX(FILTER(BM$10:BM$199,LOOKUP(ROW(BG$10:BG$199),FILTER(ROW(BG$10:BG$199),BG$10:BG$199&lt;&gt;BG$9:BG$198))=LOOKUP(ROW(BG60),FILTER(ROW(BG$10:BG$199),BG$10:BG$199&lt;&gt;BG$9:BG$198)))),BN60,)"),"")</f>
        <v/>
      </c>
      <c s="42"/>
      <c s="81"/>
      <c s="64" t="str">
        <f t="shared" si="21"/>
        <v/>
      </c>
      <c s="65" t="str">
        <f>IFERROR(__xludf.DUMMYFUNCTION("""COMPUTED_VALUE"""),"")</f>
        <v/>
      </c>
      <c s="66">
        <f ca="1"/>
        <v>45243</v>
      </c>
      <c s="93" t="str">
        <f t="shared" si="22"/>
        <v/>
      </c>
      <c s="94" t="str">
        <f t="shared" si="331"/>
        <v/>
      </c>
      <c s="95" t="str">
        <f t="shared" si="332"/>
        <v/>
      </c>
      <c s="98" t="str">
        <f t="shared" si="333"/>
        <v/>
      </c>
      <c s="97" t="str">
        <f t="array" ref="CA60">IFERROR(IF(BU60="ac"+ISNUMBER(SEARCH("'",BZ60))+BY60="","",IF(ISNUMBER(SEARCH("lw",BZ60)),BM60+SUBSTITUTE(BZ60,"lw+",""),MROUND(_xlfn.SWITCH(BU60,"sq",BY$7,"bn",BZ$7,"dl",CA$7,"")*IF(BZ60&gt;10,BZ60/100,VLOOKUP(BZ60,_rpe,SUBSTITUTE(BY60,"+","")+1,0)),IF(_xlfn.SWITCH(BU60,"sq",BY$7,"bn",BZ$7,"dl",CA$7,"")&lt;IF(_uom="lbs",175,80),1.25,IF(_uom="lbs",5,2.5))))),"")</f>
        <v/>
      </c>
      <c s="70"/>
      <c s="63"/>
      <c s="97"/>
      <c s="44" t="str">
        <f>IFERROR(__xludf.DUMMYFUNCTION("IF(CA60=MAX(FILTER(CA$10:CA$199,LOOKUP(ROW(BU$10:BU$199),FILTER(ROW(BU$10:BU$199),BU$10:BU$199&lt;&gt;BU$9:BU$198))=LOOKUP(ROW(BU60),FILTER(ROW(BU$10:BU$199),BU$10:BU$199&lt;&gt;BU$9:BU$198)))),CB60,)"),"")</f>
        <v/>
      </c>
      <c s="42"/>
      <c s="81"/>
      <c s="64" t="str">
        <f t="shared" si="24"/>
        <v/>
      </c>
      <c s="65" t="str">
        <f>IFERROR(__xludf.DUMMYFUNCTION("""COMPUTED_VALUE"""),"")</f>
        <v/>
      </c>
      <c s="66">
        <f ca="1"/>
        <v>45250</v>
      </c>
      <c s="93" t="str">
        <f t="shared" si="44"/>
        <v/>
      </c>
      <c s="94" t="str">
        <f t="shared" si="300"/>
        <v/>
      </c>
      <c s="95" t="str">
        <f t="shared" si="334"/>
        <v/>
      </c>
      <c s="98" t="str">
        <f t="shared" si="335"/>
        <v/>
      </c>
      <c s="97" t="str">
        <f t="array" ref="CO60">IFERROR(IF(CI60="ac"+ISNUMBER(SEARCH("'",CN60))+CM60="","",IF(ISNUMBER(SEARCH("lw",CN60)),CA60+SUBSTITUTE(CN60,"lw+",""),MROUND(_xlfn.SWITCH(CI60,"sq",CM$7,"bn",CN$7,"dl",CO$7,"")*IF(CN60&gt;10,CN60/100,VLOOKUP(CN60,_rpe,SUBSTITUTE(CM60,"+","")+1,0)),IF(_xlfn.SWITCH(CI60,"sq",CM$7,"bn",CN$7,"dl",CO$7,"")&lt;IF(_uom="lbs",175,80),1.25,IF(_uom="lbs",5,2.5))))),"")</f>
        <v/>
      </c>
      <c s="70"/>
      <c s="63"/>
      <c s="97"/>
      <c s="44" t="str">
        <f>IFERROR(__xludf.DUMMYFUNCTION("IF(CO60=MAX(FILTER(CO$10:CO$199,LOOKUP(ROW(CI$10:CI$199),FILTER(ROW(CI$10:CI$199),CI$10:CI$199&lt;&gt;CI$9:CI$198))=LOOKUP(ROW(CI60),FILTER(ROW(CI$10:CI$199),CI$10:CI$199&lt;&gt;CI$9:CI$198)))),CP60,)"),"")</f>
        <v/>
      </c>
      <c s="42"/>
      <c s="81"/>
      <c s="64" t="str">
        <f t="shared" si="27"/>
        <v/>
      </c>
      <c s="65" t="str">
        <f>IFERROR(__xludf.DUMMYFUNCTION("""COMPUTED_VALUE"""),"")</f>
        <v/>
      </c>
      <c s="66">
        <f ca="1"/>
        <v>45257</v>
      </c>
      <c s="93" t="str">
        <f t="shared" si="45"/>
        <v/>
      </c>
      <c s="94" t="str">
        <f t="shared" si="302"/>
        <v/>
      </c>
      <c s="95" t="str">
        <f t="shared" si="336"/>
        <v/>
      </c>
      <c s="98" t="str">
        <f t="shared" si="304"/>
        <v/>
      </c>
      <c s="97" t="str">
        <f t="array" ref="DC60">IFERROR(IF(CW60="ac"+ISNUMBER(SEARCH("'",DB60))+DA60="","",IF(ISNUMBER(SEARCH("lw",DB60)),CO60+SUBSTITUTE(DB60,"lw+",""),MROUND(_xlfn.SWITCH(CW60,"sq",DA$7,"bn",DB$7,"dl",DC$7,"")*IF(DB60&gt;10,DB60/100,VLOOKUP(DB60,_rpe,SUBSTITUTE(DA60,"+","")+1,0)),IF(_xlfn.SWITCH(CW60,"sq",DA$7,"bn",DB$7,"dl",DC$7,"")&lt;IF(_uom="lbs",175,80),1.25,IF(_uom="lbs",5,2.5))))),"")</f>
        <v/>
      </c>
      <c s="70"/>
      <c s="63"/>
      <c s="97"/>
      <c s="44" t="str">
        <f>IFERROR(__xludf.DUMMYFUNCTION("IF(DC60=MAX(FILTER(DC$10:DC$199,LOOKUP(ROW(CW$10:CW$199),FILTER(ROW(CW$10:CW$199),CW$10:CW$199&lt;&gt;CW$9:CW$198))=LOOKUP(ROW(CW60),FILTER(ROW(CW$10:CW$199),CW$10:CW$199&lt;&gt;CW$9:CW$198)))),DD60,)"),"")</f>
        <v/>
      </c>
      <c s="42"/>
      <c s="81"/>
      <c s="64" t="str">
        <f t="shared" si="30"/>
        <v/>
      </c>
      <c s="65" t="str">
        <f>IFERROR(__xludf.DUMMYFUNCTION("""COMPUTED_VALUE"""),"")</f>
        <v/>
      </c>
      <c s="66">
        <f ca="1"/>
        <v>45264</v>
      </c>
      <c s="93" t="str">
        <f t="shared" si="46"/>
        <v/>
      </c>
      <c s="94" t="str">
        <f t="shared" si="305"/>
        <v/>
      </c>
      <c s="95" t="str">
        <f t="shared" si="337"/>
        <v/>
      </c>
      <c s="98" t="str">
        <f t="shared" si="338"/>
        <v/>
      </c>
      <c s="97" t="str">
        <f t="array" ref="DQ60">IFERROR(IF(DK60="ac"+ISNUMBER(SEARCH("'",DP60))+DO60="","",IF(ISNUMBER(SEARCH("lw",DP60)),DC60+SUBSTITUTE(DP60,"lw+",""),MROUND(_xlfn.SWITCH(DK60,"sq",DO$7,"bn",DP$7,"dl",DQ$7,"")*IF(DP60&gt;10,DP60/100,VLOOKUP(DP60,_rpe,SUBSTITUTE(DO60,"+","")+1,0)),IF(_xlfn.SWITCH(DK60,"sq",DO$7,"bn",DP$7,"dl",DQ$7,"")&lt;IF(_uom="lbs",175,80),1.25,IF(_uom="lbs",5,2.5))))),"")</f>
        <v/>
      </c>
      <c s="70"/>
      <c s="63"/>
      <c s="97"/>
      <c s="44" t="str">
        <f>IFERROR(__xludf.DUMMYFUNCTION("IF(DQ60=MAX(FILTER(DQ$10:DQ$199,LOOKUP(ROW(DK$10:DK$199),FILTER(ROW(DK$10:DK$199),DK$10:DK$199&lt;&gt;DK$9:DK$198))=LOOKUP(ROW(DK60),FILTER(ROW(DK$10:DK$199),DK$10:DK$199&lt;&gt;DK$9:DK$198)))),DR60,)"),"")</f>
        <v/>
      </c>
      <c s="42"/>
      <c s="81"/>
      <c s="64" t="str">
        <f t="shared" si="32"/>
        <v/>
      </c>
      <c s="65" t="str">
        <f>IFERROR(__xludf.DUMMYFUNCTION("""COMPUTED_VALUE"""),"")</f>
        <v/>
      </c>
      <c s="66">
        <f ca="1"/>
        <v>45271</v>
      </c>
      <c s="93" t="str">
        <f t="shared" si="47"/>
        <v/>
      </c>
      <c s="94" t="str">
        <f t="shared" si="308"/>
        <v/>
      </c>
      <c s="95" t="str">
        <f t="shared" si="339"/>
        <v/>
      </c>
      <c s="98" t="str">
        <f t="shared" si="340"/>
        <v/>
      </c>
      <c s="97" t="str">
        <f t="array" ref="EE60">IFERROR(IF(DY60="ac"+ISNUMBER(SEARCH("'",ED60))+EC60="","",IF(ISNUMBER(SEARCH("lw",ED60)),DQ60+SUBSTITUTE(ED60,"lw+",""),MROUND(_xlfn.SWITCH(DY60,"sq",EC$7,"bn",ED$7,"dl",EE$7,"")*IF(ED60&gt;10,ED60/100,VLOOKUP(ED60,_rpe,SUBSTITUTE(EC60,"+","")+1,0)),IF(_xlfn.SWITCH(DY60,"sq",EC$7,"bn",ED$7,"dl",EE$7,"")&lt;IF(_uom="lbs",175,80),1.25,IF(_uom="lbs",5,2.5))))),"")</f>
        <v/>
      </c>
      <c s="70"/>
      <c s="63"/>
      <c s="97"/>
      <c s="44" t="str">
        <f>IFERROR(__xludf.DUMMYFUNCTION("IF(EE60=MAX(FILTER(EE$10:EE$199,LOOKUP(ROW(DY$10:DY$199),FILTER(ROW(DY$10:DY$199),DY$10:DY$199&lt;&gt;DY$9:DY$198))=LOOKUP(ROW(DY60),FILTER(ROW(DY$10:DY$199),DY$10:DY$199&lt;&gt;DY$9:DY$198)))),EF60,)"),"")</f>
        <v/>
      </c>
      <c s="42"/>
      <c s="81"/>
      <c s="64" t="str">
        <f t="shared" si="34"/>
        <v/>
      </c>
      <c s="65" t="str">
        <f>IFERROR(__xludf.DUMMYFUNCTION("""COMPUTED_VALUE"""),"")</f>
        <v/>
      </c>
      <c s="66">
        <f ca="1"/>
        <v>45278</v>
      </c>
      <c s="93" t="str">
        <f t="shared" si="48"/>
        <v/>
      </c>
      <c s="94" t="str">
        <f t="shared" si="311"/>
        <v/>
      </c>
      <c s="95" t="str">
        <f t="shared" si="341"/>
        <v/>
      </c>
      <c s="98" t="str">
        <f t="shared" si="313"/>
        <v/>
      </c>
      <c s="97" t="str">
        <f t="array" ref="ES60">IFERROR(IF(EM60="ac"+ISNUMBER(SEARCH("'",ER60))+EQ60="","",IF(ISNUMBER(SEARCH("lw",ER60)),EE60+SUBSTITUTE(ER60,"lw+",""),MROUND(_xlfn.SWITCH(EM60,"sq",EQ$7,"bn",ER$7,"dl",ES$7,"")*IF(ER60&gt;10,ER60/100,VLOOKUP(ER60,_rpe,SUBSTITUTE(EQ60,"+","")+1,0)),IF(_xlfn.SWITCH(EM60,"sq",EQ$7,"bn",ER$7,"dl",ES$7,"")&lt;IF(_uom="lbs",175,80),1.25,IF(_uom="lbs",5,2.5))))),"")</f>
        <v/>
      </c>
      <c s="70"/>
      <c s="63"/>
      <c s="97"/>
      <c s="44" t="str">
        <f>IFERROR(__xludf.DUMMYFUNCTION("IF(ES60=MAX(FILTER(ES$10:ES$199,LOOKUP(ROW(EM$10:EM$199),FILTER(ROW(EM$10:EM$199),EM$10:EM$199&lt;&gt;EM$9:EM$198))=LOOKUP(ROW(EM60),FILTER(ROW(EM$10:EM$199),EM$10:EM$199&lt;&gt;EM$9:EM$198)))),ET60,)"),"")</f>
        <v/>
      </c>
      <c s="42"/>
      <c s="81"/>
      <c s="64" t="str">
        <f t="shared" si="36"/>
        <v/>
      </c>
      <c s="65" t="str">
        <f>IFERROR(__xludf.DUMMYFUNCTION("""COMPUTED_VALUE"""),"")</f>
        <v/>
      </c>
      <c s="66">
        <f ca="1"/>
        <v>45285</v>
      </c>
      <c s="93" t="str">
        <f t="shared" si="49"/>
        <v/>
      </c>
      <c s="94" t="str">
        <f t="shared" si="314"/>
        <v/>
      </c>
      <c s="95" t="str">
        <f t="shared" si="342"/>
        <v/>
      </c>
      <c s="98" t="str">
        <f t="shared" si="316"/>
        <v/>
      </c>
      <c s="97" t="str">
        <f t="array" ref="FG60">IFERROR(IF(FA60="ac"+ISNUMBER(SEARCH("'",FF60))+FE60="","",IF(ISNUMBER(SEARCH("lw",FF60)),ES60+SUBSTITUTE(FF60,"lw+",""),MROUND(_xlfn.SWITCH(FA60,"sq",FE$7,"bn",FF$7,"dl",FG$7,"")*IF(FF60&gt;10,FF60/100,VLOOKUP(FF60,_rpe,SUBSTITUTE(FE60,"+","")+1,0)),IF(_xlfn.SWITCH(FA60,"sq",FE$7,"bn",FF$7,"dl",FG$7,"")&lt;IF(_uom="lbs",175,80),1.25,IF(_uom="lbs",5,2.5))))),"")</f>
        <v/>
      </c>
      <c s="70"/>
      <c s="63"/>
      <c s="97"/>
      <c s="44" t="str">
        <f>IFERROR(__xludf.DUMMYFUNCTION("IF(FG60=MAX(FILTER(FG$10:FG$199,LOOKUP(ROW(FA$10:FA$199),FILTER(ROW(FA$10:FA$199),FA$10:FA$199&lt;&gt;FA$9:FA$198))=LOOKUP(ROW(FA60),FILTER(ROW(FA$10:FA$199),FA$10:FA$199&lt;&gt;FA$9:FA$198)))),FH60,)"),"")</f>
        <v/>
      </c>
      <c s="42"/>
      <c s="81"/>
      <c s="64" t="str">
        <f t="shared" si="38"/>
        <v/>
      </c>
      <c s="65" t="str">
        <f>IFERROR(__xludf.DUMMYFUNCTION("""COMPUTED_VALUE"""),"")</f>
        <v/>
      </c>
      <c s="66">
        <f ca="1"/>
        <v>45292</v>
      </c>
      <c s="93"/>
      <c s="94"/>
      <c s="95"/>
      <c s="98"/>
      <c s="97" t="str">
        <f t="array" ref="FU60">IFERROR(IF(FO60="ac"+ISNUMBER(SEARCH("'",FT60))+FS60="","",IF(ISNUMBER(SEARCH("lw",FT60)),FG60+SUBSTITUTE(FT60,"lw+",""),MROUND(_xlfn.SWITCH(FO60,"sq",FS$7,"bn",FT$7,"dl",FU$7,"")*IF(FT60&gt;10,FT60/100,VLOOKUP(FT60,_rpe,SUBSTITUTE(FS60,"+","")+1,0)),IF(_xlfn.SWITCH(FO60,"sq",FS$7,"bn",FT$7,"dl",FU$7,"")&lt;IF(_uom="lbs",175,80),1.25,IF(_uom="lbs",5,2.5))))),"")</f>
        <v/>
      </c>
      <c s="70"/>
      <c s="63"/>
      <c s="97"/>
      <c s="44" t="str">
        <f>IFERROR(__xludf.DUMMYFUNCTION("IF(FU60=MAX(FILTER(FU$10:FU$199,LOOKUP(ROW(FO$10:FO$199),FILTER(ROW(FO$10:FO$199),FO$10:FO$199&lt;&gt;FO$9:FO$198))=LOOKUP(ROW(FO60),FILTER(ROW(FO$10:FO$199),FO$10:FO$199&lt;&gt;FO$9:FO$198)))),FV60,)"),"")</f>
        <v/>
      </c>
      <c s="42"/>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74"/>
      <c s="100"/>
      <c s="101"/>
      <c s="102"/>
      <c s="78"/>
      <c s="70"/>
      <c s="63"/>
      <c s="78"/>
      <c s="70"/>
      <c s="63"/>
      <c s="81"/>
      <c s="64"/>
      <c s="65"/>
      <c s="66"/>
      <c s="64" t="str">
        <f t="shared" si="41"/>
        <v>#REF!</v>
      </c>
      <c s="65"/>
      <c s="66" t="e">
        <f ca="1"/>
        <v>#REF!</v>
      </c>
    </row>
    <row r="61" spans="1:259" ht="15.75" hidden="1" outlineLevel="1">
      <c r="A61" s="63"/>
      <c s="107"/>
      <c s="65" t="str">
        <f>IFERROR(__xludf.DUMMYFUNCTION("""COMPUTED_VALUE"""),"")</f>
        <v/>
      </c>
      <c s="66">
        <f ca="1"/>
        <v>45208</v>
      </c>
      <c s="108"/>
      <c s="94"/>
      <c s="95"/>
      <c s="96"/>
      <c s="97" t="str">
        <f t="array" ref="I61">IFERROR(IF(C61="ac"+ISNUMBER(SEARCH("'",H61))+G61="","",MROUND(_xlfn.SWITCH(C61,"sq",'Personal Info'!$O$15,"bn",'Personal Info'!$S$15,"dl",'Personal Info'!$W$15,"")*IF(H61&gt;10,H61/100,VLOOKUP(H61,_rpe,SUBSTITUTE(G61,"+","")+1,0)),IF(_xlfn.SWITCH(C61:C210,"sq",'Personal Info'!$O$15,"bn",'Personal Info'!$S$15,"dl",'Personal Info'!$W$15,"")&lt;IF(_uom="lbs",175,80),1.25,IF(_uom="lbs",5,2.5)))),"")</f>
        <v/>
      </c>
      <c s="70"/>
      <c s="63"/>
      <c s="97"/>
      <c s="44" t="str">
        <f>IFERROR(__xludf.DUMMYFUNCTION("IF(I61=MAX(FILTER(I$10:I$199,LOOKUP(ROW(C$10:C$199),FILTER(ROW(C$10:C$199),C$10:C$199&lt;&gt;C$9:C$198))=LOOKUP(ROW(C61),FILTER(ROW(C$10:C$199),C$10:C$199&lt;&gt;C$9:C$198)))),J61,)"),"")</f>
        <v/>
      </c>
      <c s="42"/>
      <c s="63"/>
      <c s="64" t="str">
        <f t="shared" si="11"/>
        <v/>
      </c>
      <c s="65" t="str">
        <f>IFERROR(__xludf.DUMMYFUNCTION("""COMPUTED_VALUE"""),"")</f>
        <v/>
      </c>
      <c s="66">
        <f ca="1"/>
        <v>45215</v>
      </c>
      <c s="93" t="str">
        <f t="shared" si="12"/>
        <v/>
      </c>
      <c s="94" t="str">
        <f t="shared" si="322"/>
        <v/>
      </c>
      <c s="95" t="str">
        <f t="shared" si="323"/>
        <v/>
      </c>
      <c s="98" t="str">
        <f t="shared" si="324"/>
        <v/>
      </c>
      <c s="97" t="str">
        <f t="array" ref="W61">IFERROR(IF(Q61="ac"+ISNUMBER(SEARCH("'",V61))+U61="","",IF(ISNUMBER(SEARCH("lw",V61)),I61+SUBSTITUTE(V61,"lw+",""),MROUND(_xlfn.SWITCH(Q61,"sq",U$7,"bn",V$7,"dl",W$7,"")*IF(V61&gt;10,V61/100,VLOOKUP(V61,_rpe,SUBSTITUTE(U61,"+","")+1,0)),IF(_xlfn.SWITCH(Q61,"sq",U$7,"bn",V$7,"dl",W$7,"")&lt;IF(_uom="lbs",175,80),1.25,IF(_uom="lbs",5,2.5))))),"")</f>
        <v/>
      </c>
      <c s="70"/>
      <c s="63"/>
      <c s="97"/>
      <c s="44" t="str">
        <f>IFERROR(__xludf.DUMMYFUNCTION("IF(W61=MAX(FILTER(W$10:W$199,LOOKUP(ROW(Q$10:Q$199),FILTER(ROW(Q$10:Q$199),Q$10:Q$199&lt;&gt;Q$9:Q$198))=LOOKUP(ROW(Q61),FILTER(ROW(Q$10:Q$199),Q$10:Q$199&lt;&gt;Q$9:Q$198)))),X61,)"),"")</f>
        <v/>
      </c>
      <c s="42"/>
      <c s="63"/>
      <c s="64" t="str">
        <f t="shared" si="14"/>
        <v/>
      </c>
      <c s="65" t="str">
        <f>IFERROR(__xludf.DUMMYFUNCTION("""COMPUTED_VALUE"""),"")</f>
        <v/>
      </c>
      <c s="66">
        <f ca="1"/>
        <v>45222</v>
      </c>
      <c s="93" t="str">
        <f t="shared" si="156"/>
        <v/>
      </c>
      <c s="94" t="str">
        <f t="shared" si="186"/>
        <v/>
      </c>
      <c s="95" t="str">
        <f t="shared" si="325"/>
        <v/>
      </c>
      <c s="98" t="str">
        <f t="shared" si="326"/>
        <v/>
      </c>
      <c s="97" t="str">
        <f t="array" ref="AK61">IFERROR(IF(AE61="ac"+ISNUMBER(SEARCH("'",AJ61))+AI61="","",IF(ISNUMBER(SEARCH("lw",AJ61)),W61+SUBSTITUTE(AJ61,"lw+",""),MROUND(_xlfn.SWITCH(AE61,"sq",AI$7,"bn",AJ$7,"dl",AK$7,"")*IF(AJ61&gt;10,AJ61/100,VLOOKUP(AJ61,_rpe,SUBSTITUTE(AI61,"+","")+1,0)),IF(_xlfn.SWITCH(AE61,"sq",AI$7,"bn",AJ$7,"dl",AK$7,"")&lt;IF(_uom="lbs",175,80),1.25,IF(_uom="lbs",5,2.5))))),"")</f>
        <v/>
      </c>
      <c s="70"/>
      <c s="63"/>
      <c s="97"/>
      <c s="44" t="str">
        <f>IFERROR(__xludf.DUMMYFUNCTION("IF(AK61=MAX(FILTER(AK$10:AK$199,LOOKUP(ROW(AE$10:AE$199),FILTER(ROW(AE$10:AE$199),AE$10:AE$199&lt;&gt;AE$9:AE$198))=LOOKUP(ROW(AE61),FILTER(ROW(AE$10:AE$199),AE$10:AE$199&lt;&gt;AE$9:AE$198)))),AL61,)"),"")</f>
        <v/>
      </c>
      <c s="42"/>
      <c s="63"/>
      <c s="64" t="str">
        <f t="shared" si="17"/>
        <v/>
      </c>
      <c s="65" t="str">
        <f>IFERROR(__xludf.DUMMYFUNCTION("""COMPUTED_VALUE"""),"")</f>
        <v/>
      </c>
      <c s="66">
        <f ca="1"/>
        <v>45229</v>
      </c>
      <c s="93" t="str">
        <f t="shared" si="157"/>
        <v/>
      </c>
      <c s="94" t="str">
        <f t="shared" si="188"/>
        <v/>
      </c>
      <c s="95" t="str">
        <f t="shared" si="327"/>
        <v/>
      </c>
      <c s="98" t="str">
        <f t="shared" si="294"/>
        <v/>
      </c>
      <c s="97" t="str">
        <f t="array" ref="AY61">IFERROR(IF(AS61="ac"+ISNUMBER(SEARCH("'",AX61))+AW61="","",IF(ISNUMBER(SEARCH("lw",AX61)),AK61+SUBSTITUTE(AX61,"lw+",""),MROUND(_xlfn.SWITCH(AS61,"sq",AW$7,"bn",AX$7,"dl",AY$7,"")*IF(AX61&gt;10,AX61/100,VLOOKUP(AX61,_rpe,SUBSTITUTE(AW61,"+","")+1,0)),IF(_xlfn.SWITCH(AS61,"sq",AW$7,"bn",AX$7,"dl",AY$7,"")&lt;IF(_uom="lbs",175,80),1.25,IF(_uom="lbs",5,2.5))))),"")</f>
        <v/>
      </c>
      <c s="70"/>
      <c s="63"/>
      <c s="97"/>
      <c s="44" t="str">
        <f>IFERROR(__xludf.DUMMYFUNCTION("IF(AY61=MAX(FILTER(AY$10:AY$199,LOOKUP(ROW(AS$10:AS$199),FILTER(ROW(AS$10:AS$199),AS$10:AS$199&lt;&gt;AS$9:AS$198))=LOOKUP(ROW(AS61),FILTER(ROW(AS$10:AS$199),AS$10:AS$199&lt;&gt;AS$9:AS$198)))),AZ61,)"),"")</f>
        <v/>
      </c>
      <c s="42"/>
      <c s="63"/>
      <c s="64" t="str">
        <f t="shared" si="19"/>
        <v/>
      </c>
      <c s="65" t="str">
        <f>IFERROR(__xludf.DUMMYFUNCTION("""COMPUTED_VALUE"""),"")</f>
        <v/>
      </c>
      <c s="66">
        <f ca="1"/>
        <v>45236</v>
      </c>
      <c s="93" t="str">
        <f t="shared" si="20"/>
        <v/>
      </c>
      <c s="94" t="str">
        <f t="shared" si="328"/>
        <v/>
      </c>
      <c s="95" t="str">
        <f t="shared" si="329"/>
        <v/>
      </c>
      <c s="98" t="str">
        <f t="shared" si="330"/>
        <v/>
      </c>
      <c s="97" t="str">
        <f t="array" ref="BM61">IFERROR(IF(BG61="ac"+ISNUMBER(SEARCH("'",BL61))+BK61="","",IF(ISNUMBER(SEARCH("lw",BL61)),AY61+SUBSTITUTE(BL61,"lw+",""),MROUND(_xlfn.SWITCH(BG61,"sq",BK$7,"bn",BL$7,"dl",BM$7,"")*IF(BL61&gt;10,BL61/100,VLOOKUP(BL61,_rpe,SUBSTITUTE(BK61,"+","")+1,0)),IF(_xlfn.SWITCH(BG61,"sq",BK$7,"bn",BL$7,"dl",BM$7,"")&lt;IF(_uom="lbs",175,80),1.25,IF(_uom="lbs",5,2.5))))),"")</f>
        <v/>
      </c>
      <c s="70"/>
      <c s="63"/>
      <c s="97"/>
      <c s="44" t="str">
        <f>IFERROR(__xludf.DUMMYFUNCTION("IF(BM61=MAX(FILTER(BM$10:BM$199,LOOKUP(ROW(BG$10:BG$199),FILTER(ROW(BG$10:BG$199),BG$10:BG$199&lt;&gt;BG$9:BG$198))=LOOKUP(ROW(BG61),FILTER(ROW(BG$10:BG$199),BG$10:BG$199&lt;&gt;BG$9:BG$198)))),BN61,)"),"")</f>
        <v/>
      </c>
      <c s="42"/>
      <c s="63"/>
      <c s="64" t="str">
        <f t="shared" si="21"/>
        <v/>
      </c>
      <c s="65" t="str">
        <f>IFERROR(__xludf.DUMMYFUNCTION("""COMPUTED_VALUE"""),"")</f>
        <v/>
      </c>
      <c s="66">
        <f ca="1"/>
        <v>45243</v>
      </c>
      <c s="93" t="str">
        <f t="shared" si="22"/>
        <v/>
      </c>
      <c s="94" t="str">
        <f t="shared" si="331"/>
        <v/>
      </c>
      <c s="95" t="str">
        <f t="shared" si="332"/>
        <v/>
      </c>
      <c s="98" t="str">
        <f t="shared" si="333"/>
        <v/>
      </c>
      <c s="97" t="str">
        <f t="array" ref="CA61">IFERROR(IF(BU61="ac"+ISNUMBER(SEARCH("'",BZ61))+BY61="","",IF(ISNUMBER(SEARCH("lw",BZ61)),BM61+SUBSTITUTE(BZ61,"lw+",""),MROUND(_xlfn.SWITCH(BU61,"sq",BY$7,"bn",BZ$7,"dl",CA$7,"")*IF(BZ61&gt;10,BZ61/100,VLOOKUP(BZ61,_rpe,SUBSTITUTE(BY61,"+","")+1,0)),IF(_xlfn.SWITCH(BU61,"sq",BY$7,"bn",BZ$7,"dl",CA$7,"")&lt;IF(_uom="lbs",175,80),1.25,IF(_uom="lbs",5,2.5))))),"")</f>
        <v/>
      </c>
      <c s="70"/>
      <c s="63"/>
      <c s="97"/>
      <c s="44" t="str">
        <f>IFERROR(__xludf.DUMMYFUNCTION("IF(CA61=MAX(FILTER(CA$10:CA$199,LOOKUP(ROW(BU$10:BU$199),FILTER(ROW(BU$10:BU$199),BU$10:BU$199&lt;&gt;BU$9:BU$198))=LOOKUP(ROW(BU61),FILTER(ROW(BU$10:BU$199),BU$10:BU$199&lt;&gt;BU$9:BU$198)))),CB61,)"),"")</f>
        <v/>
      </c>
      <c s="42"/>
      <c s="63"/>
      <c s="64" t="str">
        <f t="shared" si="24"/>
        <v/>
      </c>
      <c s="65" t="str">
        <f>IFERROR(__xludf.DUMMYFUNCTION("""COMPUTED_VALUE"""),"")</f>
        <v/>
      </c>
      <c s="66">
        <f ca="1"/>
        <v>45250</v>
      </c>
      <c s="93" t="str">
        <f t="shared" si="44"/>
        <v/>
      </c>
      <c s="94" t="str">
        <f t="shared" si="300"/>
        <v/>
      </c>
      <c s="95" t="str">
        <f t="shared" si="334"/>
        <v/>
      </c>
      <c s="98" t="str">
        <f t="shared" si="335"/>
        <v/>
      </c>
      <c s="97" t="str">
        <f t="array" ref="CO61">IFERROR(IF(CI61="ac"+ISNUMBER(SEARCH("'",CN61))+CM61="","",IF(ISNUMBER(SEARCH("lw",CN61)),CA61+SUBSTITUTE(CN61,"lw+",""),MROUND(_xlfn.SWITCH(CI61,"sq",CM$7,"bn",CN$7,"dl",CO$7,"")*IF(CN61&gt;10,CN61/100,VLOOKUP(CN61,_rpe,SUBSTITUTE(CM61,"+","")+1,0)),IF(_xlfn.SWITCH(CI61,"sq",CM$7,"bn",CN$7,"dl",CO$7,"")&lt;IF(_uom="lbs",175,80),1.25,IF(_uom="lbs",5,2.5))))),"")</f>
        <v/>
      </c>
      <c s="70"/>
      <c s="63"/>
      <c s="97"/>
      <c s="44" t="str">
        <f>IFERROR(__xludf.DUMMYFUNCTION("IF(CO61=MAX(FILTER(CO$10:CO$199,LOOKUP(ROW(CI$10:CI$199),FILTER(ROW(CI$10:CI$199),CI$10:CI$199&lt;&gt;CI$9:CI$198))=LOOKUP(ROW(CI61),FILTER(ROW(CI$10:CI$199),CI$10:CI$199&lt;&gt;CI$9:CI$198)))),CP61,)"),"")</f>
        <v/>
      </c>
      <c s="42"/>
      <c s="63"/>
      <c s="64" t="str">
        <f t="shared" si="27"/>
        <v/>
      </c>
      <c s="65" t="str">
        <f>IFERROR(__xludf.DUMMYFUNCTION("""COMPUTED_VALUE"""),"")</f>
        <v/>
      </c>
      <c s="66">
        <f ca="1"/>
        <v>45257</v>
      </c>
      <c s="93" t="str">
        <f t="shared" si="45"/>
        <v/>
      </c>
      <c s="94" t="str">
        <f t="shared" si="302"/>
        <v/>
      </c>
      <c s="95" t="str">
        <f t="shared" si="336"/>
        <v/>
      </c>
      <c s="98" t="str">
        <f t="shared" si="304"/>
        <v/>
      </c>
      <c s="97" t="str">
        <f t="array" ref="DC61">IFERROR(IF(CW61="ac"+ISNUMBER(SEARCH("'",DB61))+DA61="","",IF(ISNUMBER(SEARCH("lw",DB61)),CO61+SUBSTITUTE(DB61,"lw+",""),MROUND(_xlfn.SWITCH(CW61,"sq",DA$7,"bn",DB$7,"dl",DC$7,"")*IF(DB61&gt;10,DB61/100,VLOOKUP(DB61,_rpe,SUBSTITUTE(DA61,"+","")+1,0)),IF(_xlfn.SWITCH(CW61,"sq",DA$7,"bn",DB$7,"dl",DC$7,"")&lt;IF(_uom="lbs",175,80),1.25,IF(_uom="lbs",5,2.5))))),"")</f>
        <v/>
      </c>
      <c s="70"/>
      <c s="63"/>
      <c s="97"/>
      <c s="44" t="str">
        <f>IFERROR(__xludf.DUMMYFUNCTION("IF(DC61=MAX(FILTER(DC$10:DC$199,LOOKUP(ROW(CW$10:CW$199),FILTER(ROW(CW$10:CW$199),CW$10:CW$199&lt;&gt;CW$9:CW$198))=LOOKUP(ROW(CW61),FILTER(ROW(CW$10:CW$199),CW$10:CW$199&lt;&gt;CW$9:CW$198)))),DD61,)"),"")</f>
        <v/>
      </c>
      <c s="42"/>
      <c s="63"/>
      <c s="64" t="str">
        <f t="shared" si="30"/>
        <v/>
      </c>
      <c s="65" t="str">
        <f>IFERROR(__xludf.DUMMYFUNCTION("""COMPUTED_VALUE"""),"")</f>
        <v/>
      </c>
      <c s="66">
        <f ca="1"/>
        <v>45264</v>
      </c>
      <c s="93" t="str">
        <f t="shared" si="46"/>
        <v/>
      </c>
      <c s="94" t="str">
        <f t="shared" si="305"/>
        <v/>
      </c>
      <c s="95" t="str">
        <f t="shared" si="337"/>
        <v/>
      </c>
      <c s="98" t="str">
        <f t="shared" si="338"/>
        <v/>
      </c>
      <c s="97" t="str">
        <f t="array" ref="DQ61">IFERROR(IF(DK61="ac"+ISNUMBER(SEARCH("'",DP61))+DO61="","",IF(ISNUMBER(SEARCH("lw",DP61)),DC61+SUBSTITUTE(DP61,"lw+",""),MROUND(_xlfn.SWITCH(DK61,"sq",DO$7,"bn",DP$7,"dl",DQ$7,"")*IF(DP61&gt;10,DP61/100,VLOOKUP(DP61,_rpe,SUBSTITUTE(DO61,"+","")+1,0)),IF(_xlfn.SWITCH(DK61,"sq",DO$7,"bn",DP$7,"dl",DQ$7,"")&lt;IF(_uom="lbs",175,80),1.25,IF(_uom="lbs",5,2.5))))),"")</f>
        <v/>
      </c>
      <c s="70"/>
      <c s="63"/>
      <c s="97"/>
      <c s="44" t="str">
        <f>IFERROR(__xludf.DUMMYFUNCTION("IF(DQ61=MAX(FILTER(DQ$10:DQ$199,LOOKUP(ROW(DK$10:DK$199),FILTER(ROW(DK$10:DK$199),DK$10:DK$199&lt;&gt;DK$9:DK$198))=LOOKUP(ROW(DK61),FILTER(ROW(DK$10:DK$199),DK$10:DK$199&lt;&gt;DK$9:DK$198)))),DR61,)"),"")</f>
        <v/>
      </c>
      <c s="42"/>
      <c s="63"/>
      <c s="64" t="str">
        <f t="shared" si="32"/>
        <v/>
      </c>
      <c s="65" t="str">
        <f>IFERROR(__xludf.DUMMYFUNCTION("""COMPUTED_VALUE"""),"")</f>
        <v/>
      </c>
      <c s="66">
        <f ca="1"/>
        <v>45271</v>
      </c>
      <c s="93" t="str">
        <f t="shared" si="47"/>
        <v/>
      </c>
      <c s="94" t="str">
        <f t="shared" si="308"/>
        <v/>
      </c>
      <c s="95" t="str">
        <f t="shared" si="339"/>
        <v/>
      </c>
      <c s="98" t="str">
        <f t="shared" si="340"/>
        <v/>
      </c>
      <c s="97" t="str">
        <f t="array" ref="EE61">IFERROR(IF(DY61="ac"+ISNUMBER(SEARCH("'",ED61))+EC61="","",IF(ISNUMBER(SEARCH("lw",ED61)),DQ61+SUBSTITUTE(ED61,"lw+",""),MROUND(_xlfn.SWITCH(DY61,"sq",EC$7,"bn",ED$7,"dl",EE$7,"")*IF(ED61&gt;10,ED61/100,VLOOKUP(ED61,_rpe,SUBSTITUTE(EC61,"+","")+1,0)),IF(_xlfn.SWITCH(DY61,"sq",EC$7,"bn",ED$7,"dl",EE$7,"")&lt;IF(_uom="lbs",175,80),1.25,IF(_uom="lbs",5,2.5))))),"")</f>
        <v/>
      </c>
      <c s="70"/>
      <c s="63"/>
      <c s="97"/>
      <c s="44" t="str">
        <f>IFERROR(__xludf.DUMMYFUNCTION("IF(EE61=MAX(FILTER(EE$10:EE$199,LOOKUP(ROW(DY$10:DY$199),FILTER(ROW(DY$10:DY$199),DY$10:DY$199&lt;&gt;DY$9:DY$198))=LOOKUP(ROW(DY61),FILTER(ROW(DY$10:DY$199),DY$10:DY$199&lt;&gt;DY$9:DY$198)))),EF61,)"),"")</f>
        <v/>
      </c>
      <c s="42"/>
      <c s="63"/>
      <c s="64" t="str">
        <f t="shared" si="34"/>
        <v/>
      </c>
      <c s="65" t="str">
        <f>IFERROR(__xludf.DUMMYFUNCTION("""COMPUTED_VALUE"""),"")</f>
        <v/>
      </c>
      <c s="66">
        <f ca="1"/>
        <v>45278</v>
      </c>
      <c s="93" t="str">
        <f t="shared" si="48"/>
        <v/>
      </c>
      <c s="94" t="str">
        <f t="shared" si="311"/>
        <v/>
      </c>
      <c s="95" t="str">
        <f t="shared" si="341"/>
        <v/>
      </c>
      <c s="98" t="str">
        <f t="shared" si="313"/>
        <v/>
      </c>
      <c s="97" t="str">
        <f t="array" ref="ES61">IFERROR(IF(EM61="ac"+ISNUMBER(SEARCH("'",ER61))+EQ61="","",IF(ISNUMBER(SEARCH("lw",ER61)),EE61+SUBSTITUTE(ER61,"lw+",""),MROUND(_xlfn.SWITCH(EM61,"sq",EQ$7,"bn",ER$7,"dl",ES$7,"")*IF(ER61&gt;10,ER61/100,VLOOKUP(ER61,_rpe,SUBSTITUTE(EQ61,"+","")+1,0)),IF(_xlfn.SWITCH(EM61,"sq",EQ$7,"bn",ER$7,"dl",ES$7,"")&lt;IF(_uom="lbs",175,80),1.25,IF(_uom="lbs",5,2.5))))),"")</f>
        <v/>
      </c>
      <c s="70"/>
      <c s="63"/>
      <c s="97"/>
      <c s="44" t="str">
        <f>IFERROR(__xludf.DUMMYFUNCTION("IF(ES61=MAX(FILTER(ES$10:ES$199,LOOKUP(ROW(EM$10:EM$199),FILTER(ROW(EM$10:EM$199),EM$10:EM$199&lt;&gt;EM$9:EM$198))=LOOKUP(ROW(EM61),FILTER(ROW(EM$10:EM$199),EM$10:EM$199&lt;&gt;EM$9:EM$198)))),ET61,)"),"")</f>
        <v/>
      </c>
      <c s="42"/>
      <c s="63"/>
      <c s="64" t="str">
        <f t="shared" si="36"/>
        <v/>
      </c>
      <c s="65" t="str">
        <f>IFERROR(__xludf.DUMMYFUNCTION("""COMPUTED_VALUE"""),"")</f>
        <v/>
      </c>
      <c s="66">
        <f ca="1"/>
        <v>45285</v>
      </c>
      <c s="93" t="str">
        <f t="shared" si="49"/>
        <v/>
      </c>
      <c s="94" t="str">
        <f t="shared" si="314"/>
        <v/>
      </c>
      <c s="95" t="str">
        <f t="shared" si="342"/>
        <v/>
      </c>
      <c s="98" t="str">
        <f t="shared" si="316"/>
        <v/>
      </c>
      <c s="97" t="str">
        <f t="array" ref="FG61">IFERROR(IF(FA61="ac"+ISNUMBER(SEARCH("'",FF61))+FE61="","",IF(ISNUMBER(SEARCH("lw",FF61)),ES61+SUBSTITUTE(FF61,"lw+",""),MROUND(_xlfn.SWITCH(FA61,"sq",FE$7,"bn",FF$7,"dl",FG$7,"")*IF(FF61&gt;10,FF61/100,VLOOKUP(FF61,_rpe,SUBSTITUTE(FE61,"+","")+1,0)),IF(_xlfn.SWITCH(FA61,"sq",FE$7,"bn",FF$7,"dl",FG$7,"")&lt;IF(_uom="lbs",175,80),1.25,IF(_uom="lbs",5,2.5))))),"")</f>
        <v/>
      </c>
      <c s="70"/>
      <c s="63"/>
      <c s="97"/>
      <c s="44" t="str">
        <f>IFERROR(__xludf.DUMMYFUNCTION("IF(FG61=MAX(FILTER(FG$10:FG$199,LOOKUP(ROW(FA$10:FA$199),FILTER(ROW(FA$10:FA$199),FA$10:FA$199&lt;&gt;FA$9:FA$198))=LOOKUP(ROW(FA61),FILTER(ROW(FA$10:FA$199),FA$10:FA$199&lt;&gt;FA$9:FA$198)))),FH61,)"),"")</f>
        <v/>
      </c>
      <c s="42"/>
      <c s="63"/>
      <c s="64" t="str">
        <f t="shared" si="38"/>
        <v/>
      </c>
      <c s="65" t="str">
        <f>IFERROR(__xludf.DUMMYFUNCTION("""COMPUTED_VALUE"""),"")</f>
        <v/>
      </c>
      <c s="66">
        <f ca="1"/>
        <v>45292</v>
      </c>
      <c s="93"/>
      <c s="94"/>
      <c s="95"/>
      <c s="98"/>
      <c s="97" t="str">
        <f t="array" ref="FU61">IFERROR(IF(FO61="ac"+ISNUMBER(SEARCH("'",FT61))+FS61="","",IF(ISNUMBER(SEARCH("lw",FT61)),FG61+SUBSTITUTE(FT61,"lw+",""),MROUND(_xlfn.SWITCH(FO61,"sq",FS$7,"bn",FT$7,"dl",FU$7,"")*IF(FT61&gt;10,FT61/100,VLOOKUP(FT61,_rpe,SUBSTITUTE(FS61,"+","")+1,0)),IF(_xlfn.SWITCH(FO61,"sq",FS$7,"bn",FT$7,"dl",FU$7,"")&lt;IF(_uom="lbs",175,80),1.25,IF(_uom="lbs",5,2.5))))),"")</f>
        <v/>
      </c>
      <c s="70"/>
      <c s="63"/>
      <c s="97"/>
      <c s="44" t="str">
        <f>IFERROR(__xludf.DUMMYFUNCTION("IF(FU61=MAX(FILTER(FU$10:FU$199,LOOKUP(ROW(FO$10:FO$199),FILTER(ROW(FO$10:FO$199),FO$10:FO$199&lt;&gt;FO$9:FO$198))=LOOKUP(ROW(FO61),FILTER(ROW(FO$10:FO$199),FO$10:FO$199&lt;&gt;FO$9:FO$198)))),FV61,)"),"")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62" spans="1:259" ht="15.75" collapsed="1">
      <c r="A62" s="63"/>
      <c s="64" t="s">
        <v>185</v>
      </c>
      <c s="65" t="str">
        <f>IFERROR(__xludf.DUMMYFUNCTION("""COMPUTED_VALUE"""),"ac")</f>
        <v>ac</v>
      </c>
      <c s="66">
        <f ca="1"/>
        <v>45208</v>
      </c>
      <c s="93" t="s">
        <v>186</v>
      </c>
      <c s="94">
        <v>3</v>
      </c>
      <c s="95">
        <v>12</v>
      </c>
      <c s="106" t="s">
        <v>143</v>
      </c>
      <c s="97" t="str">
        <f t="array" ref="I62">IFERROR(IF(C62="ac"+ISNUMBER(SEARCH("'",H62))+G62="","",MROUND(_xlfn.SWITCH(C62,"sq",'Personal Info'!$O$15,"bn",'Personal Info'!$S$15,"dl",'Personal Info'!$W$15,"")*IF(H62&gt;10,H62/100,VLOOKUP(H62,_rpe,SUBSTITUTE(G62,"+","")+1,0)),IF(_xlfn.SWITCH(C62:C210,"sq",'Personal Info'!$O$15,"bn",'Personal Info'!$S$15,"dl",'Personal Info'!$W$15,"")&lt;IF(_uom="lbs",175,80),1.25,IF(_uom="lbs",5,2.5)))),"")</f>
        <v/>
      </c>
      <c s="70"/>
      <c s="63"/>
      <c s="97"/>
      <c s="44" t="str">
        <f>IFERROR(__xludf.DUMMYFUNCTION("IF(I62=MAX(FILTER(I$10:I$199,LOOKUP(ROW(C$10:C$199),FILTER(ROW(C$10:C$199),C$10:C$199&lt;&gt;C$9:C$198))=LOOKUP(ROW(C62),FILTER(ROW(C$10:C$199),C$10:C$199&lt;&gt;C$9:C$198)))),J62,)"),"")</f>
        <v/>
      </c>
      <c s="42"/>
      <c s="63"/>
      <c s="64" t="str">
        <f t="shared" si="11"/>
        <v>shoulders</v>
      </c>
      <c s="65" t="str">
        <f>IFERROR(__xludf.DUMMYFUNCTION("""COMPUTED_VALUE"""),"ac")</f>
        <v>ac</v>
      </c>
      <c s="66">
        <f ca="1"/>
        <v>45215</v>
      </c>
      <c s="93" t="str">
        <f t="shared" si="12"/>
        <v>Machine Overhead Press</v>
      </c>
      <c s="94">
        <f t="shared" si="322"/>
        <v>3</v>
      </c>
      <c s="95">
        <v>12</v>
      </c>
      <c s="98" t="s">
        <v>184</v>
      </c>
      <c s="97" t="str">
        <f t="array" ref="W62">IFERROR(IF(Q62="ac"+ISNUMBER(SEARCH("'",V62))+U62="","",IF(ISNUMBER(SEARCH("lw",V62)),I62+SUBSTITUTE(V62,"lw+",""),MROUND(_xlfn.SWITCH(Q62,"sq",U$7,"bn",V$7,"dl",W$7,"")*IF(V62&gt;10,V62/100,VLOOKUP(V62,_rpe,SUBSTITUTE(U62,"+","")+1,0)),IF(_xlfn.SWITCH(Q62,"sq",U$7,"bn",V$7,"dl",W$7,"")&lt;IF(_uom="lbs",175,80),1.25,IF(_uom="lbs",5,2.5))))),"")</f>
        <v/>
      </c>
      <c s="70"/>
      <c s="63"/>
      <c s="97"/>
      <c s="44" t="str">
        <f>IFERROR(__xludf.DUMMYFUNCTION("IF(W62=MAX(FILTER(W$10:W$199,LOOKUP(ROW(Q$10:Q$199),FILTER(ROW(Q$10:Q$199),Q$10:Q$199&lt;&gt;Q$9:Q$198))=LOOKUP(ROW(Q62),FILTER(ROW(Q$10:Q$199),Q$10:Q$199&lt;&gt;Q$9:Q$198)))),X62,)"),"")</f>
        <v/>
      </c>
      <c s="42"/>
      <c s="63"/>
      <c s="64" t="str">
        <f t="shared" si="14"/>
        <v>shoulders</v>
      </c>
      <c s="65" t="str">
        <f>IFERROR(__xludf.DUMMYFUNCTION("""COMPUTED_VALUE"""),"ac")</f>
        <v>ac</v>
      </c>
      <c s="66">
        <f ca="1"/>
        <v>45222</v>
      </c>
      <c s="93" t="str">
        <f t="shared" si="156"/>
        <v>Machine Overhead Press</v>
      </c>
      <c s="94">
        <f t="shared" si="186"/>
        <v>3</v>
      </c>
      <c s="95">
        <v>11</v>
      </c>
      <c s="106" t="s">
        <v>141</v>
      </c>
      <c s="97" t="str">
        <f t="array" ref="AK62">IFERROR(IF(AE62="ac"+ISNUMBER(SEARCH("'",AJ62))+AI62="","",IF(ISNUMBER(SEARCH("lw",AJ62)),W62+SUBSTITUTE(AJ62,"lw+",""),MROUND(_xlfn.SWITCH(AE62,"sq",AI$7,"bn",AJ$7,"dl",AK$7,"")*IF(AJ62&gt;10,AJ62/100,VLOOKUP(AJ62,_rpe,SUBSTITUTE(AI62,"+","")+1,0)),IF(_xlfn.SWITCH(AE62,"sq",AI$7,"bn",AJ$7,"dl",AK$7,"")&lt;IF(_uom="lbs",175,80),1.25,IF(_uom="lbs",5,2.5))))),"")</f>
        <v/>
      </c>
      <c s="70"/>
      <c s="63"/>
      <c s="97"/>
      <c s="44" t="str">
        <f>IFERROR(__xludf.DUMMYFUNCTION("IF(AK62=MAX(FILTER(AK$10:AK$199,LOOKUP(ROW(AE$10:AE$199),FILTER(ROW(AE$10:AE$199),AE$10:AE$199&lt;&gt;AE$9:AE$198))=LOOKUP(ROW(AE62),FILTER(ROW(AE$10:AE$199),AE$10:AE$199&lt;&gt;AE$9:AE$198)))),AL62,)"),"")</f>
        <v/>
      </c>
      <c s="42"/>
      <c s="63"/>
      <c s="64" t="str">
        <f t="shared" si="17"/>
        <v>shoulders</v>
      </c>
      <c s="65" t="str">
        <f>IFERROR(__xludf.DUMMYFUNCTION("""COMPUTED_VALUE"""),"ac")</f>
        <v>ac</v>
      </c>
      <c s="66">
        <f ca="1"/>
        <v>45229</v>
      </c>
      <c s="93" t="str">
        <f t="shared" si="157"/>
        <v>Machine Overhead Press</v>
      </c>
      <c s="94">
        <f t="shared" si="188"/>
        <v>3</v>
      </c>
      <c s="95">
        <v>10</v>
      </c>
      <c s="98" t="str">
        <f t="shared" si="294"/>
        <v>@8-9</v>
      </c>
      <c s="97" t="str">
        <f t="array" ref="AY62">IFERROR(IF(AS62="ac"+ISNUMBER(SEARCH("'",AX62))+AW62="","",IF(ISNUMBER(SEARCH("lw",AX62)),AK62+SUBSTITUTE(AX62,"lw+",""),MROUND(_xlfn.SWITCH(AS62,"sq",AW$7,"bn",AX$7,"dl",AY$7,"")*IF(AX62&gt;10,AX62/100,VLOOKUP(AX62,_rpe,SUBSTITUTE(AW62,"+","")+1,0)),IF(_xlfn.SWITCH(AS62,"sq",AW$7,"bn",AX$7,"dl",AY$7,"")&lt;IF(_uom="lbs",175,80),1.25,IF(_uom="lbs",5,2.5))))),"")</f>
        <v/>
      </c>
      <c s="70"/>
      <c s="63"/>
      <c s="97"/>
      <c s="44" t="str">
        <f>IFERROR(__xludf.DUMMYFUNCTION("IF(AY62=MAX(FILTER(AY$10:AY$199,LOOKUP(ROW(AS$10:AS$199),FILTER(ROW(AS$10:AS$199),AS$10:AS$199&lt;&gt;AS$9:AS$198))=LOOKUP(ROW(AS62),FILTER(ROW(AS$10:AS$199),AS$10:AS$199&lt;&gt;AS$9:AS$198)))),AZ62,)"),"")</f>
        <v/>
      </c>
      <c s="42"/>
      <c s="63"/>
      <c s="64" t="str">
        <f t="shared" si="19"/>
        <v>shoulders</v>
      </c>
      <c s="65" t="str">
        <f>IFERROR(__xludf.DUMMYFUNCTION("""COMPUTED_VALUE"""),"ac")</f>
        <v>ac</v>
      </c>
      <c s="66">
        <f ca="1"/>
        <v>45236</v>
      </c>
      <c s="93" t="str">
        <f t="shared" si="20"/>
        <v>Machine Overhead Press</v>
      </c>
      <c s="94">
        <v>2</v>
      </c>
      <c s="95">
        <v>12</v>
      </c>
      <c s="106" t="s">
        <v>142</v>
      </c>
      <c s="97" t="str">
        <f t="array" ref="BM62">IFERROR(IF(BG62="ac"+ISNUMBER(SEARCH("'",BL62))+BK62="","",IF(ISNUMBER(SEARCH("lw",BL62)),AY62+SUBSTITUTE(BL62,"lw+",""),MROUND(_xlfn.SWITCH(BG62,"sq",BK$7,"bn",BL$7,"dl",BM$7,"")*IF(BL62&gt;10,BL62/100,VLOOKUP(BL62,_rpe,SUBSTITUTE(BK62,"+","")+1,0)),IF(_xlfn.SWITCH(BG62,"sq",BK$7,"bn",BL$7,"dl",BM$7,"")&lt;IF(_uom="lbs",175,80),1.25,IF(_uom="lbs",5,2.5))))),"")</f>
        <v/>
      </c>
      <c s="70"/>
      <c s="63"/>
      <c s="97"/>
      <c s="44" t="str">
        <f>IFERROR(__xludf.DUMMYFUNCTION("IF(BM62=MAX(FILTER(BM$10:BM$199,LOOKUP(ROW(BG$10:BG$199),FILTER(ROW(BG$10:BG$199),BG$10:BG$199&lt;&gt;BG$9:BG$198))=LOOKUP(ROW(BG62),FILTER(ROW(BG$10:BG$199),BG$10:BG$199&lt;&gt;BG$9:BG$198)))),BN62,)"),"")</f>
        <v/>
      </c>
      <c s="42"/>
      <c s="63"/>
      <c s="64" t="str">
        <f t="shared" si="21"/>
        <v>shoulders</v>
      </c>
      <c s="65" t="str">
        <f>IFERROR(__xludf.DUMMYFUNCTION("""COMPUTED_VALUE"""),"ac")</f>
        <v>ac</v>
      </c>
      <c s="66">
        <f ca="1"/>
        <v>45243</v>
      </c>
      <c s="93" t="str">
        <f t="shared" si="22"/>
        <v>Machine Overhead Press</v>
      </c>
      <c s="94">
        <v>3</v>
      </c>
      <c s="95">
        <v>12</v>
      </c>
      <c s="106" t="s">
        <v>140</v>
      </c>
      <c s="97" t="str">
        <f t="array" ref="CA62">IFERROR(IF(BU62="ac"+ISNUMBER(SEARCH("'",BZ62))+BY62="","",IF(ISNUMBER(SEARCH("lw",BZ62)),BM62+SUBSTITUTE(BZ62,"lw+",""),MROUND(_xlfn.SWITCH(BU62,"sq",BY$7,"bn",BZ$7,"dl",CA$7,"")*IF(BZ62&gt;10,BZ62/100,VLOOKUP(BZ62,_rpe,SUBSTITUTE(BY62,"+","")+1,0)),IF(_xlfn.SWITCH(BU62,"sq",BY$7,"bn",BZ$7,"dl",CA$7,"")&lt;IF(_uom="lbs",175,80),1.25,IF(_uom="lbs",5,2.5))))),"")</f>
        <v/>
      </c>
      <c s="70"/>
      <c s="63"/>
      <c s="97"/>
      <c s="44" t="str">
        <f>IFERROR(__xludf.DUMMYFUNCTION("IF(CA62=MAX(FILTER(CA$10:CA$199,LOOKUP(ROW(BU$10:BU$199),FILTER(ROW(BU$10:BU$199),BU$10:BU$199&lt;&gt;BU$9:BU$198))=LOOKUP(ROW(BU62),FILTER(ROW(BU$10:BU$199),BU$10:BU$199&lt;&gt;BU$9:BU$198)))),CB62,)"),"")</f>
        <v/>
      </c>
      <c s="42"/>
      <c s="63"/>
      <c s="64" t="str">
        <f t="shared" si="24"/>
        <v>shoulders</v>
      </c>
      <c s="65" t="str">
        <f>IFERROR(__xludf.DUMMYFUNCTION("""COMPUTED_VALUE"""),"ac")</f>
        <v>ac</v>
      </c>
      <c s="66">
        <f ca="1"/>
        <v>45250</v>
      </c>
      <c s="93" t="str">
        <f t="shared" si="44"/>
        <v>Machine Overhead Press</v>
      </c>
      <c s="94">
        <f t="shared" si="300"/>
        <v>3</v>
      </c>
      <c s="95">
        <v>11</v>
      </c>
      <c s="106" t="s">
        <v>141</v>
      </c>
      <c s="97" t="str">
        <f t="array" ref="CO62">IFERROR(IF(CI62="ac"+ISNUMBER(SEARCH("'",CN62))+CM62="","",IF(ISNUMBER(SEARCH("lw",CN62)),CA62+SUBSTITUTE(CN62,"lw+",""),MROUND(_xlfn.SWITCH(CI62,"sq",CM$7,"bn",CN$7,"dl",CO$7,"")*IF(CN62&gt;10,CN62/100,VLOOKUP(CN62,_rpe,SUBSTITUTE(CM62,"+","")+1,0)),IF(_xlfn.SWITCH(CI62,"sq",CM$7,"bn",CN$7,"dl",CO$7,"")&lt;IF(_uom="lbs",175,80),1.25,IF(_uom="lbs",5,2.5))))),"")</f>
        <v/>
      </c>
      <c s="70"/>
      <c s="63"/>
      <c s="97"/>
      <c s="44" t="str">
        <f>IFERROR(__xludf.DUMMYFUNCTION("IF(CO62=MAX(FILTER(CO$10:CO$199,LOOKUP(ROW(CI$10:CI$199),FILTER(ROW(CI$10:CI$199),CI$10:CI$199&lt;&gt;CI$9:CI$198))=LOOKUP(ROW(CI62),FILTER(ROW(CI$10:CI$199),CI$10:CI$199&lt;&gt;CI$9:CI$198)))),CP62,)"),"")</f>
        <v/>
      </c>
      <c s="42"/>
      <c s="63"/>
      <c s="64" t="str">
        <f t="shared" si="27"/>
        <v>shoulders</v>
      </c>
      <c s="65" t="str">
        <f>IFERROR(__xludf.DUMMYFUNCTION("""COMPUTED_VALUE"""),"ac")</f>
        <v>ac</v>
      </c>
      <c s="66">
        <f ca="1"/>
        <v>45257</v>
      </c>
      <c s="93" t="str">
        <f t="shared" si="45"/>
        <v>Machine Overhead Press</v>
      </c>
      <c s="94">
        <f t="shared" si="302"/>
        <v>3</v>
      </c>
      <c s="95">
        <v>10</v>
      </c>
      <c s="98" t="str">
        <f t="shared" si="304"/>
        <v>@8-9</v>
      </c>
      <c s="97" t="str">
        <f t="array" ref="DC62">IFERROR(IF(CW62="ac"+ISNUMBER(SEARCH("'",DB62))+DA62="","",IF(ISNUMBER(SEARCH("lw",DB62)),CO62+SUBSTITUTE(DB62,"lw+",""),MROUND(_xlfn.SWITCH(CW62,"sq",DA$7,"bn",DB$7,"dl",DC$7,"")*IF(DB62&gt;10,DB62/100,VLOOKUP(DB62,_rpe,SUBSTITUTE(DA62,"+","")+1,0)),IF(_xlfn.SWITCH(CW62,"sq",DA$7,"bn",DB$7,"dl",DC$7,"")&lt;IF(_uom="lbs",175,80),1.25,IF(_uom="lbs",5,2.5))))),"")</f>
        <v/>
      </c>
      <c s="70"/>
      <c s="63"/>
      <c s="97"/>
      <c s="44" t="str">
        <f>IFERROR(__xludf.DUMMYFUNCTION("IF(DC62=MAX(FILTER(DC$10:DC$199,LOOKUP(ROW(CW$10:CW$199),FILTER(ROW(CW$10:CW$199),CW$10:CW$199&lt;&gt;CW$9:CW$198))=LOOKUP(ROW(CW62),FILTER(ROW(CW$10:CW$199),CW$10:CW$199&lt;&gt;CW$9:CW$198)))),DD62,)"),"")</f>
        <v/>
      </c>
      <c s="42"/>
      <c s="63"/>
      <c s="64" t="str">
        <f t="shared" si="30"/>
        <v>shoulders</v>
      </c>
      <c s="65" t="str">
        <f>IFERROR(__xludf.DUMMYFUNCTION("""COMPUTED_VALUE"""),"ac")</f>
        <v>ac</v>
      </c>
      <c s="66">
        <f ca="1"/>
        <v>45264</v>
      </c>
      <c s="93" t="str">
        <f t="shared" si="46"/>
        <v>Machine Overhead Press</v>
      </c>
      <c s="94">
        <f t="shared" si="305"/>
        <v>3</v>
      </c>
      <c s="95">
        <v>9</v>
      </c>
      <c s="106" t="s">
        <v>143</v>
      </c>
      <c s="97" t="str">
        <f t="array" ref="DQ62">IFERROR(IF(DK62="ac"+ISNUMBER(SEARCH("'",DP62))+DO62="","",IF(ISNUMBER(SEARCH("lw",DP62)),DC62+SUBSTITUTE(DP62,"lw+",""),MROUND(_xlfn.SWITCH(DK62,"sq",DO$7,"bn",DP$7,"dl",DQ$7,"")*IF(DP62&gt;10,DP62/100,VLOOKUP(DP62,_rpe,SUBSTITUTE(DO62,"+","")+1,0)),IF(_xlfn.SWITCH(DK62,"sq",DO$7,"bn",DP$7,"dl",DQ$7,"")&lt;IF(_uom="lbs",175,80),1.25,IF(_uom="lbs",5,2.5))))),"")</f>
        <v/>
      </c>
      <c s="70"/>
      <c s="63"/>
      <c s="97"/>
      <c s="44" t="str">
        <f>IFERROR(__xludf.DUMMYFUNCTION("IF(DQ62=MAX(FILTER(DQ$10:DQ$199,LOOKUP(ROW(DK$10:DK$199),FILTER(ROW(DK$10:DK$199),DK$10:DK$199&lt;&gt;DK$9:DK$198))=LOOKUP(ROW(DK62),FILTER(ROW(DK$10:DK$199),DK$10:DK$199&lt;&gt;DK$9:DK$198)))),DR62,)"),"")</f>
        <v/>
      </c>
      <c s="42"/>
      <c s="63"/>
      <c s="64" t="str">
        <f t="shared" si="32"/>
        <v>shoulders</v>
      </c>
      <c s="65" t="str">
        <f>IFERROR(__xludf.DUMMYFUNCTION("""COMPUTED_VALUE"""),"ac")</f>
        <v>ac</v>
      </c>
      <c s="66">
        <f ca="1"/>
        <v>45271</v>
      </c>
      <c s="93" t="str">
        <f t="shared" si="47"/>
        <v>Machine Overhead Press</v>
      </c>
      <c s="94">
        <f t="shared" si="308"/>
        <v>3</v>
      </c>
      <c s="95">
        <v>10</v>
      </c>
      <c s="106" t="s">
        <v>141</v>
      </c>
      <c s="97" t="str">
        <f t="array" ref="EE62">IFERROR(IF(DY62="ac"+ISNUMBER(SEARCH("'",ED62))+EC62="","",IF(ISNUMBER(SEARCH("lw",ED62)),DQ62+SUBSTITUTE(ED62,"lw+",""),MROUND(_xlfn.SWITCH(DY62,"sq",EC$7,"bn",ED$7,"dl",EE$7,"")*IF(ED62&gt;10,ED62/100,VLOOKUP(ED62,_rpe,SUBSTITUTE(EC62,"+","")+1,0)),IF(_xlfn.SWITCH(DY62,"sq",EC$7,"bn",ED$7,"dl",EE$7,"")&lt;IF(_uom="lbs",175,80),1.25,IF(_uom="lbs",5,2.5))))),"")</f>
        <v/>
      </c>
      <c s="70"/>
      <c s="63"/>
      <c s="97"/>
      <c s="44" t="str">
        <f>IFERROR(__xludf.DUMMYFUNCTION("IF(EE62=MAX(FILTER(EE$10:EE$199,LOOKUP(ROW(DY$10:DY$199),FILTER(ROW(DY$10:DY$199),DY$10:DY$199&lt;&gt;DY$9:DY$198))=LOOKUP(ROW(DY62),FILTER(ROW(DY$10:DY$199),DY$10:DY$199&lt;&gt;DY$9:DY$198)))),EF62,)"),"")</f>
        <v/>
      </c>
      <c s="42"/>
      <c s="63"/>
      <c s="64" t="str">
        <f t="shared" si="34"/>
        <v>shoulders</v>
      </c>
      <c s="65" t="str">
        <f>IFERROR(__xludf.DUMMYFUNCTION("""COMPUTED_VALUE"""),"ac")</f>
        <v>ac</v>
      </c>
      <c s="66">
        <f ca="1"/>
        <v>45278</v>
      </c>
      <c s="93" t="str">
        <f t="shared" si="48"/>
        <v>Machine Overhead Press</v>
      </c>
      <c s="94">
        <f t="shared" si="311"/>
        <v>3</v>
      </c>
      <c s="95">
        <v>9</v>
      </c>
      <c s="98" t="str">
        <f t="shared" si="313"/>
        <v>@8-9</v>
      </c>
      <c s="97" t="str">
        <f t="array" ref="ES62">IFERROR(IF(EM62="ac"+ISNUMBER(SEARCH("'",ER62))+EQ62="","",IF(ISNUMBER(SEARCH("lw",ER62)),EE62+SUBSTITUTE(ER62,"lw+",""),MROUND(_xlfn.SWITCH(EM62,"sq",EQ$7,"bn",ER$7,"dl",ES$7,"")*IF(ER62&gt;10,ER62/100,VLOOKUP(ER62,_rpe,SUBSTITUTE(EQ62,"+","")+1,0)),IF(_xlfn.SWITCH(EM62,"sq",EQ$7,"bn",ER$7,"dl",ES$7,"")&lt;IF(_uom="lbs",175,80),1.25,IF(_uom="lbs",5,2.5))))),"")</f>
        <v/>
      </c>
      <c s="70"/>
      <c s="63"/>
      <c s="97"/>
      <c s="44" t="str">
        <f>IFERROR(__xludf.DUMMYFUNCTION("IF(ES62=MAX(FILTER(ES$10:ES$199,LOOKUP(ROW(EM$10:EM$199),FILTER(ROW(EM$10:EM$199),EM$10:EM$199&lt;&gt;EM$9:EM$198))=LOOKUP(ROW(EM62),FILTER(ROW(EM$10:EM$199),EM$10:EM$199&lt;&gt;EM$9:EM$198)))),ET62,)"),"")</f>
        <v/>
      </c>
      <c s="42"/>
      <c s="63"/>
      <c s="64" t="str">
        <f t="shared" si="36"/>
        <v>shoulders</v>
      </c>
      <c s="65" t="str">
        <f>IFERROR(__xludf.DUMMYFUNCTION("""COMPUTED_VALUE"""),"ac")</f>
        <v>ac</v>
      </c>
      <c s="66">
        <f ca="1"/>
        <v>45285</v>
      </c>
      <c s="93" t="str">
        <f t="shared" si="49"/>
        <v>Machine Overhead Press</v>
      </c>
      <c s="94">
        <f t="shared" si="314"/>
        <v>3</v>
      </c>
      <c s="95">
        <v>8</v>
      </c>
      <c s="98" t="str">
        <f t="shared" si="316"/>
        <v>@8-9</v>
      </c>
      <c s="97" t="str">
        <f t="array" ref="FG62">IFERROR(IF(FA62="ac"+ISNUMBER(SEARCH("'",FF62))+FE62="","",IF(ISNUMBER(SEARCH("lw",FF62)),ES62+SUBSTITUTE(FF62,"lw+",""),MROUND(_xlfn.SWITCH(FA62,"sq",FE$7,"bn",FF$7,"dl",FG$7,"")*IF(FF62&gt;10,FF62/100,VLOOKUP(FF62,_rpe,SUBSTITUTE(FE62,"+","")+1,0)),IF(_xlfn.SWITCH(FA62,"sq",FE$7,"bn",FF$7,"dl",FG$7,"")&lt;IF(_uom="lbs",175,80),1.25,IF(_uom="lbs",5,2.5))))),"")</f>
        <v/>
      </c>
      <c s="70"/>
      <c s="63"/>
      <c s="97"/>
      <c s="44" t="str">
        <f>IFERROR(__xludf.DUMMYFUNCTION("IF(FG62=MAX(FILTER(FG$10:FG$199,LOOKUP(ROW(FA$10:FA$199),FILTER(ROW(FA$10:FA$199),FA$10:FA$199&lt;&gt;FA$9:FA$198))=LOOKUP(ROW(FA62),FILTER(ROW(FA$10:FA$199),FA$10:FA$199&lt;&gt;FA$9:FA$198)))),FH62,)"),"")</f>
        <v/>
      </c>
      <c s="42"/>
      <c s="63"/>
      <c s="64" t="str">
        <f t="shared" si="38"/>
        <v>shoulders</v>
      </c>
      <c s="65" t="str">
        <f>IFERROR(__xludf.DUMMYFUNCTION("""COMPUTED_VALUE"""),"")</f>
        <v/>
      </c>
      <c s="66">
        <f ca="1"/>
        <v>45292</v>
      </c>
      <c s="93"/>
      <c s="94"/>
      <c s="95"/>
      <c s="98"/>
      <c s="97" t="str">
        <f t="array" ref="FU62">IFERROR(IF(FO62="ac"+ISNUMBER(SEARCH("'",FT62))+FS62="","",IF(ISNUMBER(SEARCH("lw",FT62)),FG62+SUBSTITUTE(FT62,"lw+",""),MROUND(_xlfn.SWITCH(FO62,"sq",FS$7,"bn",FT$7,"dl",FU$7,"")*IF(FT62&gt;10,FT62/100,VLOOKUP(FT62,_rpe,SUBSTITUTE(FS62,"+","")+1,0)),IF(_xlfn.SWITCH(FO62,"sq",FS$7,"bn",FT$7,"dl",FU$7,"")&lt;IF(_uom="lbs",175,80),1.25,IF(_uom="lbs",5,2.5))))),"")</f>
        <v/>
      </c>
      <c s="70"/>
      <c s="63"/>
      <c s="97"/>
      <c s="44" t="str">
        <f>IFERROR(__xludf.DUMMYFUNCTION("IF(FU62=MAX(FILTER(FU$10:FU$199,LOOKUP(ROW(FO$10:FO$199),FILTER(ROW(FO$10:FO$199),FO$10:FO$199&lt;&gt;FO$9:FO$198))=LOOKUP(ROW(FO62),FILTER(ROW(FO$10:FO$199),FO$10:FO$199&lt;&gt;FO$9:FO$198)))),FV62,)"),"")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63" spans="1:259" ht="15.75" hidden="1" outlineLevel="1">
      <c r="A63" s="63"/>
      <c s="107"/>
      <c s="65" t="str">
        <f>IFERROR(__xludf.DUMMYFUNCTION("""COMPUTED_VALUE"""),"")</f>
        <v/>
      </c>
      <c s="66">
        <f ca="1"/>
        <v>45208</v>
      </c>
      <c s="108"/>
      <c s="94"/>
      <c s="95"/>
      <c s="96"/>
      <c s="97" t="str">
        <f t="array" ref="I63">IFERROR(IF(C63="ac"+ISNUMBER(SEARCH("'",H63))+G63="","",MROUND(_xlfn.SWITCH(C63,"sq",'Personal Info'!$O$15,"bn",'Personal Info'!$S$15,"dl",'Personal Info'!$W$15,"")*IF(H63&gt;10,H63/100,VLOOKUP(H63,_rpe,SUBSTITUTE(G63,"+","")+1,0)),IF(_xlfn.SWITCH(C63:C210,"sq",'Personal Info'!$O$15,"bn",'Personal Info'!$S$15,"dl",'Personal Info'!$W$15,"")&lt;IF(_uom="lbs",175,80),1.25,IF(_uom="lbs",5,2.5)))),"")</f>
        <v/>
      </c>
      <c s="70"/>
      <c s="63"/>
      <c s="97"/>
      <c s="44" t="str">
        <f>IFERROR(__xludf.DUMMYFUNCTION("IF(I63=MAX(FILTER(I$10:I$199,LOOKUP(ROW(C$10:C$199),FILTER(ROW(C$10:C$199),C$10:C$199&lt;&gt;C$9:C$198))=LOOKUP(ROW(C63),FILTER(ROW(C$10:C$199),C$10:C$199&lt;&gt;C$9:C$198)))),J63,)"),"")</f>
        <v/>
      </c>
      <c s="42"/>
      <c s="63"/>
      <c s="64" t="str">
        <f t="shared" si="11"/>
        <v/>
      </c>
      <c s="65" t="str">
        <f>IFERROR(__xludf.DUMMYFUNCTION("""COMPUTED_VALUE"""),"")</f>
        <v/>
      </c>
      <c s="66">
        <f ca="1"/>
        <v>45215</v>
      </c>
      <c s="93" t="str">
        <f t="shared" si="12"/>
        <v/>
      </c>
      <c s="94" t="str">
        <f t="shared" si="322"/>
        <v/>
      </c>
      <c s="95" t="str">
        <f t="shared" si="343" ref="U63:U65">IF(OR(ISBLANK(G63),G63=""),"",G63)</f>
        <v/>
      </c>
      <c s="98" t="str">
        <f t="shared" si="344" ref="V63:V65">IF(ISBLANK(H63),"",H63)</f>
        <v/>
      </c>
      <c s="97" t="str">
        <f t="array" ref="W63">IFERROR(IF(Q63="ac"+ISNUMBER(SEARCH("'",V63))+U63="","",IF(ISNUMBER(SEARCH("lw",V63)),I63+SUBSTITUTE(V63,"lw+",""),MROUND(_xlfn.SWITCH(Q63,"sq",U$7,"bn",V$7,"dl",W$7,"")*IF(V63&gt;10,V63/100,VLOOKUP(V63,_rpe,SUBSTITUTE(U63,"+","")+1,0)),IF(_xlfn.SWITCH(Q63,"sq",U$7,"bn",V$7,"dl",W$7,"")&lt;IF(_uom="lbs",175,80),1.25,IF(_uom="lbs",5,2.5))))),"")</f>
        <v/>
      </c>
      <c s="70"/>
      <c s="63"/>
      <c s="97"/>
      <c s="44" t="str">
        <f>IFERROR(__xludf.DUMMYFUNCTION("IF(W63=MAX(FILTER(W$10:W$199,LOOKUP(ROW(Q$10:Q$199),FILTER(ROW(Q$10:Q$199),Q$10:Q$199&lt;&gt;Q$9:Q$198))=LOOKUP(ROW(Q63),FILTER(ROW(Q$10:Q$199),Q$10:Q$199&lt;&gt;Q$9:Q$198)))),X63,)"),"")</f>
        <v/>
      </c>
      <c s="42"/>
      <c s="63"/>
      <c s="64" t="str">
        <f t="shared" si="14"/>
        <v/>
      </c>
      <c s="65" t="str">
        <f>IFERROR(__xludf.DUMMYFUNCTION("""COMPUTED_VALUE"""),"")</f>
        <v/>
      </c>
      <c s="66">
        <f ca="1"/>
        <v>45222</v>
      </c>
      <c s="93" t="str">
        <f t="shared" si="156"/>
        <v/>
      </c>
      <c s="94" t="str">
        <f t="shared" si="186"/>
        <v/>
      </c>
      <c s="95" t="str">
        <f t="shared" si="345" ref="AI63:AI65">IF(OR(ISBLANK(U63),U63=""),"",U63)</f>
        <v/>
      </c>
      <c s="98" t="str">
        <f t="shared" si="346" ref="AJ63:AJ65">IF(ISBLANK(V63),"",V63)</f>
        <v/>
      </c>
      <c s="97" t="str">
        <f t="array" ref="AK63">IFERROR(IF(AE63="ac"+ISNUMBER(SEARCH("'",AJ63))+AI63="","",IF(ISNUMBER(SEARCH("lw",AJ63)),W63+SUBSTITUTE(AJ63,"lw+",""),MROUND(_xlfn.SWITCH(AE63,"sq",AI$7,"bn",AJ$7,"dl",AK$7,"")*IF(AJ63&gt;10,AJ63/100,VLOOKUP(AJ63,_rpe,SUBSTITUTE(AI63,"+","")+1,0)),IF(_xlfn.SWITCH(AE63,"sq",AI$7,"bn",AJ$7,"dl",AK$7,"")&lt;IF(_uom="lbs",175,80),1.25,IF(_uom="lbs",5,2.5))))),"")</f>
        <v/>
      </c>
      <c s="70"/>
      <c s="63"/>
      <c s="97"/>
      <c s="44" t="str">
        <f>IFERROR(__xludf.DUMMYFUNCTION("IF(AK63=MAX(FILTER(AK$10:AK$199,LOOKUP(ROW(AE$10:AE$199),FILTER(ROW(AE$10:AE$199),AE$10:AE$199&lt;&gt;AE$9:AE$198))=LOOKUP(ROW(AE63),FILTER(ROW(AE$10:AE$199),AE$10:AE$199&lt;&gt;AE$9:AE$198)))),AL63,)"),"")</f>
        <v/>
      </c>
      <c s="42"/>
      <c s="63"/>
      <c s="64" t="str">
        <f t="shared" si="17"/>
        <v/>
      </c>
      <c s="65" t="str">
        <f>IFERROR(__xludf.DUMMYFUNCTION("""COMPUTED_VALUE"""),"")</f>
        <v/>
      </c>
      <c s="66">
        <f ca="1"/>
        <v>45229</v>
      </c>
      <c s="93" t="str">
        <f t="shared" si="157"/>
        <v/>
      </c>
      <c s="94" t="str">
        <f t="shared" si="188"/>
        <v/>
      </c>
      <c s="95" t="str">
        <f t="shared" si="347" ref="AW63:AW65">IF(OR(ISBLANK(AI63),AI63=""),"",AI63)</f>
        <v/>
      </c>
      <c s="98" t="str">
        <f t="shared" si="294"/>
        <v/>
      </c>
      <c s="97" t="str">
        <f t="array" ref="AY63">IFERROR(IF(AS63="ac"+ISNUMBER(SEARCH("'",AX63))+AW63="","",IF(ISNUMBER(SEARCH("lw",AX63)),AK63+SUBSTITUTE(AX63,"lw+",""),MROUND(_xlfn.SWITCH(AS63,"sq",AW$7,"bn",AX$7,"dl",AY$7,"")*IF(AX63&gt;10,AX63/100,VLOOKUP(AX63,_rpe,SUBSTITUTE(AW63,"+","")+1,0)),IF(_xlfn.SWITCH(AS63,"sq",AW$7,"bn",AX$7,"dl",AY$7,"")&lt;IF(_uom="lbs",175,80),1.25,IF(_uom="lbs",5,2.5))))),"")</f>
        <v/>
      </c>
      <c s="70"/>
      <c s="63"/>
      <c s="97"/>
      <c s="44" t="str">
        <f>IFERROR(__xludf.DUMMYFUNCTION("IF(AY63=MAX(FILTER(AY$10:AY$199,LOOKUP(ROW(AS$10:AS$199),FILTER(ROW(AS$10:AS$199),AS$10:AS$199&lt;&gt;AS$9:AS$198))=LOOKUP(ROW(AS63),FILTER(ROW(AS$10:AS$199),AS$10:AS$199&lt;&gt;AS$9:AS$198)))),AZ63,)"),"")</f>
        <v/>
      </c>
      <c s="42"/>
      <c s="63"/>
      <c s="64" t="str">
        <f t="shared" si="19"/>
        <v/>
      </c>
      <c s="65" t="str">
        <f>IFERROR(__xludf.DUMMYFUNCTION("""COMPUTED_VALUE"""),"")</f>
        <v/>
      </c>
      <c s="66">
        <f ca="1"/>
        <v>45236</v>
      </c>
      <c s="93" t="str">
        <f t="shared" si="20"/>
        <v/>
      </c>
      <c s="94" t="str">
        <f t="shared" si="348" ref="BJ63:BJ65">IF(ISBLANK(AV63),"",AV63)</f>
        <v/>
      </c>
      <c s="95" t="str">
        <f t="shared" si="349" ref="BK63:BK65">IF(OR(ISBLANK(AW63),AW63=""),"",AW63)</f>
        <v/>
      </c>
      <c s="98" t="str">
        <f t="shared" si="350" ref="BL63:BL65">IF(ISBLANK(AX63),"",AX63)</f>
        <v/>
      </c>
      <c s="97" t="str">
        <f t="array" ref="BM63">IFERROR(IF(BG63="ac"+ISNUMBER(SEARCH("'",BL63))+BK63="","",IF(ISNUMBER(SEARCH("lw",BL63)),AY63+SUBSTITUTE(BL63,"lw+",""),MROUND(_xlfn.SWITCH(BG63,"sq",BK$7,"bn",BL$7,"dl",BM$7,"")*IF(BL63&gt;10,BL63/100,VLOOKUP(BL63,_rpe,SUBSTITUTE(BK63,"+","")+1,0)),IF(_xlfn.SWITCH(BG63,"sq",BK$7,"bn",BL$7,"dl",BM$7,"")&lt;IF(_uom="lbs",175,80),1.25,IF(_uom="lbs",5,2.5))))),"")</f>
        <v/>
      </c>
      <c s="70"/>
      <c s="63"/>
      <c s="97"/>
      <c s="44" t="str">
        <f>IFERROR(__xludf.DUMMYFUNCTION("IF(BM63=MAX(FILTER(BM$10:BM$199,LOOKUP(ROW(BG$10:BG$199),FILTER(ROW(BG$10:BG$199),BG$10:BG$199&lt;&gt;BG$9:BG$198))=LOOKUP(ROW(BG63),FILTER(ROW(BG$10:BG$199),BG$10:BG$199&lt;&gt;BG$9:BG$198)))),BN63,)"),"")</f>
        <v/>
      </c>
      <c s="42"/>
      <c s="63"/>
      <c s="64" t="str">
        <f t="shared" si="21"/>
        <v/>
      </c>
      <c s="65" t="str">
        <f>IFERROR(__xludf.DUMMYFUNCTION("""COMPUTED_VALUE"""),"")</f>
        <v/>
      </c>
      <c s="66">
        <f ca="1"/>
        <v>45243</v>
      </c>
      <c s="93" t="str">
        <f t="shared" si="22"/>
        <v/>
      </c>
      <c s="94" t="str">
        <f t="shared" si="351" ref="BX63:BX65">IF(ISBLANK(BJ63),"",BJ63)</f>
        <v/>
      </c>
      <c s="95" t="str">
        <f t="shared" si="352" ref="BY63:BY65">IF(OR(ISBLANK(BK63),BK63=""),"",BK63)</f>
        <v/>
      </c>
      <c s="98" t="str">
        <f t="shared" si="353" ref="BZ63:BZ65">IF(ISBLANK(BL63),"",BL63)</f>
        <v/>
      </c>
      <c s="97" t="str">
        <f t="array" ref="CA63">IFERROR(IF(BU63="ac"+ISNUMBER(SEARCH("'",BZ63))+BY63="","",IF(ISNUMBER(SEARCH("lw",BZ63)),BM63+SUBSTITUTE(BZ63,"lw+",""),MROUND(_xlfn.SWITCH(BU63,"sq",BY$7,"bn",BZ$7,"dl",CA$7,"")*IF(BZ63&gt;10,BZ63/100,VLOOKUP(BZ63,_rpe,SUBSTITUTE(BY63,"+","")+1,0)),IF(_xlfn.SWITCH(BU63,"sq",BY$7,"bn",BZ$7,"dl",CA$7,"")&lt;IF(_uom="lbs",175,80),1.25,IF(_uom="lbs",5,2.5))))),"")</f>
        <v/>
      </c>
      <c s="70"/>
      <c s="63"/>
      <c s="97"/>
      <c s="44" t="str">
        <f>IFERROR(__xludf.DUMMYFUNCTION("IF(CA63=MAX(FILTER(CA$10:CA$199,LOOKUP(ROW(BU$10:BU$199),FILTER(ROW(BU$10:BU$199),BU$10:BU$199&lt;&gt;BU$9:BU$198))=LOOKUP(ROW(BU63),FILTER(ROW(BU$10:BU$199),BU$10:BU$199&lt;&gt;BU$9:BU$198)))),CB63,)"),"")</f>
        <v/>
      </c>
      <c s="42"/>
      <c s="63"/>
      <c s="64" t="str">
        <f t="shared" si="24"/>
        <v/>
      </c>
      <c s="65" t="str">
        <f>IFERROR(__xludf.DUMMYFUNCTION("""COMPUTED_VALUE"""),"")</f>
        <v/>
      </c>
      <c s="66">
        <f ca="1"/>
        <v>45250</v>
      </c>
      <c s="93" t="str">
        <f t="shared" si="44"/>
        <v/>
      </c>
      <c s="94" t="str">
        <f t="shared" si="300"/>
        <v/>
      </c>
      <c s="95" t="str">
        <f t="shared" si="354" ref="CM63:CM65">IF(OR(ISBLANK(BY63),BY63=""),"",BY63)</f>
        <v/>
      </c>
      <c s="98" t="str">
        <f t="shared" si="355" ref="CN63:CN65">IF(ISBLANK(BZ63),"",BZ63)</f>
        <v/>
      </c>
      <c s="97" t="str">
        <f t="array" ref="CO63">IFERROR(IF(CI63="ac"+ISNUMBER(SEARCH("'",CN63))+CM63="","",IF(ISNUMBER(SEARCH("lw",CN63)),CA63+SUBSTITUTE(CN63,"lw+",""),MROUND(_xlfn.SWITCH(CI63,"sq",CM$7,"bn",CN$7,"dl",CO$7,"")*IF(CN63&gt;10,CN63/100,VLOOKUP(CN63,_rpe,SUBSTITUTE(CM63,"+","")+1,0)),IF(_xlfn.SWITCH(CI63,"sq",CM$7,"bn",CN$7,"dl",CO$7,"")&lt;IF(_uom="lbs",175,80),1.25,IF(_uom="lbs",5,2.5))))),"")</f>
        <v/>
      </c>
      <c s="70"/>
      <c s="63"/>
      <c s="97"/>
      <c s="44" t="str">
        <f>IFERROR(__xludf.DUMMYFUNCTION("IF(CO63=MAX(FILTER(CO$10:CO$199,LOOKUP(ROW(CI$10:CI$199),FILTER(ROW(CI$10:CI$199),CI$10:CI$199&lt;&gt;CI$9:CI$198))=LOOKUP(ROW(CI63),FILTER(ROW(CI$10:CI$199),CI$10:CI$199&lt;&gt;CI$9:CI$198)))),CP63,)"),"")</f>
        <v/>
      </c>
      <c s="42"/>
      <c s="63"/>
      <c s="64" t="str">
        <f t="shared" si="27"/>
        <v/>
      </c>
      <c s="65" t="str">
        <f>IFERROR(__xludf.DUMMYFUNCTION("""COMPUTED_VALUE"""),"")</f>
        <v/>
      </c>
      <c s="66">
        <f ca="1"/>
        <v>45257</v>
      </c>
      <c s="93" t="str">
        <f t="shared" si="45"/>
        <v/>
      </c>
      <c s="94" t="str">
        <f t="shared" si="302"/>
        <v/>
      </c>
      <c s="95" t="str">
        <f t="shared" si="356" ref="DA63:DA65">IF(OR(ISBLANK(CM63),CM63=""),"",CM63)</f>
        <v/>
      </c>
      <c s="98" t="str">
        <f t="shared" si="304"/>
        <v/>
      </c>
      <c s="97" t="str">
        <f t="array" ref="DC63">IFERROR(IF(CW63="ac"+ISNUMBER(SEARCH("'",DB63))+DA63="","",IF(ISNUMBER(SEARCH("lw",DB63)),CO63+SUBSTITUTE(DB63,"lw+",""),MROUND(_xlfn.SWITCH(CW63,"sq",DA$7,"bn",DB$7,"dl",DC$7,"")*IF(DB63&gt;10,DB63/100,VLOOKUP(DB63,_rpe,SUBSTITUTE(DA63,"+","")+1,0)),IF(_xlfn.SWITCH(CW63,"sq",DA$7,"bn",DB$7,"dl",DC$7,"")&lt;IF(_uom="lbs",175,80),1.25,IF(_uom="lbs",5,2.5))))),"")</f>
        <v/>
      </c>
      <c s="70"/>
      <c s="63"/>
      <c s="97"/>
      <c s="44" t="str">
        <f>IFERROR(__xludf.DUMMYFUNCTION("IF(DC63=MAX(FILTER(DC$10:DC$199,LOOKUP(ROW(CW$10:CW$199),FILTER(ROW(CW$10:CW$199),CW$10:CW$199&lt;&gt;CW$9:CW$198))=LOOKUP(ROW(CW63),FILTER(ROW(CW$10:CW$199),CW$10:CW$199&lt;&gt;CW$9:CW$198)))),DD63,)"),"")</f>
        <v/>
      </c>
      <c s="42"/>
      <c s="63"/>
      <c s="64" t="str">
        <f t="shared" si="30"/>
        <v/>
      </c>
      <c s="65" t="str">
        <f>IFERROR(__xludf.DUMMYFUNCTION("""COMPUTED_VALUE"""),"")</f>
        <v/>
      </c>
      <c s="66">
        <f ca="1"/>
        <v>45264</v>
      </c>
      <c s="93" t="str">
        <f t="shared" si="46"/>
        <v/>
      </c>
      <c s="94" t="str">
        <f t="shared" si="305"/>
        <v/>
      </c>
      <c s="95" t="str">
        <f t="shared" si="357" ref="DO63:DO65">IF(OR(ISBLANK(DA63),DA63=""),"",DA63)</f>
        <v/>
      </c>
      <c s="98" t="str">
        <f t="shared" si="358" ref="DP63:DP65">IF(ISBLANK(DB63),"",DB63)</f>
        <v/>
      </c>
      <c s="97" t="str">
        <f t="array" ref="DQ63">IFERROR(IF(DK63="ac"+ISNUMBER(SEARCH("'",DP63))+DO63="","",IF(ISNUMBER(SEARCH("lw",DP63)),DC63+SUBSTITUTE(DP63,"lw+",""),MROUND(_xlfn.SWITCH(DK63,"sq",DO$7,"bn",DP$7,"dl",DQ$7,"")*IF(DP63&gt;10,DP63/100,VLOOKUP(DP63,_rpe,SUBSTITUTE(DO63,"+","")+1,0)),IF(_xlfn.SWITCH(DK63,"sq",DO$7,"bn",DP$7,"dl",DQ$7,"")&lt;IF(_uom="lbs",175,80),1.25,IF(_uom="lbs",5,2.5))))),"")</f>
        <v/>
      </c>
      <c s="70"/>
      <c s="63"/>
      <c s="97"/>
      <c s="44" t="str">
        <f>IFERROR(__xludf.DUMMYFUNCTION("IF(DQ63=MAX(FILTER(DQ$10:DQ$199,LOOKUP(ROW(DK$10:DK$199),FILTER(ROW(DK$10:DK$199),DK$10:DK$199&lt;&gt;DK$9:DK$198))=LOOKUP(ROW(DK63),FILTER(ROW(DK$10:DK$199),DK$10:DK$199&lt;&gt;DK$9:DK$198)))),DR63,)"),"")</f>
        <v/>
      </c>
      <c s="42"/>
      <c s="63"/>
      <c s="64" t="str">
        <f t="shared" si="32"/>
        <v/>
      </c>
      <c s="65" t="str">
        <f>IFERROR(__xludf.DUMMYFUNCTION("""COMPUTED_VALUE"""),"")</f>
        <v/>
      </c>
      <c s="66">
        <f ca="1"/>
        <v>45271</v>
      </c>
      <c s="93" t="str">
        <f t="shared" si="47"/>
        <v/>
      </c>
      <c s="94" t="str">
        <f t="shared" si="308"/>
        <v/>
      </c>
      <c s="95" t="str">
        <f t="shared" si="359" ref="EC63:EC65">IF(OR(ISBLANK(DO63),DO63=""),"",DO63)</f>
        <v/>
      </c>
      <c s="98" t="str">
        <f t="shared" si="360" ref="ED63:ED65">IF(ISBLANK(DP63),"",DP63)</f>
        <v/>
      </c>
      <c s="97" t="str">
        <f t="array" ref="EE63">IFERROR(IF(DY63="ac"+ISNUMBER(SEARCH("'",ED63))+EC63="","",IF(ISNUMBER(SEARCH("lw",ED63)),DQ63+SUBSTITUTE(ED63,"lw+",""),MROUND(_xlfn.SWITCH(DY63,"sq",EC$7,"bn",ED$7,"dl",EE$7,"")*IF(ED63&gt;10,ED63/100,VLOOKUP(ED63,_rpe,SUBSTITUTE(EC63,"+","")+1,0)),IF(_xlfn.SWITCH(DY63,"sq",EC$7,"bn",ED$7,"dl",EE$7,"")&lt;IF(_uom="lbs",175,80),1.25,IF(_uom="lbs",5,2.5))))),"")</f>
        <v/>
      </c>
      <c s="70"/>
      <c s="63"/>
      <c s="97"/>
      <c s="44" t="str">
        <f>IFERROR(__xludf.DUMMYFUNCTION("IF(EE63=MAX(FILTER(EE$10:EE$199,LOOKUP(ROW(DY$10:DY$199),FILTER(ROW(DY$10:DY$199),DY$10:DY$199&lt;&gt;DY$9:DY$198))=LOOKUP(ROW(DY63),FILTER(ROW(DY$10:DY$199),DY$10:DY$199&lt;&gt;DY$9:DY$198)))),EF63,)"),"")</f>
        <v/>
      </c>
      <c s="42"/>
      <c s="63"/>
      <c s="64" t="str">
        <f t="shared" si="34"/>
        <v/>
      </c>
      <c s="65" t="str">
        <f>IFERROR(__xludf.DUMMYFUNCTION("""COMPUTED_VALUE"""),"")</f>
        <v/>
      </c>
      <c s="66">
        <f ca="1"/>
        <v>45278</v>
      </c>
      <c s="93" t="str">
        <f t="shared" si="48"/>
        <v/>
      </c>
      <c s="94" t="str">
        <f t="shared" si="311"/>
        <v/>
      </c>
      <c s="95" t="str">
        <f t="shared" si="361" ref="EQ63:EQ65">IF(OR(ISBLANK(EC63),EC63=""),"",EC63)</f>
        <v/>
      </c>
      <c s="98" t="str">
        <f t="shared" si="313"/>
        <v/>
      </c>
      <c s="97" t="str">
        <f t="array" ref="ES63">IFERROR(IF(EM63="ac"+ISNUMBER(SEARCH("'",ER63))+EQ63="","",IF(ISNUMBER(SEARCH("lw",ER63)),EE63+SUBSTITUTE(ER63,"lw+",""),MROUND(_xlfn.SWITCH(EM63,"sq",EQ$7,"bn",ER$7,"dl",ES$7,"")*IF(ER63&gt;10,ER63/100,VLOOKUP(ER63,_rpe,SUBSTITUTE(EQ63,"+","")+1,0)),IF(_xlfn.SWITCH(EM63,"sq",EQ$7,"bn",ER$7,"dl",ES$7,"")&lt;IF(_uom="lbs",175,80),1.25,IF(_uom="lbs",5,2.5))))),"")</f>
        <v/>
      </c>
      <c s="70"/>
      <c s="63"/>
      <c s="97"/>
      <c s="44" t="str">
        <f>IFERROR(__xludf.DUMMYFUNCTION("IF(ES63=MAX(FILTER(ES$10:ES$199,LOOKUP(ROW(EM$10:EM$199),FILTER(ROW(EM$10:EM$199),EM$10:EM$199&lt;&gt;EM$9:EM$198))=LOOKUP(ROW(EM63),FILTER(ROW(EM$10:EM$199),EM$10:EM$199&lt;&gt;EM$9:EM$198)))),ET63,)"),"")</f>
        <v/>
      </c>
      <c s="42"/>
      <c s="63"/>
      <c s="64" t="str">
        <f t="shared" si="36"/>
        <v/>
      </c>
      <c s="65" t="str">
        <f>IFERROR(__xludf.DUMMYFUNCTION("""COMPUTED_VALUE"""),"")</f>
        <v/>
      </c>
      <c s="66">
        <f ca="1"/>
        <v>45285</v>
      </c>
      <c s="93" t="str">
        <f t="shared" si="49"/>
        <v/>
      </c>
      <c s="94" t="str">
        <f t="shared" si="314"/>
        <v/>
      </c>
      <c s="95" t="str">
        <f t="shared" si="362" ref="FE63:FE65">IF(OR(ISBLANK(EQ63),EQ63=""),"",EQ63)</f>
        <v/>
      </c>
      <c s="98" t="str">
        <f t="shared" si="316"/>
        <v/>
      </c>
      <c s="97" t="str">
        <f t="array" ref="FG63">IFERROR(IF(FA63="ac"+ISNUMBER(SEARCH("'",FF63))+FE63="","",IF(ISNUMBER(SEARCH("lw",FF63)),ES63+SUBSTITUTE(FF63,"lw+",""),MROUND(_xlfn.SWITCH(FA63,"sq",FE$7,"bn",FF$7,"dl",FG$7,"")*IF(FF63&gt;10,FF63/100,VLOOKUP(FF63,_rpe,SUBSTITUTE(FE63,"+","")+1,0)),IF(_xlfn.SWITCH(FA63,"sq",FE$7,"bn",FF$7,"dl",FG$7,"")&lt;IF(_uom="lbs",175,80),1.25,IF(_uom="lbs",5,2.5))))),"")</f>
        <v/>
      </c>
      <c s="70"/>
      <c s="63"/>
      <c s="97"/>
      <c s="44" t="str">
        <f>IFERROR(__xludf.DUMMYFUNCTION("IF(FG63=MAX(FILTER(FG$10:FG$199,LOOKUP(ROW(FA$10:FA$199),FILTER(ROW(FA$10:FA$199),FA$10:FA$199&lt;&gt;FA$9:FA$198))=LOOKUP(ROW(FA63),FILTER(ROW(FA$10:FA$199),FA$10:FA$199&lt;&gt;FA$9:FA$198)))),FH63,)"),"")</f>
        <v/>
      </c>
      <c s="42"/>
      <c s="63"/>
      <c s="64" t="str">
        <f t="shared" si="38"/>
        <v/>
      </c>
      <c s="65" t="str">
        <f>IFERROR(__xludf.DUMMYFUNCTION("""COMPUTED_VALUE"""),"")</f>
        <v/>
      </c>
      <c s="66">
        <f ca="1"/>
        <v>45292</v>
      </c>
      <c s="93"/>
      <c s="94"/>
      <c s="95"/>
      <c s="98"/>
      <c s="97" t="str">
        <f t="array" ref="FU63">IFERROR(IF(FO63="ac"+ISNUMBER(SEARCH("'",FT63))+FS63="","",IF(ISNUMBER(SEARCH("lw",FT63)),FG63+SUBSTITUTE(FT63,"lw+",""),MROUND(_xlfn.SWITCH(FO63,"sq",FS$7,"bn",FT$7,"dl",FU$7,"")*IF(FT63&gt;10,FT63/100,VLOOKUP(FT63,_rpe,SUBSTITUTE(FS63,"+","")+1,0)),IF(_xlfn.SWITCH(FO63,"sq",FS$7,"bn",FT$7,"dl",FU$7,"")&lt;IF(_uom="lbs",175,80),1.25,IF(_uom="lbs",5,2.5))))),"")</f>
        <v/>
      </c>
      <c s="70"/>
      <c s="63"/>
      <c s="97"/>
      <c s="44" t="str">
        <f>IFERROR(__xludf.DUMMYFUNCTION("IF(FU63=MAX(FILTER(FU$10:FU$199,LOOKUP(ROW(FO$10:FO$199),FILTER(ROW(FO$10:FO$199),FO$10:FO$199&lt;&gt;FO$9:FO$198))=LOOKUP(ROW(FO63),FILTER(ROW(FO$10:FO$199),FO$10:FO$199&lt;&gt;FO$9:FO$198)))),FV63,)"),"")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64" spans="1:259" ht="15.75" hidden="1" outlineLevel="1">
      <c r="A64" s="63"/>
      <c s="107"/>
      <c s="65" t="str">
        <f>IFERROR(__xludf.DUMMYFUNCTION("""COMPUTED_VALUE"""),"")</f>
        <v/>
      </c>
      <c s="66">
        <f ca="1"/>
        <v>45208</v>
      </c>
      <c s="108"/>
      <c s="94"/>
      <c s="95"/>
      <c s="96"/>
      <c s="97" t="str">
        <f t="array" ref="I64">IFERROR(IF(C64="ac"+ISNUMBER(SEARCH("'",H64))+G64="","",MROUND(_xlfn.SWITCH(C64,"sq",'Personal Info'!$O$15,"bn",'Personal Info'!$S$15,"dl",'Personal Info'!$W$15,"")*IF(H64&gt;10,H64/100,VLOOKUP(H64,_rpe,SUBSTITUTE(G64,"+","")+1,0)),IF(_xlfn.SWITCH(C64:C210,"sq",'Personal Info'!$O$15,"bn",'Personal Info'!$S$15,"dl",'Personal Info'!$W$15,"")&lt;IF(_uom="lbs",175,80),1.25,IF(_uom="lbs",5,2.5)))),"")</f>
        <v/>
      </c>
      <c s="70"/>
      <c s="63"/>
      <c s="97"/>
      <c s="44" t="str">
        <f>IFERROR(__xludf.DUMMYFUNCTION("IF(I64=MAX(FILTER(I$10:I$199,LOOKUP(ROW(C$10:C$199),FILTER(ROW(C$10:C$199),C$10:C$199&lt;&gt;C$9:C$198))=LOOKUP(ROW(C64),FILTER(ROW(C$10:C$199),C$10:C$199&lt;&gt;C$9:C$198)))),J64,)"),"")</f>
        <v/>
      </c>
      <c s="42"/>
      <c s="63"/>
      <c s="64" t="str">
        <f t="shared" si="11"/>
        <v/>
      </c>
      <c s="65" t="str">
        <f>IFERROR(__xludf.DUMMYFUNCTION("""COMPUTED_VALUE"""),"")</f>
        <v/>
      </c>
      <c s="66">
        <f ca="1"/>
        <v>45215</v>
      </c>
      <c s="93" t="str">
        <f t="shared" si="12"/>
        <v/>
      </c>
      <c s="94" t="str">
        <f t="shared" si="322"/>
        <v/>
      </c>
      <c s="95" t="str">
        <f t="shared" si="343"/>
        <v/>
      </c>
      <c s="98" t="str">
        <f t="shared" si="344"/>
        <v/>
      </c>
      <c s="97" t="str">
        <f t="array" ref="W64">IFERROR(IF(Q64="ac"+ISNUMBER(SEARCH("'",V64))+U64="","",IF(ISNUMBER(SEARCH("lw",V64)),I64+SUBSTITUTE(V64,"lw+",""),MROUND(_xlfn.SWITCH(Q64,"sq",U$7,"bn",V$7,"dl",W$7,"")*IF(V64&gt;10,V64/100,VLOOKUP(V64,_rpe,SUBSTITUTE(U64,"+","")+1,0)),IF(_xlfn.SWITCH(Q64,"sq",U$7,"bn",V$7,"dl",W$7,"")&lt;IF(_uom="lbs",175,80),1.25,IF(_uom="lbs",5,2.5))))),"")</f>
        <v/>
      </c>
      <c s="70"/>
      <c s="63"/>
      <c s="97"/>
      <c s="44" t="str">
        <f>IFERROR(__xludf.DUMMYFUNCTION("IF(W64=MAX(FILTER(W$10:W$199,LOOKUP(ROW(Q$10:Q$199),FILTER(ROW(Q$10:Q$199),Q$10:Q$199&lt;&gt;Q$9:Q$198))=LOOKUP(ROW(Q64),FILTER(ROW(Q$10:Q$199),Q$10:Q$199&lt;&gt;Q$9:Q$198)))),X64,)"),"")</f>
        <v/>
      </c>
      <c s="42"/>
      <c s="63"/>
      <c s="64" t="str">
        <f t="shared" si="14"/>
        <v/>
      </c>
      <c s="65" t="str">
        <f>IFERROR(__xludf.DUMMYFUNCTION("""COMPUTED_VALUE"""),"")</f>
        <v/>
      </c>
      <c s="66">
        <f ca="1"/>
        <v>45222</v>
      </c>
      <c s="93" t="str">
        <f t="shared" si="156"/>
        <v/>
      </c>
      <c s="94" t="str">
        <f t="shared" si="186"/>
        <v/>
      </c>
      <c s="95" t="str">
        <f t="shared" si="345"/>
        <v/>
      </c>
      <c s="98" t="str">
        <f t="shared" si="346"/>
        <v/>
      </c>
      <c s="97" t="str">
        <f t="array" ref="AK64">IFERROR(IF(AE64="ac"+ISNUMBER(SEARCH("'",AJ64))+AI64="","",IF(ISNUMBER(SEARCH("lw",AJ64)),W64+SUBSTITUTE(AJ64,"lw+",""),MROUND(_xlfn.SWITCH(AE64,"sq",AI$7,"bn",AJ$7,"dl",AK$7,"")*IF(AJ64&gt;10,AJ64/100,VLOOKUP(AJ64,_rpe,SUBSTITUTE(AI64,"+","")+1,0)),IF(_xlfn.SWITCH(AE64,"sq",AI$7,"bn",AJ$7,"dl",AK$7,"")&lt;IF(_uom="lbs",175,80),1.25,IF(_uom="lbs",5,2.5))))),"")</f>
        <v/>
      </c>
      <c s="70"/>
      <c s="63"/>
      <c s="97"/>
      <c s="44" t="str">
        <f>IFERROR(__xludf.DUMMYFUNCTION("IF(AK64=MAX(FILTER(AK$10:AK$199,LOOKUP(ROW(AE$10:AE$199),FILTER(ROW(AE$10:AE$199),AE$10:AE$199&lt;&gt;AE$9:AE$198))=LOOKUP(ROW(AE64),FILTER(ROW(AE$10:AE$199),AE$10:AE$199&lt;&gt;AE$9:AE$198)))),AL64,)"),"")</f>
        <v/>
      </c>
      <c s="42"/>
      <c s="63"/>
      <c s="64" t="str">
        <f t="shared" si="17"/>
        <v/>
      </c>
      <c s="65" t="str">
        <f>IFERROR(__xludf.DUMMYFUNCTION("""COMPUTED_VALUE"""),"")</f>
        <v/>
      </c>
      <c s="66">
        <f ca="1"/>
        <v>45229</v>
      </c>
      <c s="93" t="str">
        <f t="shared" si="157"/>
        <v/>
      </c>
      <c s="94" t="str">
        <f t="shared" si="188"/>
        <v/>
      </c>
      <c s="95" t="str">
        <f t="shared" si="347"/>
        <v/>
      </c>
      <c s="98" t="str">
        <f t="shared" si="294"/>
        <v/>
      </c>
      <c s="97" t="str">
        <f t="array" ref="AY64">IFERROR(IF(AS64="ac"+ISNUMBER(SEARCH("'",AX64))+AW64="","",IF(ISNUMBER(SEARCH("lw",AX64)),AK64+SUBSTITUTE(AX64,"lw+",""),MROUND(_xlfn.SWITCH(AS64,"sq",AW$7,"bn",AX$7,"dl",AY$7,"")*IF(AX64&gt;10,AX64/100,VLOOKUP(AX64,_rpe,SUBSTITUTE(AW64,"+","")+1,0)),IF(_xlfn.SWITCH(AS64,"sq",AW$7,"bn",AX$7,"dl",AY$7,"")&lt;IF(_uom="lbs",175,80),1.25,IF(_uom="lbs",5,2.5))))),"")</f>
        <v/>
      </c>
      <c s="70"/>
      <c s="63"/>
      <c s="97"/>
      <c s="44" t="str">
        <f>IFERROR(__xludf.DUMMYFUNCTION("IF(AY64=MAX(FILTER(AY$10:AY$199,LOOKUP(ROW(AS$10:AS$199),FILTER(ROW(AS$10:AS$199),AS$10:AS$199&lt;&gt;AS$9:AS$198))=LOOKUP(ROW(AS64),FILTER(ROW(AS$10:AS$199),AS$10:AS$199&lt;&gt;AS$9:AS$198)))),AZ64,)"),"")</f>
        <v/>
      </c>
      <c s="42"/>
      <c s="63"/>
      <c s="64" t="str">
        <f t="shared" si="19"/>
        <v/>
      </c>
      <c s="65" t="str">
        <f>IFERROR(__xludf.DUMMYFUNCTION("""COMPUTED_VALUE"""),"")</f>
        <v/>
      </c>
      <c s="66">
        <f ca="1"/>
        <v>45236</v>
      </c>
      <c s="93" t="str">
        <f t="shared" si="20"/>
        <v/>
      </c>
      <c s="94" t="str">
        <f t="shared" si="348"/>
        <v/>
      </c>
      <c s="95" t="str">
        <f t="shared" si="349"/>
        <v/>
      </c>
      <c s="98" t="str">
        <f t="shared" si="350"/>
        <v/>
      </c>
      <c s="97" t="str">
        <f t="array" ref="BM64">IFERROR(IF(BG64="ac"+ISNUMBER(SEARCH("'",BL64))+BK64="","",IF(ISNUMBER(SEARCH("lw",BL64)),AY64+SUBSTITUTE(BL64,"lw+",""),MROUND(_xlfn.SWITCH(BG64,"sq",BK$7,"bn",BL$7,"dl",BM$7,"")*IF(BL64&gt;10,BL64/100,VLOOKUP(BL64,_rpe,SUBSTITUTE(BK64,"+","")+1,0)),IF(_xlfn.SWITCH(BG64,"sq",BK$7,"bn",BL$7,"dl",BM$7,"")&lt;IF(_uom="lbs",175,80),1.25,IF(_uom="lbs",5,2.5))))),"")</f>
        <v/>
      </c>
      <c s="70"/>
      <c s="63"/>
      <c s="97"/>
      <c s="44" t="str">
        <f>IFERROR(__xludf.DUMMYFUNCTION("IF(BM64=MAX(FILTER(BM$10:BM$199,LOOKUP(ROW(BG$10:BG$199),FILTER(ROW(BG$10:BG$199),BG$10:BG$199&lt;&gt;BG$9:BG$198))=LOOKUP(ROW(BG64),FILTER(ROW(BG$10:BG$199),BG$10:BG$199&lt;&gt;BG$9:BG$198)))),BN64,)"),"")</f>
        <v/>
      </c>
      <c s="42"/>
      <c s="63"/>
      <c s="64" t="str">
        <f t="shared" si="21"/>
        <v/>
      </c>
      <c s="65" t="str">
        <f>IFERROR(__xludf.DUMMYFUNCTION("""COMPUTED_VALUE"""),"")</f>
        <v/>
      </c>
      <c s="66">
        <f ca="1"/>
        <v>45243</v>
      </c>
      <c s="93" t="str">
        <f t="shared" si="22"/>
        <v/>
      </c>
      <c s="94" t="str">
        <f t="shared" si="351"/>
        <v/>
      </c>
      <c s="95" t="str">
        <f t="shared" si="352"/>
        <v/>
      </c>
      <c s="98" t="str">
        <f t="shared" si="353"/>
        <v/>
      </c>
      <c s="97" t="str">
        <f t="array" ref="CA64">IFERROR(IF(BU64="ac"+ISNUMBER(SEARCH("'",BZ64))+BY64="","",IF(ISNUMBER(SEARCH("lw",BZ64)),BM64+SUBSTITUTE(BZ64,"lw+",""),MROUND(_xlfn.SWITCH(BU64,"sq",BY$7,"bn",BZ$7,"dl",CA$7,"")*IF(BZ64&gt;10,BZ64/100,VLOOKUP(BZ64,_rpe,SUBSTITUTE(BY64,"+","")+1,0)),IF(_xlfn.SWITCH(BU64,"sq",BY$7,"bn",BZ$7,"dl",CA$7,"")&lt;IF(_uom="lbs",175,80),1.25,IF(_uom="lbs",5,2.5))))),"")</f>
        <v/>
      </c>
      <c s="70"/>
      <c s="63"/>
      <c s="97"/>
      <c s="44" t="str">
        <f>IFERROR(__xludf.DUMMYFUNCTION("IF(CA64=MAX(FILTER(CA$10:CA$199,LOOKUP(ROW(BU$10:BU$199),FILTER(ROW(BU$10:BU$199),BU$10:BU$199&lt;&gt;BU$9:BU$198))=LOOKUP(ROW(BU64),FILTER(ROW(BU$10:BU$199),BU$10:BU$199&lt;&gt;BU$9:BU$198)))),CB64,)"),"")</f>
        <v/>
      </c>
      <c s="42"/>
      <c s="63"/>
      <c s="64" t="str">
        <f t="shared" si="24"/>
        <v/>
      </c>
      <c s="65" t="str">
        <f>IFERROR(__xludf.DUMMYFUNCTION("""COMPUTED_VALUE"""),"")</f>
        <v/>
      </c>
      <c s="66">
        <f ca="1"/>
        <v>45250</v>
      </c>
      <c s="93" t="str">
        <f t="shared" si="44"/>
        <v/>
      </c>
      <c s="94" t="str">
        <f t="shared" si="300"/>
        <v/>
      </c>
      <c s="95" t="str">
        <f t="shared" si="354"/>
        <v/>
      </c>
      <c s="98" t="str">
        <f t="shared" si="355"/>
        <v/>
      </c>
      <c s="97" t="str">
        <f t="array" ref="CO64">IFERROR(IF(CI64="ac"+ISNUMBER(SEARCH("'",CN64))+CM64="","",IF(ISNUMBER(SEARCH("lw",CN64)),CA64+SUBSTITUTE(CN64,"lw+",""),MROUND(_xlfn.SWITCH(CI64,"sq",CM$7,"bn",CN$7,"dl",CO$7,"")*IF(CN64&gt;10,CN64/100,VLOOKUP(CN64,_rpe,SUBSTITUTE(CM64,"+","")+1,0)),IF(_xlfn.SWITCH(CI64,"sq",CM$7,"bn",CN$7,"dl",CO$7,"")&lt;IF(_uom="lbs",175,80),1.25,IF(_uom="lbs",5,2.5))))),"")</f>
        <v/>
      </c>
      <c s="70"/>
      <c s="63"/>
      <c s="97"/>
      <c s="44" t="str">
        <f>IFERROR(__xludf.DUMMYFUNCTION("IF(CO64=MAX(FILTER(CO$10:CO$199,LOOKUP(ROW(CI$10:CI$199),FILTER(ROW(CI$10:CI$199),CI$10:CI$199&lt;&gt;CI$9:CI$198))=LOOKUP(ROW(CI64),FILTER(ROW(CI$10:CI$199),CI$10:CI$199&lt;&gt;CI$9:CI$198)))),CP64,)"),"")</f>
        <v/>
      </c>
      <c s="42"/>
      <c s="63"/>
      <c s="64" t="str">
        <f t="shared" si="27"/>
        <v/>
      </c>
      <c s="65" t="str">
        <f>IFERROR(__xludf.DUMMYFUNCTION("""COMPUTED_VALUE"""),"")</f>
        <v/>
      </c>
      <c s="66">
        <f ca="1"/>
        <v>45257</v>
      </c>
      <c s="93" t="str">
        <f t="shared" si="45"/>
        <v/>
      </c>
      <c s="94" t="str">
        <f t="shared" si="302"/>
        <v/>
      </c>
      <c s="95" t="str">
        <f t="shared" si="356"/>
        <v/>
      </c>
      <c s="98" t="str">
        <f t="shared" si="304"/>
        <v/>
      </c>
      <c s="97" t="str">
        <f t="array" ref="DC64">IFERROR(IF(CW64="ac"+ISNUMBER(SEARCH("'",DB64))+DA64="","",IF(ISNUMBER(SEARCH("lw",DB64)),CO64+SUBSTITUTE(DB64,"lw+",""),MROUND(_xlfn.SWITCH(CW64,"sq",DA$7,"bn",DB$7,"dl",DC$7,"")*IF(DB64&gt;10,DB64/100,VLOOKUP(DB64,_rpe,SUBSTITUTE(DA64,"+","")+1,0)),IF(_xlfn.SWITCH(CW64,"sq",DA$7,"bn",DB$7,"dl",DC$7,"")&lt;IF(_uom="lbs",175,80),1.25,IF(_uom="lbs",5,2.5))))),"")</f>
        <v/>
      </c>
      <c s="70"/>
      <c s="63"/>
      <c s="97"/>
      <c s="44" t="str">
        <f>IFERROR(__xludf.DUMMYFUNCTION("IF(DC64=MAX(FILTER(DC$10:DC$199,LOOKUP(ROW(CW$10:CW$199),FILTER(ROW(CW$10:CW$199),CW$10:CW$199&lt;&gt;CW$9:CW$198))=LOOKUP(ROW(CW64),FILTER(ROW(CW$10:CW$199),CW$10:CW$199&lt;&gt;CW$9:CW$198)))),DD64,)"),"")</f>
        <v/>
      </c>
      <c s="42"/>
      <c s="63"/>
      <c s="64" t="str">
        <f t="shared" si="30"/>
        <v/>
      </c>
      <c s="65" t="str">
        <f>IFERROR(__xludf.DUMMYFUNCTION("""COMPUTED_VALUE"""),"")</f>
        <v/>
      </c>
      <c s="66">
        <f ca="1"/>
        <v>45264</v>
      </c>
      <c s="93" t="str">
        <f t="shared" si="46"/>
        <v/>
      </c>
      <c s="94" t="str">
        <f t="shared" si="305"/>
        <v/>
      </c>
      <c s="95" t="str">
        <f t="shared" si="357"/>
        <v/>
      </c>
      <c s="98" t="str">
        <f t="shared" si="358"/>
        <v/>
      </c>
      <c s="97" t="str">
        <f t="array" ref="DQ64">IFERROR(IF(DK64="ac"+ISNUMBER(SEARCH("'",DP64))+DO64="","",IF(ISNUMBER(SEARCH("lw",DP64)),DC64+SUBSTITUTE(DP64,"lw+",""),MROUND(_xlfn.SWITCH(DK64,"sq",DO$7,"bn",DP$7,"dl",DQ$7,"")*IF(DP64&gt;10,DP64/100,VLOOKUP(DP64,_rpe,SUBSTITUTE(DO64,"+","")+1,0)),IF(_xlfn.SWITCH(DK64,"sq",DO$7,"bn",DP$7,"dl",DQ$7,"")&lt;IF(_uom="lbs",175,80),1.25,IF(_uom="lbs",5,2.5))))),"")</f>
        <v/>
      </c>
      <c s="70"/>
      <c s="63"/>
      <c s="97"/>
      <c s="44" t="str">
        <f>IFERROR(__xludf.DUMMYFUNCTION("IF(DQ64=MAX(FILTER(DQ$10:DQ$199,LOOKUP(ROW(DK$10:DK$199),FILTER(ROW(DK$10:DK$199),DK$10:DK$199&lt;&gt;DK$9:DK$198))=LOOKUP(ROW(DK64),FILTER(ROW(DK$10:DK$199),DK$10:DK$199&lt;&gt;DK$9:DK$198)))),DR64,)"),"")</f>
        <v/>
      </c>
      <c s="42"/>
      <c s="63"/>
      <c s="64" t="str">
        <f t="shared" si="32"/>
        <v/>
      </c>
      <c s="65" t="str">
        <f>IFERROR(__xludf.DUMMYFUNCTION("""COMPUTED_VALUE"""),"")</f>
        <v/>
      </c>
      <c s="66">
        <f ca="1"/>
        <v>45271</v>
      </c>
      <c s="93" t="str">
        <f t="shared" si="47"/>
        <v/>
      </c>
      <c s="94" t="str">
        <f t="shared" si="308"/>
        <v/>
      </c>
      <c s="95" t="str">
        <f t="shared" si="359"/>
        <v/>
      </c>
      <c s="98" t="str">
        <f t="shared" si="360"/>
        <v/>
      </c>
      <c s="97" t="str">
        <f t="array" ref="EE64">IFERROR(IF(DY64="ac"+ISNUMBER(SEARCH("'",ED64))+EC64="","",IF(ISNUMBER(SEARCH("lw",ED64)),DQ64+SUBSTITUTE(ED64,"lw+",""),MROUND(_xlfn.SWITCH(DY64,"sq",EC$7,"bn",ED$7,"dl",EE$7,"")*IF(ED64&gt;10,ED64/100,VLOOKUP(ED64,_rpe,SUBSTITUTE(EC64,"+","")+1,0)),IF(_xlfn.SWITCH(DY64,"sq",EC$7,"bn",ED$7,"dl",EE$7,"")&lt;IF(_uom="lbs",175,80),1.25,IF(_uom="lbs",5,2.5))))),"")</f>
        <v/>
      </c>
      <c s="70"/>
      <c s="63"/>
      <c s="97"/>
      <c s="44" t="str">
        <f>IFERROR(__xludf.DUMMYFUNCTION("IF(EE64=MAX(FILTER(EE$10:EE$199,LOOKUP(ROW(DY$10:DY$199),FILTER(ROW(DY$10:DY$199),DY$10:DY$199&lt;&gt;DY$9:DY$198))=LOOKUP(ROW(DY64),FILTER(ROW(DY$10:DY$199),DY$10:DY$199&lt;&gt;DY$9:DY$198)))),EF64,)"),"")</f>
        <v/>
      </c>
      <c s="42"/>
      <c s="63"/>
      <c s="64" t="str">
        <f t="shared" si="34"/>
        <v/>
      </c>
      <c s="65" t="str">
        <f>IFERROR(__xludf.DUMMYFUNCTION("""COMPUTED_VALUE"""),"")</f>
        <v/>
      </c>
      <c s="66">
        <f ca="1"/>
        <v>45278</v>
      </c>
      <c s="93" t="str">
        <f t="shared" si="48"/>
        <v/>
      </c>
      <c s="94" t="str">
        <f t="shared" si="311"/>
        <v/>
      </c>
      <c s="95" t="str">
        <f t="shared" si="361"/>
        <v/>
      </c>
      <c s="98" t="str">
        <f t="shared" si="313"/>
        <v/>
      </c>
      <c s="97" t="str">
        <f t="array" ref="ES64">IFERROR(IF(EM64="ac"+ISNUMBER(SEARCH("'",ER64))+EQ64="","",IF(ISNUMBER(SEARCH("lw",ER64)),EE64+SUBSTITUTE(ER64,"lw+",""),MROUND(_xlfn.SWITCH(EM64,"sq",EQ$7,"bn",ER$7,"dl",ES$7,"")*IF(ER64&gt;10,ER64/100,VLOOKUP(ER64,_rpe,SUBSTITUTE(EQ64,"+","")+1,0)),IF(_xlfn.SWITCH(EM64,"sq",EQ$7,"bn",ER$7,"dl",ES$7,"")&lt;IF(_uom="lbs",175,80),1.25,IF(_uom="lbs",5,2.5))))),"")</f>
        <v/>
      </c>
      <c s="70"/>
      <c s="63"/>
      <c s="97"/>
      <c s="44" t="str">
        <f>IFERROR(__xludf.DUMMYFUNCTION("IF(ES64=MAX(FILTER(ES$10:ES$199,LOOKUP(ROW(EM$10:EM$199),FILTER(ROW(EM$10:EM$199),EM$10:EM$199&lt;&gt;EM$9:EM$198))=LOOKUP(ROW(EM64),FILTER(ROW(EM$10:EM$199),EM$10:EM$199&lt;&gt;EM$9:EM$198)))),ET64,)"),"")</f>
        <v/>
      </c>
      <c s="42"/>
      <c s="63"/>
      <c s="64" t="str">
        <f t="shared" si="36"/>
        <v/>
      </c>
      <c s="65" t="str">
        <f>IFERROR(__xludf.DUMMYFUNCTION("""COMPUTED_VALUE"""),"")</f>
        <v/>
      </c>
      <c s="66">
        <f ca="1"/>
        <v>45285</v>
      </c>
      <c s="93" t="str">
        <f t="shared" si="49"/>
        <v/>
      </c>
      <c s="94" t="str">
        <f t="shared" si="314"/>
        <v/>
      </c>
      <c s="95" t="str">
        <f t="shared" si="362"/>
        <v/>
      </c>
      <c s="98" t="str">
        <f t="shared" si="316"/>
        <v/>
      </c>
      <c s="97" t="str">
        <f t="array" ref="FG64">IFERROR(IF(FA64="ac"+ISNUMBER(SEARCH("'",FF64))+FE64="","",IF(ISNUMBER(SEARCH("lw",FF64)),ES64+SUBSTITUTE(FF64,"lw+",""),MROUND(_xlfn.SWITCH(FA64,"sq",FE$7,"bn",FF$7,"dl",FG$7,"")*IF(FF64&gt;10,FF64/100,VLOOKUP(FF64,_rpe,SUBSTITUTE(FE64,"+","")+1,0)),IF(_xlfn.SWITCH(FA64,"sq",FE$7,"bn",FF$7,"dl",FG$7,"")&lt;IF(_uom="lbs",175,80),1.25,IF(_uom="lbs",5,2.5))))),"")</f>
        <v/>
      </c>
      <c s="70"/>
      <c s="63"/>
      <c s="97"/>
      <c s="44" t="str">
        <f>IFERROR(__xludf.DUMMYFUNCTION("IF(FG64=MAX(FILTER(FG$10:FG$199,LOOKUP(ROW(FA$10:FA$199),FILTER(ROW(FA$10:FA$199),FA$10:FA$199&lt;&gt;FA$9:FA$198))=LOOKUP(ROW(FA64),FILTER(ROW(FA$10:FA$199),FA$10:FA$199&lt;&gt;FA$9:FA$198)))),FH64,)"),"")</f>
        <v/>
      </c>
      <c s="42"/>
      <c s="63"/>
      <c s="64" t="str">
        <f t="shared" si="38"/>
        <v/>
      </c>
      <c s="65" t="str">
        <f>IFERROR(__xludf.DUMMYFUNCTION("""COMPUTED_VALUE"""),"")</f>
        <v/>
      </c>
      <c s="66">
        <f ca="1"/>
        <v>45292</v>
      </c>
      <c s="93"/>
      <c s="94"/>
      <c s="95"/>
      <c s="98"/>
      <c s="97" t="str">
        <f t="array" ref="FU64">IFERROR(IF(FO64="ac"+ISNUMBER(SEARCH("'",FT64))+FS64="","",IF(ISNUMBER(SEARCH("lw",FT64)),FG64+SUBSTITUTE(FT64,"lw+",""),MROUND(_xlfn.SWITCH(FO64,"sq",FS$7,"bn",FT$7,"dl",FU$7,"")*IF(FT64&gt;10,FT64/100,VLOOKUP(FT64,_rpe,SUBSTITUTE(FS64,"+","")+1,0)),IF(_xlfn.SWITCH(FO64,"sq",FS$7,"bn",FT$7,"dl",FU$7,"")&lt;IF(_uom="lbs",175,80),1.25,IF(_uom="lbs",5,2.5))))),"")</f>
        <v/>
      </c>
      <c s="70"/>
      <c s="63"/>
      <c s="97"/>
      <c s="44" t="str">
        <f>IFERROR(__xludf.DUMMYFUNCTION("IF(FU64=MAX(FILTER(FU$10:FU$199,LOOKUP(ROW(FO$10:FO$199),FILTER(ROW(FO$10:FO$199),FO$10:FO$199&lt;&gt;FO$9:FO$198))=LOOKUP(ROW(FO64),FILTER(ROW(FO$10:FO$199),FO$10:FO$199&lt;&gt;FO$9:FO$198)))),FV64,)"),"")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65" spans="1:259" ht="15.75" hidden="1" outlineLevel="1">
      <c r="A65" s="63"/>
      <c s="107"/>
      <c s="65" t="str">
        <f>IFERROR(__xludf.DUMMYFUNCTION("""COMPUTED_VALUE"""),"")</f>
        <v/>
      </c>
      <c s="66">
        <f ca="1"/>
        <v>45208</v>
      </c>
      <c s="108"/>
      <c s="94"/>
      <c s="95"/>
      <c s="96"/>
      <c s="97" t="str">
        <f t="array" ref="I65">IFERROR(IF(C65="ac"+ISNUMBER(SEARCH("'",H65))+G65="","",MROUND(_xlfn.SWITCH(C65,"sq",'Personal Info'!$O$15,"bn",'Personal Info'!$S$15,"dl",'Personal Info'!$W$15,"")*IF(H65&gt;10,H65/100,VLOOKUP(H65,_rpe,SUBSTITUTE(G65,"+","")+1,0)),IF(_xlfn.SWITCH(C65:C210,"sq",'Personal Info'!$O$15,"bn",'Personal Info'!$S$15,"dl",'Personal Info'!$W$15,"")&lt;IF(_uom="lbs",175,80),1.25,IF(_uom="lbs",5,2.5)))),"")</f>
        <v/>
      </c>
      <c s="70"/>
      <c s="63"/>
      <c s="97"/>
      <c s="44" t="str">
        <f>IFERROR(__xludf.DUMMYFUNCTION("IF(I65=MAX(FILTER(I$10:I$199,LOOKUP(ROW(C$10:C$199),FILTER(ROW(C$10:C$199),C$10:C$199&lt;&gt;C$9:C$198))=LOOKUP(ROW(C65),FILTER(ROW(C$10:C$199),C$10:C$199&lt;&gt;C$9:C$198)))),J65,)"),"")</f>
        <v/>
      </c>
      <c s="42"/>
      <c s="63"/>
      <c s="64" t="str">
        <f t="shared" si="11"/>
        <v/>
      </c>
      <c s="65" t="str">
        <f>IFERROR(__xludf.DUMMYFUNCTION("""COMPUTED_VALUE"""),"")</f>
        <v/>
      </c>
      <c s="66">
        <f ca="1"/>
        <v>45215</v>
      </c>
      <c s="93" t="str">
        <f t="shared" si="12"/>
        <v/>
      </c>
      <c s="94" t="str">
        <f t="shared" si="322"/>
        <v/>
      </c>
      <c s="95" t="str">
        <f t="shared" si="343"/>
        <v/>
      </c>
      <c s="98" t="str">
        <f t="shared" si="344"/>
        <v/>
      </c>
      <c s="97" t="str">
        <f t="array" ref="W65">IFERROR(IF(Q65="ac"+ISNUMBER(SEARCH("'",V65))+U65="","",IF(ISNUMBER(SEARCH("lw",V65)),I65+SUBSTITUTE(V65,"lw+",""),MROUND(_xlfn.SWITCH(Q65,"sq",U$7,"bn",V$7,"dl",W$7,"")*IF(V65&gt;10,V65/100,VLOOKUP(V65,_rpe,SUBSTITUTE(U65,"+","")+1,0)),IF(_xlfn.SWITCH(Q65,"sq",U$7,"bn",V$7,"dl",W$7,"")&lt;IF(_uom="lbs",175,80),1.25,IF(_uom="lbs",5,2.5))))),"")</f>
        <v/>
      </c>
      <c s="70"/>
      <c s="63"/>
      <c s="97"/>
      <c s="44" t="str">
        <f>IFERROR(__xludf.DUMMYFUNCTION("IF(W65=MAX(FILTER(W$10:W$199,LOOKUP(ROW(Q$10:Q$199),FILTER(ROW(Q$10:Q$199),Q$10:Q$199&lt;&gt;Q$9:Q$198))=LOOKUP(ROW(Q65),FILTER(ROW(Q$10:Q$199),Q$10:Q$199&lt;&gt;Q$9:Q$198)))),X65,)"),"")</f>
        <v/>
      </c>
      <c s="42"/>
      <c s="63"/>
      <c s="64" t="str">
        <f t="shared" si="14"/>
        <v/>
      </c>
      <c s="65" t="str">
        <f>IFERROR(__xludf.DUMMYFUNCTION("""COMPUTED_VALUE"""),"")</f>
        <v/>
      </c>
      <c s="66">
        <f ca="1"/>
        <v>45222</v>
      </c>
      <c s="93" t="str">
        <f t="shared" si="156"/>
        <v/>
      </c>
      <c s="94" t="str">
        <f t="shared" si="186"/>
        <v/>
      </c>
      <c s="95" t="str">
        <f t="shared" si="345"/>
        <v/>
      </c>
      <c s="98" t="str">
        <f t="shared" si="346"/>
        <v/>
      </c>
      <c s="97" t="str">
        <f t="array" ref="AK65">IFERROR(IF(AE65="ac"+ISNUMBER(SEARCH("'",AJ65))+AI65="","",IF(ISNUMBER(SEARCH("lw",AJ65)),W65+SUBSTITUTE(AJ65,"lw+",""),MROUND(_xlfn.SWITCH(AE65,"sq",AI$7,"bn",AJ$7,"dl",AK$7,"")*IF(AJ65&gt;10,AJ65/100,VLOOKUP(AJ65,_rpe,SUBSTITUTE(AI65,"+","")+1,0)),IF(_xlfn.SWITCH(AE65,"sq",AI$7,"bn",AJ$7,"dl",AK$7,"")&lt;IF(_uom="lbs",175,80),1.25,IF(_uom="lbs",5,2.5))))),"")</f>
        <v/>
      </c>
      <c s="70"/>
      <c s="63"/>
      <c s="97"/>
      <c s="44" t="str">
        <f>IFERROR(__xludf.DUMMYFUNCTION("IF(AK65=MAX(FILTER(AK$10:AK$199,LOOKUP(ROW(AE$10:AE$199),FILTER(ROW(AE$10:AE$199),AE$10:AE$199&lt;&gt;AE$9:AE$198))=LOOKUP(ROW(AE65),FILTER(ROW(AE$10:AE$199),AE$10:AE$199&lt;&gt;AE$9:AE$198)))),AL65,)"),"")</f>
        <v/>
      </c>
      <c s="42"/>
      <c s="63"/>
      <c s="64" t="str">
        <f t="shared" si="17"/>
        <v/>
      </c>
      <c s="65" t="str">
        <f>IFERROR(__xludf.DUMMYFUNCTION("""COMPUTED_VALUE"""),"")</f>
        <v/>
      </c>
      <c s="66">
        <f ca="1"/>
        <v>45229</v>
      </c>
      <c s="93" t="str">
        <f t="shared" si="157"/>
        <v/>
      </c>
      <c s="94" t="str">
        <f t="shared" si="188"/>
        <v/>
      </c>
      <c s="95" t="str">
        <f t="shared" si="347"/>
        <v/>
      </c>
      <c s="98" t="str">
        <f t="shared" si="294"/>
        <v/>
      </c>
      <c s="97" t="str">
        <f t="array" ref="AY65">IFERROR(IF(AS65="ac"+ISNUMBER(SEARCH("'",AX65))+AW65="","",IF(ISNUMBER(SEARCH("lw",AX65)),AK65+SUBSTITUTE(AX65,"lw+",""),MROUND(_xlfn.SWITCH(AS65,"sq",AW$7,"bn",AX$7,"dl",AY$7,"")*IF(AX65&gt;10,AX65/100,VLOOKUP(AX65,_rpe,SUBSTITUTE(AW65,"+","")+1,0)),IF(_xlfn.SWITCH(AS65,"sq",AW$7,"bn",AX$7,"dl",AY$7,"")&lt;IF(_uom="lbs",175,80),1.25,IF(_uom="lbs",5,2.5))))),"")</f>
        <v/>
      </c>
      <c s="70"/>
      <c s="63"/>
      <c s="97"/>
      <c s="44" t="str">
        <f>IFERROR(__xludf.DUMMYFUNCTION("IF(AY65=MAX(FILTER(AY$10:AY$199,LOOKUP(ROW(AS$10:AS$199),FILTER(ROW(AS$10:AS$199),AS$10:AS$199&lt;&gt;AS$9:AS$198))=LOOKUP(ROW(AS65),FILTER(ROW(AS$10:AS$199),AS$10:AS$199&lt;&gt;AS$9:AS$198)))),AZ65,)"),"")</f>
        <v/>
      </c>
      <c s="42"/>
      <c s="63"/>
      <c s="64" t="str">
        <f t="shared" si="19"/>
        <v/>
      </c>
      <c s="65" t="str">
        <f>IFERROR(__xludf.DUMMYFUNCTION("""COMPUTED_VALUE"""),"")</f>
        <v/>
      </c>
      <c s="66">
        <f ca="1"/>
        <v>45236</v>
      </c>
      <c s="93" t="str">
        <f t="shared" si="20"/>
        <v/>
      </c>
      <c s="94" t="str">
        <f t="shared" si="348"/>
        <v/>
      </c>
      <c s="95" t="str">
        <f t="shared" si="349"/>
        <v/>
      </c>
      <c s="98" t="str">
        <f t="shared" si="350"/>
        <v/>
      </c>
      <c s="97" t="str">
        <f t="array" ref="BM65">IFERROR(IF(BG65="ac"+ISNUMBER(SEARCH("'",BL65))+BK65="","",IF(ISNUMBER(SEARCH("lw",BL65)),AY65+SUBSTITUTE(BL65,"lw+",""),MROUND(_xlfn.SWITCH(BG65,"sq",BK$7,"bn",BL$7,"dl",BM$7,"")*IF(BL65&gt;10,BL65/100,VLOOKUP(BL65,_rpe,SUBSTITUTE(BK65,"+","")+1,0)),IF(_xlfn.SWITCH(BG65,"sq",BK$7,"bn",BL$7,"dl",BM$7,"")&lt;IF(_uom="lbs",175,80),1.25,IF(_uom="lbs",5,2.5))))),"")</f>
        <v/>
      </c>
      <c s="70"/>
      <c s="63"/>
      <c s="97"/>
      <c s="44" t="str">
        <f>IFERROR(__xludf.DUMMYFUNCTION("IF(BM65=MAX(FILTER(BM$10:BM$199,LOOKUP(ROW(BG$10:BG$199),FILTER(ROW(BG$10:BG$199),BG$10:BG$199&lt;&gt;BG$9:BG$198))=LOOKUP(ROW(BG65),FILTER(ROW(BG$10:BG$199),BG$10:BG$199&lt;&gt;BG$9:BG$198)))),BN65,)"),"")</f>
        <v/>
      </c>
      <c s="42"/>
      <c s="63"/>
      <c s="64" t="str">
        <f t="shared" si="21"/>
        <v/>
      </c>
      <c s="65" t="str">
        <f>IFERROR(__xludf.DUMMYFUNCTION("""COMPUTED_VALUE"""),"")</f>
        <v/>
      </c>
      <c s="66">
        <f ca="1"/>
        <v>45243</v>
      </c>
      <c s="93" t="str">
        <f t="shared" si="22"/>
        <v/>
      </c>
      <c s="94" t="str">
        <f t="shared" si="351"/>
        <v/>
      </c>
      <c s="95" t="str">
        <f t="shared" si="352"/>
        <v/>
      </c>
      <c s="98" t="str">
        <f t="shared" si="353"/>
        <v/>
      </c>
      <c s="97" t="str">
        <f t="array" ref="CA65">IFERROR(IF(BU65="ac"+ISNUMBER(SEARCH("'",BZ65))+BY65="","",IF(ISNUMBER(SEARCH("lw",BZ65)),BM65+SUBSTITUTE(BZ65,"lw+",""),MROUND(_xlfn.SWITCH(BU65,"sq",BY$7,"bn",BZ$7,"dl",CA$7,"")*IF(BZ65&gt;10,BZ65/100,VLOOKUP(BZ65,_rpe,SUBSTITUTE(BY65,"+","")+1,0)),IF(_xlfn.SWITCH(BU65,"sq",BY$7,"bn",BZ$7,"dl",CA$7,"")&lt;IF(_uom="lbs",175,80),1.25,IF(_uom="lbs",5,2.5))))),"")</f>
        <v/>
      </c>
      <c s="70"/>
      <c s="63"/>
      <c s="97"/>
      <c s="44" t="str">
        <f>IFERROR(__xludf.DUMMYFUNCTION("IF(CA65=MAX(FILTER(CA$10:CA$199,LOOKUP(ROW(BU$10:BU$199),FILTER(ROW(BU$10:BU$199),BU$10:BU$199&lt;&gt;BU$9:BU$198))=LOOKUP(ROW(BU65),FILTER(ROW(BU$10:BU$199),BU$10:BU$199&lt;&gt;BU$9:BU$198)))),CB65,)"),"")</f>
        <v/>
      </c>
      <c s="42"/>
      <c s="63"/>
      <c s="64" t="str">
        <f t="shared" si="24"/>
        <v/>
      </c>
      <c s="65" t="str">
        <f>IFERROR(__xludf.DUMMYFUNCTION("""COMPUTED_VALUE"""),"")</f>
        <v/>
      </c>
      <c s="66">
        <f ca="1"/>
        <v>45250</v>
      </c>
      <c s="93" t="str">
        <f t="shared" si="44"/>
        <v/>
      </c>
      <c s="94" t="str">
        <f t="shared" si="300"/>
        <v/>
      </c>
      <c s="95" t="str">
        <f t="shared" si="354"/>
        <v/>
      </c>
      <c s="98" t="str">
        <f t="shared" si="355"/>
        <v/>
      </c>
      <c s="97" t="str">
        <f t="array" ref="CO65">IFERROR(IF(CI65="ac"+ISNUMBER(SEARCH("'",CN65))+CM65="","",IF(ISNUMBER(SEARCH("lw",CN65)),CA65+SUBSTITUTE(CN65,"lw+",""),MROUND(_xlfn.SWITCH(CI65,"sq",CM$7,"bn",CN$7,"dl",CO$7,"")*IF(CN65&gt;10,CN65/100,VLOOKUP(CN65,_rpe,SUBSTITUTE(CM65,"+","")+1,0)),IF(_xlfn.SWITCH(CI65,"sq",CM$7,"bn",CN$7,"dl",CO$7,"")&lt;IF(_uom="lbs",175,80),1.25,IF(_uom="lbs",5,2.5))))),"")</f>
        <v/>
      </c>
      <c s="70"/>
      <c s="63"/>
      <c s="97"/>
      <c s="44" t="str">
        <f>IFERROR(__xludf.DUMMYFUNCTION("IF(CO65=MAX(FILTER(CO$10:CO$199,LOOKUP(ROW(CI$10:CI$199),FILTER(ROW(CI$10:CI$199),CI$10:CI$199&lt;&gt;CI$9:CI$198))=LOOKUP(ROW(CI65),FILTER(ROW(CI$10:CI$199),CI$10:CI$199&lt;&gt;CI$9:CI$198)))),CP65,)"),"")</f>
        <v/>
      </c>
      <c s="42"/>
      <c s="63"/>
      <c s="64" t="str">
        <f t="shared" si="27"/>
        <v/>
      </c>
      <c s="65" t="str">
        <f>IFERROR(__xludf.DUMMYFUNCTION("""COMPUTED_VALUE"""),"")</f>
        <v/>
      </c>
      <c s="66">
        <f ca="1"/>
        <v>45257</v>
      </c>
      <c s="93" t="str">
        <f t="shared" si="45"/>
        <v/>
      </c>
      <c s="94" t="str">
        <f t="shared" si="302"/>
        <v/>
      </c>
      <c s="95" t="str">
        <f t="shared" si="356"/>
        <v/>
      </c>
      <c s="98" t="str">
        <f t="shared" si="304"/>
        <v/>
      </c>
      <c s="97" t="str">
        <f t="array" ref="DC65">IFERROR(IF(CW65="ac"+ISNUMBER(SEARCH("'",DB65))+DA65="","",IF(ISNUMBER(SEARCH("lw",DB65)),CO65+SUBSTITUTE(DB65,"lw+",""),MROUND(_xlfn.SWITCH(CW65,"sq",DA$7,"bn",DB$7,"dl",DC$7,"")*IF(DB65&gt;10,DB65/100,VLOOKUP(DB65,_rpe,SUBSTITUTE(DA65,"+","")+1,0)),IF(_xlfn.SWITCH(CW65,"sq",DA$7,"bn",DB$7,"dl",DC$7,"")&lt;IF(_uom="lbs",175,80),1.25,IF(_uom="lbs",5,2.5))))),"")</f>
        <v/>
      </c>
      <c s="70"/>
      <c s="63"/>
      <c s="97"/>
      <c s="44" t="str">
        <f>IFERROR(__xludf.DUMMYFUNCTION("IF(DC65=MAX(FILTER(DC$10:DC$199,LOOKUP(ROW(CW$10:CW$199),FILTER(ROW(CW$10:CW$199),CW$10:CW$199&lt;&gt;CW$9:CW$198))=LOOKUP(ROW(CW65),FILTER(ROW(CW$10:CW$199),CW$10:CW$199&lt;&gt;CW$9:CW$198)))),DD65,)"),"")</f>
        <v/>
      </c>
      <c s="42"/>
      <c s="63"/>
      <c s="64" t="str">
        <f t="shared" si="30"/>
        <v/>
      </c>
      <c s="65" t="str">
        <f>IFERROR(__xludf.DUMMYFUNCTION("""COMPUTED_VALUE"""),"")</f>
        <v/>
      </c>
      <c s="66">
        <f ca="1"/>
        <v>45264</v>
      </c>
      <c s="93" t="str">
        <f t="shared" si="46"/>
        <v/>
      </c>
      <c s="94" t="str">
        <f t="shared" si="305"/>
        <v/>
      </c>
      <c s="95" t="str">
        <f t="shared" si="357"/>
        <v/>
      </c>
      <c s="98" t="str">
        <f t="shared" si="358"/>
        <v/>
      </c>
      <c s="97" t="str">
        <f t="array" ref="DQ65">IFERROR(IF(DK65="ac"+ISNUMBER(SEARCH("'",DP65))+DO65="","",IF(ISNUMBER(SEARCH("lw",DP65)),DC65+SUBSTITUTE(DP65,"lw+",""),MROUND(_xlfn.SWITCH(DK65,"sq",DO$7,"bn",DP$7,"dl",DQ$7,"")*IF(DP65&gt;10,DP65/100,VLOOKUP(DP65,_rpe,SUBSTITUTE(DO65,"+","")+1,0)),IF(_xlfn.SWITCH(DK65,"sq",DO$7,"bn",DP$7,"dl",DQ$7,"")&lt;IF(_uom="lbs",175,80),1.25,IF(_uom="lbs",5,2.5))))),"")</f>
        <v/>
      </c>
      <c s="70"/>
      <c s="63"/>
      <c s="97"/>
      <c s="44" t="str">
        <f>IFERROR(__xludf.DUMMYFUNCTION("IF(DQ65=MAX(FILTER(DQ$10:DQ$199,LOOKUP(ROW(DK$10:DK$199),FILTER(ROW(DK$10:DK$199),DK$10:DK$199&lt;&gt;DK$9:DK$198))=LOOKUP(ROW(DK65),FILTER(ROW(DK$10:DK$199),DK$10:DK$199&lt;&gt;DK$9:DK$198)))),DR65,)"),"")</f>
        <v/>
      </c>
      <c s="42"/>
      <c s="63"/>
      <c s="64" t="str">
        <f t="shared" si="32"/>
        <v/>
      </c>
      <c s="65" t="str">
        <f>IFERROR(__xludf.DUMMYFUNCTION("""COMPUTED_VALUE"""),"")</f>
        <v/>
      </c>
      <c s="66">
        <f ca="1"/>
        <v>45271</v>
      </c>
      <c s="93" t="str">
        <f t="shared" si="47"/>
        <v/>
      </c>
      <c s="94" t="str">
        <f t="shared" si="308"/>
        <v/>
      </c>
      <c s="95" t="str">
        <f t="shared" si="359"/>
        <v/>
      </c>
      <c s="98" t="str">
        <f t="shared" si="360"/>
        <v/>
      </c>
      <c s="97" t="str">
        <f t="array" ref="EE65">IFERROR(IF(DY65="ac"+ISNUMBER(SEARCH("'",ED65))+EC65="","",IF(ISNUMBER(SEARCH("lw",ED65)),DQ65+SUBSTITUTE(ED65,"lw+",""),MROUND(_xlfn.SWITCH(DY65,"sq",EC$7,"bn",ED$7,"dl",EE$7,"")*IF(ED65&gt;10,ED65/100,VLOOKUP(ED65,_rpe,SUBSTITUTE(EC65,"+","")+1,0)),IF(_xlfn.SWITCH(DY65,"sq",EC$7,"bn",ED$7,"dl",EE$7,"")&lt;IF(_uom="lbs",175,80),1.25,IF(_uom="lbs",5,2.5))))),"")</f>
        <v/>
      </c>
      <c s="70"/>
      <c s="63"/>
      <c s="97"/>
      <c s="44" t="str">
        <f>IFERROR(__xludf.DUMMYFUNCTION("IF(EE65=MAX(FILTER(EE$10:EE$199,LOOKUP(ROW(DY$10:DY$199),FILTER(ROW(DY$10:DY$199),DY$10:DY$199&lt;&gt;DY$9:DY$198))=LOOKUP(ROW(DY65),FILTER(ROW(DY$10:DY$199),DY$10:DY$199&lt;&gt;DY$9:DY$198)))),EF65,)"),"")</f>
        <v/>
      </c>
      <c s="42"/>
      <c s="63"/>
      <c s="64" t="str">
        <f t="shared" si="34"/>
        <v/>
      </c>
      <c s="65" t="str">
        <f>IFERROR(__xludf.DUMMYFUNCTION("""COMPUTED_VALUE"""),"")</f>
        <v/>
      </c>
      <c s="66">
        <f ca="1"/>
        <v>45278</v>
      </c>
      <c s="93" t="str">
        <f t="shared" si="48"/>
        <v/>
      </c>
      <c s="94" t="str">
        <f t="shared" si="311"/>
        <v/>
      </c>
      <c s="95" t="str">
        <f t="shared" si="361"/>
        <v/>
      </c>
      <c s="98" t="str">
        <f t="shared" si="313"/>
        <v/>
      </c>
      <c s="97" t="str">
        <f t="array" ref="ES65">IFERROR(IF(EM65="ac"+ISNUMBER(SEARCH("'",ER65))+EQ65="","",IF(ISNUMBER(SEARCH("lw",ER65)),EE65+SUBSTITUTE(ER65,"lw+",""),MROUND(_xlfn.SWITCH(EM65,"sq",EQ$7,"bn",ER$7,"dl",ES$7,"")*IF(ER65&gt;10,ER65/100,VLOOKUP(ER65,_rpe,SUBSTITUTE(EQ65,"+","")+1,0)),IF(_xlfn.SWITCH(EM65,"sq",EQ$7,"bn",ER$7,"dl",ES$7,"")&lt;IF(_uom="lbs",175,80),1.25,IF(_uom="lbs",5,2.5))))),"")</f>
        <v/>
      </c>
      <c s="70"/>
      <c s="63"/>
      <c s="97"/>
      <c s="44" t="str">
        <f>IFERROR(__xludf.DUMMYFUNCTION("IF(ES65=MAX(FILTER(ES$10:ES$199,LOOKUP(ROW(EM$10:EM$199),FILTER(ROW(EM$10:EM$199),EM$10:EM$199&lt;&gt;EM$9:EM$198))=LOOKUP(ROW(EM65),FILTER(ROW(EM$10:EM$199),EM$10:EM$199&lt;&gt;EM$9:EM$198)))),ET65,)"),"")</f>
        <v/>
      </c>
      <c s="42"/>
      <c s="63"/>
      <c s="64" t="str">
        <f t="shared" si="36"/>
        <v/>
      </c>
      <c s="65" t="str">
        <f>IFERROR(__xludf.DUMMYFUNCTION("""COMPUTED_VALUE"""),"")</f>
        <v/>
      </c>
      <c s="66">
        <f ca="1"/>
        <v>45285</v>
      </c>
      <c s="93" t="str">
        <f t="shared" si="49"/>
        <v/>
      </c>
      <c s="94" t="str">
        <f t="shared" si="314"/>
        <v/>
      </c>
      <c s="95" t="str">
        <f t="shared" si="362"/>
        <v/>
      </c>
      <c s="98" t="str">
        <f t="shared" si="316"/>
        <v/>
      </c>
      <c s="97" t="str">
        <f t="array" ref="FG65">IFERROR(IF(FA65="ac"+ISNUMBER(SEARCH("'",FF65))+FE65="","",IF(ISNUMBER(SEARCH("lw",FF65)),ES65+SUBSTITUTE(FF65,"lw+",""),MROUND(_xlfn.SWITCH(FA65,"sq",FE$7,"bn",FF$7,"dl",FG$7,"")*IF(FF65&gt;10,FF65/100,VLOOKUP(FF65,_rpe,SUBSTITUTE(FE65,"+","")+1,0)),IF(_xlfn.SWITCH(FA65,"sq",FE$7,"bn",FF$7,"dl",FG$7,"")&lt;IF(_uom="lbs",175,80),1.25,IF(_uom="lbs",5,2.5))))),"")</f>
        <v/>
      </c>
      <c s="70"/>
      <c s="63"/>
      <c s="97"/>
      <c s="44" t="str">
        <f>IFERROR(__xludf.DUMMYFUNCTION("IF(FG65=MAX(FILTER(FG$10:FG$199,LOOKUP(ROW(FA$10:FA$199),FILTER(ROW(FA$10:FA$199),FA$10:FA$199&lt;&gt;FA$9:FA$198))=LOOKUP(ROW(FA65),FILTER(ROW(FA$10:FA$199),FA$10:FA$199&lt;&gt;FA$9:FA$198)))),FH65,)"),"")</f>
        <v/>
      </c>
      <c s="42"/>
      <c s="63"/>
      <c s="64" t="str">
        <f t="shared" si="38"/>
        <v/>
      </c>
      <c s="65" t="str">
        <f>IFERROR(__xludf.DUMMYFUNCTION("""COMPUTED_VALUE"""),"")</f>
        <v/>
      </c>
      <c s="66">
        <f ca="1"/>
        <v>45292</v>
      </c>
      <c s="93"/>
      <c s="94"/>
      <c s="95"/>
      <c s="98"/>
      <c s="97" t="str">
        <f t="array" ref="FU65">IFERROR(IF(FO65="ac"+ISNUMBER(SEARCH("'",FT65))+FS65="","",IF(ISNUMBER(SEARCH("lw",FT65)),FG65+SUBSTITUTE(FT65,"lw+",""),MROUND(_xlfn.SWITCH(FO65,"sq",FS$7,"bn",FT$7,"dl",FU$7,"")*IF(FT65&gt;10,FT65/100,VLOOKUP(FT65,_rpe,SUBSTITUTE(FS65,"+","")+1,0)),IF(_xlfn.SWITCH(FO65,"sq",FS$7,"bn",FT$7,"dl",FU$7,"")&lt;IF(_uom="lbs",175,80),1.25,IF(_uom="lbs",5,2.5))))),"")</f>
        <v/>
      </c>
      <c s="70"/>
      <c s="63"/>
      <c s="97"/>
      <c s="44" t="str">
        <f>IFERROR(__xludf.DUMMYFUNCTION("IF(FU65=MAX(FILTER(FU$10:FU$199,LOOKUP(ROW(FO$10:FO$199),FILTER(ROW(FO$10:FO$199),FO$10:FO$199&lt;&gt;FO$9:FO$198))=LOOKUP(ROW(FO65),FILTER(ROW(FO$10:FO$199),FO$10:FO$199&lt;&gt;FO$9:FO$198)))),FV65,)"),"")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66" spans="1:259" ht="15.75">
      <c r="A66" s="63"/>
      <c s="64" t="s">
        <v>170</v>
      </c>
      <c s="65" t="str">
        <f>IFERROR(__xludf.DUMMYFUNCTION("""COMPUTED_VALUE"""),"ac")</f>
        <v>ac</v>
      </c>
      <c s="66">
        <f ca="1"/>
        <v>45208</v>
      </c>
      <c s="93" t="s">
        <v>171</v>
      </c>
      <c s="94">
        <v>3</v>
      </c>
      <c s="95">
        <v>15</v>
      </c>
      <c s="106" t="s">
        <v>143</v>
      </c>
      <c s="97" t="str">
        <f t="array" ref="I66">IFERROR(IF(C66="ac"+ISNUMBER(SEARCH("'",H66))+G66="","",MROUND(_xlfn.SWITCH(C66,"sq",'Personal Info'!$O$15,"bn",'Personal Info'!$S$15,"dl",'Personal Info'!$W$15,"")*IF(H66&gt;10,H66/100,VLOOKUP(H66,_rpe,SUBSTITUTE(G66,"+","")+1,0)),IF(_xlfn.SWITCH(C66:C210,"sq",'Personal Info'!$O$15,"bn",'Personal Info'!$S$15,"dl",'Personal Info'!$W$15,"")&lt;IF(_uom="lbs",175,80),1.25,IF(_uom="lbs",5,2.5)))),"")</f>
        <v/>
      </c>
      <c s="70"/>
      <c s="63"/>
      <c s="97"/>
      <c s="44" t="str">
        <f>IFERROR(__xludf.DUMMYFUNCTION("IF(I66=MAX(FILTER(I$10:I$199,LOOKUP(ROW(C$10:C$199),FILTER(ROW(C$10:C$199),C$10:C$199&lt;&gt;C$9:C$198))=LOOKUP(ROW(C66),FILTER(ROW(C$10:C$199),C$10:C$199&lt;&gt;C$9:C$198)))),J66,)"),"")</f>
        <v/>
      </c>
      <c s="42"/>
      <c s="63"/>
      <c s="64" t="str">
        <f t="shared" si="11"/>
        <v>triceps</v>
      </c>
      <c s="65" t="str">
        <f>IFERROR(__xludf.DUMMYFUNCTION("""COMPUTED_VALUE"""),"ac")</f>
        <v>ac</v>
      </c>
      <c s="66">
        <f ca="1"/>
        <v>45215</v>
      </c>
      <c s="93" t="str">
        <f t="shared" si="12"/>
        <v>Tricep Pushdown</v>
      </c>
      <c s="94">
        <f>IF(OR(gen="SELECT",gen="MALE"),3,4)</f>
        <v>3</v>
      </c>
      <c s="95">
        <v>14</v>
      </c>
      <c s="106" t="s">
        <v>184</v>
      </c>
      <c s="97" t="str">
        <f t="array" ref="W66">IFERROR(IF(Q66="ac"+ISNUMBER(SEARCH("'",V66))+U66="","",IF(ISNUMBER(SEARCH("lw",V66)),I66+SUBSTITUTE(V66,"lw+",""),MROUND(_xlfn.SWITCH(Q66,"sq",U$7,"bn",V$7,"dl",W$7,"")*IF(V66&gt;10,V66/100,VLOOKUP(V66,_rpe,SUBSTITUTE(U66,"+","")+1,0)),IF(_xlfn.SWITCH(Q66,"sq",U$7,"bn",V$7,"dl",W$7,"")&lt;IF(_uom="lbs",175,80),1.25,IF(_uom="lbs",5,2.5))))),"")</f>
        <v/>
      </c>
      <c s="70"/>
      <c s="63"/>
      <c s="97"/>
      <c s="44" t="str">
        <f>IFERROR(__xludf.DUMMYFUNCTION("IF(W66=MAX(FILTER(W$10:W$199,LOOKUP(ROW(Q$10:Q$199),FILTER(ROW(Q$10:Q$199),Q$10:Q$199&lt;&gt;Q$9:Q$198))=LOOKUP(ROW(Q66),FILTER(ROW(Q$10:Q$199),Q$10:Q$199&lt;&gt;Q$9:Q$198)))),X66,)"),"")</f>
        <v/>
      </c>
      <c s="42"/>
      <c s="63"/>
      <c s="64" t="str">
        <f t="shared" si="14"/>
        <v>triceps</v>
      </c>
      <c s="65" t="str">
        <f>IFERROR(__xludf.DUMMYFUNCTION("""COMPUTED_VALUE"""),"ac")</f>
        <v>ac</v>
      </c>
      <c s="66">
        <f ca="1"/>
        <v>45222</v>
      </c>
      <c s="93" t="str">
        <f t="shared" si="156"/>
        <v>Tricep Pushdown</v>
      </c>
      <c s="94">
        <f t="shared" si="186"/>
        <v>3</v>
      </c>
      <c s="95">
        <v>13</v>
      </c>
      <c s="106" t="s">
        <v>141</v>
      </c>
      <c s="97" t="str">
        <f t="array" ref="AK66">IFERROR(IF(AE66="ac"+ISNUMBER(SEARCH("'",AJ66))+AI66="","",IF(ISNUMBER(SEARCH("lw",AJ66)),W66+SUBSTITUTE(AJ66,"lw+",""),MROUND(_xlfn.SWITCH(AE66,"sq",AI$7,"bn",AJ$7,"dl",AK$7,"")*IF(AJ66&gt;10,AJ66/100,VLOOKUP(AJ66,_rpe,SUBSTITUTE(AI66,"+","")+1,0)),IF(_xlfn.SWITCH(AE66,"sq",AI$7,"bn",AJ$7,"dl",AK$7,"")&lt;IF(_uom="lbs",175,80),1.25,IF(_uom="lbs",5,2.5))))),"")</f>
        <v/>
      </c>
      <c s="70"/>
      <c s="63"/>
      <c s="97"/>
      <c s="44" t="str">
        <f>IFERROR(__xludf.DUMMYFUNCTION("IF(AK66=MAX(FILTER(AK$10:AK$199,LOOKUP(ROW(AE$10:AE$199),FILTER(ROW(AE$10:AE$199),AE$10:AE$199&lt;&gt;AE$9:AE$198))=LOOKUP(ROW(AE66),FILTER(ROW(AE$10:AE$199),AE$10:AE$199&lt;&gt;AE$9:AE$198)))),AL66,)"),"")</f>
        <v/>
      </c>
      <c s="42"/>
      <c s="63"/>
      <c s="64" t="str">
        <f t="shared" si="17"/>
        <v>triceps</v>
      </c>
      <c s="65" t="str">
        <f>IFERROR(__xludf.DUMMYFUNCTION("""COMPUTED_VALUE"""),"ac")</f>
        <v>ac</v>
      </c>
      <c s="66">
        <f ca="1"/>
        <v>45229</v>
      </c>
      <c s="93" t="str">
        <f t="shared" si="157"/>
        <v>Tricep Pushdown</v>
      </c>
      <c s="94">
        <f t="shared" si="188"/>
        <v>3</v>
      </c>
      <c s="95">
        <v>12</v>
      </c>
      <c s="98" t="str">
        <f t="shared" si="294"/>
        <v>@8-9</v>
      </c>
      <c s="97" t="str">
        <f t="array" ref="AY66">IFERROR(IF(AS66="ac"+ISNUMBER(SEARCH("'",AX66))+AW66="","",IF(ISNUMBER(SEARCH("lw",AX66)),AK66+SUBSTITUTE(AX66,"lw+",""),MROUND(_xlfn.SWITCH(AS66,"sq",AW$7,"bn",AX$7,"dl",AY$7,"")*IF(AX66&gt;10,AX66/100,VLOOKUP(AX66,_rpe,SUBSTITUTE(AW66,"+","")+1,0)),IF(_xlfn.SWITCH(AS66,"sq",AW$7,"bn",AX$7,"dl",AY$7,"")&lt;IF(_uom="lbs",175,80),1.25,IF(_uom="lbs",5,2.5))))),"")</f>
        <v/>
      </c>
      <c s="70"/>
      <c s="63"/>
      <c s="97"/>
      <c s="44" t="str">
        <f>IFERROR(__xludf.DUMMYFUNCTION("IF(AY66=MAX(FILTER(AY$10:AY$199,LOOKUP(ROW(AS$10:AS$199),FILTER(ROW(AS$10:AS$199),AS$10:AS$199&lt;&gt;AS$9:AS$198))=LOOKUP(ROW(AS66),FILTER(ROW(AS$10:AS$199),AS$10:AS$199&lt;&gt;AS$9:AS$198)))),AZ66,)"),"")</f>
        <v/>
      </c>
      <c s="42"/>
      <c s="63"/>
      <c s="64" t="str">
        <f t="shared" si="19"/>
        <v>triceps</v>
      </c>
      <c s="65" t="str">
        <f>IFERROR(__xludf.DUMMYFUNCTION("""COMPUTED_VALUE"""),"ac")</f>
        <v>ac</v>
      </c>
      <c s="66">
        <f ca="1"/>
        <v>45236</v>
      </c>
      <c s="93" t="str">
        <f t="shared" si="20"/>
        <v>Tricep Pushdown</v>
      </c>
      <c s="94">
        <v>2</v>
      </c>
      <c s="95">
        <v>15</v>
      </c>
      <c s="106" t="s">
        <v>142</v>
      </c>
      <c s="97" t="str">
        <f t="array" ref="BM66">IFERROR(IF(BG66="ac"+ISNUMBER(SEARCH("'",BL66))+BK66="","",IF(ISNUMBER(SEARCH("lw",BL66)),AY66+SUBSTITUTE(BL66,"lw+",""),MROUND(_xlfn.SWITCH(BG66,"sq",BK$7,"bn",BL$7,"dl",BM$7,"")*IF(BL66&gt;10,BL66/100,VLOOKUP(BL66,_rpe,SUBSTITUTE(BK66,"+","")+1,0)),IF(_xlfn.SWITCH(BG66,"sq",BK$7,"bn",BL$7,"dl",BM$7,"")&lt;IF(_uom="lbs",175,80),1.25,IF(_uom="lbs",5,2.5))))),"")</f>
        <v/>
      </c>
      <c s="70"/>
      <c s="63"/>
      <c s="97"/>
      <c s="44" t="str">
        <f>IFERROR(__xludf.DUMMYFUNCTION("IF(BM66=MAX(FILTER(BM$10:BM$199,LOOKUP(ROW(BG$10:BG$199),FILTER(ROW(BG$10:BG$199),BG$10:BG$199&lt;&gt;BG$9:BG$198))=LOOKUP(ROW(BG66),FILTER(ROW(BG$10:BG$199),BG$10:BG$199&lt;&gt;BG$9:BG$198)))),BN66,)"),"")</f>
        <v/>
      </c>
      <c s="42"/>
      <c s="63"/>
      <c s="64" t="str">
        <f t="shared" si="21"/>
        <v>triceps</v>
      </c>
      <c s="65" t="str">
        <f>IFERROR(__xludf.DUMMYFUNCTION("""COMPUTED_VALUE"""),"ac")</f>
        <v>ac</v>
      </c>
      <c s="66">
        <f ca="1"/>
        <v>45243</v>
      </c>
      <c s="93" t="str">
        <f t="shared" si="22"/>
        <v>Tricep Pushdown</v>
      </c>
      <c s="94">
        <v>3</v>
      </c>
      <c s="95">
        <v>14</v>
      </c>
      <c s="106" t="s">
        <v>140</v>
      </c>
      <c s="97" t="str">
        <f t="array" ref="CA66">IFERROR(IF(BU66="ac"+ISNUMBER(SEARCH("'",BZ66))+BY66="","",IF(ISNUMBER(SEARCH("lw",BZ66)),BM66+SUBSTITUTE(BZ66,"lw+",""),MROUND(_xlfn.SWITCH(BU66,"sq",BY$7,"bn",BZ$7,"dl",CA$7,"")*IF(BZ66&gt;10,BZ66/100,VLOOKUP(BZ66,_rpe,SUBSTITUTE(BY66,"+","")+1,0)),IF(_xlfn.SWITCH(BU66,"sq",BY$7,"bn",BZ$7,"dl",CA$7,"")&lt;IF(_uom="lbs",175,80),1.25,IF(_uom="lbs",5,2.5))))),"")</f>
        <v/>
      </c>
      <c s="70"/>
      <c s="63"/>
      <c s="97"/>
      <c s="44" t="str">
        <f>IFERROR(__xludf.DUMMYFUNCTION("IF(CA66=MAX(FILTER(CA$10:CA$199,LOOKUP(ROW(BU$10:BU$199),FILTER(ROW(BU$10:BU$199),BU$10:BU$199&lt;&gt;BU$9:BU$198))=LOOKUP(ROW(BU66),FILTER(ROW(BU$10:BU$199),BU$10:BU$199&lt;&gt;BU$9:BU$198)))),CB66,)"),"")</f>
        <v/>
      </c>
      <c s="42"/>
      <c s="63"/>
      <c s="64" t="str">
        <f t="shared" si="24"/>
        <v>triceps</v>
      </c>
      <c s="65" t="str">
        <f>IFERROR(__xludf.DUMMYFUNCTION("""COMPUTED_VALUE"""),"ac")</f>
        <v>ac</v>
      </c>
      <c s="66">
        <f ca="1"/>
        <v>45250</v>
      </c>
      <c s="93" t="str">
        <f t="shared" si="44"/>
        <v>Tricep Pushdown</v>
      </c>
      <c s="94">
        <f t="shared" si="300"/>
        <v>3</v>
      </c>
      <c s="95">
        <v>13</v>
      </c>
      <c s="106" t="s">
        <v>141</v>
      </c>
      <c s="97" t="str">
        <f t="array" ref="CO66">IFERROR(IF(CI66="ac"+ISNUMBER(SEARCH("'",CN66))+CM66="","",IF(ISNUMBER(SEARCH("lw",CN66)),CA66+SUBSTITUTE(CN66,"lw+",""),MROUND(_xlfn.SWITCH(CI66,"sq",CM$7,"bn",CN$7,"dl",CO$7,"")*IF(CN66&gt;10,CN66/100,VLOOKUP(CN66,_rpe,SUBSTITUTE(CM66,"+","")+1,0)),IF(_xlfn.SWITCH(CI66,"sq",CM$7,"bn",CN$7,"dl",CO$7,"")&lt;IF(_uom="lbs",175,80),1.25,IF(_uom="lbs",5,2.5))))),"")</f>
        <v/>
      </c>
      <c s="70"/>
      <c s="63"/>
      <c s="97"/>
      <c s="44" t="str">
        <f>IFERROR(__xludf.DUMMYFUNCTION("IF(CO66=MAX(FILTER(CO$10:CO$199,LOOKUP(ROW(CI$10:CI$199),FILTER(ROW(CI$10:CI$199),CI$10:CI$199&lt;&gt;CI$9:CI$198))=LOOKUP(ROW(CI66),FILTER(ROW(CI$10:CI$199),CI$10:CI$199&lt;&gt;CI$9:CI$198)))),CP66,)"),"")</f>
        <v/>
      </c>
      <c s="42"/>
      <c s="63"/>
      <c s="64" t="str">
        <f t="shared" si="27"/>
        <v>triceps</v>
      </c>
      <c s="65" t="str">
        <f>IFERROR(__xludf.DUMMYFUNCTION("""COMPUTED_VALUE"""),"ac")</f>
        <v>ac</v>
      </c>
      <c s="66">
        <f ca="1"/>
        <v>45257</v>
      </c>
      <c s="93" t="str">
        <f t="shared" si="45"/>
        <v>Tricep Pushdown</v>
      </c>
      <c s="94">
        <f t="shared" si="302"/>
        <v>3</v>
      </c>
      <c s="95">
        <v>12</v>
      </c>
      <c s="98" t="str">
        <f t="shared" si="304"/>
        <v>@8-9</v>
      </c>
      <c s="97" t="str">
        <f t="array" ref="DC66">IFERROR(IF(CW66="ac"+ISNUMBER(SEARCH("'",DB66))+DA66="","",IF(ISNUMBER(SEARCH("lw",DB66)),CO66+SUBSTITUTE(DB66,"lw+",""),MROUND(_xlfn.SWITCH(CW66,"sq",DA$7,"bn",DB$7,"dl",DC$7,"")*IF(DB66&gt;10,DB66/100,VLOOKUP(DB66,_rpe,SUBSTITUTE(DA66,"+","")+1,0)),IF(_xlfn.SWITCH(CW66,"sq",DA$7,"bn",DB$7,"dl",DC$7,"")&lt;IF(_uom="lbs",175,80),1.25,IF(_uom="lbs",5,2.5))))),"")</f>
        <v/>
      </c>
      <c s="70"/>
      <c s="63"/>
      <c s="97"/>
      <c s="44" t="str">
        <f>IFERROR(__xludf.DUMMYFUNCTION("IF(DC66=MAX(FILTER(DC$10:DC$199,LOOKUP(ROW(CW$10:CW$199),FILTER(ROW(CW$10:CW$199),CW$10:CW$199&lt;&gt;CW$9:CW$198))=LOOKUP(ROW(CW66),FILTER(ROW(CW$10:CW$199),CW$10:CW$199&lt;&gt;CW$9:CW$198)))),DD66,)"),"")</f>
        <v/>
      </c>
      <c s="42"/>
      <c s="63"/>
      <c s="64" t="str">
        <f t="shared" si="30"/>
        <v>triceps</v>
      </c>
      <c s="65" t="str">
        <f>IFERROR(__xludf.DUMMYFUNCTION("""COMPUTED_VALUE"""),"ac")</f>
        <v>ac</v>
      </c>
      <c s="66">
        <f ca="1"/>
        <v>45264</v>
      </c>
      <c s="93" t="str">
        <f t="shared" si="46"/>
        <v>Tricep Pushdown</v>
      </c>
      <c s="94">
        <f t="shared" si="305"/>
        <v>3</v>
      </c>
      <c s="95">
        <v>11</v>
      </c>
      <c s="106" t="s">
        <v>143</v>
      </c>
      <c s="97" t="str">
        <f t="array" ref="DQ66">IFERROR(IF(DK66="ac"+ISNUMBER(SEARCH("'",DP66))+DO66="","",IF(ISNUMBER(SEARCH("lw",DP66)),DC66+SUBSTITUTE(DP66,"lw+",""),MROUND(_xlfn.SWITCH(DK66,"sq",DO$7,"bn",DP$7,"dl",DQ$7,"")*IF(DP66&gt;10,DP66/100,VLOOKUP(DP66,_rpe,SUBSTITUTE(DO66,"+","")+1,0)),IF(_xlfn.SWITCH(DK66,"sq",DO$7,"bn",DP$7,"dl",DQ$7,"")&lt;IF(_uom="lbs",175,80),1.25,IF(_uom="lbs",5,2.5))))),"")</f>
        <v/>
      </c>
      <c s="70"/>
      <c s="63"/>
      <c s="97"/>
      <c s="44" t="str">
        <f>IFERROR(__xludf.DUMMYFUNCTION("IF(DQ66=MAX(FILTER(DQ$10:DQ$199,LOOKUP(ROW(DK$10:DK$199),FILTER(ROW(DK$10:DK$199),DK$10:DK$199&lt;&gt;DK$9:DK$198))=LOOKUP(ROW(DK66),FILTER(ROW(DK$10:DK$199),DK$10:DK$199&lt;&gt;DK$9:DK$198)))),DR66,)"),"")</f>
        <v/>
      </c>
      <c s="42"/>
      <c s="63"/>
      <c s="64" t="str">
        <f t="shared" si="32"/>
        <v>triceps</v>
      </c>
      <c s="65" t="str">
        <f>IFERROR(__xludf.DUMMYFUNCTION("""COMPUTED_VALUE"""),"ac")</f>
        <v>ac</v>
      </c>
      <c s="66">
        <f ca="1"/>
        <v>45271</v>
      </c>
      <c s="93" t="str">
        <f t="shared" si="47"/>
        <v>Tricep Pushdown</v>
      </c>
      <c s="94">
        <f t="shared" si="308"/>
        <v>3</v>
      </c>
      <c s="95">
        <v>12</v>
      </c>
      <c s="106" t="s">
        <v>141</v>
      </c>
      <c s="97" t="str">
        <f t="array" ref="EE66">IFERROR(IF(DY66="ac"+ISNUMBER(SEARCH("'",ED66))+EC66="","",IF(ISNUMBER(SEARCH("lw",ED66)),DQ66+SUBSTITUTE(ED66,"lw+",""),MROUND(_xlfn.SWITCH(DY66,"sq",EC$7,"bn",ED$7,"dl",EE$7,"")*IF(ED66&gt;10,ED66/100,VLOOKUP(ED66,_rpe,SUBSTITUTE(EC66,"+","")+1,0)),IF(_xlfn.SWITCH(DY66,"sq",EC$7,"bn",ED$7,"dl",EE$7,"")&lt;IF(_uom="lbs",175,80),1.25,IF(_uom="lbs",5,2.5))))),"")</f>
        <v/>
      </c>
      <c s="70"/>
      <c s="63"/>
      <c s="97"/>
      <c s="44" t="str">
        <f>IFERROR(__xludf.DUMMYFUNCTION("IF(EE66=MAX(FILTER(EE$10:EE$199,LOOKUP(ROW(DY$10:DY$199),FILTER(ROW(DY$10:DY$199),DY$10:DY$199&lt;&gt;DY$9:DY$198))=LOOKUP(ROW(DY66),FILTER(ROW(DY$10:DY$199),DY$10:DY$199&lt;&gt;DY$9:DY$198)))),EF66,)"),"")</f>
        <v/>
      </c>
      <c s="42"/>
      <c s="63"/>
      <c s="64" t="str">
        <f t="shared" si="34"/>
        <v>triceps</v>
      </c>
      <c s="65" t="str">
        <f>IFERROR(__xludf.DUMMYFUNCTION("""COMPUTED_VALUE"""),"ac")</f>
        <v>ac</v>
      </c>
      <c s="66">
        <f ca="1"/>
        <v>45278</v>
      </c>
      <c s="93" t="str">
        <f t="shared" si="48"/>
        <v>Tricep Pushdown</v>
      </c>
      <c s="94">
        <f t="shared" si="311"/>
        <v>3</v>
      </c>
      <c s="95">
        <v>11</v>
      </c>
      <c s="98" t="str">
        <f t="shared" si="313"/>
        <v>@8-9</v>
      </c>
      <c s="97" t="str">
        <f t="array" ref="ES66">IFERROR(IF(EM66="ac"+ISNUMBER(SEARCH("'",ER66))+EQ66="","",IF(ISNUMBER(SEARCH("lw",ER66)),EE66+SUBSTITUTE(ER66,"lw+",""),MROUND(_xlfn.SWITCH(EM66,"sq",EQ$7,"bn",ER$7,"dl",ES$7,"")*IF(ER66&gt;10,ER66/100,VLOOKUP(ER66,_rpe,SUBSTITUTE(EQ66,"+","")+1,0)),IF(_xlfn.SWITCH(EM66,"sq",EQ$7,"bn",ER$7,"dl",ES$7,"")&lt;IF(_uom="lbs",175,80),1.25,IF(_uom="lbs",5,2.5))))),"")</f>
        <v/>
      </c>
      <c s="70"/>
      <c s="63"/>
      <c s="97"/>
      <c s="44" t="str">
        <f>IFERROR(__xludf.DUMMYFUNCTION("IF(ES66=MAX(FILTER(ES$10:ES$199,LOOKUP(ROW(EM$10:EM$199),FILTER(ROW(EM$10:EM$199),EM$10:EM$199&lt;&gt;EM$9:EM$198))=LOOKUP(ROW(EM66),FILTER(ROW(EM$10:EM$199),EM$10:EM$199&lt;&gt;EM$9:EM$198)))),ET66,)"),"")</f>
        <v/>
      </c>
      <c s="42"/>
      <c s="63"/>
      <c s="64" t="str">
        <f t="shared" si="36"/>
        <v>triceps</v>
      </c>
      <c s="65" t="str">
        <f>IFERROR(__xludf.DUMMYFUNCTION("""COMPUTED_VALUE"""),"ac")</f>
        <v>ac</v>
      </c>
      <c s="66">
        <f ca="1"/>
        <v>45285</v>
      </c>
      <c s="93" t="str">
        <f t="shared" si="49"/>
        <v>Tricep Pushdown</v>
      </c>
      <c s="94">
        <f t="shared" si="314"/>
        <v>3</v>
      </c>
      <c s="95">
        <v>10</v>
      </c>
      <c s="98" t="str">
        <f t="shared" si="316"/>
        <v>@8-9</v>
      </c>
      <c s="97" t="str">
        <f t="array" ref="FG66">IFERROR(IF(FA66="ac"+ISNUMBER(SEARCH("'",FF66))+FE66="","",IF(ISNUMBER(SEARCH("lw",FF66)),ES66+SUBSTITUTE(FF66,"lw+",""),MROUND(_xlfn.SWITCH(FA66,"sq",FE$7,"bn",FF$7,"dl",FG$7,"")*IF(FF66&gt;10,FF66/100,VLOOKUP(FF66,_rpe,SUBSTITUTE(FE66,"+","")+1,0)),IF(_xlfn.SWITCH(FA66,"sq",FE$7,"bn",FF$7,"dl",FG$7,"")&lt;IF(_uom="lbs",175,80),1.25,IF(_uom="lbs",5,2.5))))),"")</f>
        <v/>
      </c>
      <c s="70"/>
      <c s="63"/>
      <c s="97"/>
      <c s="44" t="str">
        <f>IFERROR(__xludf.DUMMYFUNCTION("IF(FG66=MAX(FILTER(FG$10:FG$199,LOOKUP(ROW(FA$10:FA$199),FILTER(ROW(FA$10:FA$199),FA$10:FA$199&lt;&gt;FA$9:FA$198))=LOOKUP(ROW(FA66),FILTER(ROW(FA$10:FA$199),FA$10:FA$199&lt;&gt;FA$9:FA$198)))),FH66,)"),"")</f>
        <v/>
      </c>
      <c s="42"/>
      <c s="63"/>
      <c s="64" t="str">
        <f t="shared" si="38"/>
        <v>triceps</v>
      </c>
      <c s="65" t="str">
        <f>IFERROR(__xludf.DUMMYFUNCTION("""COMPUTED_VALUE"""),"")</f>
        <v/>
      </c>
      <c s="66">
        <f ca="1"/>
        <v>45292</v>
      </c>
      <c s="93"/>
      <c s="94"/>
      <c s="95"/>
      <c s="98"/>
      <c s="97" t="str">
        <f t="array" ref="FU66">IFERROR(IF(FO66="ac"+ISNUMBER(SEARCH("'",FT66))+FS66="","",IF(ISNUMBER(SEARCH("lw",FT66)),FG66+SUBSTITUTE(FT66,"lw+",""),MROUND(_xlfn.SWITCH(FO66,"sq",FS$7,"bn",FT$7,"dl",FU$7,"")*IF(FT66&gt;10,FT66/100,VLOOKUP(FT66,_rpe,SUBSTITUTE(FS66,"+","")+1,0)),IF(_xlfn.SWITCH(FO66,"sq",FS$7,"bn",FT$7,"dl",FU$7,"")&lt;IF(_uom="lbs",175,80),1.25,IF(_uom="lbs",5,2.5))))),"")</f>
        <v/>
      </c>
      <c s="70"/>
      <c s="63"/>
      <c s="97"/>
      <c s="44" t="str">
        <f>IFERROR(__xludf.DUMMYFUNCTION("IF(FU66=MAX(FILTER(FU$10:FU$199,LOOKUP(ROW(FO$10:FO$199),FILTER(ROW(FO$10:FO$199),FO$10:FO$199&lt;&gt;FO$9:FO$198))=LOOKUP(ROW(FO66),FILTER(ROW(FO$10:FO$199),FO$10:FO$199&lt;&gt;FO$9:FO$198)))),FV66,)"),"")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67" spans="1:259" ht="15.75">
      <c r="A67" s="63"/>
      <c s="64" t="s">
        <v>172</v>
      </c>
      <c s="65" t="str">
        <f>IFERROR(__xludf.DUMMYFUNCTION("""COMPUTED_VALUE"""),"ac")</f>
        <v>ac</v>
      </c>
      <c s="66">
        <f ca="1"/>
        <v>45208</v>
      </c>
      <c s="93" t="s">
        <v>173</v>
      </c>
      <c s="94">
        <v>3</v>
      </c>
      <c s="95">
        <v>15</v>
      </c>
      <c s="106" t="s">
        <v>143</v>
      </c>
      <c s="97" t="str">
        <f t="array" ref="I67">IFERROR(IF(C67="ac"+ISNUMBER(SEARCH("'",H67))+G67="","",MROUND(_xlfn.SWITCH(C67,"sq",'Personal Info'!$O$15,"bn",'Personal Info'!$S$15,"dl",'Personal Info'!$W$15,"")*IF(H67&gt;10,H67/100,VLOOKUP(H67,_rpe,SUBSTITUTE(G67,"+","")+1,0)),IF(_xlfn.SWITCH(C67:C210,"sq",'Personal Info'!$O$15,"bn",'Personal Info'!$S$15,"dl",'Personal Info'!$W$15,"")&lt;IF(_uom="lbs",175,80),1.25,IF(_uom="lbs",5,2.5)))),"")</f>
        <v/>
      </c>
      <c s="70"/>
      <c s="63"/>
      <c s="97"/>
      <c s="44" t="str">
        <f>IFERROR(__xludf.DUMMYFUNCTION("IF(I67=MAX(FILTER(I$10:I$199,LOOKUP(ROW(C$10:C$199),FILTER(ROW(C$10:C$199),C$10:C$199&lt;&gt;C$9:C$198))=LOOKUP(ROW(C67),FILTER(ROW(C$10:C$199),C$10:C$199&lt;&gt;C$9:C$198)))),J67,)"),"")</f>
        <v/>
      </c>
      <c s="42"/>
      <c s="63"/>
      <c s="64" t="str">
        <f t="shared" si="11"/>
        <v>biceps</v>
      </c>
      <c s="65" t="str">
        <f>IFERROR(__xludf.DUMMYFUNCTION("""COMPUTED_VALUE"""),"ac")</f>
        <v>ac</v>
      </c>
      <c s="66">
        <f ca="1"/>
        <v>45215</v>
      </c>
      <c s="93" t="str">
        <f t="shared" si="12"/>
        <v>EZ Bar Curl</v>
      </c>
      <c s="94">
        <f t="shared" si="363" ref="T67:T76">IF(ISBLANK(F67),"",F67)</f>
        <v>3</v>
      </c>
      <c s="95">
        <v>14</v>
      </c>
      <c s="106" t="s">
        <v>184</v>
      </c>
      <c s="97" t="str">
        <f t="array" ref="W67">IFERROR(IF(Q67="ac"+ISNUMBER(SEARCH("'",V67))+U67="","",IF(ISNUMBER(SEARCH("lw",V67)),I67+SUBSTITUTE(V67,"lw+",""),MROUND(_xlfn.SWITCH(Q67,"sq",U$7,"bn",V$7,"dl",W$7,"")*IF(V67&gt;10,V67/100,VLOOKUP(V67,_rpe,SUBSTITUTE(U67,"+","")+1,0)),IF(_xlfn.SWITCH(Q67,"sq",U$7,"bn",V$7,"dl",W$7,"")&lt;IF(_uom="lbs",175,80),1.25,IF(_uom="lbs",5,2.5))))),"")</f>
        <v/>
      </c>
      <c s="70"/>
      <c s="63"/>
      <c s="97"/>
      <c s="44" t="str">
        <f>IFERROR(__xludf.DUMMYFUNCTION("IF(W67=MAX(FILTER(W$10:W$199,LOOKUP(ROW(Q$10:Q$199),FILTER(ROW(Q$10:Q$199),Q$10:Q$199&lt;&gt;Q$9:Q$198))=LOOKUP(ROW(Q67),FILTER(ROW(Q$10:Q$199),Q$10:Q$199&lt;&gt;Q$9:Q$198)))),X67,)"),"")</f>
        <v/>
      </c>
      <c s="42"/>
      <c s="63"/>
      <c s="64" t="str">
        <f t="shared" si="14"/>
        <v>biceps</v>
      </c>
      <c s="65" t="str">
        <f>IFERROR(__xludf.DUMMYFUNCTION("""COMPUTED_VALUE"""),"ac")</f>
        <v>ac</v>
      </c>
      <c s="66">
        <f ca="1"/>
        <v>45222</v>
      </c>
      <c s="93" t="str">
        <f t="shared" si="156"/>
        <v>EZ Bar Curl</v>
      </c>
      <c s="94">
        <f t="shared" si="186"/>
        <v>3</v>
      </c>
      <c s="95">
        <v>13</v>
      </c>
      <c s="106" t="s">
        <v>141</v>
      </c>
      <c s="97" t="str">
        <f t="array" ref="AK67">IFERROR(IF(AE67="ac"+ISNUMBER(SEARCH("'",AJ67))+AI67="","",IF(ISNUMBER(SEARCH("lw",AJ67)),W67+SUBSTITUTE(AJ67,"lw+",""),MROUND(_xlfn.SWITCH(AE67,"sq",AI$7,"bn",AJ$7,"dl",AK$7,"")*IF(AJ67&gt;10,AJ67/100,VLOOKUP(AJ67,_rpe,SUBSTITUTE(AI67,"+","")+1,0)),IF(_xlfn.SWITCH(AE67,"sq",AI$7,"bn",AJ$7,"dl",AK$7,"")&lt;IF(_uom="lbs",175,80),1.25,IF(_uom="lbs",5,2.5))))),"")</f>
        <v/>
      </c>
      <c s="70"/>
      <c s="63"/>
      <c s="97"/>
      <c s="44" t="str">
        <f>IFERROR(__xludf.DUMMYFUNCTION("IF(AK67=MAX(FILTER(AK$10:AK$199,LOOKUP(ROW(AE$10:AE$199),FILTER(ROW(AE$10:AE$199),AE$10:AE$199&lt;&gt;AE$9:AE$198))=LOOKUP(ROW(AE67),FILTER(ROW(AE$10:AE$199),AE$10:AE$199&lt;&gt;AE$9:AE$198)))),AL67,)"),"")</f>
        <v/>
      </c>
      <c s="42"/>
      <c s="63"/>
      <c s="64" t="str">
        <f t="shared" si="17"/>
        <v>biceps</v>
      </c>
      <c s="65" t="str">
        <f>IFERROR(__xludf.DUMMYFUNCTION("""COMPUTED_VALUE"""),"ac")</f>
        <v>ac</v>
      </c>
      <c s="66">
        <f ca="1"/>
        <v>45229</v>
      </c>
      <c s="93" t="str">
        <f t="shared" si="157"/>
        <v>EZ Bar Curl</v>
      </c>
      <c s="94">
        <f t="shared" si="188"/>
        <v>3</v>
      </c>
      <c s="95">
        <v>12</v>
      </c>
      <c s="98" t="str">
        <f t="shared" si="294"/>
        <v>@8-9</v>
      </c>
      <c s="97" t="str">
        <f t="array" ref="AY67">IFERROR(IF(AS67="ac"+ISNUMBER(SEARCH("'",AX67))+AW67="","",IF(ISNUMBER(SEARCH("lw",AX67)),AK67+SUBSTITUTE(AX67,"lw+",""),MROUND(_xlfn.SWITCH(AS67,"sq",AW$7,"bn",AX$7,"dl",AY$7,"")*IF(AX67&gt;10,AX67/100,VLOOKUP(AX67,_rpe,SUBSTITUTE(AW67,"+","")+1,0)),IF(_xlfn.SWITCH(AS67,"sq",AW$7,"bn",AX$7,"dl",AY$7,"")&lt;IF(_uom="lbs",175,80),1.25,IF(_uom="lbs",5,2.5))))),"")</f>
        <v/>
      </c>
      <c s="70"/>
      <c s="63"/>
      <c s="97"/>
      <c s="44" t="str">
        <f>IFERROR(__xludf.DUMMYFUNCTION("IF(AY67=MAX(FILTER(AY$10:AY$199,LOOKUP(ROW(AS$10:AS$199),FILTER(ROW(AS$10:AS$199),AS$10:AS$199&lt;&gt;AS$9:AS$198))=LOOKUP(ROW(AS67),FILTER(ROW(AS$10:AS$199),AS$10:AS$199&lt;&gt;AS$9:AS$198)))),AZ67,)"),"")</f>
        <v/>
      </c>
      <c s="42"/>
      <c s="63"/>
      <c s="64" t="str">
        <f t="shared" si="19"/>
        <v>biceps</v>
      </c>
      <c s="65" t="str">
        <f>IFERROR(__xludf.DUMMYFUNCTION("""COMPUTED_VALUE"""),"ac")</f>
        <v>ac</v>
      </c>
      <c s="66">
        <f ca="1"/>
        <v>45236</v>
      </c>
      <c s="93" t="str">
        <f t="shared" si="20"/>
        <v>EZ Bar Curl</v>
      </c>
      <c s="94">
        <v>2</v>
      </c>
      <c s="95">
        <v>15</v>
      </c>
      <c s="106" t="s">
        <v>142</v>
      </c>
      <c s="97" t="str">
        <f t="array" ref="BM67">IFERROR(IF(BG67="ac"+ISNUMBER(SEARCH("'",BL67))+BK67="","",IF(ISNUMBER(SEARCH("lw",BL67)),AY67+SUBSTITUTE(BL67,"lw+",""),MROUND(_xlfn.SWITCH(BG67,"sq",BK$7,"bn",BL$7,"dl",BM$7,"")*IF(BL67&gt;10,BL67/100,VLOOKUP(BL67,_rpe,SUBSTITUTE(BK67,"+","")+1,0)),IF(_xlfn.SWITCH(BG67,"sq",BK$7,"bn",BL$7,"dl",BM$7,"")&lt;IF(_uom="lbs",175,80),1.25,IF(_uom="lbs",5,2.5))))),"")</f>
        <v/>
      </c>
      <c s="70"/>
      <c s="63"/>
      <c s="97"/>
      <c s="44" t="str">
        <f>IFERROR(__xludf.DUMMYFUNCTION("IF(BM67=MAX(FILTER(BM$10:BM$199,LOOKUP(ROW(BG$10:BG$199),FILTER(ROW(BG$10:BG$199),BG$10:BG$199&lt;&gt;BG$9:BG$198))=LOOKUP(ROW(BG67),FILTER(ROW(BG$10:BG$199),BG$10:BG$199&lt;&gt;BG$9:BG$198)))),BN67,)"),"")</f>
        <v/>
      </c>
      <c s="42"/>
      <c s="63"/>
      <c s="64" t="str">
        <f t="shared" si="21"/>
        <v>biceps</v>
      </c>
      <c s="65" t="str">
        <f>IFERROR(__xludf.DUMMYFUNCTION("""COMPUTED_VALUE"""),"ac")</f>
        <v>ac</v>
      </c>
      <c s="66">
        <f ca="1"/>
        <v>45243</v>
      </c>
      <c s="93" t="str">
        <f t="shared" si="22"/>
        <v>EZ Bar Curl</v>
      </c>
      <c s="94">
        <v>3</v>
      </c>
      <c s="95">
        <v>14</v>
      </c>
      <c s="106" t="s">
        <v>140</v>
      </c>
      <c s="97" t="str">
        <f t="array" ref="CA67">IFERROR(IF(BU67="ac"+ISNUMBER(SEARCH("'",BZ67))+BY67="","",IF(ISNUMBER(SEARCH("lw",BZ67)),BM67+SUBSTITUTE(BZ67,"lw+",""),MROUND(_xlfn.SWITCH(BU67,"sq",BY$7,"bn",BZ$7,"dl",CA$7,"")*IF(BZ67&gt;10,BZ67/100,VLOOKUP(BZ67,_rpe,SUBSTITUTE(BY67,"+","")+1,0)),IF(_xlfn.SWITCH(BU67,"sq",BY$7,"bn",BZ$7,"dl",CA$7,"")&lt;IF(_uom="lbs",175,80),1.25,IF(_uom="lbs",5,2.5))))),"")</f>
        <v/>
      </c>
      <c s="70"/>
      <c s="63"/>
      <c s="97"/>
      <c s="44" t="str">
        <f>IFERROR(__xludf.DUMMYFUNCTION("IF(CA67=MAX(FILTER(CA$10:CA$199,LOOKUP(ROW(BU$10:BU$199),FILTER(ROW(BU$10:BU$199),BU$10:BU$199&lt;&gt;BU$9:BU$198))=LOOKUP(ROW(BU67),FILTER(ROW(BU$10:BU$199),BU$10:BU$199&lt;&gt;BU$9:BU$198)))),CB67,)"),"")</f>
        <v/>
      </c>
      <c s="42"/>
      <c s="63"/>
      <c s="64" t="str">
        <f t="shared" si="24"/>
        <v>biceps</v>
      </c>
      <c s="65" t="str">
        <f>IFERROR(__xludf.DUMMYFUNCTION("""COMPUTED_VALUE"""),"ac")</f>
        <v>ac</v>
      </c>
      <c s="66">
        <f ca="1"/>
        <v>45250</v>
      </c>
      <c s="93" t="str">
        <f t="shared" si="44"/>
        <v>EZ Bar Curl</v>
      </c>
      <c s="94">
        <f t="shared" si="300"/>
        <v>3</v>
      </c>
      <c s="95">
        <v>13</v>
      </c>
      <c s="106" t="s">
        <v>141</v>
      </c>
      <c s="97" t="str">
        <f t="array" ref="CO67">IFERROR(IF(CI67="ac"+ISNUMBER(SEARCH("'",CN67))+CM67="","",IF(ISNUMBER(SEARCH("lw",CN67)),CA67+SUBSTITUTE(CN67,"lw+",""),MROUND(_xlfn.SWITCH(CI67,"sq",CM$7,"bn",CN$7,"dl",CO$7,"")*IF(CN67&gt;10,CN67/100,VLOOKUP(CN67,_rpe,SUBSTITUTE(CM67,"+","")+1,0)),IF(_xlfn.SWITCH(CI67,"sq",CM$7,"bn",CN$7,"dl",CO$7,"")&lt;IF(_uom="lbs",175,80),1.25,IF(_uom="lbs",5,2.5))))),"")</f>
        <v/>
      </c>
      <c s="70"/>
      <c s="63"/>
      <c s="97"/>
      <c s="44" t="str">
        <f>IFERROR(__xludf.DUMMYFUNCTION("IF(CO67=MAX(FILTER(CO$10:CO$199,LOOKUP(ROW(CI$10:CI$199),FILTER(ROW(CI$10:CI$199),CI$10:CI$199&lt;&gt;CI$9:CI$198))=LOOKUP(ROW(CI67),FILTER(ROW(CI$10:CI$199),CI$10:CI$199&lt;&gt;CI$9:CI$198)))),CP67,)"),"")</f>
        <v/>
      </c>
      <c s="42"/>
      <c s="63"/>
      <c s="64" t="str">
        <f t="shared" si="27"/>
        <v>biceps</v>
      </c>
      <c s="65" t="str">
        <f>IFERROR(__xludf.DUMMYFUNCTION("""COMPUTED_VALUE"""),"ac")</f>
        <v>ac</v>
      </c>
      <c s="66">
        <f ca="1"/>
        <v>45257</v>
      </c>
      <c s="93" t="str">
        <f t="shared" si="45"/>
        <v>EZ Bar Curl</v>
      </c>
      <c s="94">
        <f t="shared" si="302"/>
        <v>3</v>
      </c>
      <c s="95">
        <v>12</v>
      </c>
      <c s="98" t="str">
        <f t="shared" si="304"/>
        <v>@8-9</v>
      </c>
      <c s="97" t="str">
        <f t="array" ref="DC67">IFERROR(IF(CW67="ac"+ISNUMBER(SEARCH("'",DB67))+DA67="","",IF(ISNUMBER(SEARCH("lw",DB67)),CO67+SUBSTITUTE(DB67,"lw+",""),MROUND(_xlfn.SWITCH(CW67,"sq",DA$7,"bn",DB$7,"dl",DC$7,"")*IF(DB67&gt;10,DB67/100,VLOOKUP(DB67,_rpe,SUBSTITUTE(DA67,"+","")+1,0)),IF(_xlfn.SWITCH(CW67,"sq",DA$7,"bn",DB$7,"dl",DC$7,"")&lt;IF(_uom="lbs",175,80),1.25,IF(_uom="lbs",5,2.5))))),"")</f>
        <v/>
      </c>
      <c s="70"/>
      <c s="63"/>
      <c s="97"/>
      <c s="44" t="str">
        <f>IFERROR(__xludf.DUMMYFUNCTION("IF(DC67=MAX(FILTER(DC$10:DC$199,LOOKUP(ROW(CW$10:CW$199),FILTER(ROW(CW$10:CW$199),CW$10:CW$199&lt;&gt;CW$9:CW$198))=LOOKUP(ROW(CW67),FILTER(ROW(CW$10:CW$199),CW$10:CW$199&lt;&gt;CW$9:CW$198)))),DD67,)"),"")</f>
        <v/>
      </c>
      <c s="42"/>
      <c s="63"/>
      <c s="64" t="str">
        <f t="shared" si="30"/>
        <v>biceps</v>
      </c>
      <c s="65" t="str">
        <f>IFERROR(__xludf.DUMMYFUNCTION("""COMPUTED_VALUE"""),"ac")</f>
        <v>ac</v>
      </c>
      <c s="66">
        <f ca="1"/>
        <v>45264</v>
      </c>
      <c s="93" t="str">
        <f t="shared" si="46"/>
        <v>EZ Bar Curl</v>
      </c>
      <c s="94">
        <f t="shared" si="305"/>
        <v>3</v>
      </c>
      <c s="95">
        <v>11</v>
      </c>
      <c s="106" t="s">
        <v>143</v>
      </c>
      <c s="97" t="str">
        <f t="array" ref="DQ67">IFERROR(IF(DK67="ac"+ISNUMBER(SEARCH("'",DP67))+DO67="","",IF(ISNUMBER(SEARCH("lw",DP67)),DC67+SUBSTITUTE(DP67,"lw+",""),MROUND(_xlfn.SWITCH(DK67,"sq",DO$7,"bn",DP$7,"dl",DQ$7,"")*IF(DP67&gt;10,DP67/100,VLOOKUP(DP67,_rpe,SUBSTITUTE(DO67,"+","")+1,0)),IF(_xlfn.SWITCH(DK67,"sq",DO$7,"bn",DP$7,"dl",DQ$7,"")&lt;IF(_uom="lbs",175,80),1.25,IF(_uom="lbs",5,2.5))))),"")</f>
        <v/>
      </c>
      <c s="70"/>
      <c s="63"/>
      <c s="97"/>
      <c s="44" t="str">
        <f>IFERROR(__xludf.DUMMYFUNCTION("IF(DQ67=MAX(FILTER(DQ$10:DQ$199,LOOKUP(ROW(DK$10:DK$199),FILTER(ROW(DK$10:DK$199),DK$10:DK$199&lt;&gt;DK$9:DK$198))=LOOKUP(ROW(DK67),FILTER(ROW(DK$10:DK$199),DK$10:DK$199&lt;&gt;DK$9:DK$198)))),DR67,)"),"")</f>
        <v/>
      </c>
      <c s="42"/>
      <c s="63"/>
      <c s="64" t="str">
        <f t="shared" si="32"/>
        <v>biceps</v>
      </c>
      <c s="65" t="str">
        <f>IFERROR(__xludf.DUMMYFUNCTION("""COMPUTED_VALUE"""),"ac")</f>
        <v>ac</v>
      </c>
      <c s="66">
        <f ca="1"/>
        <v>45271</v>
      </c>
      <c s="93" t="str">
        <f t="shared" si="47"/>
        <v>EZ Bar Curl</v>
      </c>
      <c s="94">
        <f t="shared" si="308"/>
        <v>3</v>
      </c>
      <c s="95">
        <v>12</v>
      </c>
      <c s="106" t="s">
        <v>141</v>
      </c>
      <c s="97" t="str">
        <f t="array" ref="EE67">IFERROR(IF(DY67="ac"+ISNUMBER(SEARCH("'",ED67))+EC67="","",IF(ISNUMBER(SEARCH("lw",ED67)),DQ67+SUBSTITUTE(ED67,"lw+",""),MROUND(_xlfn.SWITCH(DY67,"sq",EC$7,"bn",ED$7,"dl",EE$7,"")*IF(ED67&gt;10,ED67/100,VLOOKUP(ED67,_rpe,SUBSTITUTE(EC67,"+","")+1,0)),IF(_xlfn.SWITCH(DY67,"sq",EC$7,"bn",ED$7,"dl",EE$7,"")&lt;IF(_uom="lbs",175,80),1.25,IF(_uom="lbs",5,2.5))))),"")</f>
        <v/>
      </c>
      <c s="70"/>
      <c s="63"/>
      <c s="97"/>
      <c s="44" t="str">
        <f>IFERROR(__xludf.DUMMYFUNCTION("IF(EE67=MAX(FILTER(EE$10:EE$199,LOOKUP(ROW(DY$10:DY$199),FILTER(ROW(DY$10:DY$199),DY$10:DY$199&lt;&gt;DY$9:DY$198))=LOOKUP(ROW(DY67),FILTER(ROW(DY$10:DY$199),DY$10:DY$199&lt;&gt;DY$9:DY$198)))),EF67,)"),"")</f>
        <v/>
      </c>
      <c s="42"/>
      <c s="63"/>
      <c s="64" t="str">
        <f t="shared" si="34"/>
        <v>biceps</v>
      </c>
      <c s="65" t="str">
        <f>IFERROR(__xludf.DUMMYFUNCTION("""COMPUTED_VALUE"""),"ac")</f>
        <v>ac</v>
      </c>
      <c s="66">
        <f ca="1"/>
        <v>45278</v>
      </c>
      <c s="93" t="str">
        <f t="shared" si="48"/>
        <v>EZ Bar Curl</v>
      </c>
      <c s="94">
        <f t="shared" si="311"/>
        <v>3</v>
      </c>
      <c s="95">
        <v>11</v>
      </c>
      <c s="98" t="str">
        <f t="shared" si="313"/>
        <v>@8-9</v>
      </c>
      <c s="97" t="str">
        <f t="array" ref="ES67">IFERROR(IF(EM67="ac"+ISNUMBER(SEARCH("'",ER67))+EQ67="","",IF(ISNUMBER(SEARCH("lw",ER67)),EE67+SUBSTITUTE(ER67,"lw+",""),MROUND(_xlfn.SWITCH(EM67,"sq",EQ$7,"bn",ER$7,"dl",ES$7,"")*IF(ER67&gt;10,ER67/100,VLOOKUP(ER67,_rpe,SUBSTITUTE(EQ67,"+","")+1,0)),IF(_xlfn.SWITCH(EM67,"sq",EQ$7,"bn",ER$7,"dl",ES$7,"")&lt;IF(_uom="lbs",175,80),1.25,IF(_uom="lbs",5,2.5))))),"")</f>
        <v/>
      </c>
      <c s="70"/>
      <c s="63"/>
      <c s="97"/>
      <c s="44" t="str">
        <f>IFERROR(__xludf.DUMMYFUNCTION("IF(ES67=MAX(FILTER(ES$10:ES$199,LOOKUP(ROW(EM$10:EM$199),FILTER(ROW(EM$10:EM$199),EM$10:EM$199&lt;&gt;EM$9:EM$198))=LOOKUP(ROW(EM67),FILTER(ROW(EM$10:EM$199),EM$10:EM$199&lt;&gt;EM$9:EM$198)))),ET67,)"),"")</f>
        <v/>
      </c>
      <c s="42"/>
      <c s="63"/>
      <c s="64" t="str">
        <f t="shared" si="36"/>
        <v>biceps</v>
      </c>
      <c s="65" t="str">
        <f>IFERROR(__xludf.DUMMYFUNCTION("""COMPUTED_VALUE"""),"ac")</f>
        <v>ac</v>
      </c>
      <c s="66">
        <f ca="1"/>
        <v>45285</v>
      </c>
      <c s="93" t="str">
        <f t="shared" si="49"/>
        <v>EZ Bar Curl</v>
      </c>
      <c s="94">
        <f t="shared" si="314"/>
        <v>3</v>
      </c>
      <c s="95">
        <v>10</v>
      </c>
      <c s="98" t="str">
        <f t="shared" si="316"/>
        <v>@8-9</v>
      </c>
      <c s="97" t="str">
        <f t="array" ref="FG67">IFERROR(IF(FA67="ac"+ISNUMBER(SEARCH("'",FF67))+FE67="","",IF(ISNUMBER(SEARCH("lw",FF67)),ES67+SUBSTITUTE(FF67,"lw+",""),MROUND(_xlfn.SWITCH(FA67,"sq",FE$7,"bn",FF$7,"dl",FG$7,"")*IF(FF67&gt;10,FF67/100,VLOOKUP(FF67,_rpe,SUBSTITUTE(FE67,"+","")+1,0)),IF(_xlfn.SWITCH(FA67,"sq",FE$7,"bn",FF$7,"dl",FG$7,"")&lt;IF(_uom="lbs",175,80),1.25,IF(_uom="lbs",5,2.5))))),"")</f>
        <v/>
      </c>
      <c s="70"/>
      <c s="63"/>
      <c s="97"/>
      <c s="44" t="str">
        <f>IFERROR(__xludf.DUMMYFUNCTION("IF(FG67=MAX(FILTER(FG$10:FG$199,LOOKUP(ROW(FA$10:FA$199),FILTER(ROW(FA$10:FA$199),FA$10:FA$199&lt;&gt;FA$9:FA$198))=LOOKUP(ROW(FA67),FILTER(ROW(FA$10:FA$199),FA$10:FA$199&lt;&gt;FA$9:FA$198)))),FH67,)"),"")</f>
        <v/>
      </c>
      <c s="42"/>
      <c s="63"/>
      <c s="64" t="str">
        <f t="shared" si="38"/>
        <v>biceps</v>
      </c>
      <c s="65" t="str">
        <f>IFERROR(__xludf.DUMMYFUNCTION("""COMPUTED_VALUE"""),"")</f>
        <v/>
      </c>
      <c s="66">
        <f ca="1"/>
        <v>45292</v>
      </c>
      <c s="93"/>
      <c s="94"/>
      <c s="95"/>
      <c s="98"/>
      <c s="97" t="str">
        <f t="array" ref="FU67">IFERROR(IF(FO67="ac"+ISNUMBER(SEARCH("'",FT67))+FS67="","",IF(ISNUMBER(SEARCH("lw",FT67)),FG67+SUBSTITUTE(FT67,"lw+",""),MROUND(_xlfn.SWITCH(FO67,"sq",FS$7,"bn",FT$7,"dl",FU$7,"")*IF(FT67&gt;10,FT67/100,VLOOKUP(FT67,_rpe,SUBSTITUTE(FS67,"+","")+1,0)),IF(_xlfn.SWITCH(FO67,"sq",FS$7,"bn",FT$7,"dl",FU$7,"")&lt;IF(_uom="lbs",175,80),1.25,IF(_uom="lbs",5,2.5))))),"")</f>
        <v/>
      </c>
      <c s="70"/>
      <c s="63"/>
      <c s="97"/>
      <c s="44" t="str">
        <f>IFERROR(__xludf.DUMMYFUNCTION("IF(FU67=MAX(FILTER(FU$10:FU$199,LOOKUP(ROW(FO$10:FO$199),FILTER(ROW(FO$10:FO$199),FO$10:FO$199&lt;&gt;FO$9:FO$198))=LOOKUP(ROW(FO67),FILTER(ROW(FO$10:FO$199),FO$10:FO$199&lt;&gt;FO$9:FO$198)))),FV67,)"),"")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68" spans="1:259" ht="15.75">
      <c r="A68" s="63"/>
      <c s="107"/>
      <c s="65" t="str">
        <f>IFERROR(__xludf.DUMMYFUNCTION("""COMPUTED_VALUE"""),"ac")</f>
        <v>ac</v>
      </c>
      <c s="66">
        <f ca="1"/>
        <v>45208</v>
      </c>
      <c s="93" t="s">
        <v>187</v>
      </c>
      <c s="94"/>
      <c s="95"/>
      <c s="96"/>
      <c s="97" t="str">
        <f t="array" ref="I68">IFERROR(IF(C68="ac"+ISNUMBER(SEARCH("'",H68))+G68="","",MROUND(_xlfn.SWITCH(C68,"sq",'Personal Info'!$O$15,"bn",'Personal Info'!$S$15,"dl",'Personal Info'!$W$15,"")*IF(H68&gt;10,H68/100,VLOOKUP(H68,_rpe,SUBSTITUTE(G68,"+","")+1,0)),IF(_xlfn.SWITCH(C68:C210,"sq",'Personal Info'!$O$15,"bn",'Personal Info'!$S$15,"dl",'Personal Info'!$W$15,"")&lt;IF(_uom="lbs",175,80),1.25,IF(_uom="lbs",5,2.5)))),"")</f>
        <v/>
      </c>
      <c s="70"/>
      <c s="63"/>
      <c s="97"/>
      <c s="44" t="str">
        <f>IFERROR(__xludf.DUMMYFUNCTION("IF(I68=MAX(FILTER(I$10:I$199,LOOKUP(ROW(C$10:C$199),FILTER(ROW(C$10:C$199),C$10:C$199&lt;&gt;C$9:C$198))=LOOKUP(ROW(C68),FILTER(ROW(C$10:C$199),C$10:C$199&lt;&gt;C$9:C$198)))),J68,)"),"")</f>
        <v/>
      </c>
      <c s="42"/>
      <c s="63"/>
      <c s="64" t="str">
        <f t="shared" si="11"/>
        <v/>
      </c>
      <c s="65" t="str">
        <f>IFERROR(__xludf.DUMMYFUNCTION("""COMPUTED_VALUE"""),"ac")</f>
        <v>ac</v>
      </c>
      <c s="66">
        <f ca="1"/>
        <v>45215</v>
      </c>
      <c s="93" t="str">
        <f t="shared" si="12"/>
        <v>note: may superset biceps/triceps</v>
      </c>
      <c s="94" t="str">
        <f t="shared" si="363"/>
        <v/>
      </c>
      <c s="95" t="str">
        <f t="shared" si="364" ref="U68:U77">IF(OR(ISBLANK(G68),G68=""),"",G68)</f>
        <v/>
      </c>
      <c s="98" t="str">
        <f t="shared" si="365" ref="V68:V75">IF(ISBLANK(H68),"",H68)</f>
        <v/>
      </c>
      <c s="97" t="str">
        <f t="array" ref="W68">IFERROR(IF(Q68="ac"+ISNUMBER(SEARCH("'",V68))+U68="","",IF(ISNUMBER(SEARCH("lw",V68)),I68+SUBSTITUTE(V68,"lw+",""),MROUND(_xlfn.SWITCH(Q68,"sq",U$7,"bn",V$7,"dl",W$7,"")*IF(V68&gt;10,V68/100,VLOOKUP(V68,_rpe,SUBSTITUTE(U68,"+","")+1,0)),IF(_xlfn.SWITCH(Q68,"sq",U$7,"bn",V$7,"dl",W$7,"")&lt;IF(_uom="lbs",175,80),1.25,IF(_uom="lbs",5,2.5))))),"")</f>
        <v/>
      </c>
      <c s="70"/>
      <c s="63"/>
      <c s="97"/>
      <c s="44" t="str">
        <f>IFERROR(__xludf.DUMMYFUNCTION("IF(W68=MAX(FILTER(W$10:W$199,LOOKUP(ROW(Q$10:Q$199),FILTER(ROW(Q$10:Q$199),Q$10:Q$199&lt;&gt;Q$9:Q$198))=LOOKUP(ROW(Q68),FILTER(ROW(Q$10:Q$199),Q$10:Q$199&lt;&gt;Q$9:Q$198)))),X68,)"),"")</f>
        <v/>
      </c>
      <c s="42"/>
      <c s="63"/>
      <c s="64" t="str">
        <f t="shared" si="14"/>
        <v/>
      </c>
      <c s="65" t="str">
        <f>IFERROR(__xludf.DUMMYFUNCTION("""COMPUTED_VALUE"""),"ac")</f>
        <v>ac</v>
      </c>
      <c s="66">
        <f ca="1"/>
        <v>45222</v>
      </c>
      <c s="93" t="str">
        <f t="shared" si="156"/>
        <v>note: may superset biceps/triceps</v>
      </c>
      <c s="94" t="str">
        <f t="shared" si="186"/>
        <v/>
      </c>
      <c s="95" t="str">
        <f t="shared" si="366" ref="AI68:AI75">IF(OR(ISBLANK(U68),U68=""),"",U68)</f>
        <v/>
      </c>
      <c s="98" t="str">
        <f t="shared" si="367" ref="AJ68:AJ75">IF(ISBLANK(V68),"",V68)</f>
        <v/>
      </c>
      <c s="97" t="str">
        <f t="array" ref="AK68">IFERROR(IF(AE68="ac"+ISNUMBER(SEARCH("'",AJ68))+AI68="","",IF(ISNUMBER(SEARCH("lw",AJ68)),W68+SUBSTITUTE(AJ68,"lw+",""),MROUND(_xlfn.SWITCH(AE68,"sq",AI$7,"bn",AJ$7,"dl",AK$7,"")*IF(AJ68&gt;10,AJ68/100,VLOOKUP(AJ68,_rpe,SUBSTITUTE(AI68,"+","")+1,0)),IF(_xlfn.SWITCH(AE68,"sq",AI$7,"bn",AJ$7,"dl",AK$7,"")&lt;IF(_uom="lbs",175,80),1.25,IF(_uom="lbs",5,2.5))))),"")</f>
        <v/>
      </c>
      <c s="70"/>
      <c s="63"/>
      <c s="97"/>
      <c s="44" t="str">
        <f>IFERROR(__xludf.DUMMYFUNCTION("IF(AK68=MAX(FILTER(AK$10:AK$199,LOOKUP(ROW(AE$10:AE$199),FILTER(ROW(AE$10:AE$199),AE$10:AE$199&lt;&gt;AE$9:AE$198))=LOOKUP(ROW(AE68),FILTER(ROW(AE$10:AE$199),AE$10:AE$199&lt;&gt;AE$9:AE$198)))),AL68,)"),"")</f>
        <v/>
      </c>
      <c s="42"/>
      <c s="63"/>
      <c s="64" t="str">
        <f t="shared" si="17"/>
        <v/>
      </c>
      <c s="65" t="str">
        <f>IFERROR(__xludf.DUMMYFUNCTION("""COMPUTED_VALUE"""),"ac")</f>
        <v>ac</v>
      </c>
      <c s="66">
        <f ca="1"/>
        <v>45229</v>
      </c>
      <c s="93" t="str">
        <f t="shared" si="157"/>
        <v>note: may superset biceps/triceps</v>
      </c>
      <c s="94" t="str">
        <f t="shared" si="188"/>
        <v/>
      </c>
      <c s="95" t="str">
        <f t="shared" si="368" ref="AW68:AW75">IF(OR(ISBLANK(AI68),AI68=""),"",AI68)</f>
        <v/>
      </c>
      <c s="98" t="str">
        <f t="shared" si="294"/>
        <v/>
      </c>
      <c s="97" t="str">
        <f t="array" ref="AY68">IFERROR(IF(AS68="ac"+ISNUMBER(SEARCH("'",AX68))+AW68="","",IF(ISNUMBER(SEARCH("lw",AX68)),AK68+SUBSTITUTE(AX68,"lw+",""),MROUND(_xlfn.SWITCH(AS68,"sq",AW$7,"bn",AX$7,"dl",AY$7,"")*IF(AX68&gt;10,AX68/100,VLOOKUP(AX68,_rpe,SUBSTITUTE(AW68,"+","")+1,0)),IF(_xlfn.SWITCH(AS68,"sq",AW$7,"bn",AX$7,"dl",AY$7,"")&lt;IF(_uom="lbs",175,80),1.25,IF(_uom="lbs",5,2.5))))),"")</f>
        <v/>
      </c>
      <c s="70"/>
      <c s="63"/>
      <c s="97"/>
      <c s="44" t="str">
        <f>IFERROR(__xludf.DUMMYFUNCTION("IF(AY68=MAX(FILTER(AY$10:AY$199,LOOKUP(ROW(AS$10:AS$199),FILTER(ROW(AS$10:AS$199),AS$10:AS$199&lt;&gt;AS$9:AS$198))=LOOKUP(ROW(AS68),FILTER(ROW(AS$10:AS$199),AS$10:AS$199&lt;&gt;AS$9:AS$198)))),AZ68,)"),"")</f>
        <v/>
      </c>
      <c s="42"/>
      <c s="63"/>
      <c s="64" t="str">
        <f t="shared" si="19"/>
        <v/>
      </c>
      <c s="65" t="str">
        <f>IFERROR(__xludf.DUMMYFUNCTION("""COMPUTED_VALUE"""),"ac")</f>
        <v>ac</v>
      </c>
      <c s="66">
        <f ca="1"/>
        <v>45236</v>
      </c>
      <c s="93" t="str">
        <f t="shared" si="20"/>
        <v>note: may superset biceps/triceps</v>
      </c>
      <c s="94" t="str">
        <f t="shared" si="369" ref="BJ68:BJ76">IF(ISBLANK(AV68),"",AV68)</f>
        <v/>
      </c>
      <c s="95" t="str">
        <f t="shared" si="370" ref="BK68:BK75">IF(OR(ISBLANK(AW68),AW68=""),"",AW68)</f>
        <v/>
      </c>
      <c s="98" t="str">
        <f t="shared" si="371" ref="BL68:BL75">IF(ISBLANK(AX68),"",AX68)</f>
        <v/>
      </c>
      <c s="97" t="str">
        <f t="array" ref="BM68">IFERROR(IF(BG68="ac"+ISNUMBER(SEARCH("'",BL68))+BK68="","",IF(ISNUMBER(SEARCH("lw",BL68)),AY68+SUBSTITUTE(BL68,"lw+",""),MROUND(_xlfn.SWITCH(BG68,"sq",BK$7,"bn",BL$7,"dl",BM$7,"")*IF(BL68&gt;10,BL68/100,VLOOKUP(BL68,_rpe,SUBSTITUTE(BK68,"+","")+1,0)),IF(_xlfn.SWITCH(BG68,"sq",BK$7,"bn",BL$7,"dl",BM$7,"")&lt;IF(_uom="lbs",175,80),1.25,IF(_uom="lbs",5,2.5))))),"")</f>
        <v/>
      </c>
      <c s="70"/>
      <c s="63"/>
      <c s="97"/>
      <c s="44" t="str">
        <f>IFERROR(__xludf.DUMMYFUNCTION("IF(BM68=MAX(FILTER(BM$10:BM$199,LOOKUP(ROW(BG$10:BG$199),FILTER(ROW(BG$10:BG$199),BG$10:BG$199&lt;&gt;BG$9:BG$198))=LOOKUP(ROW(BG68),FILTER(ROW(BG$10:BG$199),BG$10:BG$199&lt;&gt;BG$9:BG$198)))),BN68,)"),"")</f>
        <v/>
      </c>
      <c s="42"/>
      <c s="63"/>
      <c s="64" t="str">
        <f t="shared" si="21"/>
        <v/>
      </c>
      <c s="65" t="str">
        <f>IFERROR(__xludf.DUMMYFUNCTION("""COMPUTED_VALUE"""),"ac")</f>
        <v>ac</v>
      </c>
      <c s="66">
        <f ca="1"/>
        <v>45243</v>
      </c>
      <c s="93" t="str">
        <f t="shared" si="22"/>
        <v>note: may superset biceps/triceps</v>
      </c>
      <c s="94" t="str">
        <f t="shared" si="372" ref="BX68:BX76">IF(ISBLANK(BJ68),"",BJ68)</f>
        <v/>
      </c>
      <c s="95" t="str">
        <f t="shared" si="373" ref="BY68:BY75">IF(OR(ISBLANK(BK68),BK68=""),"",BK68)</f>
        <v/>
      </c>
      <c s="98" t="str">
        <f t="shared" si="374" ref="BZ68:BZ75">IF(ISBLANK(BL68),"",BL68)</f>
        <v/>
      </c>
      <c s="97" t="str">
        <f t="array" ref="CA68">IFERROR(IF(BU68="ac"+ISNUMBER(SEARCH("'",BZ68))+BY68="","",IF(ISNUMBER(SEARCH("lw",BZ68)),BM68+SUBSTITUTE(BZ68,"lw+",""),MROUND(_xlfn.SWITCH(BU68,"sq",BY$7,"bn",BZ$7,"dl",CA$7,"")*IF(BZ68&gt;10,BZ68/100,VLOOKUP(BZ68,_rpe,SUBSTITUTE(BY68,"+","")+1,0)),IF(_xlfn.SWITCH(BU68,"sq",BY$7,"bn",BZ$7,"dl",CA$7,"")&lt;IF(_uom="lbs",175,80),1.25,IF(_uom="lbs",5,2.5))))),"")</f>
        <v/>
      </c>
      <c s="70"/>
      <c s="63"/>
      <c s="97"/>
      <c s="44" t="str">
        <f>IFERROR(__xludf.DUMMYFUNCTION("IF(CA68=MAX(FILTER(CA$10:CA$199,LOOKUP(ROW(BU$10:BU$199),FILTER(ROW(BU$10:BU$199),BU$10:BU$199&lt;&gt;BU$9:BU$198))=LOOKUP(ROW(BU68),FILTER(ROW(BU$10:BU$199),BU$10:BU$199&lt;&gt;BU$9:BU$198)))),CB68,)"),"")</f>
        <v/>
      </c>
      <c s="42"/>
      <c s="63"/>
      <c s="64" t="str">
        <f t="shared" si="24"/>
        <v/>
      </c>
      <c s="65" t="str">
        <f>IFERROR(__xludf.DUMMYFUNCTION("""COMPUTED_VALUE"""),"ac")</f>
        <v>ac</v>
      </c>
      <c s="66">
        <f ca="1"/>
        <v>45250</v>
      </c>
      <c s="93" t="str">
        <f t="shared" si="44"/>
        <v>note: may superset biceps/triceps</v>
      </c>
      <c s="94" t="str">
        <f t="shared" si="300"/>
        <v/>
      </c>
      <c s="95" t="str">
        <f t="shared" si="375" ref="CM68:CM75">IF(OR(ISBLANK(BY68),BY68=""),"",BY68)</f>
        <v/>
      </c>
      <c s="98" t="str">
        <f t="shared" si="376" ref="CN68:CN75">IF(ISBLANK(BZ68),"",BZ68)</f>
        <v/>
      </c>
      <c s="97" t="str">
        <f t="array" ref="CO68">IFERROR(IF(CI68="ac"+ISNUMBER(SEARCH("'",CN68))+CM68="","",IF(ISNUMBER(SEARCH("lw",CN68)),CA68+SUBSTITUTE(CN68,"lw+",""),MROUND(_xlfn.SWITCH(CI68,"sq",CM$7,"bn",CN$7,"dl",CO$7,"")*IF(CN68&gt;10,CN68/100,VLOOKUP(CN68,_rpe,SUBSTITUTE(CM68,"+","")+1,0)),IF(_xlfn.SWITCH(CI68,"sq",CM$7,"bn",CN$7,"dl",CO$7,"")&lt;IF(_uom="lbs",175,80),1.25,IF(_uom="lbs",5,2.5))))),"")</f>
        <v/>
      </c>
      <c s="70"/>
      <c s="63"/>
      <c s="97"/>
      <c s="44" t="str">
        <f>IFERROR(__xludf.DUMMYFUNCTION("IF(CO68=MAX(FILTER(CO$10:CO$199,LOOKUP(ROW(CI$10:CI$199),FILTER(ROW(CI$10:CI$199),CI$10:CI$199&lt;&gt;CI$9:CI$198))=LOOKUP(ROW(CI68),FILTER(ROW(CI$10:CI$199),CI$10:CI$199&lt;&gt;CI$9:CI$198)))),CP68,)"),"")</f>
        <v/>
      </c>
      <c s="42"/>
      <c s="63"/>
      <c s="64" t="str">
        <f t="shared" si="27"/>
        <v/>
      </c>
      <c s="65" t="str">
        <f>IFERROR(__xludf.DUMMYFUNCTION("""COMPUTED_VALUE"""),"ac")</f>
        <v>ac</v>
      </c>
      <c s="66">
        <f ca="1"/>
        <v>45257</v>
      </c>
      <c s="93" t="str">
        <f t="shared" si="45"/>
        <v>note: may superset biceps/triceps</v>
      </c>
      <c s="94" t="str">
        <f t="shared" si="302"/>
        <v/>
      </c>
      <c s="95" t="str">
        <f t="shared" si="377" ref="DA68:DA75">IF(OR(ISBLANK(CM68),CM68=""),"",CM68)</f>
        <v/>
      </c>
      <c s="98" t="str">
        <f t="shared" si="304"/>
        <v/>
      </c>
      <c s="97" t="str">
        <f t="array" ref="DC68">IFERROR(IF(CW68="ac"+ISNUMBER(SEARCH("'",DB68))+DA68="","",IF(ISNUMBER(SEARCH("lw",DB68)),CO68+SUBSTITUTE(DB68,"lw+",""),MROUND(_xlfn.SWITCH(CW68,"sq",DA$7,"bn",DB$7,"dl",DC$7,"")*IF(DB68&gt;10,DB68/100,VLOOKUP(DB68,_rpe,SUBSTITUTE(DA68,"+","")+1,0)),IF(_xlfn.SWITCH(CW68,"sq",DA$7,"bn",DB$7,"dl",DC$7,"")&lt;IF(_uom="lbs",175,80),1.25,IF(_uom="lbs",5,2.5))))),"")</f>
        <v/>
      </c>
      <c s="70"/>
      <c s="63"/>
      <c s="97"/>
      <c s="44" t="str">
        <f>IFERROR(__xludf.DUMMYFUNCTION("IF(DC68=MAX(FILTER(DC$10:DC$199,LOOKUP(ROW(CW$10:CW$199),FILTER(ROW(CW$10:CW$199),CW$10:CW$199&lt;&gt;CW$9:CW$198))=LOOKUP(ROW(CW68),FILTER(ROW(CW$10:CW$199),CW$10:CW$199&lt;&gt;CW$9:CW$198)))),DD68,)"),"")</f>
        <v/>
      </c>
      <c s="42"/>
      <c s="63"/>
      <c s="64" t="str">
        <f t="shared" si="30"/>
        <v/>
      </c>
      <c s="65" t="str">
        <f>IFERROR(__xludf.DUMMYFUNCTION("""COMPUTED_VALUE"""),"ac")</f>
        <v>ac</v>
      </c>
      <c s="66">
        <f ca="1"/>
        <v>45264</v>
      </c>
      <c s="93" t="str">
        <f t="shared" si="46"/>
        <v>note: may superset biceps/triceps</v>
      </c>
      <c s="94" t="str">
        <f t="shared" si="305"/>
        <v/>
      </c>
      <c s="95" t="str">
        <f t="shared" si="378" ref="DO68:DO75">IF(OR(ISBLANK(DA68),DA68=""),"",DA68)</f>
        <v/>
      </c>
      <c s="98" t="str">
        <f t="shared" si="379" ref="DP68:DP75">IF(ISBLANK(DB68),"",DB68)</f>
        <v/>
      </c>
      <c s="97" t="str">
        <f t="array" ref="DQ68">IFERROR(IF(DK68="ac"+ISNUMBER(SEARCH("'",DP68))+DO68="","",IF(ISNUMBER(SEARCH("lw",DP68)),DC68+SUBSTITUTE(DP68,"lw+",""),MROUND(_xlfn.SWITCH(DK68,"sq",DO$7,"bn",DP$7,"dl",DQ$7,"")*IF(DP68&gt;10,DP68/100,VLOOKUP(DP68,_rpe,SUBSTITUTE(DO68,"+","")+1,0)),IF(_xlfn.SWITCH(DK68,"sq",DO$7,"bn",DP$7,"dl",DQ$7,"")&lt;IF(_uom="lbs",175,80),1.25,IF(_uom="lbs",5,2.5))))),"")</f>
        <v/>
      </c>
      <c s="70"/>
      <c s="63"/>
      <c s="97"/>
      <c s="44" t="str">
        <f>IFERROR(__xludf.DUMMYFUNCTION("IF(DQ68=MAX(FILTER(DQ$10:DQ$199,LOOKUP(ROW(DK$10:DK$199),FILTER(ROW(DK$10:DK$199),DK$10:DK$199&lt;&gt;DK$9:DK$198))=LOOKUP(ROW(DK68),FILTER(ROW(DK$10:DK$199),DK$10:DK$199&lt;&gt;DK$9:DK$198)))),DR68,)"),"")</f>
        <v/>
      </c>
      <c s="42"/>
      <c s="63"/>
      <c s="64" t="str">
        <f t="shared" si="32"/>
        <v/>
      </c>
      <c s="65" t="str">
        <f>IFERROR(__xludf.DUMMYFUNCTION("""COMPUTED_VALUE"""),"ac")</f>
        <v>ac</v>
      </c>
      <c s="66">
        <f ca="1"/>
        <v>45271</v>
      </c>
      <c s="93" t="str">
        <f t="shared" si="47"/>
        <v>note: may superset biceps/triceps</v>
      </c>
      <c s="94" t="str">
        <f t="shared" si="308"/>
        <v/>
      </c>
      <c s="95" t="str">
        <f t="shared" si="380" ref="EC68:EC75">IF(OR(ISBLANK(DO68),DO68=""),"",DO68)</f>
        <v/>
      </c>
      <c s="98" t="str">
        <f t="shared" si="381" ref="ED68:ED75">IF(ISBLANK(DP68),"",DP68)</f>
        <v/>
      </c>
      <c s="97" t="str">
        <f t="array" ref="EE68">IFERROR(IF(DY68="ac"+ISNUMBER(SEARCH("'",ED68))+EC68="","",IF(ISNUMBER(SEARCH("lw",ED68)),DQ68+SUBSTITUTE(ED68,"lw+",""),MROUND(_xlfn.SWITCH(DY68,"sq",EC$7,"bn",ED$7,"dl",EE$7,"")*IF(ED68&gt;10,ED68/100,VLOOKUP(ED68,_rpe,SUBSTITUTE(EC68,"+","")+1,0)),IF(_xlfn.SWITCH(DY68,"sq",EC$7,"bn",ED$7,"dl",EE$7,"")&lt;IF(_uom="lbs",175,80),1.25,IF(_uom="lbs",5,2.5))))),"")</f>
        <v/>
      </c>
      <c s="70"/>
      <c s="63"/>
      <c s="97"/>
      <c s="44" t="str">
        <f>IFERROR(__xludf.DUMMYFUNCTION("IF(EE68=MAX(FILTER(EE$10:EE$199,LOOKUP(ROW(DY$10:DY$199),FILTER(ROW(DY$10:DY$199),DY$10:DY$199&lt;&gt;DY$9:DY$198))=LOOKUP(ROW(DY68),FILTER(ROW(DY$10:DY$199),DY$10:DY$199&lt;&gt;DY$9:DY$198)))),EF68,)"),"")</f>
        <v/>
      </c>
      <c s="42"/>
      <c s="63"/>
      <c s="64" t="str">
        <f t="shared" si="34"/>
        <v/>
      </c>
      <c s="65" t="str">
        <f>IFERROR(__xludf.DUMMYFUNCTION("""COMPUTED_VALUE"""),"ac")</f>
        <v>ac</v>
      </c>
      <c s="66">
        <f ca="1"/>
        <v>45278</v>
      </c>
      <c s="93" t="str">
        <f t="shared" si="48"/>
        <v>note: may superset biceps/triceps</v>
      </c>
      <c s="94" t="str">
        <f t="shared" si="311"/>
        <v/>
      </c>
      <c s="95" t="str">
        <f t="shared" si="382" ref="EQ68:EQ77">IF(OR(ISBLANK(EC68),EC68=""),"",EC68)</f>
        <v/>
      </c>
      <c s="98" t="str">
        <f t="shared" si="313"/>
        <v/>
      </c>
      <c s="97" t="str">
        <f t="array" ref="ES68">IFERROR(IF(EM68="ac"+ISNUMBER(SEARCH("'",ER68))+EQ68="","",IF(ISNUMBER(SEARCH("lw",ER68)),EE68+SUBSTITUTE(ER68,"lw+",""),MROUND(_xlfn.SWITCH(EM68,"sq",EQ$7,"bn",ER$7,"dl",ES$7,"")*IF(ER68&gt;10,ER68/100,VLOOKUP(ER68,_rpe,SUBSTITUTE(EQ68,"+","")+1,0)),IF(_xlfn.SWITCH(EM68,"sq",EQ$7,"bn",ER$7,"dl",ES$7,"")&lt;IF(_uom="lbs",175,80),1.25,IF(_uom="lbs",5,2.5))))),"")</f>
        <v/>
      </c>
      <c s="70"/>
      <c s="63"/>
      <c s="97"/>
      <c s="44" t="str">
        <f>IFERROR(__xludf.DUMMYFUNCTION("IF(ES68=MAX(FILTER(ES$10:ES$199,LOOKUP(ROW(EM$10:EM$199),FILTER(ROW(EM$10:EM$199),EM$10:EM$199&lt;&gt;EM$9:EM$198))=LOOKUP(ROW(EM68),FILTER(ROW(EM$10:EM$199),EM$10:EM$199&lt;&gt;EM$9:EM$198)))),ET68,)"),"")</f>
        <v/>
      </c>
      <c s="42"/>
      <c s="63"/>
      <c s="64" t="str">
        <f t="shared" si="36"/>
        <v/>
      </c>
      <c s="65" t="str">
        <f>IFERROR(__xludf.DUMMYFUNCTION("""COMPUTED_VALUE"""),"ac")</f>
        <v>ac</v>
      </c>
      <c s="66">
        <f ca="1"/>
        <v>45285</v>
      </c>
      <c s="93" t="str">
        <f t="shared" si="49"/>
        <v>note: may superset biceps/triceps</v>
      </c>
      <c s="94" t="str">
        <f t="shared" si="314"/>
        <v/>
      </c>
      <c s="95" t="str">
        <f t="shared" si="383" ref="FE68:FE76">IF(OR(ISBLANK(EQ68),EQ68=""),"",EQ68)</f>
        <v/>
      </c>
      <c s="98" t="str">
        <f t="shared" si="316"/>
        <v/>
      </c>
      <c s="97" t="str">
        <f t="array" ref="FG68">IFERROR(IF(FA68="ac"+ISNUMBER(SEARCH("'",FF68))+FE68="","",IF(ISNUMBER(SEARCH("lw",FF68)),ES68+SUBSTITUTE(FF68,"lw+",""),MROUND(_xlfn.SWITCH(FA68,"sq",FE$7,"bn",FF$7,"dl",FG$7,"")*IF(FF68&gt;10,FF68/100,VLOOKUP(FF68,_rpe,SUBSTITUTE(FE68,"+","")+1,0)),IF(_xlfn.SWITCH(FA68,"sq",FE$7,"bn",FF$7,"dl",FG$7,"")&lt;IF(_uom="lbs",175,80),1.25,IF(_uom="lbs",5,2.5))))),"")</f>
        <v/>
      </c>
      <c s="70"/>
      <c s="63"/>
      <c s="97"/>
      <c s="44" t="str">
        <f>IFERROR(__xludf.DUMMYFUNCTION("IF(FG68=MAX(FILTER(FG$10:FG$199,LOOKUP(ROW(FA$10:FA$199),FILTER(ROW(FA$10:FA$199),FA$10:FA$199&lt;&gt;FA$9:FA$198))=LOOKUP(ROW(FA68),FILTER(ROW(FA$10:FA$199),FA$10:FA$199&lt;&gt;FA$9:FA$198)))),FH68,)"),"")</f>
        <v/>
      </c>
      <c s="42"/>
      <c s="63"/>
      <c s="64" t="str">
        <f t="shared" si="38"/>
        <v/>
      </c>
      <c s="65" t="str">
        <f>IFERROR(__xludf.DUMMYFUNCTION("""COMPUTED_VALUE"""),"")</f>
        <v/>
      </c>
      <c s="66">
        <f ca="1"/>
        <v>45292</v>
      </c>
      <c s="93"/>
      <c s="94"/>
      <c s="95"/>
      <c s="98"/>
      <c s="97" t="str">
        <f t="array" ref="FU68">IFERROR(IF(FO68="ac"+ISNUMBER(SEARCH("'",FT68))+FS68="","",IF(ISNUMBER(SEARCH("lw",FT68)),FG68+SUBSTITUTE(FT68,"lw+",""),MROUND(_xlfn.SWITCH(FO68,"sq",FS$7,"bn",FT$7,"dl",FU$7,"")*IF(FT68&gt;10,FT68/100,VLOOKUP(FT68,_rpe,SUBSTITUTE(FS68,"+","")+1,0)),IF(_xlfn.SWITCH(FO68,"sq",FS$7,"bn",FT$7,"dl",FU$7,"")&lt;IF(_uom="lbs",175,80),1.25,IF(_uom="lbs",5,2.5))))),"")</f>
        <v/>
      </c>
      <c s="70"/>
      <c s="63"/>
      <c s="97"/>
      <c s="44" t="str">
        <f>IFERROR(__xludf.DUMMYFUNCTION("IF(FU68=MAX(FILTER(FU$10:FU$199,LOOKUP(ROW(FO$10:FO$199),FILTER(ROW(FO$10:FO$199),FO$10:FO$199&lt;&gt;FO$9:FO$198))=LOOKUP(ROW(FO68),FILTER(ROW(FO$10:FO$199),FO$10:FO$199&lt;&gt;FO$9:FO$198)))),FV68,)"),"")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69" spans="1:259" ht="15.75" hidden="1">
      <c r="A69" s="63"/>
      <c s="107"/>
      <c s="65" t="str">
        <f>IFERROR(__xludf.DUMMYFUNCTION("""COMPUTED_VALUE"""),"")</f>
        <v/>
      </c>
      <c s="66">
        <f ca="1"/>
        <v>45208</v>
      </c>
      <c s="93"/>
      <c s="94"/>
      <c s="95"/>
      <c s="96"/>
      <c s="97" t="str">
        <f t="array" ref="I69">IFERROR(IF(C69="ac"+ISNUMBER(SEARCH("'",H69))+G69="","",MROUND(_xlfn.SWITCH(C69,"sq",'Personal Info'!$O$15,"bn",'Personal Info'!$S$15,"dl",'Personal Info'!$W$15,"")*IF(H69&gt;10,H69/100,VLOOKUP(H69,_rpe,SUBSTITUTE(G69,"+","")+1,0)),IF(_xlfn.SWITCH(C69:C210,"sq",'Personal Info'!$O$15,"bn",'Personal Info'!$S$15,"dl",'Personal Info'!$W$15,"")&lt;IF(_uom="lbs",175,80),1.25,IF(_uom="lbs",5,2.5)))),"")</f>
        <v/>
      </c>
      <c s="70"/>
      <c s="63"/>
      <c s="97"/>
      <c s="44" t="str">
        <f>IFERROR(__xludf.DUMMYFUNCTION("IF(I69=MAX(FILTER(I$10:I$199,LOOKUP(ROW(C$10:C$199),FILTER(ROW(C$10:C$199),C$10:C$199&lt;&gt;C$9:C$198))=LOOKUP(ROW(C69),FILTER(ROW(C$10:C$199),C$10:C$199&lt;&gt;C$9:C$198)))),J69,)"),"")</f>
        <v/>
      </c>
      <c s="42"/>
      <c s="63"/>
      <c s="64" t="str">
        <f t="shared" si="11"/>
        <v/>
      </c>
      <c s="65" t="str">
        <f>IFERROR(__xludf.DUMMYFUNCTION("""COMPUTED_VALUE"""),"")</f>
        <v/>
      </c>
      <c s="66">
        <f ca="1"/>
        <v>45215</v>
      </c>
      <c s="93" t="str">
        <f t="shared" si="12"/>
        <v/>
      </c>
      <c s="94" t="str">
        <f t="shared" si="363"/>
        <v/>
      </c>
      <c s="95" t="str">
        <f t="shared" si="364"/>
        <v/>
      </c>
      <c s="98" t="str">
        <f t="shared" si="365"/>
        <v/>
      </c>
      <c s="97" t="str">
        <f t="array" ref="W69">IFERROR(IF(Q69="ac"+ISNUMBER(SEARCH("'",V69))+U69="","",IF(ISNUMBER(SEARCH("lw",V69)),I69+SUBSTITUTE(V69,"lw+",""),MROUND(_xlfn.SWITCH(Q69,"sq",U$7,"bn",V$7,"dl",W$7,"")*IF(V69&gt;10,V69/100,VLOOKUP(V69,_rpe,SUBSTITUTE(U69,"+","")+1,0)),IF(_xlfn.SWITCH(Q69,"sq",U$7,"bn",V$7,"dl",W$7,"")&lt;IF(_uom="lbs",175,80),1.25,IF(_uom="lbs",5,2.5))))),"")</f>
        <v/>
      </c>
      <c s="70"/>
      <c s="63"/>
      <c s="97"/>
      <c s="44" t="str">
        <f>IFERROR(__xludf.DUMMYFUNCTION("IF(W69=MAX(FILTER(W$10:W$199,LOOKUP(ROW(Q$10:Q$199),FILTER(ROW(Q$10:Q$199),Q$10:Q$199&lt;&gt;Q$9:Q$198))=LOOKUP(ROW(Q69),FILTER(ROW(Q$10:Q$199),Q$10:Q$199&lt;&gt;Q$9:Q$198)))),X69,)"),"")</f>
        <v/>
      </c>
      <c s="42"/>
      <c s="63"/>
      <c s="64" t="str">
        <f t="shared" si="14"/>
        <v/>
      </c>
      <c s="65" t="str">
        <f>IFERROR(__xludf.DUMMYFUNCTION("""COMPUTED_VALUE"""),"")</f>
        <v/>
      </c>
      <c s="66">
        <f ca="1"/>
        <v>45222</v>
      </c>
      <c s="93" t="str">
        <f t="shared" si="156"/>
        <v/>
      </c>
      <c s="94" t="str">
        <f t="shared" si="186"/>
        <v/>
      </c>
      <c s="95" t="str">
        <f t="shared" si="366"/>
        <v/>
      </c>
      <c s="98" t="str">
        <f t="shared" si="367"/>
        <v/>
      </c>
      <c s="97" t="str">
        <f t="array" ref="AK69">IFERROR(IF(AE69="ac"+ISNUMBER(SEARCH("'",AJ69))+AI69="","",IF(ISNUMBER(SEARCH("lw",AJ69)),W69+SUBSTITUTE(AJ69,"lw+",""),MROUND(_xlfn.SWITCH(AE69,"sq",AI$7,"bn",AJ$7,"dl",AK$7,"")*IF(AJ69&gt;10,AJ69/100,VLOOKUP(AJ69,_rpe,SUBSTITUTE(AI69,"+","")+1,0)),IF(_xlfn.SWITCH(AE69,"sq",AI$7,"bn",AJ$7,"dl",AK$7,"")&lt;IF(_uom="lbs",175,80),1.25,IF(_uom="lbs",5,2.5))))),"")</f>
        <v/>
      </c>
      <c s="70"/>
      <c s="63"/>
      <c s="97"/>
      <c s="44" t="str">
        <f>IFERROR(__xludf.DUMMYFUNCTION("IF(AK69=MAX(FILTER(AK$10:AK$199,LOOKUP(ROW(AE$10:AE$199),FILTER(ROW(AE$10:AE$199),AE$10:AE$199&lt;&gt;AE$9:AE$198))=LOOKUP(ROW(AE69),FILTER(ROW(AE$10:AE$199),AE$10:AE$199&lt;&gt;AE$9:AE$198)))),AL69,)"),"")</f>
        <v/>
      </c>
      <c s="42"/>
      <c s="63"/>
      <c s="64" t="str">
        <f t="shared" si="17"/>
        <v/>
      </c>
      <c s="65" t="str">
        <f>IFERROR(__xludf.DUMMYFUNCTION("""COMPUTED_VALUE"""),"")</f>
        <v/>
      </c>
      <c s="66">
        <f ca="1"/>
        <v>45229</v>
      </c>
      <c s="93" t="str">
        <f t="shared" si="157"/>
        <v/>
      </c>
      <c s="94" t="str">
        <f t="shared" si="188"/>
        <v/>
      </c>
      <c s="95" t="str">
        <f t="shared" si="368"/>
        <v/>
      </c>
      <c s="98" t="str">
        <f t="shared" si="294"/>
        <v/>
      </c>
      <c s="97" t="str">
        <f t="array" ref="AY69">IFERROR(IF(AS69="ac"+ISNUMBER(SEARCH("'",AX69))+AW69="","",IF(ISNUMBER(SEARCH("lw",AX69)),AK69+SUBSTITUTE(AX69,"lw+",""),MROUND(_xlfn.SWITCH(AS69,"sq",AW$7,"bn",AX$7,"dl",AY$7,"")*IF(AX69&gt;10,AX69/100,VLOOKUP(AX69,_rpe,SUBSTITUTE(AW69,"+","")+1,0)),IF(_xlfn.SWITCH(AS69,"sq",AW$7,"bn",AX$7,"dl",AY$7,"")&lt;IF(_uom="lbs",175,80),1.25,IF(_uom="lbs",5,2.5))))),"")</f>
        <v/>
      </c>
      <c s="70"/>
      <c s="63"/>
      <c s="97"/>
      <c s="44" t="str">
        <f>IFERROR(__xludf.DUMMYFUNCTION("IF(AY69=MAX(FILTER(AY$10:AY$199,LOOKUP(ROW(AS$10:AS$199),FILTER(ROW(AS$10:AS$199),AS$10:AS$199&lt;&gt;AS$9:AS$198))=LOOKUP(ROW(AS69),FILTER(ROW(AS$10:AS$199),AS$10:AS$199&lt;&gt;AS$9:AS$198)))),AZ69,)"),"")</f>
        <v/>
      </c>
      <c s="42"/>
      <c s="63"/>
      <c s="64" t="str">
        <f t="shared" si="19"/>
        <v/>
      </c>
      <c s="65" t="str">
        <f>IFERROR(__xludf.DUMMYFUNCTION("""COMPUTED_VALUE"""),"")</f>
        <v/>
      </c>
      <c s="66">
        <f ca="1"/>
        <v>45236</v>
      </c>
      <c s="93" t="str">
        <f t="shared" si="20"/>
        <v/>
      </c>
      <c s="94" t="str">
        <f t="shared" si="369"/>
        <v/>
      </c>
      <c s="95" t="str">
        <f t="shared" si="370"/>
        <v/>
      </c>
      <c s="98" t="str">
        <f t="shared" si="371"/>
        <v/>
      </c>
      <c s="97" t="str">
        <f t="array" ref="BM69">IFERROR(IF(BG69="ac"+ISNUMBER(SEARCH("'",BL69))+BK69="","",IF(ISNUMBER(SEARCH("lw",BL69)),AY69+SUBSTITUTE(BL69,"lw+",""),MROUND(_xlfn.SWITCH(BG69,"sq",BK$7,"bn",BL$7,"dl",BM$7,"")*IF(BL69&gt;10,BL69/100,VLOOKUP(BL69,_rpe,SUBSTITUTE(BK69,"+","")+1,0)),IF(_xlfn.SWITCH(BG69,"sq",BK$7,"bn",BL$7,"dl",BM$7,"")&lt;IF(_uom="lbs",175,80),1.25,IF(_uom="lbs",5,2.5))))),"")</f>
        <v/>
      </c>
      <c s="70"/>
      <c s="63"/>
      <c s="97"/>
      <c s="44" t="str">
        <f>IFERROR(__xludf.DUMMYFUNCTION("IF(BM69=MAX(FILTER(BM$10:BM$199,LOOKUP(ROW(BG$10:BG$199),FILTER(ROW(BG$10:BG$199),BG$10:BG$199&lt;&gt;BG$9:BG$198))=LOOKUP(ROW(BG69),FILTER(ROW(BG$10:BG$199),BG$10:BG$199&lt;&gt;BG$9:BG$198)))),BN69,)"),"")</f>
        <v/>
      </c>
      <c s="42"/>
      <c s="63"/>
      <c s="64" t="str">
        <f t="shared" si="21"/>
        <v/>
      </c>
      <c s="65" t="str">
        <f>IFERROR(__xludf.DUMMYFUNCTION("""COMPUTED_VALUE"""),"")</f>
        <v/>
      </c>
      <c s="66">
        <f ca="1"/>
        <v>45243</v>
      </c>
      <c s="93" t="str">
        <f t="shared" si="22"/>
        <v/>
      </c>
      <c s="94" t="str">
        <f t="shared" si="372"/>
        <v/>
      </c>
      <c s="95" t="str">
        <f t="shared" si="373"/>
        <v/>
      </c>
      <c s="98" t="str">
        <f t="shared" si="374"/>
        <v/>
      </c>
      <c s="97" t="str">
        <f t="array" ref="CA69">IFERROR(IF(BU69="ac"+ISNUMBER(SEARCH("'",BZ69))+BY69="","",IF(ISNUMBER(SEARCH("lw",BZ69)),BM69+SUBSTITUTE(BZ69,"lw+",""),MROUND(_xlfn.SWITCH(BU69,"sq",BY$7,"bn",BZ$7,"dl",CA$7,"")*IF(BZ69&gt;10,BZ69/100,VLOOKUP(BZ69,_rpe,SUBSTITUTE(BY69,"+","")+1,0)),IF(_xlfn.SWITCH(BU69,"sq",BY$7,"bn",BZ$7,"dl",CA$7,"")&lt;IF(_uom="lbs",175,80),1.25,IF(_uom="lbs",5,2.5))))),"")</f>
        <v/>
      </c>
      <c s="70"/>
      <c s="63"/>
      <c s="97"/>
      <c s="44" t="str">
        <f>IFERROR(__xludf.DUMMYFUNCTION("IF(CA69=MAX(FILTER(CA$10:CA$199,LOOKUP(ROW(BU$10:BU$199),FILTER(ROW(BU$10:BU$199),BU$10:BU$199&lt;&gt;BU$9:BU$198))=LOOKUP(ROW(BU69),FILTER(ROW(BU$10:BU$199),BU$10:BU$199&lt;&gt;BU$9:BU$198)))),CB69,)"),"")</f>
        <v/>
      </c>
      <c s="42"/>
      <c s="63"/>
      <c s="64" t="str">
        <f t="shared" si="24"/>
        <v/>
      </c>
      <c s="65" t="str">
        <f>IFERROR(__xludf.DUMMYFUNCTION("""COMPUTED_VALUE"""),"")</f>
        <v/>
      </c>
      <c s="66">
        <f ca="1"/>
        <v>45250</v>
      </c>
      <c s="93" t="str">
        <f t="shared" si="44"/>
        <v/>
      </c>
      <c s="94" t="str">
        <f t="shared" si="300"/>
        <v/>
      </c>
      <c s="95" t="str">
        <f t="shared" si="375"/>
        <v/>
      </c>
      <c s="98" t="str">
        <f t="shared" si="376"/>
        <v/>
      </c>
      <c s="97" t="str">
        <f t="array" ref="CO69">IFERROR(IF(CI69="ac"+ISNUMBER(SEARCH("'",CN69))+CM69="","",IF(ISNUMBER(SEARCH("lw",CN69)),CA69+SUBSTITUTE(CN69,"lw+",""),MROUND(_xlfn.SWITCH(CI69,"sq",CM$7,"bn",CN$7,"dl",CO$7,"")*IF(CN69&gt;10,CN69/100,VLOOKUP(CN69,_rpe,SUBSTITUTE(CM69,"+","")+1,0)),IF(_xlfn.SWITCH(CI69,"sq",CM$7,"bn",CN$7,"dl",CO$7,"")&lt;IF(_uom="lbs",175,80),1.25,IF(_uom="lbs",5,2.5))))),"")</f>
        <v/>
      </c>
      <c s="70"/>
      <c s="63"/>
      <c s="97"/>
      <c s="44" t="str">
        <f>IFERROR(__xludf.DUMMYFUNCTION("IF(CO69=MAX(FILTER(CO$10:CO$199,LOOKUP(ROW(CI$10:CI$199),FILTER(ROW(CI$10:CI$199),CI$10:CI$199&lt;&gt;CI$9:CI$198))=LOOKUP(ROW(CI69),FILTER(ROW(CI$10:CI$199),CI$10:CI$199&lt;&gt;CI$9:CI$198)))),CP69,)"),"")</f>
        <v/>
      </c>
      <c s="42"/>
      <c s="63"/>
      <c s="64" t="str">
        <f t="shared" si="27"/>
        <v/>
      </c>
      <c s="65" t="str">
        <f>IFERROR(__xludf.DUMMYFUNCTION("""COMPUTED_VALUE"""),"")</f>
        <v/>
      </c>
      <c s="66">
        <f ca="1"/>
        <v>45257</v>
      </c>
      <c s="93" t="str">
        <f t="shared" si="45"/>
        <v/>
      </c>
      <c s="94" t="str">
        <f t="shared" si="302"/>
        <v/>
      </c>
      <c s="95" t="str">
        <f t="shared" si="377"/>
        <v/>
      </c>
      <c s="98" t="str">
        <f t="shared" si="304"/>
        <v/>
      </c>
      <c s="97" t="str">
        <f t="array" ref="DC69">IFERROR(IF(CW69="ac"+ISNUMBER(SEARCH("'",DB69))+DA69="","",IF(ISNUMBER(SEARCH("lw",DB69)),CO69+SUBSTITUTE(DB69,"lw+",""),MROUND(_xlfn.SWITCH(CW69,"sq",DA$7,"bn",DB$7,"dl",DC$7,"")*IF(DB69&gt;10,DB69/100,VLOOKUP(DB69,_rpe,SUBSTITUTE(DA69,"+","")+1,0)),IF(_xlfn.SWITCH(CW69,"sq",DA$7,"bn",DB$7,"dl",DC$7,"")&lt;IF(_uom="lbs",175,80),1.25,IF(_uom="lbs",5,2.5))))),"")</f>
        <v/>
      </c>
      <c s="70"/>
      <c s="63"/>
      <c s="97"/>
      <c s="44" t="str">
        <f>IFERROR(__xludf.DUMMYFUNCTION("IF(DC69=MAX(FILTER(DC$10:DC$199,LOOKUP(ROW(CW$10:CW$199),FILTER(ROW(CW$10:CW$199),CW$10:CW$199&lt;&gt;CW$9:CW$198))=LOOKUP(ROW(CW69),FILTER(ROW(CW$10:CW$199),CW$10:CW$199&lt;&gt;CW$9:CW$198)))),DD69,)"),"")</f>
        <v/>
      </c>
      <c s="42"/>
      <c s="63"/>
      <c s="64" t="str">
        <f t="shared" si="30"/>
        <v/>
      </c>
      <c s="65" t="str">
        <f>IFERROR(__xludf.DUMMYFUNCTION("""COMPUTED_VALUE"""),"")</f>
        <v/>
      </c>
      <c s="66">
        <f ca="1"/>
        <v>45264</v>
      </c>
      <c s="93" t="str">
        <f t="shared" si="46"/>
        <v/>
      </c>
      <c s="94" t="str">
        <f t="shared" si="305"/>
        <v/>
      </c>
      <c s="95" t="str">
        <f t="shared" si="378"/>
        <v/>
      </c>
      <c s="98" t="str">
        <f t="shared" si="379"/>
        <v/>
      </c>
      <c s="97" t="str">
        <f t="array" ref="DQ69">IFERROR(IF(DK69="ac"+ISNUMBER(SEARCH("'",DP69))+DO69="","",IF(ISNUMBER(SEARCH("lw",DP69)),DC69+SUBSTITUTE(DP69,"lw+",""),MROUND(_xlfn.SWITCH(DK69,"sq",DO$7,"bn",DP$7,"dl",DQ$7,"")*IF(DP69&gt;10,DP69/100,VLOOKUP(DP69,_rpe,SUBSTITUTE(DO69,"+","")+1,0)),IF(_xlfn.SWITCH(DK69,"sq",DO$7,"bn",DP$7,"dl",DQ$7,"")&lt;IF(_uom="lbs",175,80),1.25,IF(_uom="lbs",5,2.5))))),"")</f>
        <v/>
      </c>
      <c s="70"/>
      <c s="63"/>
      <c s="97"/>
      <c s="44" t="str">
        <f>IFERROR(__xludf.DUMMYFUNCTION("IF(DQ69=MAX(FILTER(DQ$10:DQ$199,LOOKUP(ROW(DK$10:DK$199),FILTER(ROW(DK$10:DK$199),DK$10:DK$199&lt;&gt;DK$9:DK$198))=LOOKUP(ROW(DK69),FILTER(ROW(DK$10:DK$199),DK$10:DK$199&lt;&gt;DK$9:DK$198)))),DR69,)"),"")</f>
        <v/>
      </c>
      <c s="42"/>
      <c s="63"/>
      <c s="64" t="str">
        <f t="shared" si="32"/>
        <v/>
      </c>
      <c s="65" t="str">
        <f>IFERROR(__xludf.DUMMYFUNCTION("""COMPUTED_VALUE"""),"")</f>
        <v/>
      </c>
      <c s="66">
        <f ca="1"/>
        <v>45271</v>
      </c>
      <c s="93" t="str">
        <f t="shared" si="47"/>
        <v/>
      </c>
      <c s="94" t="str">
        <f t="shared" si="308"/>
        <v/>
      </c>
      <c s="95" t="str">
        <f t="shared" si="380"/>
        <v/>
      </c>
      <c s="98" t="str">
        <f t="shared" si="381"/>
        <v/>
      </c>
      <c s="97" t="str">
        <f t="array" ref="EE69">IFERROR(IF(DY69="ac"+ISNUMBER(SEARCH("'",ED69))+EC69="","",IF(ISNUMBER(SEARCH("lw",ED69)),DQ69+SUBSTITUTE(ED69,"lw+",""),MROUND(_xlfn.SWITCH(DY69,"sq",EC$7,"bn",ED$7,"dl",EE$7,"")*IF(ED69&gt;10,ED69/100,VLOOKUP(ED69,_rpe,SUBSTITUTE(EC69,"+","")+1,0)),IF(_xlfn.SWITCH(DY69,"sq",EC$7,"bn",ED$7,"dl",EE$7,"")&lt;IF(_uom="lbs",175,80),1.25,IF(_uom="lbs",5,2.5))))),"")</f>
        <v/>
      </c>
      <c s="70"/>
      <c s="63"/>
      <c s="97"/>
      <c s="44" t="str">
        <f>IFERROR(__xludf.DUMMYFUNCTION("IF(EE69=MAX(FILTER(EE$10:EE$199,LOOKUP(ROW(DY$10:DY$199),FILTER(ROW(DY$10:DY$199),DY$10:DY$199&lt;&gt;DY$9:DY$198))=LOOKUP(ROW(DY69),FILTER(ROW(DY$10:DY$199),DY$10:DY$199&lt;&gt;DY$9:DY$198)))),EF69,)"),"")</f>
        <v/>
      </c>
      <c s="42"/>
      <c s="63"/>
      <c s="64" t="str">
        <f t="shared" si="34"/>
        <v/>
      </c>
      <c s="65" t="str">
        <f>IFERROR(__xludf.DUMMYFUNCTION("""COMPUTED_VALUE"""),"")</f>
        <v/>
      </c>
      <c s="66">
        <f ca="1"/>
        <v>45278</v>
      </c>
      <c s="93" t="str">
        <f t="shared" si="48"/>
        <v/>
      </c>
      <c s="94" t="str">
        <f t="shared" si="311"/>
        <v/>
      </c>
      <c s="95" t="str">
        <f t="shared" si="382"/>
        <v/>
      </c>
      <c s="98" t="str">
        <f t="shared" si="313"/>
        <v/>
      </c>
      <c s="97" t="str">
        <f t="array" ref="ES69">IFERROR(IF(EM69="ac"+ISNUMBER(SEARCH("'",ER69))+EQ69="","",IF(ISNUMBER(SEARCH("lw",ER69)),EE69+SUBSTITUTE(ER69,"lw+",""),MROUND(_xlfn.SWITCH(EM69,"sq",EQ$7,"bn",ER$7,"dl",ES$7,"")*IF(ER69&gt;10,ER69/100,VLOOKUP(ER69,_rpe,SUBSTITUTE(EQ69,"+","")+1,0)),IF(_xlfn.SWITCH(EM69,"sq",EQ$7,"bn",ER$7,"dl",ES$7,"")&lt;IF(_uom="lbs",175,80),1.25,IF(_uom="lbs",5,2.5))))),"")</f>
        <v/>
      </c>
      <c s="70"/>
      <c s="63"/>
      <c s="97"/>
      <c s="44" t="str">
        <f>IFERROR(__xludf.DUMMYFUNCTION("IF(ES69=MAX(FILTER(ES$10:ES$199,LOOKUP(ROW(EM$10:EM$199),FILTER(ROW(EM$10:EM$199),EM$10:EM$199&lt;&gt;EM$9:EM$198))=LOOKUP(ROW(EM69),FILTER(ROW(EM$10:EM$199),EM$10:EM$199&lt;&gt;EM$9:EM$198)))),ET69,)"),"")</f>
        <v/>
      </c>
      <c s="42"/>
      <c s="63"/>
      <c s="64" t="str">
        <f t="shared" si="36"/>
        <v/>
      </c>
      <c s="65" t="str">
        <f>IFERROR(__xludf.DUMMYFUNCTION("""COMPUTED_VALUE"""),"")</f>
        <v/>
      </c>
      <c s="66">
        <f ca="1"/>
        <v>45285</v>
      </c>
      <c s="93" t="str">
        <f t="shared" si="49"/>
        <v/>
      </c>
      <c s="94" t="str">
        <f t="shared" si="314"/>
        <v/>
      </c>
      <c s="95" t="str">
        <f t="shared" si="383"/>
        <v/>
      </c>
      <c s="98" t="str">
        <f t="shared" si="316"/>
        <v/>
      </c>
      <c s="97" t="str">
        <f t="array" ref="FG69">IFERROR(IF(FA69="ac"+ISNUMBER(SEARCH("'",FF69))+FE69="","",IF(ISNUMBER(SEARCH("lw",FF69)),ES69+SUBSTITUTE(FF69,"lw+",""),MROUND(_xlfn.SWITCH(FA69,"sq",FE$7,"bn",FF$7,"dl",FG$7,"")*IF(FF69&gt;10,FF69/100,VLOOKUP(FF69,_rpe,SUBSTITUTE(FE69,"+","")+1,0)),IF(_xlfn.SWITCH(FA69,"sq",FE$7,"bn",FF$7,"dl",FG$7,"")&lt;IF(_uom="lbs",175,80),1.25,IF(_uom="lbs",5,2.5))))),"")</f>
        <v/>
      </c>
      <c s="70"/>
      <c s="63"/>
      <c s="97"/>
      <c s="44" t="str">
        <f>IFERROR(__xludf.DUMMYFUNCTION("IF(FG69=MAX(FILTER(FG$10:FG$199,LOOKUP(ROW(FA$10:FA$199),FILTER(ROW(FA$10:FA$199),FA$10:FA$199&lt;&gt;FA$9:FA$198))=LOOKUP(ROW(FA69),FILTER(ROW(FA$10:FA$199),FA$10:FA$199&lt;&gt;FA$9:FA$198)))),FH69,)"),"")</f>
        <v/>
      </c>
      <c s="42"/>
      <c s="63"/>
      <c s="64" t="str">
        <f t="shared" si="38"/>
        <v/>
      </c>
      <c s="65" t="str">
        <f>IFERROR(__xludf.DUMMYFUNCTION("""COMPUTED_VALUE"""),"")</f>
        <v/>
      </c>
      <c s="66">
        <f ca="1"/>
        <v>45292</v>
      </c>
      <c s="93" t="str">
        <f t="shared" si="384" ref="FQ69:FR69">IF(ISBLANK(FC69),"",FC69)</f>
        <v/>
      </c>
      <c s="94" t="str">
        <f t="shared" si="384"/>
        <v/>
      </c>
      <c s="95" t="str">
        <f t="shared" si="385" ref="FS69:FS75">IF(OR(ISBLANK(FE69),FE69=""),"",FE69)</f>
        <v/>
      </c>
      <c s="98" t="str">
        <f t="shared" si="386" ref="FT69:FT75">IF(ISBLANK(FF69),"",FF69)</f>
        <v/>
      </c>
      <c s="97" t="str">
        <f t="array" ref="FU69">IFERROR(IF(FO69="ac"+ISNUMBER(SEARCH("'",FT69))+FS69="","",IF(ISNUMBER(SEARCH("lw",FT69)),FG69+SUBSTITUTE(FT69,"lw+",""),MROUND(_xlfn.SWITCH(FO69,"sq",FS$7,"bn",FT$7,"dl",FU$7,"")*IF(FT69&gt;10,FT69/100,VLOOKUP(FT69,_rpe,SUBSTITUTE(FS69,"+","")+1,0)),IF(_xlfn.SWITCH(FO69,"sq",FS$7,"bn",FT$7,"dl",FU$7,"")&lt;IF(_uom="lbs",175,80),1.25,IF(_uom="lbs",5,2.5))))),"")</f>
        <v/>
      </c>
      <c s="70"/>
      <c s="63"/>
      <c s="97"/>
      <c s="44" t="str">
        <f>IFERROR(__xludf.DUMMYFUNCTION("IF(FU69=MAX(FILTER(FU$10:FU$199,LOOKUP(ROW(FO$10:FO$199),FILTER(ROW(FO$10:FO$199),FO$10:FO$199&lt;&gt;FO$9:FO$198))=LOOKUP(ROW(FO69),FILTER(ROW(FO$10:FO$199),FO$10:FO$199&lt;&gt;FO$9:FO$198)))),FV69,)"),"")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70" spans="1:259" ht="15.75" hidden="1">
      <c r="A70" s="63"/>
      <c s="107"/>
      <c s="65" t="str">
        <f>IFERROR(__xludf.DUMMYFUNCTION("""COMPUTED_VALUE"""),"")</f>
        <v/>
      </c>
      <c s="66">
        <f ca="1"/>
        <v>45208</v>
      </c>
      <c s="93"/>
      <c s="94"/>
      <c s="95"/>
      <c s="96"/>
      <c s="97" t="str">
        <f t="array" ref="I70">IFERROR(IF(C70="ac"+ISNUMBER(SEARCH("'",H70))+G70="","",MROUND(_xlfn.SWITCH(C70,"sq",'Personal Info'!$O$15,"bn",'Personal Info'!$S$15,"dl",'Personal Info'!$W$15,"")*IF(H70&gt;10,H70/100,VLOOKUP(H70,_rpe,SUBSTITUTE(G70,"+","")+1,0)),IF(_xlfn.SWITCH(C70:C210,"sq",'Personal Info'!$O$15,"bn",'Personal Info'!$S$15,"dl",'Personal Info'!$W$15,"")&lt;IF(_uom="lbs",175,80),1.25,IF(_uom="lbs",5,2.5)))),"")</f>
        <v/>
      </c>
      <c s="70"/>
      <c s="63"/>
      <c s="97"/>
      <c s="44" t="str">
        <f>IFERROR(__xludf.DUMMYFUNCTION("IF(I70=MAX(FILTER(I$10:I$199,LOOKUP(ROW(C$10:C$199),FILTER(ROW(C$10:C$199),C$10:C$199&lt;&gt;C$9:C$198))=LOOKUP(ROW(C70),FILTER(ROW(C$10:C$199),C$10:C$199&lt;&gt;C$9:C$198)))),J70,)"),"")</f>
        <v/>
      </c>
      <c s="42"/>
      <c s="63"/>
      <c s="64" t="str">
        <f t="shared" si="11"/>
        <v/>
      </c>
      <c s="65" t="str">
        <f>IFERROR(__xludf.DUMMYFUNCTION("""COMPUTED_VALUE"""),"")</f>
        <v/>
      </c>
      <c s="66">
        <f ca="1"/>
        <v>45215</v>
      </c>
      <c s="93" t="str">
        <f t="shared" si="12"/>
        <v/>
      </c>
      <c s="94" t="str">
        <f t="shared" si="363"/>
        <v/>
      </c>
      <c s="95" t="str">
        <f t="shared" si="364"/>
        <v/>
      </c>
      <c s="98" t="str">
        <f t="shared" si="365"/>
        <v/>
      </c>
      <c s="97" t="str">
        <f t="array" ref="W70">IFERROR(IF(Q70="ac"+ISNUMBER(SEARCH("'",V70))+U70="","",IF(ISNUMBER(SEARCH("lw",V70)),I70+SUBSTITUTE(V70,"lw+",""),MROUND(_xlfn.SWITCH(Q70,"sq",U$7,"bn",V$7,"dl",W$7,"")*IF(V70&gt;10,V70/100,VLOOKUP(V70,_rpe,SUBSTITUTE(U70,"+","")+1,0)),IF(_xlfn.SWITCH(Q70,"sq",U$7,"bn",V$7,"dl",W$7,"")&lt;IF(_uom="lbs",175,80),1.25,IF(_uom="lbs",5,2.5))))),"")</f>
        <v/>
      </c>
      <c s="70"/>
      <c s="63"/>
      <c s="97"/>
      <c s="44" t="str">
        <f>IFERROR(__xludf.DUMMYFUNCTION("IF(W70=MAX(FILTER(W$10:W$199,LOOKUP(ROW(Q$10:Q$199),FILTER(ROW(Q$10:Q$199),Q$10:Q$199&lt;&gt;Q$9:Q$198))=LOOKUP(ROW(Q70),FILTER(ROW(Q$10:Q$199),Q$10:Q$199&lt;&gt;Q$9:Q$198)))),X70,)"),"")</f>
        <v/>
      </c>
      <c s="42"/>
      <c s="63"/>
      <c s="64" t="str">
        <f t="shared" si="14"/>
        <v/>
      </c>
      <c s="65" t="str">
        <f>IFERROR(__xludf.DUMMYFUNCTION("""COMPUTED_VALUE"""),"")</f>
        <v/>
      </c>
      <c s="66">
        <f ca="1"/>
        <v>45222</v>
      </c>
      <c s="93" t="str">
        <f t="shared" si="156"/>
        <v/>
      </c>
      <c s="94" t="str">
        <f t="shared" si="186"/>
        <v/>
      </c>
      <c s="95" t="str">
        <f t="shared" si="366"/>
        <v/>
      </c>
      <c s="98" t="str">
        <f t="shared" si="367"/>
        <v/>
      </c>
      <c s="97" t="str">
        <f t="array" ref="AK70">IFERROR(IF(AE70="ac"+ISNUMBER(SEARCH("'",AJ70))+AI70="","",IF(ISNUMBER(SEARCH("lw",AJ70)),W70+SUBSTITUTE(AJ70,"lw+",""),MROUND(_xlfn.SWITCH(AE70,"sq",AI$7,"bn",AJ$7,"dl",AK$7,"")*IF(AJ70&gt;10,AJ70/100,VLOOKUP(AJ70,_rpe,SUBSTITUTE(AI70,"+","")+1,0)),IF(_xlfn.SWITCH(AE70,"sq",AI$7,"bn",AJ$7,"dl",AK$7,"")&lt;IF(_uom="lbs",175,80),1.25,IF(_uom="lbs",5,2.5))))),"")</f>
        <v/>
      </c>
      <c s="70"/>
      <c s="63"/>
      <c s="97"/>
      <c s="44" t="str">
        <f>IFERROR(__xludf.DUMMYFUNCTION("IF(AK70=MAX(FILTER(AK$10:AK$199,LOOKUP(ROW(AE$10:AE$199),FILTER(ROW(AE$10:AE$199),AE$10:AE$199&lt;&gt;AE$9:AE$198))=LOOKUP(ROW(AE70),FILTER(ROW(AE$10:AE$199),AE$10:AE$199&lt;&gt;AE$9:AE$198)))),AL70,)"),"")</f>
        <v/>
      </c>
      <c s="42"/>
      <c s="63"/>
      <c s="64" t="str">
        <f t="shared" si="17"/>
        <v/>
      </c>
      <c s="65" t="str">
        <f>IFERROR(__xludf.DUMMYFUNCTION("""COMPUTED_VALUE"""),"")</f>
        <v/>
      </c>
      <c s="66">
        <f ca="1"/>
        <v>45229</v>
      </c>
      <c s="93" t="str">
        <f t="shared" si="157"/>
        <v/>
      </c>
      <c s="94" t="str">
        <f t="shared" si="188"/>
        <v/>
      </c>
      <c s="95" t="str">
        <f t="shared" si="368"/>
        <v/>
      </c>
      <c s="98" t="str">
        <f t="shared" si="294"/>
        <v/>
      </c>
      <c s="97" t="str">
        <f t="array" ref="AY70">IFERROR(IF(AS70="ac"+ISNUMBER(SEARCH("'",AX70))+AW70="","",IF(ISNUMBER(SEARCH("lw",AX70)),AK70+SUBSTITUTE(AX70,"lw+",""),MROUND(_xlfn.SWITCH(AS70,"sq",AW$7,"bn",AX$7,"dl",AY$7,"")*IF(AX70&gt;10,AX70/100,VLOOKUP(AX70,_rpe,SUBSTITUTE(AW70,"+","")+1,0)),IF(_xlfn.SWITCH(AS70,"sq",AW$7,"bn",AX$7,"dl",AY$7,"")&lt;IF(_uom="lbs",175,80),1.25,IF(_uom="lbs",5,2.5))))),"")</f>
        <v/>
      </c>
      <c s="70"/>
      <c s="63"/>
      <c s="97"/>
      <c s="44" t="str">
        <f>IFERROR(__xludf.DUMMYFUNCTION("IF(AY70=MAX(FILTER(AY$10:AY$199,LOOKUP(ROW(AS$10:AS$199),FILTER(ROW(AS$10:AS$199),AS$10:AS$199&lt;&gt;AS$9:AS$198))=LOOKUP(ROW(AS70),FILTER(ROW(AS$10:AS$199),AS$10:AS$199&lt;&gt;AS$9:AS$198)))),AZ70,)"),"")</f>
        <v/>
      </c>
      <c s="42"/>
      <c s="63"/>
      <c s="64" t="str">
        <f t="shared" si="19"/>
        <v/>
      </c>
      <c s="65" t="str">
        <f>IFERROR(__xludf.DUMMYFUNCTION("""COMPUTED_VALUE"""),"")</f>
        <v/>
      </c>
      <c s="66">
        <f ca="1"/>
        <v>45236</v>
      </c>
      <c s="93" t="str">
        <f t="shared" si="20"/>
        <v/>
      </c>
      <c s="94" t="str">
        <f t="shared" si="369"/>
        <v/>
      </c>
      <c s="95" t="str">
        <f t="shared" si="370"/>
        <v/>
      </c>
      <c s="98" t="str">
        <f t="shared" si="371"/>
        <v/>
      </c>
      <c s="97" t="str">
        <f t="array" ref="BM70">IFERROR(IF(BG70="ac"+ISNUMBER(SEARCH("'",BL70))+BK70="","",IF(ISNUMBER(SEARCH("lw",BL70)),AY70+SUBSTITUTE(BL70,"lw+",""),MROUND(_xlfn.SWITCH(BG70,"sq",BK$7,"bn",BL$7,"dl",BM$7,"")*IF(BL70&gt;10,BL70/100,VLOOKUP(BL70,_rpe,SUBSTITUTE(BK70,"+","")+1,0)),IF(_xlfn.SWITCH(BG70,"sq",BK$7,"bn",BL$7,"dl",BM$7,"")&lt;IF(_uom="lbs",175,80),1.25,IF(_uom="lbs",5,2.5))))),"")</f>
        <v/>
      </c>
      <c s="70"/>
      <c s="63"/>
      <c s="97"/>
      <c s="44" t="str">
        <f>IFERROR(__xludf.DUMMYFUNCTION("IF(BM70=MAX(FILTER(BM$10:BM$199,LOOKUP(ROW(BG$10:BG$199),FILTER(ROW(BG$10:BG$199),BG$10:BG$199&lt;&gt;BG$9:BG$198))=LOOKUP(ROW(BG70),FILTER(ROW(BG$10:BG$199),BG$10:BG$199&lt;&gt;BG$9:BG$198)))),BN70,)"),"")</f>
        <v/>
      </c>
      <c s="42"/>
      <c s="63"/>
      <c s="64" t="str">
        <f t="shared" si="21"/>
        <v/>
      </c>
      <c s="65" t="str">
        <f>IFERROR(__xludf.DUMMYFUNCTION("""COMPUTED_VALUE"""),"")</f>
        <v/>
      </c>
      <c s="66">
        <f ca="1"/>
        <v>45243</v>
      </c>
      <c s="93" t="str">
        <f t="shared" si="22"/>
        <v/>
      </c>
      <c s="94" t="str">
        <f t="shared" si="372"/>
        <v/>
      </c>
      <c s="95" t="str">
        <f t="shared" si="373"/>
        <v/>
      </c>
      <c s="98" t="str">
        <f t="shared" si="374"/>
        <v/>
      </c>
      <c s="97" t="str">
        <f t="array" ref="CA70">IFERROR(IF(BU70="ac"+ISNUMBER(SEARCH("'",BZ70))+BY70="","",IF(ISNUMBER(SEARCH("lw",BZ70)),BM70+SUBSTITUTE(BZ70,"lw+",""),MROUND(_xlfn.SWITCH(BU70,"sq",BY$7,"bn",BZ$7,"dl",CA$7,"")*IF(BZ70&gt;10,BZ70/100,VLOOKUP(BZ70,_rpe,SUBSTITUTE(BY70,"+","")+1,0)),IF(_xlfn.SWITCH(BU70,"sq",BY$7,"bn",BZ$7,"dl",CA$7,"")&lt;IF(_uom="lbs",175,80),1.25,IF(_uom="lbs",5,2.5))))),"")</f>
        <v/>
      </c>
      <c s="70"/>
      <c s="63"/>
      <c s="97"/>
      <c s="44" t="str">
        <f>IFERROR(__xludf.DUMMYFUNCTION("IF(CA70=MAX(FILTER(CA$10:CA$199,LOOKUP(ROW(BU$10:BU$199),FILTER(ROW(BU$10:BU$199),BU$10:BU$199&lt;&gt;BU$9:BU$198))=LOOKUP(ROW(BU70),FILTER(ROW(BU$10:BU$199),BU$10:BU$199&lt;&gt;BU$9:BU$198)))),CB70,)"),"")</f>
        <v/>
      </c>
      <c s="42"/>
      <c s="63"/>
      <c s="64" t="str">
        <f t="shared" si="24"/>
        <v/>
      </c>
      <c s="65" t="str">
        <f>IFERROR(__xludf.DUMMYFUNCTION("""COMPUTED_VALUE"""),"")</f>
        <v/>
      </c>
      <c s="66">
        <f ca="1"/>
        <v>45250</v>
      </c>
      <c s="93" t="str">
        <f t="shared" si="44"/>
        <v/>
      </c>
      <c s="94" t="str">
        <f t="shared" si="300"/>
        <v/>
      </c>
      <c s="95" t="str">
        <f t="shared" si="375"/>
        <v/>
      </c>
      <c s="98" t="str">
        <f t="shared" si="376"/>
        <v/>
      </c>
      <c s="97" t="str">
        <f t="array" ref="CO70">IFERROR(IF(CI70="ac"+ISNUMBER(SEARCH("'",CN70))+CM70="","",IF(ISNUMBER(SEARCH("lw",CN70)),CA70+SUBSTITUTE(CN70,"lw+",""),MROUND(_xlfn.SWITCH(CI70,"sq",CM$7,"bn",CN$7,"dl",CO$7,"")*IF(CN70&gt;10,CN70/100,VLOOKUP(CN70,_rpe,SUBSTITUTE(CM70,"+","")+1,0)),IF(_xlfn.SWITCH(CI70,"sq",CM$7,"bn",CN$7,"dl",CO$7,"")&lt;IF(_uom="lbs",175,80),1.25,IF(_uom="lbs",5,2.5))))),"")</f>
        <v/>
      </c>
      <c s="70"/>
      <c s="63"/>
      <c s="97"/>
      <c s="44" t="str">
        <f>IFERROR(__xludf.DUMMYFUNCTION("IF(CO70=MAX(FILTER(CO$10:CO$199,LOOKUP(ROW(CI$10:CI$199),FILTER(ROW(CI$10:CI$199),CI$10:CI$199&lt;&gt;CI$9:CI$198))=LOOKUP(ROW(CI70),FILTER(ROW(CI$10:CI$199),CI$10:CI$199&lt;&gt;CI$9:CI$198)))),CP70,)"),"")</f>
        <v/>
      </c>
      <c s="42"/>
      <c s="63"/>
      <c s="64" t="str">
        <f t="shared" si="27"/>
        <v/>
      </c>
      <c s="65" t="str">
        <f>IFERROR(__xludf.DUMMYFUNCTION("""COMPUTED_VALUE"""),"")</f>
        <v/>
      </c>
      <c s="66">
        <f ca="1"/>
        <v>45257</v>
      </c>
      <c s="93" t="str">
        <f t="shared" si="45"/>
        <v/>
      </c>
      <c s="94" t="str">
        <f t="shared" si="302"/>
        <v/>
      </c>
      <c s="95" t="str">
        <f t="shared" si="377"/>
        <v/>
      </c>
      <c s="98" t="str">
        <f t="shared" si="304"/>
        <v/>
      </c>
      <c s="97" t="str">
        <f t="array" ref="DC70">IFERROR(IF(CW70="ac"+ISNUMBER(SEARCH("'",DB70))+DA70="","",IF(ISNUMBER(SEARCH("lw",DB70)),CO70+SUBSTITUTE(DB70,"lw+",""),MROUND(_xlfn.SWITCH(CW70,"sq",DA$7,"bn",DB$7,"dl",DC$7,"")*IF(DB70&gt;10,DB70/100,VLOOKUP(DB70,_rpe,SUBSTITUTE(DA70,"+","")+1,0)),IF(_xlfn.SWITCH(CW70,"sq",DA$7,"bn",DB$7,"dl",DC$7,"")&lt;IF(_uom="lbs",175,80),1.25,IF(_uom="lbs",5,2.5))))),"")</f>
        <v/>
      </c>
      <c s="70"/>
      <c s="63"/>
      <c s="97"/>
      <c s="44" t="str">
        <f>IFERROR(__xludf.DUMMYFUNCTION("IF(DC70=MAX(FILTER(DC$10:DC$199,LOOKUP(ROW(CW$10:CW$199),FILTER(ROW(CW$10:CW$199),CW$10:CW$199&lt;&gt;CW$9:CW$198))=LOOKUP(ROW(CW70),FILTER(ROW(CW$10:CW$199),CW$10:CW$199&lt;&gt;CW$9:CW$198)))),DD70,)"),"")</f>
        <v/>
      </c>
      <c s="42"/>
      <c s="63"/>
      <c s="64" t="str">
        <f t="shared" si="30"/>
        <v/>
      </c>
      <c s="65" t="str">
        <f>IFERROR(__xludf.DUMMYFUNCTION("""COMPUTED_VALUE"""),"")</f>
        <v/>
      </c>
      <c s="66">
        <f ca="1"/>
        <v>45264</v>
      </c>
      <c s="93" t="str">
        <f t="shared" si="46"/>
        <v/>
      </c>
      <c s="94" t="str">
        <f t="shared" si="305"/>
        <v/>
      </c>
      <c s="95" t="str">
        <f t="shared" si="378"/>
        <v/>
      </c>
      <c s="98" t="str">
        <f t="shared" si="379"/>
        <v/>
      </c>
      <c s="97" t="str">
        <f t="array" ref="DQ70">IFERROR(IF(DK70="ac"+ISNUMBER(SEARCH("'",DP70))+DO70="","",IF(ISNUMBER(SEARCH("lw",DP70)),DC70+SUBSTITUTE(DP70,"lw+",""),MROUND(_xlfn.SWITCH(DK70,"sq",DO$7,"bn",DP$7,"dl",DQ$7,"")*IF(DP70&gt;10,DP70/100,VLOOKUP(DP70,_rpe,SUBSTITUTE(DO70,"+","")+1,0)),IF(_xlfn.SWITCH(DK70,"sq",DO$7,"bn",DP$7,"dl",DQ$7,"")&lt;IF(_uom="lbs",175,80),1.25,IF(_uom="lbs",5,2.5))))),"")</f>
        <v/>
      </c>
      <c s="70"/>
      <c s="63"/>
      <c s="97"/>
      <c s="44" t="str">
        <f>IFERROR(__xludf.DUMMYFUNCTION("IF(DQ70=MAX(FILTER(DQ$10:DQ$199,LOOKUP(ROW(DK$10:DK$199),FILTER(ROW(DK$10:DK$199),DK$10:DK$199&lt;&gt;DK$9:DK$198))=LOOKUP(ROW(DK70),FILTER(ROW(DK$10:DK$199),DK$10:DK$199&lt;&gt;DK$9:DK$198)))),DR70,)"),"")</f>
        <v/>
      </c>
      <c s="42"/>
      <c s="63"/>
      <c s="64" t="str">
        <f t="shared" si="32"/>
        <v/>
      </c>
      <c s="65" t="str">
        <f>IFERROR(__xludf.DUMMYFUNCTION("""COMPUTED_VALUE"""),"")</f>
        <v/>
      </c>
      <c s="66">
        <f ca="1"/>
        <v>45271</v>
      </c>
      <c s="93" t="str">
        <f t="shared" si="47"/>
        <v/>
      </c>
      <c s="94" t="str">
        <f t="shared" si="308"/>
        <v/>
      </c>
      <c s="95" t="str">
        <f t="shared" si="380"/>
        <v/>
      </c>
      <c s="98" t="str">
        <f t="shared" si="381"/>
        <v/>
      </c>
      <c s="97" t="str">
        <f t="array" ref="EE70">IFERROR(IF(DY70="ac"+ISNUMBER(SEARCH("'",ED70))+EC70="","",IF(ISNUMBER(SEARCH("lw",ED70)),DQ70+SUBSTITUTE(ED70,"lw+",""),MROUND(_xlfn.SWITCH(DY70,"sq",EC$7,"bn",ED$7,"dl",EE$7,"")*IF(ED70&gt;10,ED70/100,VLOOKUP(ED70,_rpe,SUBSTITUTE(EC70,"+","")+1,0)),IF(_xlfn.SWITCH(DY70,"sq",EC$7,"bn",ED$7,"dl",EE$7,"")&lt;IF(_uom="lbs",175,80),1.25,IF(_uom="lbs",5,2.5))))),"")</f>
        <v/>
      </c>
      <c s="70"/>
      <c s="63"/>
      <c s="97"/>
      <c s="44" t="str">
        <f>IFERROR(__xludf.DUMMYFUNCTION("IF(EE70=MAX(FILTER(EE$10:EE$199,LOOKUP(ROW(DY$10:DY$199),FILTER(ROW(DY$10:DY$199),DY$10:DY$199&lt;&gt;DY$9:DY$198))=LOOKUP(ROW(DY70),FILTER(ROW(DY$10:DY$199),DY$10:DY$199&lt;&gt;DY$9:DY$198)))),EF70,)"),"")</f>
        <v/>
      </c>
      <c s="42"/>
      <c s="63"/>
      <c s="64" t="str">
        <f t="shared" si="34"/>
        <v/>
      </c>
      <c s="65" t="str">
        <f>IFERROR(__xludf.DUMMYFUNCTION("""COMPUTED_VALUE"""),"")</f>
        <v/>
      </c>
      <c s="66">
        <f ca="1"/>
        <v>45278</v>
      </c>
      <c s="93" t="str">
        <f t="shared" si="48"/>
        <v/>
      </c>
      <c s="94" t="str">
        <f t="shared" si="311"/>
        <v/>
      </c>
      <c s="95" t="str">
        <f t="shared" si="382"/>
        <v/>
      </c>
      <c s="98" t="str">
        <f t="shared" si="313"/>
        <v/>
      </c>
      <c s="97" t="str">
        <f t="array" ref="ES70">IFERROR(IF(EM70="ac"+ISNUMBER(SEARCH("'",ER70))+EQ70="","",IF(ISNUMBER(SEARCH("lw",ER70)),EE70+SUBSTITUTE(ER70,"lw+",""),MROUND(_xlfn.SWITCH(EM70,"sq",EQ$7,"bn",ER$7,"dl",ES$7,"")*IF(ER70&gt;10,ER70/100,VLOOKUP(ER70,_rpe,SUBSTITUTE(EQ70,"+","")+1,0)),IF(_xlfn.SWITCH(EM70,"sq",EQ$7,"bn",ER$7,"dl",ES$7,"")&lt;IF(_uom="lbs",175,80),1.25,IF(_uom="lbs",5,2.5))))),"")</f>
        <v/>
      </c>
      <c s="70"/>
      <c s="63"/>
      <c s="97"/>
      <c s="44" t="str">
        <f>IFERROR(__xludf.DUMMYFUNCTION("IF(ES70=MAX(FILTER(ES$10:ES$199,LOOKUP(ROW(EM$10:EM$199),FILTER(ROW(EM$10:EM$199),EM$10:EM$199&lt;&gt;EM$9:EM$198))=LOOKUP(ROW(EM70),FILTER(ROW(EM$10:EM$199),EM$10:EM$199&lt;&gt;EM$9:EM$198)))),ET70,)"),"")</f>
        <v/>
      </c>
      <c s="42"/>
      <c s="63"/>
      <c s="64" t="str">
        <f t="shared" si="36"/>
        <v/>
      </c>
      <c s="65" t="str">
        <f>IFERROR(__xludf.DUMMYFUNCTION("""COMPUTED_VALUE"""),"")</f>
        <v/>
      </c>
      <c s="66">
        <f ca="1"/>
        <v>45285</v>
      </c>
      <c s="93" t="str">
        <f t="shared" si="49"/>
        <v/>
      </c>
      <c s="94" t="str">
        <f t="shared" si="314"/>
        <v/>
      </c>
      <c s="95" t="str">
        <f t="shared" si="383"/>
        <v/>
      </c>
      <c s="98" t="str">
        <f t="shared" si="316"/>
        <v/>
      </c>
      <c s="97" t="str">
        <f t="array" ref="FG70">IFERROR(IF(FA70="ac"+ISNUMBER(SEARCH("'",FF70))+FE70="","",IF(ISNUMBER(SEARCH("lw",FF70)),ES70+SUBSTITUTE(FF70,"lw+",""),MROUND(_xlfn.SWITCH(FA70,"sq",FE$7,"bn",FF$7,"dl",FG$7,"")*IF(FF70&gt;10,FF70/100,VLOOKUP(FF70,_rpe,SUBSTITUTE(FE70,"+","")+1,0)),IF(_xlfn.SWITCH(FA70,"sq",FE$7,"bn",FF$7,"dl",FG$7,"")&lt;IF(_uom="lbs",175,80),1.25,IF(_uom="lbs",5,2.5))))),"")</f>
        <v/>
      </c>
      <c s="70"/>
      <c s="63"/>
      <c s="97"/>
      <c s="44" t="str">
        <f>IFERROR(__xludf.DUMMYFUNCTION("IF(FG70=MAX(FILTER(FG$10:FG$199,LOOKUP(ROW(FA$10:FA$199),FILTER(ROW(FA$10:FA$199),FA$10:FA$199&lt;&gt;FA$9:FA$198))=LOOKUP(ROW(FA70),FILTER(ROW(FA$10:FA$199),FA$10:FA$199&lt;&gt;FA$9:FA$198)))),FH70,)"),"")</f>
        <v/>
      </c>
      <c s="42"/>
      <c s="63"/>
      <c s="64" t="str">
        <f t="shared" si="38"/>
        <v/>
      </c>
      <c s="65" t="str">
        <f>IFERROR(__xludf.DUMMYFUNCTION("""COMPUTED_VALUE"""),"")</f>
        <v/>
      </c>
      <c s="66">
        <f ca="1"/>
        <v>45292</v>
      </c>
      <c s="93" t="str">
        <f t="shared" si="387" ref="FQ70:FR70">IF(ISBLANK(FC70),"",FC70)</f>
        <v/>
      </c>
      <c s="94" t="str">
        <f t="shared" si="387"/>
        <v/>
      </c>
      <c s="95" t="str">
        <f t="shared" si="385"/>
        <v/>
      </c>
      <c s="98" t="str">
        <f t="shared" si="386"/>
        <v/>
      </c>
      <c s="97" t="str">
        <f t="array" ref="FU70">IFERROR(IF(FO70="ac"+ISNUMBER(SEARCH("'",FT70))+FS70="","",IF(ISNUMBER(SEARCH("lw",FT70)),FG70+SUBSTITUTE(FT70,"lw+",""),MROUND(_xlfn.SWITCH(FO70,"sq",FS$7,"bn",FT$7,"dl",FU$7,"")*IF(FT70&gt;10,FT70/100,VLOOKUP(FT70,_rpe,SUBSTITUTE(FS70,"+","")+1,0)),IF(_xlfn.SWITCH(FO70,"sq",FS$7,"bn",FT$7,"dl",FU$7,"")&lt;IF(_uom="lbs",175,80),1.25,IF(_uom="lbs",5,2.5))))),"")</f>
        <v/>
      </c>
      <c s="70"/>
      <c s="63"/>
      <c s="97"/>
      <c s="44" t="str">
        <f>IFERROR(__xludf.DUMMYFUNCTION("IF(FU70=MAX(FILTER(FU$10:FU$199,LOOKUP(ROW(FO$10:FO$199),FILTER(ROW(FO$10:FO$199),FO$10:FO$199&lt;&gt;FO$9:FO$198))=LOOKUP(ROW(FO70),FILTER(ROW(FO$10:FO$199),FO$10:FO$199&lt;&gt;FO$9:FO$198)))),FV70,)"),"")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71" spans="1:259" ht="15.75" hidden="1">
      <c r="A71" s="63"/>
      <c s="107"/>
      <c s="65" t="str">
        <f>IFERROR(__xludf.DUMMYFUNCTION("""COMPUTED_VALUE"""),"")</f>
        <v/>
      </c>
      <c s="66">
        <f ca="1"/>
        <v>45208</v>
      </c>
      <c s="93"/>
      <c s="94"/>
      <c s="95"/>
      <c s="96"/>
      <c s="97" t="str">
        <f t="array" ref="I71">IFERROR(IF(C71="ac"+ISNUMBER(SEARCH("'",H71))+G71="","",MROUND(_xlfn.SWITCH(C71,"sq",'Personal Info'!$O$15,"bn",'Personal Info'!$S$15,"dl",'Personal Info'!$W$15,"")*IF(H71&gt;10,H71/100,VLOOKUP(H71,_rpe,SUBSTITUTE(G71,"+","")+1,0)),IF(_xlfn.SWITCH(C71:C210,"sq",'Personal Info'!$O$15,"bn",'Personal Info'!$S$15,"dl",'Personal Info'!$W$15,"")&lt;IF(_uom="lbs",175,80),1.25,IF(_uom="lbs",5,2.5)))),"")</f>
        <v/>
      </c>
      <c s="70"/>
      <c s="63"/>
      <c s="97"/>
      <c s="44" t="str">
        <f>IFERROR(__xludf.DUMMYFUNCTION("IF(I71=MAX(FILTER(I$10:I$199,LOOKUP(ROW(C$10:C$199),FILTER(ROW(C$10:C$199),C$10:C$199&lt;&gt;C$9:C$198))=LOOKUP(ROW(C71),FILTER(ROW(C$10:C$199),C$10:C$199&lt;&gt;C$9:C$198)))),J71,)"),"")</f>
        <v/>
      </c>
      <c s="42"/>
      <c s="63"/>
      <c s="64" t="str">
        <f t="shared" si="11"/>
        <v/>
      </c>
      <c s="65" t="str">
        <f>IFERROR(__xludf.DUMMYFUNCTION("""COMPUTED_VALUE"""),"")</f>
        <v/>
      </c>
      <c s="66">
        <f ca="1"/>
        <v>45215</v>
      </c>
      <c s="93" t="str">
        <f t="shared" si="12"/>
        <v/>
      </c>
      <c s="94" t="str">
        <f t="shared" si="363"/>
        <v/>
      </c>
      <c s="95" t="str">
        <f t="shared" si="364"/>
        <v/>
      </c>
      <c s="98" t="str">
        <f t="shared" si="365"/>
        <v/>
      </c>
      <c s="97" t="str">
        <f t="array" ref="W71">IFERROR(IF(Q71="ac"+ISNUMBER(SEARCH("'",V71))+U71="","",IF(ISNUMBER(SEARCH("lw",V71)),I71+SUBSTITUTE(V71,"lw+",""),MROUND(_xlfn.SWITCH(Q71,"sq",U$7,"bn",V$7,"dl",W$7,"")*IF(V71&gt;10,V71/100,VLOOKUP(V71,_rpe,SUBSTITUTE(U71,"+","")+1,0)),IF(_xlfn.SWITCH(Q71,"sq",U$7,"bn",V$7,"dl",W$7,"")&lt;IF(_uom="lbs",175,80),1.25,IF(_uom="lbs",5,2.5))))),"")</f>
        <v/>
      </c>
      <c s="70"/>
      <c s="63"/>
      <c s="97"/>
      <c s="44" t="str">
        <f>IFERROR(__xludf.DUMMYFUNCTION("IF(W71=MAX(FILTER(W$10:W$199,LOOKUP(ROW(Q$10:Q$199),FILTER(ROW(Q$10:Q$199),Q$10:Q$199&lt;&gt;Q$9:Q$198))=LOOKUP(ROW(Q71),FILTER(ROW(Q$10:Q$199),Q$10:Q$199&lt;&gt;Q$9:Q$198)))),X71,)"),"")</f>
        <v/>
      </c>
      <c s="42"/>
      <c s="63"/>
      <c s="64" t="str">
        <f t="shared" si="14"/>
        <v/>
      </c>
      <c s="65" t="str">
        <f>IFERROR(__xludf.DUMMYFUNCTION("""COMPUTED_VALUE"""),"")</f>
        <v/>
      </c>
      <c s="66">
        <f ca="1"/>
        <v>45222</v>
      </c>
      <c s="93" t="str">
        <f t="shared" si="156"/>
        <v/>
      </c>
      <c s="94" t="str">
        <f t="shared" si="186"/>
        <v/>
      </c>
      <c s="95" t="str">
        <f t="shared" si="366"/>
        <v/>
      </c>
      <c s="98" t="str">
        <f t="shared" si="367"/>
        <v/>
      </c>
      <c s="97" t="str">
        <f t="array" ref="AK71">IFERROR(IF(AE71="ac"+ISNUMBER(SEARCH("'",AJ71))+AI71="","",IF(ISNUMBER(SEARCH("lw",AJ71)),W71+SUBSTITUTE(AJ71,"lw+",""),MROUND(_xlfn.SWITCH(AE71,"sq",AI$7,"bn",AJ$7,"dl",AK$7,"")*IF(AJ71&gt;10,AJ71/100,VLOOKUP(AJ71,_rpe,SUBSTITUTE(AI71,"+","")+1,0)),IF(_xlfn.SWITCH(AE71,"sq",AI$7,"bn",AJ$7,"dl",AK$7,"")&lt;IF(_uom="lbs",175,80),1.25,IF(_uom="lbs",5,2.5))))),"")</f>
        <v/>
      </c>
      <c s="70"/>
      <c s="63"/>
      <c s="97"/>
      <c s="44" t="str">
        <f>IFERROR(__xludf.DUMMYFUNCTION("IF(AK71=MAX(FILTER(AK$10:AK$199,LOOKUP(ROW(AE$10:AE$199),FILTER(ROW(AE$10:AE$199),AE$10:AE$199&lt;&gt;AE$9:AE$198))=LOOKUP(ROW(AE71),FILTER(ROW(AE$10:AE$199),AE$10:AE$199&lt;&gt;AE$9:AE$198)))),AL71,)"),"")</f>
        <v/>
      </c>
      <c s="42"/>
      <c s="63"/>
      <c s="64" t="str">
        <f t="shared" si="17"/>
        <v/>
      </c>
      <c s="65" t="str">
        <f>IFERROR(__xludf.DUMMYFUNCTION("""COMPUTED_VALUE"""),"")</f>
        <v/>
      </c>
      <c s="66">
        <f ca="1"/>
        <v>45229</v>
      </c>
      <c s="93" t="str">
        <f t="shared" si="157"/>
        <v/>
      </c>
      <c s="94" t="str">
        <f t="shared" si="188"/>
        <v/>
      </c>
      <c s="95" t="str">
        <f t="shared" si="368"/>
        <v/>
      </c>
      <c s="98" t="str">
        <f t="shared" si="294"/>
        <v/>
      </c>
      <c s="97" t="str">
        <f t="array" ref="AY71">IFERROR(IF(AS71="ac"+ISNUMBER(SEARCH("'",AX71))+AW71="","",IF(ISNUMBER(SEARCH("lw",AX71)),AK71+SUBSTITUTE(AX71,"lw+",""),MROUND(_xlfn.SWITCH(AS71,"sq",AW$7,"bn",AX$7,"dl",AY$7,"")*IF(AX71&gt;10,AX71/100,VLOOKUP(AX71,_rpe,SUBSTITUTE(AW71,"+","")+1,0)),IF(_xlfn.SWITCH(AS71,"sq",AW$7,"bn",AX$7,"dl",AY$7,"")&lt;IF(_uom="lbs",175,80),1.25,IF(_uom="lbs",5,2.5))))),"")</f>
        <v/>
      </c>
      <c s="70"/>
      <c s="63"/>
      <c s="97"/>
      <c s="44" t="str">
        <f>IFERROR(__xludf.DUMMYFUNCTION("IF(AY71=MAX(FILTER(AY$10:AY$199,LOOKUP(ROW(AS$10:AS$199),FILTER(ROW(AS$10:AS$199),AS$10:AS$199&lt;&gt;AS$9:AS$198))=LOOKUP(ROW(AS71),FILTER(ROW(AS$10:AS$199),AS$10:AS$199&lt;&gt;AS$9:AS$198)))),AZ71,)"),"")</f>
        <v/>
      </c>
      <c s="42"/>
      <c s="63"/>
      <c s="64" t="str">
        <f t="shared" si="19"/>
        <v/>
      </c>
      <c s="65" t="str">
        <f>IFERROR(__xludf.DUMMYFUNCTION("""COMPUTED_VALUE"""),"")</f>
        <v/>
      </c>
      <c s="66">
        <f ca="1"/>
        <v>45236</v>
      </c>
      <c s="93" t="str">
        <f t="shared" si="20"/>
        <v/>
      </c>
      <c s="94" t="str">
        <f t="shared" si="369"/>
        <v/>
      </c>
      <c s="95" t="str">
        <f t="shared" si="370"/>
        <v/>
      </c>
      <c s="98" t="str">
        <f t="shared" si="371"/>
        <v/>
      </c>
      <c s="97" t="str">
        <f t="array" ref="BM71">IFERROR(IF(BG71="ac"+ISNUMBER(SEARCH("'",BL71))+BK71="","",IF(ISNUMBER(SEARCH("lw",BL71)),AY71+SUBSTITUTE(BL71,"lw+",""),MROUND(_xlfn.SWITCH(BG71,"sq",BK$7,"bn",BL$7,"dl",BM$7,"")*IF(BL71&gt;10,BL71/100,VLOOKUP(BL71,_rpe,SUBSTITUTE(BK71,"+","")+1,0)),IF(_xlfn.SWITCH(BG71,"sq",BK$7,"bn",BL$7,"dl",BM$7,"")&lt;IF(_uom="lbs",175,80),1.25,IF(_uom="lbs",5,2.5))))),"")</f>
        <v/>
      </c>
      <c s="70"/>
      <c s="63"/>
      <c s="97"/>
      <c s="44" t="str">
        <f>IFERROR(__xludf.DUMMYFUNCTION("IF(BM71=MAX(FILTER(BM$10:BM$199,LOOKUP(ROW(BG$10:BG$199),FILTER(ROW(BG$10:BG$199),BG$10:BG$199&lt;&gt;BG$9:BG$198))=LOOKUP(ROW(BG71),FILTER(ROW(BG$10:BG$199),BG$10:BG$199&lt;&gt;BG$9:BG$198)))),BN71,)"),"")</f>
        <v/>
      </c>
      <c s="42"/>
      <c s="63"/>
      <c s="64" t="str">
        <f t="shared" si="21"/>
        <v/>
      </c>
      <c s="65" t="str">
        <f>IFERROR(__xludf.DUMMYFUNCTION("""COMPUTED_VALUE"""),"")</f>
        <v/>
      </c>
      <c s="66">
        <f ca="1"/>
        <v>45243</v>
      </c>
      <c s="93" t="str">
        <f t="shared" si="22"/>
        <v/>
      </c>
      <c s="94" t="str">
        <f t="shared" si="372"/>
        <v/>
      </c>
      <c s="95" t="str">
        <f t="shared" si="373"/>
        <v/>
      </c>
      <c s="98" t="str">
        <f t="shared" si="374"/>
        <v/>
      </c>
      <c s="97" t="str">
        <f t="array" ref="CA71">IFERROR(IF(BU71="ac"+ISNUMBER(SEARCH("'",BZ71))+BY71="","",IF(ISNUMBER(SEARCH("lw",BZ71)),BM71+SUBSTITUTE(BZ71,"lw+",""),MROUND(_xlfn.SWITCH(BU71,"sq",BY$7,"bn",BZ$7,"dl",CA$7,"")*IF(BZ71&gt;10,BZ71/100,VLOOKUP(BZ71,_rpe,SUBSTITUTE(BY71,"+","")+1,0)),IF(_xlfn.SWITCH(BU71,"sq",BY$7,"bn",BZ$7,"dl",CA$7,"")&lt;IF(_uom="lbs",175,80),1.25,IF(_uom="lbs",5,2.5))))),"")</f>
        <v/>
      </c>
      <c s="70"/>
      <c s="63"/>
      <c s="97"/>
      <c s="44" t="str">
        <f>IFERROR(__xludf.DUMMYFUNCTION("IF(CA71=MAX(FILTER(CA$10:CA$199,LOOKUP(ROW(BU$10:BU$199),FILTER(ROW(BU$10:BU$199),BU$10:BU$199&lt;&gt;BU$9:BU$198))=LOOKUP(ROW(BU71),FILTER(ROW(BU$10:BU$199),BU$10:BU$199&lt;&gt;BU$9:BU$198)))),CB71,)"),"")</f>
        <v/>
      </c>
      <c s="42"/>
      <c s="63"/>
      <c s="64" t="str">
        <f t="shared" si="24"/>
        <v/>
      </c>
      <c s="65" t="str">
        <f>IFERROR(__xludf.DUMMYFUNCTION("""COMPUTED_VALUE"""),"")</f>
        <v/>
      </c>
      <c s="66">
        <f ca="1"/>
        <v>45250</v>
      </c>
      <c s="93" t="str">
        <f t="shared" si="44"/>
        <v/>
      </c>
      <c s="94" t="str">
        <f t="shared" si="300"/>
        <v/>
      </c>
      <c s="95" t="str">
        <f t="shared" si="375"/>
        <v/>
      </c>
      <c s="98" t="str">
        <f t="shared" si="376"/>
        <v/>
      </c>
      <c s="97" t="str">
        <f t="array" ref="CO71">IFERROR(IF(CI71="ac"+ISNUMBER(SEARCH("'",CN71))+CM71="","",IF(ISNUMBER(SEARCH("lw",CN71)),CA71+SUBSTITUTE(CN71,"lw+",""),MROUND(_xlfn.SWITCH(CI71,"sq",CM$7,"bn",CN$7,"dl",CO$7,"")*IF(CN71&gt;10,CN71/100,VLOOKUP(CN71,_rpe,SUBSTITUTE(CM71,"+","")+1,0)),IF(_xlfn.SWITCH(CI71,"sq",CM$7,"bn",CN$7,"dl",CO$7,"")&lt;IF(_uom="lbs",175,80),1.25,IF(_uom="lbs",5,2.5))))),"")</f>
        <v/>
      </c>
      <c s="70"/>
      <c s="63"/>
      <c s="97"/>
      <c s="44" t="str">
        <f>IFERROR(__xludf.DUMMYFUNCTION("IF(CO71=MAX(FILTER(CO$10:CO$199,LOOKUP(ROW(CI$10:CI$199),FILTER(ROW(CI$10:CI$199),CI$10:CI$199&lt;&gt;CI$9:CI$198))=LOOKUP(ROW(CI71),FILTER(ROW(CI$10:CI$199),CI$10:CI$199&lt;&gt;CI$9:CI$198)))),CP71,)"),"")</f>
        <v/>
      </c>
      <c s="42"/>
      <c s="63"/>
      <c s="64" t="str">
        <f t="shared" si="27"/>
        <v/>
      </c>
      <c s="65" t="str">
        <f>IFERROR(__xludf.DUMMYFUNCTION("""COMPUTED_VALUE"""),"")</f>
        <v/>
      </c>
      <c s="66">
        <f ca="1"/>
        <v>45257</v>
      </c>
      <c s="93" t="str">
        <f t="shared" si="45"/>
        <v/>
      </c>
      <c s="94" t="str">
        <f t="shared" si="302"/>
        <v/>
      </c>
      <c s="95" t="str">
        <f t="shared" si="377"/>
        <v/>
      </c>
      <c s="98" t="str">
        <f t="shared" si="304"/>
        <v/>
      </c>
      <c s="97" t="str">
        <f t="array" ref="DC71">IFERROR(IF(CW71="ac"+ISNUMBER(SEARCH("'",DB71))+DA71="","",IF(ISNUMBER(SEARCH("lw",DB71)),CO71+SUBSTITUTE(DB71,"lw+",""),MROUND(_xlfn.SWITCH(CW71,"sq",DA$7,"bn",DB$7,"dl",DC$7,"")*IF(DB71&gt;10,DB71/100,VLOOKUP(DB71,_rpe,SUBSTITUTE(DA71,"+","")+1,0)),IF(_xlfn.SWITCH(CW71,"sq",DA$7,"bn",DB$7,"dl",DC$7,"")&lt;IF(_uom="lbs",175,80),1.25,IF(_uom="lbs",5,2.5))))),"")</f>
        <v/>
      </c>
      <c s="70"/>
      <c s="63"/>
      <c s="97"/>
      <c s="44" t="str">
        <f>IFERROR(__xludf.DUMMYFUNCTION("IF(DC71=MAX(FILTER(DC$10:DC$199,LOOKUP(ROW(CW$10:CW$199),FILTER(ROW(CW$10:CW$199),CW$10:CW$199&lt;&gt;CW$9:CW$198))=LOOKUP(ROW(CW71),FILTER(ROW(CW$10:CW$199),CW$10:CW$199&lt;&gt;CW$9:CW$198)))),DD71,)"),"")</f>
        <v/>
      </c>
      <c s="42"/>
      <c s="63"/>
      <c s="64" t="str">
        <f t="shared" si="30"/>
        <v/>
      </c>
      <c s="65" t="str">
        <f>IFERROR(__xludf.DUMMYFUNCTION("""COMPUTED_VALUE"""),"")</f>
        <v/>
      </c>
      <c s="66">
        <f ca="1"/>
        <v>45264</v>
      </c>
      <c s="93" t="str">
        <f t="shared" si="46"/>
        <v/>
      </c>
      <c s="94" t="str">
        <f t="shared" si="305"/>
        <v/>
      </c>
      <c s="95" t="str">
        <f t="shared" si="378"/>
        <v/>
      </c>
      <c s="98" t="str">
        <f t="shared" si="379"/>
        <v/>
      </c>
      <c s="97" t="str">
        <f t="array" ref="DQ71">IFERROR(IF(DK71="ac"+ISNUMBER(SEARCH("'",DP71))+DO71="","",IF(ISNUMBER(SEARCH("lw",DP71)),DC71+SUBSTITUTE(DP71,"lw+",""),MROUND(_xlfn.SWITCH(DK71,"sq",DO$7,"bn",DP$7,"dl",DQ$7,"")*IF(DP71&gt;10,DP71/100,VLOOKUP(DP71,_rpe,SUBSTITUTE(DO71,"+","")+1,0)),IF(_xlfn.SWITCH(DK71,"sq",DO$7,"bn",DP$7,"dl",DQ$7,"")&lt;IF(_uom="lbs",175,80),1.25,IF(_uom="lbs",5,2.5))))),"")</f>
        <v/>
      </c>
      <c s="70"/>
      <c s="63"/>
      <c s="97"/>
      <c s="44" t="str">
        <f>IFERROR(__xludf.DUMMYFUNCTION("IF(DQ71=MAX(FILTER(DQ$10:DQ$199,LOOKUP(ROW(DK$10:DK$199),FILTER(ROW(DK$10:DK$199),DK$10:DK$199&lt;&gt;DK$9:DK$198))=LOOKUP(ROW(DK71),FILTER(ROW(DK$10:DK$199),DK$10:DK$199&lt;&gt;DK$9:DK$198)))),DR71,)"),"")</f>
        <v/>
      </c>
      <c s="42"/>
      <c s="63"/>
      <c s="64" t="str">
        <f t="shared" si="32"/>
        <v/>
      </c>
      <c s="65" t="str">
        <f>IFERROR(__xludf.DUMMYFUNCTION("""COMPUTED_VALUE"""),"")</f>
        <v/>
      </c>
      <c s="66">
        <f ca="1"/>
        <v>45271</v>
      </c>
      <c s="93" t="str">
        <f t="shared" si="47"/>
        <v/>
      </c>
      <c s="94" t="str">
        <f t="shared" si="308"/>
        <v/>
      </c>
      <c s="95" t="str">
        <f t="shared" si="380"/>
        <v/>
      </c>
      <c s="98" t="str">
        <f t="shared" si="381"/>
        <v/>
      </c>
      <c s="97" t="str">
        <f t="array" ref="EE71">IFERROR(IF(DY71="ac"+ISNUMBER(SEARCH("'",ED71))+EC71="","",IF(ISNUMBER(SEARCH("lw",ED71)),DQ71+SUBSTITUTE(ED71,"lw+",""),MROUND(_xlfn.SWITCH(DY71,"sq",EC$7,"bn",ED$7,"dl",EE$7,"")*IF(ED71&gt;10,ED71/100,VLOOKUP(ED71,_rpe,SUBSTITUTE(EC71,"+","")+1,0)),IF(_xlfn.SWITCH(DY71,"sq",EC$7,"bn",ED$7,"dl",EE$7,"")&lt;IF(_uom="lbs",175,80),1.25,IF(_uom="lbs",5,2.5))))),"")</f>
        <v/>
      </c>
      <c s="70"/>
      <c s="63"/>
      <c s="97"/>
      <c s="44" t="str">
        <f>IFERROR(__xludf.DUMMYFUNCTION("IF(EE71=MAX(FILTER(EE$10:EE$199,LOOKUP(ROW(DY$10:DY$199),FILTER(ROW(DY$10:DY$199),DY$10:DY$199&lt;&gt;DY$9:DY$198))=LOOKUP(ROW(DY71),FILTER(ROW(DY$10:DY$199),DY$10:DY$199&lt;&gt;DY$9:DY$198)))),EF71,)"),"")</f>
        <v/>
      </c>
      <c s="42"/>
      <c s="63"/>
      <c s="64" t="str">
        <f t="shared" si="34"/>
        <v/>
      </c>
      <c s="65" t="str">
        <f>IFERROR(__xludf.DUMMYFUNCTION("""COMPUTED_VALUE"""),"")</f>
        <v/>
      </c>
      <c s="66">
        <f ca="1"/>
        <v>45278</v>
      </c>
      <c s="93" t="str">
        <f t="shared" si="48"/>
        <v/>
      </c>
      <c s="94" t="str">
        <f t="shared" si="311"/>
        <v/>
      </c>
      <c s="95" t="str">
        <f t="shared" si="382"/>
        <v/>
      </c>
      <c s="98" t="str">
        <f t="shared" si="313"/>
        <v/>
      </c>
      <c s="97" t="str">
        <f t="array" ref="ES71">IFERROR(IF(EM71="ac"+ISNUMBER(SEARCH("'",ER71))+EQ71="","",IF(ISNUMBER(SEARCH("lw",ER71)),EE71+SUBSTITUTE(ER71,"lw+",""),MROUND(_xlfn.SWITCH(EM71,"sq",EQ$7,"bn",ER$7,"dl",ES$7,"")*IF(ER71&gt;10,ER71/100,VLOOKUP(ER71,_rpe,SUBSTITUTE(EQ71,"+","")+1,0)),IF(_xlfn.SWITCH(EM71,"sq",EQ$7,"bn",ER$7,"dl",ES$7,"")&lt;IF(_uom="lbs",175,80),1.25,IF(_uom="lbs",5,2.5))))),"")</f>
        <v/>
      </c>
      <c s="70"/>
      <c s="63"/>
      <c s="97"/>
      <c s="44" t="str">
        <f>IFERROR(__xludf.DUMMYFUNCTION("IF(ES71=MAX(FILTER(ES$10:ES$199,LOOKUP(ROW(EM$10:EM$199),FILTER(ROW(EM$10:EM$199),EM$10:EM$199&lt;&gt;EM$9:EM$198))=LOOKUP(ROW(EM71),FILTER(ROW(EM$10:EM$199),EM$10:EM$199&lt;&gt;EM$9:EM$198)))),ET71,)"),"")</f>
        <v/>
      </c>
      <c s="42"/>
      <c s="63"/>
      <c s="64" t="str">
        <f t="shared" si="36"/>
        <v/>
      </c>
      <c s="65" t="str">
        <f>IFERROR(__xludf.DUMMYFUNCTION("""COMPUTED_VALUE"""),"")</f>
        <v/>
      </c>
      <c s="66">
        <f ca="1"/>
        <v>45285</v>
      </c>
      <c s="93" t="str">
        <f t="shared" si="49"/>
        <v/>
      </c>
      <c s="94" t="str">
        <f t="shared" si="314"/>
        <v/>
      </c>
      <c s="95" t="str">
        <f t="shared" si="383"/>
        <v/>
      </c>
      <c s="98" t="str">
        <f t="shared" si="316"/>
        <v/>
      </c>
      <c s="97" t="str">
        <f t="array" ref="FG71">IFERROR(IF(FA71="ac"+ISNUMBER(SEARCH("'",FF71))+FE71="","",IF(ISNUMBER(SEARCH("lw",FF71)),ES71+SUBSTITUTE(FF71,"lw+",""),MROUND(_xlfn.SWITCH(FA71,"sq",FE$7,"bn",FF$7,"dl",FG$7,"")*IF(FF71&gt;10,FF71/100,VLOOKUP(FF71,_rpe,SUBSTITUTE(FE71,"+","")+1,0)),IF(_xlfn.SWITCH(FA71,"sq",FE$7,"bn",FF$7,"dl",FG$7,"")&lt;IF(_uom="lbs",175,80),1.25,IF(_uom="lbs",5,2.5))))),"")</f>
        <v/>
      </c>
      <c s="70"/>
      <c s="63"/>
      <c s="97"/>
      <c s="44" t="str">
        <f>IFERROR(__xludf.DUMMYFUNCTION("IF(FG71=MAX(FILTER(FG$10:FG$199,LOOKUP(ROW(FA$10:FA$199),FILTER(ROW(FA$10:FA$199),FA$10:FA$199&lt;&gt;FA$9:FA$198))=LOOKUP(ROW(FA71),FILTER(ROW(FA$10:FA$199),FA$10:FA$199&lt;&gt;FA$9:FA$198)))),FH71,)"),"")</f>
        <v/>
      </c>
      <c s="42"/>
      <c s="63"/>
      <c s="64" t="str">
        <f t="shared" si="38"/>
        <v/>
      </c>
      <c s="65" t="str">
        <f>IFERROR(__xludf.DUMMYFUNCTION("""COMPUTED_VALUE"""),"")</f>
        <v/>
      </c>
      <c s="66">
        <f ca="1"/>
        <v>45292</v>
      </c>
      <c s="93" t="str">
        <f t="shared" si="388" ref="FQ71:FR71">IF(ISBLANK(FC71),"",FC71)</f>
        <v/>
      </c>
      <c s="94" t="str">
        <f t="shared" si="388"/>
        <v/>
      </c>
      <c s="95" t="str">
        <f t="shared" si="385"/>
        <v/>
      </c>
      <c s="98" t="str">
        <f t="shared" si="386"/>
        <v/>
      </c>
      <c s="97" t="str">
        <f t="array" ref="FU71">IFERROR(IF(FO71="ac"+ISNUMBER(SEARCH("'",FT71))+FS71="","",IF(ISNUMBER(SEARCH("lw",FT71)),FG71+SUBSTITUTE(FT71,"lw+",""),MROUND(_xlfn.SWITCH(FO71,"sq",FS$7,"bn",FT$7,"dl",FU$7,"")*IF(FT71&gt;10,FT71/100,VLOOKUP(FT71,_rpe,SUBSTITUTE(FS71,"+","")+1,0)),IF(_xlfn.SWITCH(FO71,"sq",FS$7,"bn",FT$7,"dl",FU$7,"")&lt;IF(_uom="lbs",175,80),1.25,IF(_uom="lbs",5,2.5))))),"")</f>
        <v/>
      </c>
      <c s="70"/>
      <c s="63"/>
      <c s="97"/>
      <c s="44" t="str">
        <f>IFERROR(__xludf.DUMMYFUNCTION("IF(FU71=MAX(FILTER(FU$10:FU$199,LOOKUP(ROW(FO$10:FO$199),FILTER(ROW(FO$10:FO$199),FO$10:FO$199&lt;&gt;FO$9:FO$198))=LOOKUP(ROW(FO71),FILTER(ROW(FO$10:FO$199),FO$10:FO$199&lt;&gt;FO$9:FO$198)))),FV71,)"),"")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72" spans="1:259" ht="15.75" hidden="1">
      <c r="A72" s="63"/>
      <c s="107"/>
      <c s="65" t="str">
        <f>IFERROR(__xludf.DUMMYFUNCTION("""COMPUTED_VALUE"""),"")</f>
        <v/>
      </c>
      <c s="66">
        <f ca="1"/>
        <v>45208</v>
      </c>
      <c s="93"/>
      <c s="94"/>
      <c s="95"/>
      <c s="96"/>
      <c s="97" t="str">
        <f t="array" ref="I72">IFERROR(IF(C72="ac"+ISNUMBER(SEARCH("'",H72))+G72="","",MROUND(_xlfn.SWITCH(C72,"sq",'Personal Info'!$O$15,"bn",'Personal Info'!$S$15,"dl",'Personal Info'!$W$15,"")*IF(H72&gt;10,H72/100,VLOOKUP(H72,_rpe,SUBSTITUTE(G72,"+","")+1,0)),IF(_xlfn.SWITCH(C72:C210,"sq",'Personal Info'!$O$15,"bn",'Personal Info'!$S$15,"dl",'Personal Info'!$W$15,"")&lt;IF(_uom="lbs",175,80),1.25,IF(_uom="lbs",5,2.5)))),"")</f>
        <v/>
      </c>
      <c s="70"/>
      <c s="63"/>
      <c s="97"/>
      <c s="44" t="str">
        <f>IFERROR(__xludf.DUMMYFUNCTION("IF(I72=MAX(FILTER(I$10:I$199,LOOKUP(ROW(C$10:C$199),FILTER(ROW(C$10:C$199),C$10:C$199&lt;&gt;C$9:C$198))=LOOKUP(ROW(C72),FILTER(ROW(C$10:C$199),C$10:C$199&lt;&gt;C$9:C$198)))),J72,)"),"")</f>
        <v/>
      </c>
      <c s="42"/>
      <c s="63"/>
      <c s="64" t="str">
        <f t="shared" si="11"/>
        <v/>
      </c>
      <c s="65" t="str">
        <f>IFERROR(__xludf.DUMMYFUNCTION("""COMPUTED_VALUE"""),"")</f>
        <v/>
      </c>
      <c s="66">
        <f ca="1"/>
        <v>45215</v>
      </c>
      <c s="93" t="str">
        <f t="shared" si="12"/>
        <v/>
      </c>
      <c s="94" t="str">
        <f t="shared" si="363"/>
        <v/>
      </c>
      <c s="95" t="str">
        <f t="shared" si="364"/>
        <v/>
      </c>
      <c s="98" t="str">
        <f t="shared" si="365"/>
        <v/>
      </c>
      <c s="97" t="str">
        <f t="array" ref="W72">IFERROR(IF(Q72="ac"+ISNUMBER(SEARCH("'",V72))+U72="","",IF(ISNUMBER(SEARCH("lw",V72)),I72+SUBSTITUTE(V72,"lw+",""),MROUND(_xlfn.SWITCH(Q72,"sq",U$7,"bn",V$7,"dl",W$7,"")*IF(V72&gt;10,V72/100,VLOOKUP(V72,_rpe,SUBSTITUTE(U72,"+","")+1,0)),IF(_xlfn.SWITCH(Q72,"sq",U$7,"bn",V$7,"dl",W$7,"")&lt;IF(_uom="lbs",175,80),1.25,IF(_uom="lbs",5,2.5))))),"")</f>
        <v/>
      </c>
      <c s="70"/>
      <c s="63"/>
      <c s="97"/>
      <c s="44" t="str">
        <f>IFERROR(__xludf.DUMMYFUNCTION("IF(W72=MAX(FILTER(W$10:W$199,LOOKUP(ROW(Q$10:Q$199),FILTER(ROW(Q$10:Q$199),Q$10:Q$199&lt;&gt;Q$9:Q$198))=LOOKUP(ROW(Q72),FILTER(ROW(Q$10:Q$199),Q$10:Q$199&lt;&gt;Q$9:Q$198)))),X72,)"),"")</f>
        <v/>
      </c>
      <c s="42"/>
      <c s="63"/>
      <c s="64" t="str">
        <f t="shared" si="14"/>
        <v/>
      </c>
      <c s="65" t="str">
        <f>IFERROR(__xludf.DUMMYFUNCTION("""COMPUTED_VALUE"""),"")</f>
        <v/>
      </c>
      <c s="66">
        <f ca="1"/>
        <v>45222</v>
      </c>
      <c s="93" t="str">
        <f t="shared" si="156"/>
        <v/>
      </c>
      <c s="94" t="str">
        <f t="shared" si="186"/>
        <v/>
      </c>
      <c s="95" t="str">
        <f t="shared" si="366"/>
        <v/>
      </c>
      <c s="98" t="str">
        <f t="shared" si="367"/>
        <v/>
      </c>
      <c s="97" t="str">
        <f t="array" ref="AK72">IFERROR(IF(AE72="ac"+ISNUMBER(SEARCH("'",AJ72))+AI72="","",IF(ISNUMBER(SEARCH("lw",AJ72)),W72+SUBSTITUTE(AJ72,"lw+",""),MROUND(_xlfn.SWITCH(AE72,"sq",AI$7,"bn",AJ$7,"dl",AK$7,"")*IF(AJ72&gt;10,AJ72/100,VLOOKUP(AJ72,_rpe,SUBSTITUTE(AI72,"+","")+1,0)),IF(_xlfn.SWITCH(AE72,"sq",AI$7,"bn",AJ$7,"dl",AK$7,"")&lt;IF(_uom="lbs",175,80),1.25,IF(_uom="lbs",5,2.5))))),"")</f>
        <v/>
      </c>
      <c s="70"/>
      <c s="63"/>
      <c s="97"/>
      <c s="44" t="str">
        <f>IFERROR(__xludf.DUMMYFUNCTION("IF(AK72=MAX(FILTER(AK$10:AK$199,LOOKUP(ROW(AE$10:AE$199),FILTER(ROW(AE$10:AE$199),AE$10:AE$199&lt;&gt;AE$9:AE$198))=LOOKUP(ROW(AE72),FILTER(ROW(AE$10:AE$199),AE$10:AE$199&lt;&gt;AE$9:AE$198)))),AL72,)"),"")</f>
        <v/>
      </c>
      <c s="42"/>
      <c s="63"/>
      <c s="64" t="str">
        <f t="shared" si="17"/>
        <v/>
      </c>
      <c s="65" t="str">
        <f>IFERROR(__xludf.DUMMYFUNCTION("""COMPUTED_VALUE"""),"")</f>
        <v/>
      </c>
      <c s="66">
        <f ca="1"/>
        <v>45229</v>
      </c>
      <c s="93" t="str">
        <f t="shared" si="157"/>
        <v/>
      </c>
      <c s="94" t="str">
        <f t="shared" si="188"/>
        <v/>
      </c>
      <c s="95" t="str">
        <f t="shared" si="368"/>
        <v/>
      </c>
      <c s="98" t="str">
        <f t="shared" si="294"/>
        <v/>
      </c>
      <c s="97" t="str">
        <f t="array" ref="AY72">IFERROR(IF(AS72="ac"+ISNUMBER(SEARCH("'",AX72))+AW72="","",IF(ISNUMBER(SEARCH("lw",AX72)),AK72+SUBSTITUTE(AX72,"lw+",""),MROUND(_xlfn.SWITCH(AS72,"sq",AW$7,"bn",AX$7,"dl",AY$7,"")*IF(AX72&gt;10,AX72/100,VLOOKUP(AX72,_rpe,SUBSTITUTE(AW72,"+","")+1,0)),IF(_xlfn.SWITCH(AS72,"sq",AW$7,"bn",AX$7,"dl",AY$7,"")&lt;IF(_uom="lbs",175,80),1.25,IF(_uom="lbs",5,2.5))))),"")</f>
        <v/>
      </c>
      <c s="70"/>
      <c s="63"/>
      <c s="97"/>
      <c s="44" t="str">
        <f>IFERROR(__xludf.DUMMYFUNCTION("IF(AY72=MAX(FILTER(AY$10:AY$199,LOOKUP(ROW(AS$10:AS$199),FILTER(ROW(AS$10:AS$199),AS$10:AS$199&lt;&gt;AS$9:AS$198))=LOOKUP(ROW(AS72),FILTER(ROW(AS$10:AS$199),AS$10:AS$199&lt;&gt;AS$9:AS$198)))),AZ72,)"),"")</f>
        <v/>
      </c>
      <c s="42"/>
      <c s="63"/>
      <c s="64" t="str">
        <f t="shared" si="19"/>
        <v/>
      </c>
      <c s="65" t="str">
        <f>IFERROR(__xludf.DUMMYFUNCTION("""COMPUTED_VALUE"""),"")</f>
        <v/>
      </c>
      <c s="66">
        <f ca="1"/>
        <v>45236</v>
      </c>
      <c s="93" t="str">
        <f t="shared" si="20"/>
        <v/>
      </c>
      <c s="94" t="str">
        <f t="shared" si="369"/>
        <v/>
      </c>
      <c s="95" t="str">
        <f t="shared" si="370"/>
        <v/>
      </c>
      <c s="98" t="str">
        <f t="shared" si="371"/>
        <v/>
      </c>
      <c s="97" t="str">
        <f t="array" ref="BM72">IFERROR(IF(BG72="ac"+ISNUMBER(SEARCH("'",BL72))+BK72="","",IF(ISNUMBER(SEARCH("lw",BL72)),AY72+SUBSTITUTE(BL72,"lw+",""),MROUND(_xlfn.SWITCH(BG72,"sq",BK$7,"bn",BL$7,"dl",BM$7,"")*IF(BL72&gt;10,BL72/100,VLOOKUP(BL72,_rpe,SUBSTITUTE(BK72,"+","")+1,0)),IF(_xlfn.SWITCH(BG72,"sq",BK$7,"bn",BL$7,"dl",BM$7,"")&lt;IF(_uom="lbs",175,80),1.25,IF(_uom="lbs",5,2.5))))),"")</f>
        <v/>
      </c>
      <c s="70"/>
      <c s="63"/>
      <c s="97"/>
      <c s="44" t="str">
        <f>IFERROR(__xludf.DUMMYFUNCTION("IF(BM72=MAX(FILTER(BM$10:BM$199,LOOKUP(ROW(BG$10:BG$199),FILTER(ROW(BG$10:BG$199),BG$10:BG$199&lt;&gt;BG$9:BG$198))=LOOKUP(ROW(BG72),FILTER(ROW(BG$10:BG$199),BG$10:BG$199&lt;&gt;BG$9:BG$198)))),BN72,)"),"")</f>
        <v/>
      </c>
      <c s="42"/>
      <c s="63"/>
      <c s="64" t="str">
        <f t="shared" si="21"/>
        <v/>
      </c>
      <c s="65" t="str">
        <f>IFERROR(__xludf.DUMMYFUNCTION("""COMPUTED_VALUE"""),"")</f>
        <v/>
      </c>
      <c s="66">
        <f ca="1"/>
        <v>45243</v>
      </c>
      <c s="93" t="str">
        <f t="shared" si="22"/>
        <v/>
      </c>
      <c s="94" t="str">
        <f t="shared" si="372"/>
        <v/>
      </c>
      <c s="95" t="str">
        <f t="shared" si="373"/>
        <v/>
      </c>
      <c s="98" t="str">
        <f t="shared" si="374"/>
        <v/>
      </c>
      <c s="97" t="str">
        <f t="array" ref="CA72">IFERROR(IF(BU72="ac"+ISNUMBER(SEARCH("'",BZ72))+BY72="","",IF(ISNUMBER(SEARCH("lw",BZ72)),BM72+SUBSTITUTE(BZ72,"lw+",""),MROUND(_xlfn.SWITCH(BU72,"sq",BY$7,"bn",BZ$7,"dl",CA$7,"")*IF(BZ72&gt;10,BZ72/100,VLOOKUP(BZ72,_rpe,SUBSTITUTE(BY72,"+","")+1,0)),IF(_xlfn.SWITCH(BU72,"sq",BY$7,"bn",BZ$7,"dl",CA$7,"")&lt;IF(_uom="lbs",175,80),1.25,IF(_uom="lbs",5,2.5))))),"")</f>
        <v/>
      </c>
      <c s="70"/>
      <c s="63"/>
      <c s="97"/>
      <c s="44" t="str">
        <f>IFERROR(__xludf.DUMMYFUNCTION("IF(CA72=MAX(FILTER(CA$10:CA$199,LOOKUP(ROW(BU$10:BU$199),FILTER(ROW(BU$10:BU$199),BU$10:BU$199&lt;&gt;BU$9:BU$198))=LOOKUP(ROW(BU72),FILTER(ROW(BU$10:BU$199),BU$10:BU$199&lt;&gt;BU$9:BU$198)))),CB72,)"),"")</f>
        <v/>
      </c>
      <c s="42"/>
      <c s="63"/>
      <c s="64" t="str">
        <f t="shared" si="24"/>
        <v/>
      </c>
      <c s="65" t="str">
        <f>IFERROR(__xludf.DUMMYFUNCTION("""COMPUTED_VALUE"""),"")</f>
        <v/>
      </c>
      <c s="66">
        <f ca="1"/>
        <v>45250</v>
      </c>
      <c s="93" t="str">
        <f t="shared" si="44"/>
        <v/>
      </c>
      <c s="94" t="str">
        <f t="shared" si="300"/>
        <v/>
      </c>
      <c s="95" t="str">
        <f t="shared" si="375"/>
        <v/>
      </c>
      <c s="98" t="str">
        <f t="shared" si="376"/>
        <v/>
      </c>
      <c s="97" t="str">
        <f t="array" ref="CO72">IFERROR(IF(CI72="ac"+ISNUMBER(SEARCH("'",CN72))+CM72="","",IF(ISNUMBER(SEARCH("lw",CN72)),CA72+SUBSTITUTE(CN72,"lw+",""),MROUND(_xlfn.SWITCH(CI72,"sq",CM$7,"bn",CN$7,"dl",CO$7,"")*IF(CN72&gt;10,CN72/100,VLOOKUP(CN72,_rpe,SUBSTITUTE(CM72,"+","")+1,0)),IF(_xlfn.SWITCH(CI72,"sq",CM$7,"bn",CN$7,"dl",CO$7,"")&lt;IF(_uom="lbs",175,80),1.25,IF(_uom="lbs",5,2.5))))),"")</f>
        <v/>
      </c>
      <c s="70"/>
      <c s="63"/>
      <c s="97"/>
      <c s="44" t="str">
        <f>IFERROR(__xludf.DUMMYFUNCTION("IF(CO72=MAX(FILTER(CO$10:CO$199,LOOKUP(ROW(CI$10:CI$199),FILTER(ROW(CI$10:CI$199),CI$10:CI$199&lt;&gt;CI$9:CI$198))=LOOKUP(ROW(CI72),FILTER(ROW(CI$10:CI$199),CI$10:CI$199&lt;&gt;CI$9:CI$198)))),CP72,)"),"")</f>
        <v/>
      </c>
      <c s="42"/>
      <c s="63"/>
      <c s="64" t="str">
        <f t="shared" si="27"/>
        <v/>
      </c>
      <c s="65" t="str">
        <f>IFERROR(__xludf.DUMMYFUNCTION("""COMPUTED_VALUE"""),"")</f>
        <v/>
      </c>
      <c s="66">
        <f ca="1"/>
        <v>45257</v>
      </c>
      <c s="93" t="str">
        <f t="shared" si="45"/>
        <v/>
      </c>
      <c s="94" t="str">
        <f t="shared" si="302"/>
        <v/>
      </c>
      <c s="95" t="str">
        <f t="shared" si="377"/>
        <v/>
      </c>
      <c s="98" t="str">
        <f t="shared" si="304"/>
        <v/>
      </c>
      <c s="97" t="str">
        <f t="array" ref="DC72">IFERROR(IF(CW72="ac"+ISNUMBER(SEARCH("'",DB72))+DA72="","",IF(ISNUMBER(SEARCH("lw",DB72)),CO72+SUBSTITUTE(DB72,"lw+",""),MROUND(_xlfn.SWITCH(CW72,"sq",DA$7,"bn",DB$7,"dl",DC$7,"")*IF(DB72&gt;10,DB72/100,VLOOKUP(DB72,_rpe,SUBSTITUTE(DA72,"+","")+1,0)),IF(_xlfn.SWITCH(CW72,"sq",DA$7,"bn",DB$7,"dl",DC$7,"")&lt;IF(_uom="lbs",175,80),1.25,IF(_uom="lbs",5,2.5))))),"")</f>
        <v/>
      </c>
      <c s="70"/>
      <c s="63"/>
      <c s="97"/>
      <c s="44" t="str">
        <f>IFERROR(__xludf.DUMMYFUNCTION("IF(DC72=MAX(FILTER(DC$10:DC$199,LOOKUP(ROW(CW$10:CW$199),FILTER(ROW(CW$10:CW$199),CW$10:CW$199&lt;&gt;CW$9:CW$198))=LOOKUP(ROW(CW72),FILTER(ROW(CW$10:CW$199),CW$10:CW$199&lt;&gt;CW$9:CW$198)))),DD72,)"),"")</f>
        <v/>
      </c>
      <c s="42"/>
      <c s="63"/>
      <c s="64" t="str">
        <f t="shared" si="30"/>
        <v/>
      </c>
      <c s="65" t="str">
        <f>IFERROR(__xludf.DUMMYFUNCTION("""COMPUTED_VALUE"""),"")</f>
        <v/>
      </c>
      <c s="66">
        <f ca="1"/>
        <v>45264</v>
      </c>
      <c s="93" t="str">
        <f t="shared" si="46"/>
        <v/>
      </c>
      <c s="94" t="str">
        <f t="shared" si="305"/>
        <v/>
      </c>
      <c s="95" t="str">
        <f t="shared" si="378"/>
        <v/>
      </c>
      <c s="98" t="str">
        <f t="shared" si="379"/>
        <v/>
      </c>
      <c s="97" t="str">
        <f t="array" ref="DQ72">IFERROR(IF(DK72="ac"+ISNUMBER(SEARCH("'",DP72))+DO72="","",IF(ISNUMBER(SEARCH("lw",DP72)),DC72+SUBSTITUTE(DP72,"lw+",""),MROUND(_xlfn.SWITCH(DK72,"sq",DO$7,"bn",DP$7,"dl",DQ$7,"")*IF(DP72&gt;10,DP72/100,VLOOKUP(DP72,_rpe,SUBSTITUTE(DO72,"+","")+1,0)),IF(_xlfn.SWITCH(DK72,"sq",DO$7,"bn",DP$7,"dl",DQ$7,"")&lt;IF(_uom="lbs",175,80),1.25,IF(_uom="lbs",5,2.5))))),"")</f>
        <v/>
      </c>
      <c s="70"/>
      <c s="63"/>
      <c s="97"/>
      <c s="44" t="str">
        <f>IFERROR(__xludf.DUMMYFUNCTION("IF(DQ72=MAX(FILTER(DQ$10:DQ$199,LOOKUP(ROW(DK$10:DK$199),FILTER(ROW(DK$10:DK$199),DK$10:DK$199&lt;&gt;DK$9:DK$198))=LOOKUP(ROW(DK72),FILTER(ROW(DK$10:DK$199),DK$10:DK$199&lt;&gt;DK$9:DK$198)))),DR72,)"),"")</f>
        <v/>
      </c>
      <c s="42"/>
      <c s="63"/>
      <c s="64" t="str">
        <f t="shared" si="32"/>
        <v/>
      </c>
      <c s="65" t="str">
        <f>IFERROR(__xludf.DUMMYFUNCTION("""COMPUTED_VALUE"""),"")</f>
        <v/>
      </c>
      <c s="66">
        <f ca="1"/>
        <v>45271</v>
      </c>
      <c s="93" t="str">
        <f t="shared" si="47"/>
        <v/>
      </c>
      <c s="94" t="str">
        <f t="shared" si="308"/>
        <v/>
      </c>
      <c s="95" t="str">
        <f t="shared" si="380"/>
        <v/>
      </c>
      <c s="98" t="str">
        <f t="shared" si="381"/>
        <v/>
      </c>
      <c s="97" t="str">
        <f t="array" ref="EE72">IFERROR(IF(DY72="ac"+ISNUMBER(SEARCH("'",ED72))+EC72="","",IF(ISNUMBER(SEARCH("lw",ED72)),DQ72+SUBSTITUTE(ED72,"lw+",""),MROUND(_xlfn.SWITCH(DY72,"sq",EC$7,"bn",ED$7,"dl",EE$7,"")*IF(ED72&gt;10,ED72/100,VLOOKUP(ED72,_rpe,SUBSTITUTE(EC72,"+","")+1,0)),IF(_xlfn.SWITCH(DY72,"sq",EC$7,"bn",ED$7,"dl",EE$7,"")&lt;IF(_uom="lbs",175,80),1.25,IF(_uom="lbs",5,2.5))))),"")</f>
        <v/>
      </c>
      <c s="70"/>
      <c s="63"/>
      <c s="97"/>
      <c s="44" t="str">
        <f>IFERROR(__xludf.DUMMYFUNCTION("IF(EE72=MAX(FILTER(EE$10:EE$199,LOOKUP(ROW(DY$10:DY$199),FILTER(ROW(DY$10:DY$199),DY$10:DY$199&lt;&gt;DY$9:DY$198))=LOOKUP(ROW(DY72),FILTER(ROW(DY$10:DY$199),DY$10:DY$199&lt;&gt;DY$9:DY$198)))),EF72,)"),"")</f>
        <v/>
      </c>
      <c s="42"/>
      <c s="63"/>
      <c s="64" t="str">
        <f t="shared" si="34"/>
        <v/>
      </c>
      <c s="65" t="str">
        <f>IFERROR(__xludf.DUMMYFUNCTION("""COMPUTED_VALUE"""),"")</f>
        <v/>
      </c>
      <c s="66">
        <f ca="1"/>
        <v>45278</v>
      </c>
      <c s="93" t="str">
        <f t="shared" si="48"/>
        <v/>
      </c>
      <c s="94" t="str">
        <f t="shared" si="311"/>
        <v/>
      </c>
      <c s="95" t="str">
        <f t="shared" si="382"/>
        <v/>
      </c>
      <c s="98" t="str">
        <f t="shared" si="313"/>
        <v/>
      </c>
      <c s="97" t="str">
        <f t="array" ref="ES72">IFERROR(IF(EM72="ac"+ISNUMBER(SEARCH("'",ER72))+EQ72="","",IF(ISNUMBER(SEARCH("lw",ER72)),EE72+SUBSTITUTE(ER72,"lw+",""),MROUND(_xlfn.SWITCH(EM72,"sq",EQ$7,"bn",ER$7,"dl",ES$7,"")*IF(ER72&gt;10,ER72/100,VLOOKUP(ER72,_rpe,SUBSTITUTE(EQ72,"+","")+1,0)),IF(_xlfn.SWITCH(EM72,"sq",EQ$7,"bn",ER$7,"dl",ES$7,"")&lt;IF(_uom="lbs",175,80),1.25,IF(_uom="lbs",5,2.5))))),"")</f>
        <v/>
      </c>
      <c s="70"/>
      <c s="63"/>
      <c s="97"/>
      <c s="44" t="str">
        <f>IFERROR(__xludf.DUMMYFUNCTION("IF(ES72=MAX(FILTER(ES$10:ES$199,LOOKUP(ROW(EM$10:EM$199),FILTER(ROW(EM$10:EM$199),EM$10:EM$199&lt;&gt;EM$9:EM$198))=LOOKUP(ROW(EM72),FILTER(ROW(EM$10:EM$199),EM$10:EM$199&lt;&gt;EM$9:EM$198)))),ET72,)"),"")</f>
        <v/>
      </c>
      <c s="42"/>
      <c s="63"/>
      <c s="64" t="str">
        <f t="shared" si="36"/>
        <v/>
      </c>
      <c s="65" t="str">
        <f>IFERROR(__xludf.DUMMYFUNCTION("""COMPUTED_VALUE"""),"")</f>
        <v/>
      </c>
      <c s="66">
        <f ca="1"/>
        <v>45285</v>
      </c>
      <c s="93" t="str">
        <f t="shared" si="49"/>
        <v/>
      </c>
      <c s="94" t="str">
        <f t="shared" si="314"/>
        <v/>
      </c>
      <c s="95" t="str">
        <f t="shared" si="383"/>
        <v/>
      </c>
      <c s="98" t="str">
        <f t="shared" si="316"/>
        <v/>
      </c>
      <c s="97" t="str">
        <f t="array" ref="FG72">IFERROR(IF(FA72="ac"+ISNUMBER(SEARCH("'",FF72))+FE72="","",IF(ISNUMBER(SEARCH("lw",FF72)),ES72+SUBSTITUTE(FF72,"lw+",""),MROUND(_xlfn.SWITCH(FA72,"sq",FE$7,"bn",FF$7,"dl",FG$7,"")*IF(FF72&gt;10,FF72/100,VLOOKUP(FF72,_rpe,SUBSTITUTE(FE72,"+","")+1,0)),IF(_xlfn.SWITCH(FA72,"sq",FE$7,"bn",FF$7,"dl",FG$7,"")&lt;IF(_uom="lbs",175,80),1.25,IF(_uom="lbs",5,2.5))))),"")</f>
        <v/>
      </c>
      <c s="70"/>
      <c s="63"/>
      <c s="97"/>
      <c s="44" t="str">
        <f>IFERROR(__xludf.DUMMYFUNCTION("IF(FG72=MAX(FILTER(FG$10:FG$199,LOOKUP(ROW(FA$10:FA$199),FILTER(ROW(FA$10:FA$199),FA$10:FA$199&lt;&gt;FA$9:FA$198))=LOOKUP(ROW(FA72),FILTER(ROW(FA$10:FA$199),FA$10:FA$199&lt;&gt;FA$9:FA$198)))),FH72,)"),"")</f>
        <v/>
      </c>
      <c s="42"/>
      <c s="63"/>
      <c s="64" t="str">
        <f t="shared" si="38"/>
        <v/>
      </c>
      <c s="65" t="str">
        <f>IFERROR(__xludf.DUMMYFUNCTION("""COMPUTED_VALUE"""),"")</f>
        <v/>
      </c>
      <c s="66">
        <f ca="1"/>
        <v>45292</v>
      </c>
      <c s="93" t="str">
        <f t="shared" si="389" ref="FQ72:FR72">IF(ISBLANK(FC72),"",FC72)</f>
        <v/>
      </c>
      <c s="94" t="str">
        <f t="shared" si="389"/>
        <v/>
      </c>
      <c s="95" t="str">
        <f t="shared" si="385"/>
        <v/>
      </c>
      <c s="98" t="str">
        <f t="shared" si="386"/>
        <v/>
      </c>
      <c s="97" t="str">
        <f t="array" ref="FU72">IFERROR(IF(FO72="ac"+ISNUMBER(SEARCH("'",FT72))+FS72="","",IF(ISNUMBER(SEARCH("lw",FT72)),FG72+SUBSTITUTE(FT72,"lw+",""),MROUND(_xlfn.SWITCH(FO72,"sq",FS$7,"bn",FT$7,"dl",FU$7,"")*IF(FT72&gt;10,FT72/100,VLOOKUP(FT72,_rpe,SUBSTITUTE(FS72,"+","")+1,0)),IF(_xlfn.SWITCH(FO72,"sq",FS$7,"bn",FT$7,"dl",FU$7,"")&lt;IF(_uom="lbs",175,80),1.25,IF(_uom="lbs",5,2.5))))),"")</f>
        <v/>
      </c>
      <c s="70"/>
      <c s="63"/>
      <c s="97"/>
      <c s="44" t="str">
        <f>IFERROR(__xludf.DUMMYFUNCTION("IF(FU72=MAX(FILTER(FU$10:FU$199,LOOKUP(ROW(FO$10:FO$199),FILTER(ROW(FO$10:FO$199),FO$10:FO$199&lt;&gt;FO$9:FO$198))=LOOKUP(ROW(FO72),FILTER(ROW(FO$10:FO$199),FO$10:FO$199&lt;&gt;FO$9:FO$198)))),FV72,)"),"")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73" spans="1:259" ht="15.75" hidden="1">
      <c r="A73" s="63"/>
      <c s="107"/>
      <c s="65" t="str">
        <f>IFERROR(__xludf.DUMMYFUNCTION("""COMPUTED_VALUE"""),"")</f>
        <v/>
      </c>
      <c s="66">
        <f ca="1"/>
        <v>45208</v>
      </c>
      <c s="93"/>
      <c s="94"/>
      <c s="95"/>
      <c s="96"/>
      <c s="97" t="str">
        <f t="array" ref="I73">IFERROR(IF(C73="ac"+ISNUMBER(SEARCH("'",H73))+G73="","",MROUND(_xlfn.SWITCH(C73,"sq",'Personal Info'!$O$15,"bn",'Personal Info'!$S$15,"dl",'Personal Info'!$W$15,"")*IF(H73&gt;10,H73/100,VLOOKUP(H73,_rpe,SUBSTITUTE(G73,"+","")+1,0)),IF(_xlfn.SWITCH(C73:C210,"sq",'Personal Info'!$O$15,"bn",'Personal Info'!$S$15,"dl",'Personal Info'!$W$15,"")&lt;IF(_uom="lbs",175,80),1.25,IF(_uom="lbs",5,2.5)))),"")</f>
        <v/>
      </c>
      <c s="70"/>
      <c s="63"/>
      <c s="97"/>
      <c s="44" t="str">
        <f>IFERROR(__xludf.DUMMYFUNCTION("IF(I73=MAX(FILTER(I$10:I$199,LOOKUP(ROW(C$10:C$199),FILTER(ROW(C$10:C$199),C$10:C$199&lt;&gt;C$9:C$198))=LOOKUP(ROW(C73),FILTER(ROW(C$10:C$199),C$10:C$199&lt;&gt;C$9:C$198)))),J73,)"),"")</f>
        <v/>
      </c>
      <c s="42"/>
      <c s="63"/>
      <c s="64" t="str">
        <f t="shared" si="11"/>
        <v/>
      </c>
      <c s="65" t="str">
        <f>IFERROR(__xludf.DUMMYFUNCTION("""COMPUTED_VALUE"""),"")</f>
        <v/>
      </c>
      <c s="66">
        <f ca="1"/>
        <v>45215</v>
      </c>
      <c s="93" t="str">
        <f t="shared" si="12"/>
        <v/>
      </c>
      <c s="94" t="str">
        <f t="shared" si="363"/>
        <v/>
      </c>
      <c s="95" t="str">
        <f t="shared" si="364"/>
        <v/>
      </c>
      <c s="98" t="str">
        <f t="shared" si="365"/>
        <v/>
      </c>
      <c s="97" t="str">
        <f t="array" ref="W73">IFERROR(IF(Q73="ac"+ISNUMBER(SEARCH("'",V73))+U73="","",IF(ISNUMBER(SEARCH("lw",V73)),I73+SUBSTITUTE(V73,"lw+",""),MROUND(_xlfn.SWITCH(Q73,"sq",U$7,"bn",V$7,"dl",W$7,"")*IF(V73&gt;10,V73/100,VLOOKUP(V73,_rpe,SUBSTITUTE(U73,"+","")+1,0)),IF(_xlfn.SWITCH(Q73,"sq",U$7,"bn",V$7,"dl",W$7,"")&lt;IF(_uom="lbs",175,80),1.25,IF(_uom="lbs",5,2.5))))),"")</f>
        <v/>
      </c>
      <c s="70"/>
      <c s="63"/>
      <c s="97"/>
      <c s="44" t="str">
        <f>IFERROR(__xludf.DUMMYFUNCTION("IF(W73=MAX(FILTER(W$10:W$199,LOOKUP(ROW(Q$10:Q$199),FILTER(ROW(Q$10:Q$199),Q$10:Q$199&lt;&gt;Q$9:Q$198))=LOOKUP(ROW(Q73),FILTER(ROW(Q$10:Q$199),Q$10:Q$199&lt;&gt;Q$9:Q$198)))),X73,)"),"")</f>
        <v/>
      </c>
      <c s="42"/>
      <c s="63"/>
      <c s="64" t="str">
        <f t="shared" si="14"/>
        <v/>
      </c>
      <c s="65" t="str">
        <f>IFERROR(__xludf.DUMMYFUNCTION("""COMPUTED_VALUE"""),"")</f>
        <v/>
      </c>
      <c s="66">
        <f ca="1"/>
        <v>45222</v>
      </c>
      <c s="93" t="str">
        <f t="shared" si="156"/>
        <v/>
      </c>
      <c s="94" t="str">
        <f t="shared" si="186"/>
        <v/>
      </c>
      <c s="95" t="str">
        <f t="shared" si="366"/>
        <v/>
      </c>
      <c s="98" t="str">
        <f t="shared" si="367"/>
        <v/>
      </c>
      <c s="97" t="str">
        <f t="array" ref="AK73">IFERROR(IF(AE73="ac"+ISNUMBER(SEARCH("'",AJ73))+AI73="","",IF(ISNUMBER(SEARCH("lw",AJ73)),W73+SUBSTITUTE(AJ73,"lw+",""),MROUND(_xlfn.SWITCH(AE73,"sq",AI$7,"bn",AJ$7,"dl",AK$7,"")*IF(AJ73&gt;10,AJ73/100,VLOOKUP(AJ73,_rpe,SUBSTITUTE(AI73,"+","")+1,0)),IF(_xlfn.SWITCH(AE73,"sq",AI$7,"bn",AJ$7,"dl",AK$7,"")&lt;IF(_uom="lbs",175,80),1.25,IF(_uom="lbs",5,2.5))))),"")</f>
        <v/>
      </c>
      <c s="70"/>
      <c s="63"/>
      <c s="97"/>
      <c s="44" t="str">
        <f>IFERROR(__xludf.DUMMYFUNCTION("IF(AK73=MAX(FILTER(AK$10:AK$199,LOOKUP(ROW(AE$10:AE$199),FILTER(ROW(AE$10:AE$199),AE$10:AE$199&lt;&gt;AE$9:AE$198))=LOOKUP(ROW(AE73),FILTER(ROW(AE$10:AE$199),AE$10:AE$199&lt;&gt;AE$9:AE$198)))),AL73,)"),"")</f>
        <v/>
      </c>
      <c s="42"/>
      <c s="63"/>
      <c s="64" t="str">
        <f t="shared" si="17"/>
        <v/>
      </c>
      <c s="65" t="str">
        <f>IFERROR(__xludf.DUMMYFUNCTION("""COMPUTED_VALUE"""),"")</f>
        <v/>
      </c>
      <c s="66">
        <f ca="1"/>
        <v>45229</v>
      </c>
      <c s="93" t="str">
        <f t="shared" si="157"/>
        <v/>
      </c>
      <c s="94" t="str">
        <f t="shared" si="188"/>
        <v/>
      </c>
      <c s="95" t="str">
        <f t="shared" si="368"/>
        <v/>
      </c>
      <c s="98" t="str">
        <f t="shared" si="294"/>
        <v/>
      </c>
      <c s="97" t="str">
        <f t="array" ref="AY73">IFERROR(IF(AS73="ac"+ISNUMBER(SEARCH("'",AX73))+AW73="","",IF(ISNUMBER(SEARCH("lw",AX73)),AK73+SUBSTITUTE(AX73,"lw+",""),MROUND(_xlfn.SWITCH(AS73,"sq",AW$7,"bn",AX$7,"dl",AY$7,"")*IF(AX73&gt;10,AX73/100,VLOOKUP(AX73,_rpe,SUBSTITUTE(AW73,"+","")+1,0)),IF(_xlfn.SWITCH(AS73,"sq",AW$7,"bn",AX$7,"dl",AY$7,"")&lt;IF(_uom="lbs",175,80),1.25,IF(_uom="lbs",5,2.5))))),"")</f>
        <v/>
      </c>
      <c s="70"/>
      <c s="63"/>
      <c s="97"/>
      <c s="44" t="str">
        <f>IFERROR(__xludf.DUMMYFUNCTION("IF(AY73=MAX(FILTER(AY$10:AY$199,LOOKUP(ROW(AS$10:AS$199),FILTER(ROW(AS$10:AS$199),AS$10:AS$199&lt;&gt;AS$9:AS$198))=LOOKUP(ROW(AS73),FILTER(ROW(AS$10:AS$199),AS$10:AS$199&lt;&gt;AS$9:AS$198)))),AZ73,)"),"")</f>
        <v/>
      </c>
      <c s="42"/>
      <c s="63"/>
      <c s="64" t="str">
        <f t="shared" si="19"/>
        <v/>
      </c>
      <c s="65" t="str">
        <f>IFERROR(__xludf.DUMMYFUNCTION("""COMPUTED_VALUE"""),"")</f>
        <v/>
      </c>
      <c s="66">
        <f ca="1"/>
        <v>45236</v>
      </c>
      <c s="93" t="str">
        <f t="shared" si="20"/>
        <v/>
      </c>
      <c s="94" t="str">
        <f t="shared" si="369"/>
        <v/>
      </c>
      <c s="95" t="str">
        <f t="shared" si="370"/>
        <v/>
      </c>
      <c s="98" t="str">
        <f t="shared" si="371"/>
        <v/>
      </c>
      <c s="97" t="str">
        <f t="array" ref="BM73">IFERROR(IF(BG73="ac"+ISNUMBER(SEARCH("'",BL73))+BK73="","",IF(ISNUMBER(SEARCH("lw",BL73)),AY73+SUBSTITUTE(BL73,"lw+",""),MROUND(_xlfn.SWITCH(BG73,"sq",BK$7,"bn",BL$7,"dl",BM$7,"")*IF(BL73&gt;10,BL73/100,VLOOKUP(BL73,_rpe,SUBSTITUTE(BK73,"+","")+1,0)),IF(_xlfn.SWITCH(BG73,"sq",BK$7,"bn",BL$7,"dl",BM$7,"")&lt;IF(_uom="lbs",175,80),1.25,IF(_uom="lbs",5,2.5))))),"")</f>
        <v/>
      </c>
      <c s="70"/>
      <c s="63"/>
      <c s="97"/>
      <c s="44" t="str">
        <f>IFERROR(__xludf.DUMMYFUNCTION("IF(BM73=MAX(FILTER(BM$10:BM$199,LOOKUP(ROW(BG$10:BG$199),FILTER(ROW(BG$10:BG$199),BG$10:BG$199&lt;&gt;BG$9:BG$198))=LOOKUP(ROW(BG73),FILTER(ROW(BG$10:BG$199),BG$10:BG$199&lt;&gt;BG$9:BG$198)))),BN73,)"),"")</f>
        <v/>
      </c>
      <c s="42"/>
      <c s="63"/>
      <c s="64" t="str">
        <f t="shared" si="21"/>
        <v/>
      </c>
      <c s="65" t="str">
        <f>IFERROR(__xludf.DUMMYFUNCTION("""COMPUTED_VALUE"""),"")</f>
        <v/>
      </c>
      <c s="66">
        <f ca="1"/>
        <v>45243</v>
      </c>
      <c s="93" t="str">
        <f t="shared" si="22"/>
        <v/>
      </c>
      <c s="94" t="str">
        <f t="shared" si="372"/>
        <v/>
      </c>
      <c s="95" t="str">
        <f t="shared" si="373"/>
        <v/>
      </c>
      <c s="98" t="str">
        <f t="shared" si="374"/>
        <v/>
      </c>
      <c s="97" t="str">
        <f t="array" ref="CA73">IFERROR(IF(BU73="ac"+ISNUMBER(SEARCH("'",BZ73))+BY73="","",IF(ISNUMBER(SEARCH("lw",BZ73)),BM73+SUBSTITUTE(BZ73,"lw+",""),MROUND(_xlfn.SWITCH(BU73,"sq",BY$7,"bn",BZ$7,"dl",CA$7,"")*IF(BZ73&gt;10,BZ73/100,VLOOKUP(BZ73,_rpe,SUBSTITUTE(BY73,"+","")+1,0)),IF(_xlfn.SWITCH(BU73,"sq",BY$7,"bn",BZ$7,"dl",CA$7,"")&lt;IF(_uom="lbs",175,80),1.25,IF(_uom="lbs",5,2.5))))),"")</f>
        <v/>
      </c>
      <c s="70"/>
      <c s="63"/>
      <c s="97"/>
      <c s="44" t="str">
        <f>IFERROR(__xludf.DUMMYFUNCTION("IF(CA73=MAX(FILTER(CA$10:CA$199,LOOKUP(ROW(BU$10:BU$199),FILTER(ROW(BU$10:BU$199),BU$10:BU$199&lt;&gt;BU$9:BU$198))=LOOKUP(ROW(BU73),FILTER(ROW(BU$10:BU$199),BU$10:BU$199&lt;&gt;BU$9:BU$198)))),CB73,)"),"")</f>
        <v/>
      </c>
      <c s="42"/>
      <c s="63"/>
      <c s="64" t="str">
        <f t="shared" si="24"/>
        <v/>
      </c>
      <c s="65" t="str">
        <f>IFERROR(__xludf.DUMMYFUNCTION("""COMPUTED_VALUE"""),"")</f>
        <v/>
      </c>
      <c s="66">
        <f ca="1"/>
        <v>45250</v>
      </c>
      <c s="93" t="str">
        <f t="shared" si="44"/>
        <v/>
      </c>
      <c s="94" t="str">
        <f t="shared" si="300"/>
        <v/>
      </c>
      <c s="95" t="str">
        <f t="shared" si="375"/>
        <v/>
      </c>
      <c s="98" t="str">
        <f t="shared" si="376"/>
        <v/>
      </c>
      <c s="97" t="str">
        <f t="array" ref="CO73">IFERROR(IF(CI73="ac"+ISNUMBER(SEARCH("'",CN73))+CM73="","",IF(ISNUMBER(SEARCH("lw",CN73)),CA73+SUBSTITUTE(CN73,"lw+",""),MROUND(_xlfn.SWITCH(CI73,"sq",CM$7,"bn",CN$7,"dl",CO$7,"")*IF(CN73&gt;10,CN73/100,VLOOKUP(CN73,_rpe,SUBSTITUTE(CM73,"+","")+1,0)),IF(_xlfn.SWITCH(CI73,"sq",CM$7,"bn",CN$7,"dl",CO$7,"")&lt;IF(_uom="lbs",175,80),1.25,IF(_uom="lbs",5,2.5))))),"")</f>
        <v/>
      </c>
      <c s="70"/>
      <c s="63"/>
      <c s="97"/>
      <c s="44" t="str">
        <f>IFERROR(__xludf.DUMMYFUNCTION("IF(CO73=MAX(FILTER(CO$10:CO$199,LOOKUP(ROW(CI$10:CI$199),FILTER(ROW(CI$10:CI$199),CI$10:CI$199&lt;&gt;CI$9:CI$198))=LOOKUP(ROW(CI73),FILTER(ROW(CI$10:CI$199),CI$10:CI$199&lt;&gt;CI$9:CI$198)))),CP73,)"),"")</f>
        <v/>
      </c>
      <c s="42"/>
      <c s="63"/>
      <c s="64" t="str">
        <f t="shared" si="27"/>
        <v/>
      </c>
      <c s="65" t="str">
        <f>IFERROR(__xludf.DUMMYFUNCTION("""COMPUTED_VALUE"""),"")</f>
        <v/>
      </c>
      <c s="66">
        <f ca="1"/>
        <v>45257</v>
      </c>
      <c s="93" t="str">
        <f t="shared" si="45"/>
        <v/>
      </c>
      <c s="94" t="str">
        <f t="shared" si="302"/>
        <v/>
      </c>
      <c s="95" t="str">
        <f t="shared" si="377"/>
        <v/>
      </c>
      <c s="98" t="str">
        <f t="shared" si="304"/>
        <v/>
      </c>
      <c s="97" t="str">
        <f t="array" ref="DC73">IFERROR(IF(CW73="ac"+ISNUMBER(SEARCH("'",DB73))+DA73="","",IF(ISNUMBER(SEARCH("lw",DB73)),CO73+SUBSTITUTE(DB73,"lw+",""),MROUND(_xlfn.SWITCH(CW73,"sq",DA$7,"bn",DB$7,"dl",DC$7,"")*IF(DB73&gt;10,DB73/100,VLOOKUP(DB73,_rpe,SUBSTITUTE(DA73,"+","")+1,0)),IF(_xlfn.SWITCH(CW73,"sq",DA$7,"bn",DB$7,"dl",DC$7,"")&lt;IF(_uom="lbs",175,80),1.25,IF(_uom="lbs",5,2.5))))),"")</f>
        <v/>
      </c>
      <c s="70"/>
      <c s="63"/>
      <c s="97"/>
      <c s="44" t="str">
        <f>IFERROR(__xludf.DUMMYFUNCTION("IF(DC73=MAX(FILTER(DC$10:DC$199,LOOKUP(ROW(CW$10:CW$199),FILTER(ROW(CW$10:CW$199),CW$10:CW$199&lt;&gt;CW$9:CW$198))=LOOKUP(ROW(CW73),FILTER(ROW(CW$10:CW$199),CW$10:CW$199&lt;&gt;CW$9:CW$198)))),DD73,)"),"")</f>
        <v/>
      </c>
      <c s="42"/>
      <c s="63"/>
      <c s="64" t="str">
        <f t="shared" si="30"/>
        <v/>
      </c>
      <c s="65" t="str">
        <f>IFERROR(__xludf.DUMMYFUNCTION("""COMPUTED_VALUE"""),"")</f>
        <v/>
      </c>
      <c s="66">
        <f ca="1"/>
        <v>45264</v>
      </c>
      <c s="93" t="str">
        <f t="shared" si="46"/>
        <v/>
      </c>
      <c s="94" t="str">
        <f t="shared" si="305"/>
        <v/>
      </c>
      <c s="95" t="str">
        <f t="shared" si="378"/>
        <v/>
      </c>
      <c s="98" t="str">
        <f t="shared" si="379"/>
        <v/>
      </c>
      <c s="97" t="str">
        <f t="array" ref="DQ73">IFERROR(IF(DK73="ac"+ISNUMBER(SEARCH("'",DP73))+DO73="","",IF(ISNUMBER(SEARCH("lw",DP73)),DC73+SUBSTITUTE(DP73,"lw+",""),MROUND(_xlfn.SWITCH(DK73,"sq",DO$7,"bn",DP$7,"dl",DQ$7,"")*IF(DP73&gt;10,DP73/100,VLOOKUP(DP73,_rpe,SUBSTITUTE(DO73,"+","")+1,0)),IF(_xlfn.SWITCH(DK73,"sq",DO$7,"bn",DP$7,"dl",DQ$7,"")&lt;IF(_uom="lbs",175,80),1.25,IF(_uom="lbs",5,2.5))))),"")</f>
        <v/>
      </c>
      <c s="70"/>
      <c s="63"/>
      <c s="97"/>
      <c s="44" t="str">
        <f>IFERROR(__xludf.DUMMYFUNCTION("IF(DQ73=MAX(FILTER(DQ$10:DQ$199,LOOKUP(ROW(DK$10:DK$199),FILTER(ROW(DK$10:DK$199),DK$10:DK$199&lt;&gt;DK$9:DK$198))=LOOKUP(ROW(DK73),FILTER(ROW(DK$10:DK$199),DK$10:DK$199&lt;&gt;DK$9:DK$198)))),DR73,)"),"")</f>
        <v/>
      </c>
      <c s="42"/>
      <c s="63"/>
      <c s="64" t="str">
        <f t="shared" si="32"/>
        <v/>
      </c>
      <c s="65" t="str">
        <f>IFERROR(__xludf.DUMMYFUNCTION("""COMPUTED_VALUE"""),"")</f>
        <v/>
      </c>
      <c s="66">
        <f ca="1"/>
        <v>45271</v>
      </c>
      <c s="93" t="str">
        <f t="shared" si="47"/>
        <v/>
      </c>
      <c s="94" t="str">
        <f t="shared" si="308"/>
        <v/>
      </c>
      <c s="95" t="str">
        <f t="shared" si="380"/>
        <v/>
      </c>
      <c s="98" t="str">
        <f t="shared" si="381"/>
        <v/>
      </c>
      <c s="97" t="str">
        <f t="array" ref="EE73">IFERROR(IF(DY73="ac"+ISNUMBER(SEARCH("'",ED73))+EC73="","",IF(ISNUMBER(SEARCH("lw",ED73)),DQ73+SUBSTITUTE(ED73,"lw+",""),MROUND(_xlfn.SWITCH(DY73,"sq",EC$7,"bn",ED$7,"dl",EE$7,"")*IF(ED73&gt;10,ED73/100,VLOOKUP(ED73,_rpe,SUBSTITUTE(EC73,"+","")+1,0)),IF(_xlfn.SWITCH(DY73,"sq",EC$7,"bn",ED$7,"dl",EE$7,"")&lt;IF(_uom="lbs",175,80),1.25,IF(_uom="lbs",5,2.5))))),"")</f>
        <v/>
      </c>
      <c s="70"/>
      <c s="63"/>
      <c s="97"/>
      <c s="44" t="str">
        <f>IFERROR(__xludf.DUMMYFUNCTION("IF(EE73=MAX(FILTER(EE$10:EE$199,LOOKUP(ROW(DY$10:DY$199),FILTER(ROW(DY$10:DY$199),DY$10:DY$199&lt;&gt;DY$9:DY$198))=LOOKUP(ROW(DY73),FILTER(ROW(DY$10:DY$199),DY$10:DY$199&lt;&gt;DY$9:DY$198)))),EF73,)"),"")</f>
        <v/>
      </c>
      <c s="42"/>
      <c s="63"/>
      <c s="64" t="str">
        <f t="shared" si="34"/>
        <v/>
      </c>
      <c s="65" t="str">
        <f>IFERROR(__xludf.DUMMYFUNCTION("""COMPUTED_VALUE"""),"")</f>
        <v/>
      </c>
      <c s="66">
        <f ca="1"/>
        <v>45278</v>
      </c>
      <c s="93" t="str">
        <f t="shared" si="48"/>
        <v/>
      </c>
      <c s="94" t="str">
        <f t="shared" si="311"/>
        <v/>
      </c>
      <c s="95" t="str">
        <f t="shared" si="382"/>
        <v/>
      </c>
      <c s="98" t="str">
        <f t="shared" si="313"/>
        <v/>
      </c>
      <c s="97" t="str">
        <f t="array" ref="ES73">IFERROR(IF(EM73="ac"+ISNUMBER(SEARCH("'",ER73))+EQ73="","",IF(ISNUMBER(SEARCH("lw",ER73)),EE73+SUBSTITUTE(ER73,"lw+",""),MROUND(_xlfn.SWITCH(EM73,"sq",EQ$7,"bn",ER$7,"dl",ES$7,"")*IF(ER73&gt;10,ER73/100,VLOOKUP(ER73,_rpe,SUBSTITUTE(EQ73,"+","")+1,0)),IF(_xlfn.SWITCH(EM73,"sq",EQ$7,"bn",ER$7,"dl",ES$7,"")&lt;IF(_uom="lbs",175,80),1.25,IF(_uom="lbs",5,2.5))))),"")</f>
        <v/>
      </c>
      <c s="70"/>
      <c s="63"/>
      <c s="97"/>
      <c s="44" t="str">
        <f>IFERROR(__xludf.DUMMYFUNCTION("IF(ES73=MAX(FILTER(ES$10:ES$199,LOOKUP(ROW(EM$10:EM$199),FILTER(ROW(EM$10:EM$199),EM$10:EM$199&lt;&gt;EM$9:EM$198))=LOOKUP(ROW(EM73),FILTER(ROW(EM$10:EM$199),EM$10:EM$199&lt;&gt;EM$9:EM$198)))),ET73,)"),"")</f>
        <v/>
      </c>
      <c s="42"/>
      <c s="63"/>
      <c s="64" t="str">
        <f t="shared" si="36"/>
        <v/>
      </c>
      <c s="65" t="str">
        <f>IFERROR(__xludf.DUMMYFUNCTION("""COMPUTED_VALUE"""),"")</f>
        <v/>
      </c>
      <c s="66">
        <f ca="1"/>
        <v>45285</v>
      </c>
      <c s="93" t="str">
        <f t="shared" si="49"/>
        <v/>
      </c>
      <c s="94" t="str">
        <f t="shared" si="314"/>
        <v/>
      </c>
      <c s="95" t="str">
        <f t="shared" si="383"/>
        <v/>
      </c>
      <c s="98" t="str">
        <f t="shared" si="316"/>
        <v/>
      </c>
      <c s="97" t="str">
        <f t="array" ref="FG73">IFERROR(IF(FA73="ac"+ISNUMBER(SEARCH("'",FF73))+FE73="","",IF(ISNUMBER(SEARCH("lw",FF73)),ES73+SUBSTITUTE(FF73,"lw+",""),MROUND(_xlfn.SWITCH(FA73,"sq",FE$7,"bn",FF$7,"dl",FG$7,"")*IF(FF73&gt;10,FF73/100,VLOOKUP(FF73,_rpe,SUBSTITUTE(FE73,"+","")+1,0)),IF(_xlfn.SWITCH(FA73,"sq",FE$7,"bn",FF$7,"dl",FG$7,"")&lt;IF(_uom="lbs",175,80),1.25,IF(_uom="lbs",5,2.5))))),"")</f>
        <v/>
      </c>
      <c s="70"/>
      <c s="63"/>
      <c s="97"/>
      <c s="44" t="str">
        <f>IFERROR(__xludf.DUMMYFUNCTION("IF(FG73=MAX(FILTER(FG$10:FG$199,LOOKUP(ROW(FA$10:FA$199),FILTER(ROW(FA$10:FA$199),FA$10:FA$199&lt;&gt;FA$9:FA$198))=LOOKUP(ROW(FA73),FILTER(ROW(FA$10:FA$199),FA$10:FA$199&lt;&gt;FA$9:FA$198)))),FH73,)"),"")</f>
        <v/>
      </c>
      <c s="42"/>
      <c s="63"/>
      <c s="64" t="str">
        <f t="shared" si="38"/>
        <v/>
      </c>
      <c s="65" t="str">
        <f>IFERROR(__xludf.DUMMYFUNCTION("""COMPUTED_VALUE"""),"")</f>
        <v/>
      </c>
      <c s="66">
        <f ca="1"/>
        <v>45292</v>
      </c>
      <c s="93" t="str">
        <f t="shared" si="390" ref="FQ73:FR73">IF(ISBLANK(FC73),"",FC73)</f>
        <v/>
      </c>
      <c s="94" t="str">
        <f t="shared" si="390"/>
        <v/>
      </c>
      <c s="95" t="str">
        <f t="shared" si="385"/>
        <v/>
      </c>
      <c s="98" t="str">
        <f t="shared" si="386"/>
        <v/>
      </c>
      <c s="97" t="str">
        <f t="array" ref="FU73">IFERROR(IF(FO73="ac"+ISNUMBER(SEARCH("'",FT73))+FS73="","",IF(ISNUMBER(SEARCH("lw",FT73)),FG73+SUBSTITUTE(FT73,"lw+",""),MROUND(_xlfn.SWITCH(FO73,"sq",FS$7,"bn",FT$7,"dl",FU$7,"")*IF(FT73&gt;10,FT73/100,VLOOKUP(FT73,_rpe,SUBSTITUTE(FS73,"+","")+1,0)),IF(_xlfn.SWITCH(FO73,"sq",FS$7,"bn",FT$7,"dl",FU$7,"")&lt;IF(_uom="lbs",175,80),1.25,IF(_uom="lbs",5,2.5))))),"")</f>
        <v/>
      </c>
      <c s="70"/>
      <c s="63"/>
      <c s="97"/>
      <c s="44" t="str">
        <f>IFERROR(__xludf.DUMMYFUNCTION("IF(FU73=MAX(FILTER(FU$10:FU$199,LOOKUP(ROW(FO$10:FO$199),FILTER(ROW(FO$10:FO$199),FO$10:FO$199&lt;&gt;FO$9:FO$198))=LOOKUP(ROW(FO73),FILTER(ROW(FO$10:FO$199),FO$10:FO$199&lt;&gt;FO$9:FO$198)))),FV73,)"),"")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74" spans="1:259" ht="15.75">
      <c r="A74" s="63"/>
      <c s="107"/>
      <c s="65" t="str">
        <f>IFERROR(__xludf.DUMMYFUNCTION("""COMPUTED_VALUE"""),"")</f>
        <v/>
      </c>
      <c s="66">
        <f ca="1"/>
        <v>45208</v>
      </c>
      <c s="108"/>
      <c s="94"/>
      <c s="95"/>
      <c s="96"/>
      <c s="97" t="str">
        <f t="array" ref="I74">IFERROR(IF(C74="ac"+ISNUMBER(SEARCH("'",H74))+G74="","",MROUND(_xlfn.SWITCH(C74,"sq",'Personal Info'!$O$15,"bn",'Personal Info'!$S$15,"dl",'Personal Info'!$W$15,"")*IF(H74&gt;10,H74/100,VLOOKUP(H74,_rpe,SUBSTITUTE(G74,"+","")+1,0)),IF(_xlfn.SWITCH(C74:C210,"sq",'Personal Info'!$O$15,"bn",'Personal Info'!$S$15,"dl",'Personal Info'!$W$15,"")&lt;IF(_uom="lbs",175,80),1.25,IF(_uom="lbs",5,2.5)))),"")</f>
        <v/>
      </c>
      <c s="70"/>
      <c s="63"/>
      <c s="97"/>
      <c s="44" t="str">
        <f>IFERROR(__xludf.DUMMYFUNCTION("IF(I74=MAX(FILTER(I$10:I$199,LOOKUP(ROW(C$10:C$199),FILTER(ROW(C$10:C$199),C$10:C$199&lt;&gt;C$9:C$198))=LOOKUP(ROW(C74),FILTER(ROW(C$10:C$199),C$10:C$199&lt;&gt;C$9:C$198)))),J74,)"),"")</f>
        <v/>
      </c>
      <c s="42"/>
      <c s="63"/>
      <c s="64" t="str">
        <f t="shared" si="11"/>
        <v/>
      </c>
      <c s="65" t="str">
        <f>IFERROR(__xludf.DUMMYFUNCTION("""COMPUTED_VALUE"""),"")</f>
        <v/>
      </c>
      <c s="66">
        <f ca="1"/>
        <v>45215</v>
      </c>
      <c s="93" t="str">
        <f t="shared" si="12"/>
        <v/>
      </c>
      <c s="94" t="str">
        <f t="shared" si="363"/>
        <v/>
      </c>
      <c s="95" t="str">
        <f t="shared" si="364"/>
        <v/>
      </c>
      <c s="98" t="str">
        <f t="shared" si="365"/>
        <v/>
      </c>
      <c s="97" t="str">
        <f t="array" ref="W74">IFERROR(IF(Q74="ac"+ISNUMBER(SEARCH("'",V74))+U74="","",IF(ISNUMBER(SEARCH("lw",V74)),I74+SUBSTITUTE(V74,"lw+",""),MROUND(_xlfn.SWITCH(Q74,"sq",U$7,"bn",V$7,"dl",W$7,"")*IF(V74&gt;10,V74/100,VLOOKUP(V74,_rpe,SUBSTITUTE(U74,"+","")+1,0)),IF(_xlfn.SWITCH(Q74,"sq",U$7,"bn",V$7,"dl",W$7,"")&lt;IF(_uom="lbs",175,80),1.25,IF(_uom="lbs",5,2.5))))),"")</f>
        <v/>
      </c>
      <c s="70"/>
      <c s="63"/>
      <c s="97"/>
      <c s="44" t="str">
        <f>IFERROR(__xludf.DUMMYFUNCTION("IF(W74=MAX(FILTER(W$10:W$199,LOOKUP(ROW(Q$10:Q$199),FILTER(ROW(Q$10:Q$199),Q$10:Q$199&lt;&gt;Q$9:Q$198))=LOOKUP(ROW(Q74),FILTER(ROW(Q$10:Q$199),Q$10:Q$199&lt;&gt;Q$9:Q$198)))),X74,)"),"")</f>
        <v/>
      </c>
      <c s="42"/>
      <c s="63"/>
      <c s="64" t="str">
        <f t="shared" si="14"/>
        <v/>
      </c>
      <c s="65" t="str">
        <f>IFERROR(__xludf.DUMMYFUNCTION("""COMPUTED_VALUE"""),"")</f>
        <v/>
      </c>
      <c s="66">
        <f ca="1"/>
        <v>45222</v>
      </c>
      <c s="93" t="str">
        <f t="shared" si="156"/>
        <v/>
      </c>
      <c s="94" t="str">
        <f t="shared" si="186"/>
        <v/>
      </c>
      <c s="95" t="str">
        <f t="shared" si="366"/>
        <v/>
      </c>
      <c s="98" t="str">
        <f t="shared" si="367"/>
        <v/>
      </c>
      <c s="97" t="str">
        <f t="array" ref="AK74">IFERROR(IF(AE74="ac"+ISNUMBER(SEARCH("'",AJ74))+AI74="","",IF(ISNUMBER(SEARCH("lw",AJ74)),W74+SUBSTITUTE(AJ74,"lw+",""),MROUND(_xlfn.SWITCH(AE74,"sq",AI$7,"bn",AJ$7,"dl",AK$7,"")*IF(AJ74&gt;10,AJ74/100,VLOOKUP(AJ74,_rpe,SUBSTITUTE(AI74,"+","")+1,0)),IF(_xlfn.SWITCH(AE74,"sq",AI$7,"bn",AJ$7,"dl",AK$7,"")&lt;IF(_uom="lbs",175,80),1.25,IF(_uom="lbs",5,2.5))))),"")</f>
        <v/>
      </c>
      <c s="70"/>
      <c s="63"/>
      <c s="97"/>
      <c s="44" t="str">
        <f>IFERROR(__xludf.DUMMYFUNCTION("IF(AK74=MAX(FILTER(AK$10:AK$199,LOOKUP(ROW(AE$10:AE$199),FILTER(ROW(AE$10:AE$199),AE$10:AE$199&lt;&gt;AE$9:AE$198))=LOOKUP(ROW(AE74),FILTER(ROW(AE$10:AE$199),AE$10:AE$199&lt;&gt;AE$9:AE$198)))),AL74,)"),"")</f>
        <v/>
      </c>
      <c s="42"/>
      <c s="63"/>
      <c s="64" t="str">
        <f t="shared" si="17"/>
        <v/>
      </c>
      <c s="65" t="str">
        <f>IFERROR(__xludf.DUMMYFUNCTION("""COMPUTED_VALUE"""),"")</f>
        <v/>
      </c>
      <c s="66">
        <f ca="1"/>
        <v>45229</v>
      </c>
      <c s="93" t="str">
        <f t="shared" si="157"/>
        <v/>
      </c>
      <c s="94" t="str">
        <f t="shared" si="188"/>
        <v/>
      </c>
      <c s="95" t="str">
        <f t="shared" si="368"/>
        <v/>
      </c>
      <c s="98" t="str">
        <f t="shared" si="294"/>
        <v/>
      </c>
      <c s="97" t="str">
        <f t="array" ref="AY74">IFERROR(IF(AS74="ac"+ISNUMBER(SEARCH("'",AX74))+AW74="","",IF(ISNUMBER(SEARCH("lw",AX74)),AK74+SUBSTITUTE(AX74,"lw+",""),MROUND(_xlfn.SWITCH(AS74,"sq",AW$7,"bn",AX$7,"dl",AY$7,"")*IF(AX74&gt;10,AX74/100,VLOOKUP(AX74,_rpe,SUBSTITUTE(AW74,"+","")+1,0)),IF(_xlfn.SWITCH(AS74,"sq",AW$7,"bn",AX$7,"dl",AY$7,"")&lt;IF(_uom="lbs",175,80),1.25,IF(_uom="lbs",5,2.5))))),"")</f>
        <v/>
      </c>
      <c s="70"/>
      <c s="63"/>
      <c s="97"/>
      <c s="44" t="str">
        <f>IFERROR(__xludf.DUMMYFUNCTION("IF(AY74=MAX(FILTER(AY$10:AY$199,LOOKUP(ROW(AS$10:AS$199),FILTER(ROW(AS$10:AS$199),AS$10:AS$199&lt;&gt;AS$9:AS$198))=LOOKUP(ROW(AS74),FILTER(ROW(AS$10:AS$199),AS$10:AS$199&lt;&gt;AS$9:AS$198)))),AZ74,)"),"")</f>
        <v/>
      </c>
      <c s="42"/>
      <c s="63"/>
      <c s="64" t="str">
        <f t="shared" si="19"/>
        <v/>
      </c>
      <c s="65" t="str">
        <f>IFERROR(__xludf.DUMMYFUNCTION("""COMPUTED_VALUE"""),"")</f>
        <v/>
      </c>
      <c s="66">
        <f ca="1"/>
        <v>45236</v>
      </c>
      <c s="93" t="str">
        <f t="shared" si="20"/>
        <v/>
      </c>
      <c s="94" t="str">
        <f t="shared" si="369"/>
        <v/>
      </c>
      <c s="95" t="str">
        <f t="shared" si="370"/>
        <v/>
      </c>
      <c s="98" t="str">
        <f t="shared" si="371"/>
        <v/>
      </c>
      <c s="97" t="str">
        <f t="array" ref="BM74">IFERROR(IF(BG74="ac"+ISNUMBER(SEARCH("'",BL74))+BK74="","",IF(ISNUMBER(SEARCH("lw",BL74)),AY74+SUBSTITUTE(BL74,"lw+",""),MROUND(_xlfn.SWITCH(BG74,"sq",BK$7,"bn",BL$7,"dl",BM$7,"")*IF(BL74&gt;10,BL74/100,VLOOKUP(BL74,_rpe,SUBSTITUTE(BK74,"+","")+1,0)),IF(_xlfn.SWITCH(BG74,"sq",BK$7,"bn",BL$7,"dl",BM$7,"")&lt;IF(_uom="lbs",175,80),1.25,IF(_uom="lbs",5,2.5))))),"")</f>
        <v/>
      </c>
      <c s="70"/>
      <c s="63"/>
      <c s="97"/>
      <c s="44" t="str">
        <f>IFERROR(__xludf.DUMMYFUNCTION("IF(BM74=MAX(FILTER(BM$10:BM$199,LOOKUP(ROW(BG$10:BG$199),FILTER(ROW(BG$10:BG$199),BG$10:BG$199&lt;&gt;BG$9:BG$198))=LOOKUP(ROW(BG74),FILTER(ROW(BG$10:BG$199),BG$10:BG$199&lt;&gt;BG$9:BG$198)))),BN74,)"),"")</f>
        <v/>
      </c>
      <c s="42"/>
      <c s="63"/>
      <c s="64" t="str">
        <f t="shared" si="21"/>
        <v/>
      </c>
      <c s="65" t="str">
        <f>IFERROR(__xludf.DUMMYFUNCTION("""COMPUTED_VALUE"""),"")</f>
        <v/>
      </c>
      <c s="66">
        <f ca="1"/>
        <v>45243</v>
      </c>
      <c s="93" t="str">
        <f t="shared" si="22"/>
        <v/>
      </c>
      <c s="94" t="str">
        <f t="shared" si="372"/>
        <v/>
      </c>
      <c s="95" t="str">
        <f t="shared" si="373"/>
        <v/>
      </c>
      <c s="98" t="str">
        <f t="shared" si="374"/>
        <v/>
      </c>
      <c s="97" t="str">
        <f t="array" ref="CA74">IFERROR(IF(BU74="ac"+ISNUMBER(SEARCH("'",BZ74))+BY74="","",IF(ISNUMBER(SEARCH("lw",BZ74)),BM74+SUBSTITUTE(BZ74,"lw+",""),MROUND(_xlfn.SWITCH(BU74,"sq",BY$7,"bn",BZ$7,"dl",CA$7,"")*IF(BZ74&gt;10,BZ74/100,VLOOKUP(BZ74,_rpe,SUBSTITUTE(BY74,"+","")+1,0)),IF(_xlfn.SWITCH(BU74,"sq",BY$7,"bn",BZ$7,"dl",CA$7,"")&lt;IF(_uom="lbs",175,80),1.25,IF(_uom="lbs",5,2.5))))),"")</f>
        <v/>
      </c>
      <c s="70"/>
      <c s="63"/>
      <c s="97"/>
      <c s="44" t="str">
        <f>IFERROR(__xludf.DUMMYFUNCTION("IF(CA74=MAX(FILTER(CA$10:CA$199,LOOKUP(ROW(BU$10:BU$199),FILTER(ROW(BU$10:BU$199),BU$10:BU$199&lt;&gt;BU$9:BU$198))=LOOKUP(ROW(BU74),FILTER(ROW(BU$10:BU$199),BU$10:BU$199&lt;&gt;BU$9:BU$198)))),CB74,)"),"")</f>
        <v/>
      </c>
      <c s="42"/>
      <c s="63"/>
      <c s="64" t="str">
        <f t="shared" si="24"/>
        <v/>
      </c>
      <c s="65" t="str">
        <f>IFERROR(__xludf.DUMMYFUNCTION("""COMPUTED_VALUE"""),"")</f>
        <v/>
      </c>
      <c s="66">
        <f ca="1"/>
        <v>45250</v>
      </c>
      <c s="93" t="str">
        <f t="shared" si="44"/>
        <v/>
      </c>
      <c s="94" t="str">
        <f t="shared" si="300"/>
        <v/>
      </c>
      <c s="95" t="str">
        <f t="shared" si="375"/>
        <v/>
      </c>
      <c s="98" t="str">
        <f t="shared" si="376"/>
        <v/>
      </c>
      <c s="97" t="str">
        <f t="array" ref="CO74">IFERROR(IF(CI74="ac"+ISNUMBER(SEARCH("'",CN74))+CM74="","",IF(ISNUMBER(SEARCH("lw",CN74)),CA74+SUBSTITUTE(CN74,"lw+",""),MROUND(_xlfn.SWITCH(CI74,"sq",CM$7,"bn",CN$7,"dl",CO$7,"")*IF(CN74&gt;10,CN74/100,VLOOKUP(CN74,_rpe,SUBSTITUTE(CM74,"+","")+1,0)),IF(_xlfn.SWITCH(CI74,"sq",CM$7,"bn",CN$7,"dl",CO$7,"")&lt;IF(_uom="lbs",175,80),1.25,IF(_uom="lbs",5,2.5))))),"")</f>
        <v/>
      </c>
      <c s="70"/>
      <c s="63"/>
      <c s="97"/>
      <c s="44" t="str">
        <f>IFERROR(__xludf.DUMMYFUNCTION("IF(CO74=MAX(FILTER(CO$10:CO$199,LOOKUP(ROW(CI$10:CI$199),FILTER(ROW(CI$10:CI$199),CI$10:CI$199&lt;&gt;CI$9:CI$198))=LOOKUP(ROW(CI74),FILTER(ROW(CI$10:CI$199),CI$10:CI$199&lt;&gt;CI$9:CI$198)))),CP74,)"),"")</f>
        <v/>
      </c>
      <c s="42"/>
      <c s="63"/>
      <c s="64" t="str">
        <f t="shared" si="27"/>
        <v/>
      </c>
      <c s="65" t="str">
        <f>IFERROR(__xludf.DUMMYFUNCTION("""COMPUTED_VALUE"""),"")</f>
        <v/>
      </c>
      <c s="66">
        <f ca="1"/>
        <v>45257</v>
      </c>
      <c s="93" t="str">
        <f t="shared" si="45"/>
        <v/>
      </c>
      <c s="94" t="str">
        <f t="shared" si="302"/>
        <v/>
      </c>
      <c s="95" t="str">
        <f t="shared" si="377"/>
        <v/>
      </c>
      <c s="98" t="str">
        <f t="shared" si="304"/>
        <v/>
      </c>
      <c s="97" t="str">
        <f t="array" ref="DC74">IFERROR(IF(CW74="ac"+ISNUMBER(SEARCH("'",DB74))+DA74="","",IF(ISNUMBER(SEARCH("lw",DB74)),CO74+SUBSTITUTE(DB74,"lw+",""),MROUND(_xlfn.SWITCH(CW74,"sq",DA$7,"bn",DB$7,"dl",DC$7,"")*IF(DB74&gt;10,DB74/100,VLOOKUP(DB74,_rpe,SUBSTITUTE(DA74,"+","")+1,0)),IF(_xlfn.SWITCH(CW74,"sq",DA$7,"bn",DB$7,"dl",DC$7,"")&lt;IF(_uom="lbs",175,80),1.25,IF(_uom="lbs",5,2.5))))),"")</f>
        <v/>
      </c>
      <c s="70"/>
      <c s="63"/>
      <c s="97"/>
      <c s="44" t="str">
        <f>IFERROR(__xludf.DUMMYFUNCTION("IF(DC74=MAX(FILTER(DC$10:DC$199,LOOKUP(ROW(CW$10:CW$199),FILTER(ROW(CW$10:CW$199),CW$10:CW$199&lt;&gt;CW$9:CW$198))=LOOKUP(ROW(CW74),FILTER(ROW(CW$10:CW$199),CW$10:CW$199&lt;&gt;CW$9:CW$198)))),DD74,)"),"")</f>
        <v/>
      </c>
      <c s="42"/>
      <c s="63"/>
      <c s="64" t="str">
        <f t="shared" si="30"/>
        <v/>
      </c>
      <c s="65" t="str">
        <f>IFERROR(__xludf.DUMMYFUNCTION("""COMPUTED_VALUE"""),"")</f>
        <v/>
      </c>
      <c s="66">
        <f ca="1"/>
        <v>45264</v>
      </c>
      <c s="93" t="str">
        <f t="shared" si="46"/>
        <v/>
      </c>
      <c s="94" t="str">
        <f t="shared" si="305"/>
        <v/>
      </c>
      <c s="95" t="str">
        <f t="shared" si="378"/>
        <v/>
      </c>
      <c s="98" t="str">
        <f t="shared" si="379"/>
        <v/>
      </c>
      <c s="97" t="str">
        <f t="array" ref="DQ74">IFERROR(IF(DK74="ac"+ISNUMBER(SEARCH("'",DP74))+DO74="","",IF(ISNUMBER(SEARCH("lw",DP74)),DC74+SUBSTITUTE(DP74,"lw+",""),MROUND(_xlfn.SWITCH(DK74,"sq",DO$7,"bn",DP$7,"dl",DQ$7,"")*IF(DP74&gt;10,DP74/100,VLOOKUP(DP74,_rpe,SUBSTITUTE(DO74,"+","")+1,0)),IF(_xlfn.SWITCH(DK74,"sq",DO$7,"bn",DP$7,"dl",DQ$7,"")&lt;IF(_uom="lbs",175,80),1.25,IF(_uom="lbs",5,2.5))))),"")</f>
        <v/>
      </c>
      <c s="70"/>
      <c s="63"/>
      <c s="97"/>
      <c s="44" t="str">
        <f>IFERROR(__xludf.DUMMYFUNCTION("IF(DQ74=MAX(FILTER(DQ$10:DQ$199,LOOKUP(ROW(DK$10:DK$199),FILTER(ROW(DK$10:DK$199),DK$10:DK$199&lt;&gt;DK$9:DK$198))=LOOKUP(ROW(DK74),FILTER(ROW(DK$10:DK$199),DK$10:DK$199&lt;&gt;DK$9:DK$198)))),DR74,)"),"")</f>
        <v/>
      </c>
      <c s="42"/>
      <c s="63"/>
      <c s="64" t="str">
        <f t="shared" si="32"/>
        <v/>
      </c>
      <c s="65" t="str">
        <f>IFERROR(__xludf.DUMMYFUNCTION("""COMPUTED_VALUE"""),"")</f>
        <v/>
      </c>
      <c s="66">
        <f ca="1"/>
        <v>45271</v>
      </c>
      <c s="93" t="str">
        <f t="shared" si="47"/>
        <v/>
      </c>
      <c s="94" t="str">
        <f t="shared" si="308"/>
        <v/>
      </c>
      <c s="95" t="str">
        <f t="shared" si="380"/>
        <v/>
      </c>
      <c s="98" t="str">
        <f t="shared" si="381"/>
        <v/>
      </c>
      <c s="97" t="str">
        <f t="array" ref="EE74">IFERROR(IF(DY74="ac"+ISNUMBER(SEARCH("'",ED74))+EC74="","",IF(ISNUMBER(SEARCH("lw",ED74)),DQ74+SUBSTITUTE(ED74,"lw+",""),MROUND(_xlfn.SWITCH(DY74,"sq",EC$7,"bn",ED$7,"dl",EE$7,"")*IF(ED74&gt;10,ED74/100,VLOOKUP(ED74,_rpe,SUBSTITUTE(EC74,"+","")+1,0)),IF(_xlfn.SWITCH(DY74,"sq",EC$7,"bn",ED$7,"dl",EE$7,"")&lt;IF(_uom="lbs",175,80),1.25,IF(_uom="lbs",5,2.5))))),"")</f>
        <v/>
      </c>
      <c s="70"/>
      <c s="63"/>
      <c s="97"/>
      <c s="44" t="str">
        <f>IFERROR(__xludf.DUMMYFUNCTION("IF(EE74=MAX(FILTER(EE$10:EE$199,LOOKUP(ROW(DY$10:DY$199),FILTER(ROW(DY$10:DY$199),DY$10:DY$199&lt;&gt;DY$9:DY$198))=LOOKUP(ROW(DY74),FILTER(ROW(DY$10:DY$199),DY$10:DY$199&lt;&gt;DY$9:DY$198)))),EF74,)"),"")</f>
        <v/>
      </c>
      <c s="42"/>
      <c s="63"/>
      <c s="64" t="str">
        <f t="shared" si="34"/>
        <v/>
      </c>
      <c s="65" t="str">
        <f>IFERROR(__xludf.DUMMYFUNCTION("""COMPUTED_VALUE"""),"")</f>
        <v/>
      </c>
      <c s="66">
        <f ca="1"/>
        <v>45278</v>
      </c>
      <c s="93" t="str">
        <f t="shared" si="48"/>
        <v/>
      </c>
      <c s="94" t="str">
        <f t="shared" si="311"/>
        <v/>
      </c>
      <c s="95" t="str">
        <f t="shared" si="382"/>
        <v/>
      </c>
      <c s="98" t="str">
        <f t="shared" si="313"/>
        <v/>
      </c>
      <c s="97" t="str">
        <f t="array" ref="ES74">IFERROR(IF(EM74="ac"+ISNUMBER(SEARCH("'",ER74))+EQ74="","",IF(ISNUMBER(SEARCH("lw",ER74)),EE74+SUBSTITUTE(ER74,"lw+",""),MROUND(_xlfn.SWITCH(EM74,"sq",EQ$7,"bn",ER$7,"dl",ES$7,"")*IF(ER74&gt;10,ER74/100,VLOOKUP(ER74,_rpe,SUBSTITUTE(EQ74,"+","")+1,0)),IF(_xlfn.SWITCH(EM74,"sq",EQ$7,"bn",ER$7,"dl",ES$7,"")&lt;IF(_uom="lbs",175,80),1.25,IF(_uom="lbs",5,2.5))))),"")</f>
        <v/>
      </c>
      <c s="70"/>
      <c s="63"/>
      <c s="97"/>
      <c s="44" t="str">
        <f>IFERROR(__xludf.DUMMYFUNCTION("IF(ES74=MAX(FILTER(ES$10:ES$199,LOOKUP(ROW(EM$10:EM$199),FILTER(ROW(EM$10:EM$199),EM$10:EM$199&lt;&gt;EM$9:EM$198))=LOOKUP(ROW(EM74),FILTER(ROW(EM$10:EM$199),EM$10:EM$199&lt;&gt;EM$9:EM$198)))),ET74,)"),"")</f>
        <v/>
      </c>
      <c s="42"/>
      <c s="63"/>
      <c s="64" t="str">
        <f t="shared" si="36"/>
        <v/>
      </c>
      <c s="65" t="str">
        <f>IFERROR(__xludf.DUMMYFUNCTION("""COMPUTED_VALUE"""),"")</f>
        <v/>
      </c>
      <c s="66">
        <f ca="1"/>
        <v>45285</v>
      </c>
      <c s="93" t="str">
        <f t="shared" si="49"/>
        <v/>
      </c>
      <c s="94" t="str">
        <f t="shared" si="314"/>
        <v/>
      </c>
      <c s="95" t="str">
        <f t="shared" si="383"/>
        <v/>
      </c>
      <c s="98" t="str">
        <f t="shared" si="316"/>
        <v/>
      </c>
      <c s="97" t="str">
        <f t="array" ref="FG74">IFERROR(IF(FA74="ac"+ISNUMBER(SEARCH("'",FF74))+FE74="","",IF(ISNUMBER(SEARCH("lw",FF74)),ES74+SUBSTITUTE(FF74,"lw+",""),MROUND(_xlfn.SWITCH(FA74,"sq",FE$7,"bn",FF$7,"dl",FG$7,"")*IF(FF74&gt;10,FF74/100,VLOOKUP(FF74,_rpe,SUBSTITUTE(FE74,"+","")+1,0)),IF(_xlfn.SWITCH(FA74,"sq",FE$7,"bn",FF$7,"dl",FG$7,"")&lt;IF(_uom="lbs",175,80),1.25,IF(_uom="lbs",5,2.5))))),"")</f>
        <v/>
      </c>
      <c s="70"/>
      <c s="63"/>
      <c s="97"/>
      <c s="44" t="str">
        <f>IFERROR(__xludf.DUMMYFUNCTION("IF(FG74=MAX(FILTER(FG$10:FG$199,LOOKUP(ROW(FA$10:FA$199),FILTER(ROW(FA$10:FA$199),FA$10:FA$199&lt;&gt;FA$9:FA$198))=LOOKUP(ROW(FA74),FILTER(ROW(FA$10:FA$199),FA$10:FA$199&lt;&gt;FA$9:FA$198)))),FH74,)"),"")</f>
        <v/>
      </c>
      <c s="42"/>
      <c s="63"/>
      <c s="64" t="str">
        <f t="shared" si="38"/>
        <v/>
      </c>
      <c s="65" t="str">
        <f>IFERROR(__xludf.DUMMYFUNCTION("""COMPUTED_VALUE"""),"")</f>
        <v/>
      </c>
      <c s="66">
        <f ca="1"/>
        <v>45292</v>
      </c>
      <c s="93" t="str">
        <f t="shared" si="391" ref="FQ74:FR74">IF(ISBLANK(FC74),"",FC74)</f>
        <v/>
      </c>
      <c s="94" t="str">
        <f t="shared" si="391"/>
        <v/>
      </c>
      <c s="95" t="str">
        <f t="shared" si="385"/>
        <v/>
      </c>
      <c s="98" t="str">
        <f t="shared" si="386"/>
        <v/>
      </c>
      <c s="97" t="str">
        <f t="array" ref="FU74">IFERROR(IF(FO74="ac"+ISNUMBER(SEARCH("'",FT74))+FS74="","",IF(ISNUMBER(SEARCH("lw",FT74)),FG74+SUBSTITUTE(FT74,"lw+",""),MROUND(_xlfn.SWITCH(FO74,"sq",FS$7,"bn",FT$7,"dl",FU$7,"")*IF(FT74&gt;10,FT74/100,VLOOKUP(FT74,_rpe,SUBSTITUTE(FS74,"+","")+1,0)),IF(_xlfn.SWITCH(FO74,"sq",FS$7,"bn",FT$7,"dl",FU$7,"")&lt;IF(_uom="lbs",175,80),1.25,IF(_uom="lbs",5,2.5))))),"")</f>
        <v/>
      </c>
      <c s="70"/>
      <c s="63"/>
      <c s="97"/>
      <c s="44" t="str">
        <f>IFERROR(__xludf.DUMMYFUNCTION("IF(FU74=MAX(FILTER(FU$10:FU$199,LOOKUP(ROW(FO$10:FO$199),FILTER(ROW(FO$10:FO$199),FO$10:FO$199&lt;&gt;FO$9:FO$198))=LOOKUP(ROW(FO74),FILTER(ROW(FO$10:FO$199),FO$10:FO$199&lt;&gt;FO$9:FO$198)))),FV74,)"),"")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75" spans="1:259" ht="15.75">
      <c r="A75" s="63"/>
      <c s="107"/>
      <c s="65" t="str">
        <f>IFERROR(__xludf.DUMMYFUNCTION("""COMPUTED_VALUE"""),"ac")</f>
        <v>ac</v>
      </c>
      <c s="66">
        <f ca="1"/>
        <v>45208</v>
      </c>
      <c s="93" t="s">
        <v>188</v>
      </c>
      <c s="94"/>
      <c s="95"/>
      <c s="96"/>
      <c s="97" t="str">
        <f t="array" ref="I75">IFERROR(IF(C75="ac"+ISNUMBER(SEARCH("'",H75))+G75="","",MROUND(_xlfn.SWITCH(C75,"sq",'Personal Info'!$O$15,"bn",'Personal Info'!$S$15,"dl",'Personal Info'!$W$15,"")*IF(H75&gt;10,H75/100,VLOOKUP(H75,_rpe,SUBSTITUTE(G75,"+","")+1,0)),IF(_xlfn.SWITCH(C75:C210,"sq",'Personal Info'!$O$15,"bn",'Personal Info'!$S$15,"dl",'Personal Info'!$W$15,"")&lt;IF(_uom="lbs",175,80),1.25,IF(_uom="lbs",5,2.5)))),"")</f>
        <v/>
      </c>
      <c s="70"/>
      <c s="63"/>
      <c s="97"/>
      <c s="44" t="str">
        <f>IFERROR(__xludf.DUMMYFUNCTION("IF(I75=MAX(FILTER(I$10:I$199,LOOKUP(ROW(C$10:C$199),FILTER(ROW(C$10:C$199),C$10:C$199&lt;&gt;C$9:C$198))=LOOKUP(ROW(C75),FILTER(ROW(C$10:C$199),C$10:C$199&lt;&gt;C$9:C$198)))),J75,)"),"")</f>
        <v/>
      </c>
      <c s="42"/>
      <c s="63"/>
      <c s="64" t="str">
        <f t="shared" si="11"/>
        <v/>
      </c>
      <c s="65" t="str">
        <f>IFERROR(__xludf.DUMMYFUNCTION("""COMPUTED_VALUE"""),"ac")</f>
        <v>ac</v>
      </c>
      <c s="66">
        <f ca="1"/>
        <v>45215</v>
      </c>
      <c s="93" t="str">
        <f t="shared" si="12"/>
        <v>Day 4</v>
      </c>
      <c s="94" t="str">
        <f t="shared" si="363"/>
        <v/>
      </c>
      <c s="95" t="str">
        <f t="shared" si="364"/>
        <v/>
      </c>
      <c s="98" t="str">
        <f t="shared" si="365"/>
        <v/>
      </c>
      <c s="97" t="str">
        <f t="array" ref="W75">IFERROR(IF(Q75="ac"+ISNUMBER(SEARCH("'",V75))+U75="","",IF(ISNUMBER(SEARCH("lw",V75)),I75+SUBSTITUTE(V75,"lw+",""),MROUND(_xlfn.SWITCH(Q75,"sq",U$7,"bn",V$7,"dl",W$7,"")*IF(V75&gt;10,V75/100,VLOOKUP(V75,_rpe,SUBSTITUTE(U75,"+","")+1,0)),IF(_xlfn.SWITCH(Q75,"sq",U$7,"bn",V$7,"dl",W$7,"")&lt;IF(_uom="lbs",175,80),1.25,IF(_uom="lbs",5,2.5))))),"")</f>
        <v/>
      </c>
      <c s="70"/>
      <c s="63"/>
      <c s="97"/>
      <c s="44" t="str">
        <f>IFERROR(__xludf.DUMMYFUNCTION("IF(W75=MAX(FILTER(W$10:W$199,LOOKUP(ROW(Q$10:Q$199),FILTER(ROW(Q$10:Q$199),Q$10:Q$199&lt;&gt;Q$9:Q$198))=LOOKUP(ROW(Q75),FILTER(ROW(Q$10:Q$199),Q$10:Q$199&lt;&gt;Q$9:Q$198)))),X75,)"),"")</f>
        <v/>
      </c>
      <c s="42"/>
      <c s="63"/>
      <c s="64" t="str">
        <f t="shared" si="14"/>
        <v/>
      </c>
      <c s="65" t="str">
        <f>IFERROR(__xludf.DUMMYFUNCTION("""COMPUTED_VALUE"""),"ac")</f>
        <v>ac</v>
      </c>
      <c s="66">
        <f ca="1"/>
        <v>45222</v>
      </c>
      <c s="93" t="str">
        <f t="shared" si="156"/>
        <v>Day 4</v>
      </c>
      <c s="94" t="str">
        <f t="shared" si="186"/>
        <v/>
      </c>
      <c s="95" t="str">
        <f t="shared" si="366"/>
        <v/>
      </c>
      <c s="98" t="str">
        <f t="shared" si="367"/>
        <v/>
      </c>
      <c s="97" t="str">
        <f t="array" ref="AK75">IFERROR(IF(AE75="ac"+ISNUMBER(SEARCH("'",AJ75))+AI75="","",IF(ISNUMBER(SEARCH("lw",AJ75)),W75+SUBSTITUTE(AJ75,"lw+",""),MROUND(_xlfn.SWITCH(AE75,"sq",AI$7,"bn",AJ$7,"dl",AK$7,"")*IF(AJ75&gt;10,AJ75/100,VLOOKUP(AJ75,_rpe,SUBSTITUTE(AI75,"+","")+1,0)),IF(_xlfn.SWITCH(AE75,"sq",AI$7,"bn",AJ$7,"dl",AK$7,"")&lt;IF(_uom="lbs",175,80),1.25,IF(_uom="lbs",5,2.5))))),"")</f>
        <v/>
      </c>
      <c s="70"/>
      <c s="63"/>
      <c s="97"/>
      <c s="44" t="str">
        <f>IFERROR(__xludf.DUMMYFUNCTION("IF(AK75=MAX(FILTER(AK$10:AK$199,LOOKUP(ROW(AE$10:AE$199),FILTER(ROW(AE$10:AE$199),AE$10:AE$199&lt;&gt;AE$9:AE$198))=LOOKUP(ROW(AE75),FILTER(ROW(AE$10:AE$199),AE$10:AE$199&lt;&gt;AE$9:AE$198)))),AL75,)"),"")</f>
        <v/>
      </c>
      <c s="42"/>
      <c s="63"/>
      <c s="64" t="str">
        <f t="shared" si="17"/>
        <v/>
      </c>
      <c s="65" t="str">
        <f>IFERROR(__xludf.DUMMYFUNCTION("""COMPUTED_VALUE"""),"ac")</f>
        <v>ac</v>
      </c>
      <c s="66">
        <f ca="1"/>
        <v>45229</v>
      </c>
      <c s="93" t="str">
        <f t="shared" si="157"/>
        <v>Day 4</v>
      </c>
      <c s="94" t="str">
        <f t="shared" si="188"/>
        <v/>
      </c>
      <c s="95" t="str">
        <f t="shared" si="368"/>
        <v/>
      </c>
      <c s="98" t="str">
        <f t="shared" si="294"/>
        <v/>
      </c>
      <c s="97" t="str">
        <f t="array" ref="AY75">IFERROR(IF(AS75="ac"+ISNUMBER(SEARCH("'",AX75))+AW75="","",IF(ISNUMBER(SEARCH("lw",AX75)),AK75+SUBSTITUTE(AX75,"lw+",""),MROUND(_xlfn.SWITCH(AS75,"sq",AW$7,"bn",AX$7,"dl",AY$7,"")*IF(AX75&gt;10,AX75/100,VLOOKUP(AX75,_rpe,SUBSTITUTE(AW75,"+","")+1,0)),IF(_xlfn.SWITCH(AS75,"sq",AW$7,"bn",AX$7,"dl",AY$7,"")&lt;IF(_uom="lbs",175,80),1.25,IF(_uom="lbs",5,2.5))))),"")</f>
        <v/>
      </c>
      <c s="70"/>
      <c s="63"/>
      <c s="97"/>
      <c s="44" t="str">
        <f>IFERROR(__xludf.DUMMYFUNCTION("IF(AY75=MAX(FILTER(AY$10:AY$199,LOOKUP(ROW(AS$10:AS$199),FILTER(ROW(AS$10:AS$199),AS$10:AS$199&lt;&gt;AS$9:AS$198))=LOOKUP(ROW(AS75),FILTER(ROW(AS$10:AS$199),AS$10:AS$199&lt;&gt;AS$9:AS$198)))),AZ75,)"),"")</f>
        <v/>
      </c>
      <c s="42"/>
      <c s="63"/>
      <c s="64" t="str">
        <f t="shared" si="19"/>
        <v/>
      </c>
      <c s="65" t="str">
        <f>IFERROR(__xludf.DUMMYFUNCTION("""COMPUTED_VALUE"""),"ac")</f>
        <v>ac</v>
      </c>
      <c s="66">
        <f ca="1"/>
        <v>45236</v>
      </c>
      <c s="93" t="str">
        <f t="shared" si="20"/>
        <v>Day 4</v>
      </c>
      <c s="94" t="str">
        <f t="shared" si="369"/>
        <v/>
      </c>
      <c s="95" t="str">
        <f t="shared" si="370"/>
        <v/>
      </c>
      <c s="98" t="str">
        <f t="shared" si="371"/>
        <v/>
      </c>
      <c s="97" t="str">
        <f t="array" ref="BM75">IFERROR(IF(BG75="ac"+ISNUMBER(SEARCH("'",BL75))+BK75="","",IF(ISNUMBER(SEARCH("lw",BL75)),AY75+SUBSTITUTE(BL75,"lw+",""),MROUND(_xlfn.SWITCH(BG75,"sq",BK$7,"bn",BL$7,"dl",BM$7,"")*IF(BL75&gt;10,BL75/100,VLOOKUP(BL75,_rpe,SUBSTITUTE(BK75,"+","")+1,0)),IF(_xlfn.SWITCH(BG75,"sq",BK$7,"bn",BL$7,"dl",BM$7,"")&lt;IF(_uom="lbs",175,80),1.25,IF(_uom="lbs",5,2.5))))),"")</f>
        <v/>
      </c>
      <c s="70"/>
      <c s="63"/>
      <c s="97"/>
      <c s="44" t="str">
        <f>IFERROR(__xludf.DUMMYFUNCTION("IF(BM75=MAX(FILTER(BM$10:BM$199,LOOKUP(ROW(BG$10:BG$199),FILTER(ROW(BG$10:BG$199),BG$10:BG$199&lt;&gt;BG$9:BG$198))=LOOKUP(ROW(BG75),FILTER(ROW(BG$10:BG$199),BG$10:BG$199&lt;&gt;BG$9:BG$198)))),BN75,)"),"")</f>
        <v/>
      </c>
      <c s="42"/>
      <c s="63"/>
      <c s="64" t="str">
        <f t="shared" si="21"/>
        <v/>
      </c>
      <c s="65" t="str">
        <f>IFERROR(__xludf.DUMMYFUNCTION("""COMPUTED_VALUE"""),"ac")</f>
        <v>ac</v>
      </c>
      <c s="66">
        <f ca="1"/>
        <v>45243</v>
      </c>
      <c s="93" t="str">
        <f t="shared" si="22"/>
        <v>Day 4</v>
      </c>
      <c s="94" t="str">
        <f t="shared" si="372"/>
        <v/>
      </c>
      <c s="95" t="str">
        <f t="shared" si="373"/>
        <v/>
      </c>
      <c s="98" t="str">
        <f t="shared" si="374"/>
        <v/>
      </c>
      <c s="97" t="str">
        <f t="array" ref="CA75">IFERROR(IF(BU75="ac"+ISNUMBER(SEARCH("'",BZ75))+BY75="","",IF(ISNUMBER(SEARCH("lw",BZ75)),BM75+SUBSTITUTE(BZ75,"lw+",""),MROUND(_xlfn.SWITCH(BU75,"sq",BY$7,"bn",BZ$7,"dl",CA$7,"")*IF(BZ75&gt;10,BZ75/100,VLOOKUP(BZ75,_rpe,SUBSTITUTE(BY75,"+","")+1,0)),IF(_xlfn.SWITCH(BU75,"sq",BY$7,"bn",BZ$7,"dl",CA$7,"")&lt;IF(_uom="lbs",175,80),1.25,IF(_uom="lbs",5,2.5))))),"")</f>
        <v/>
      </c>
      <c s="70"/>
      <c s="63"/>
      <c s="97"/>
      <c s="44" t="str">
        <f>IFERROR(__xludf.DUMMYFUNCTION("IF(CA75=MAX(FILTER(CA$10:CA$199,LOOKUP(ROW(BU$10:BU$199),FILTER(ROW(BU$10:BU$199),BU$10:BU$199&lt;&gt;BU$9:BU$198))=LOOKUP(ROW(BU75),FILTER(ROW(BU$10:BU$199),BU$10:BU$199&lt;&gt;BU$9:BU$198)))),CB75,)"),"")</f>
        <v/>
      </c>
      <c s="42"/>
      <c s="63"/>
      <c s="64" t="str">
        <f t="shared" si="24"/>
        <v/>
      </c>
      <c s="65" t="str">
        <f>IFERROR(__xludf.DUMMYFUNCTION("""COMPUTED_VALUE"""),"ac")</f>
        <v>ac</v>
      </c>
      <c s="66">
        <f ca="1"/>
        <v>45250</v>
      </c>
      <c s="93" t="str">
        <f t="shared" si="44"/>
        <v>Day 4</v>
      </c>
      <c s="94" t="str">
        <f t="shared" si="300"/>
        <v/>
      </c>
      <c s="95" t="str">
        <f t="shared" si="375"/>
        <v/>
      </c>
      <c s="98" t="str">
        <f t="shared" si="376"/>
        <v/>
      </c>
      <c s="97" t="str">
        <f t="array" ref="CO75">IFERROR(IF(CI75="ac"+ISNUMBER(SEARCH("'",CN75))+CM75="","",IF(ISNUMBER(SEARCH("lw",CN75)),CA75+SUBSTITUTE(CN75,"lw+",""),MROUND(_xlfn.SWITCH(CI75,"sq",CM$7,"bn",CN$7,"dl",CO$7,"")*IF(CN75&gt;10,CN75/100,VLOOKUP(CN75,_rpe,SUBSTITUTE(CM75,"+","")+1,0)),IF(_xlfn.SWITCH(CI75,"sq",CM$7,"bn",CN$7,"dl",CO$7,"")&lt;IF(_uom="lbs",175,80),1.25,IF(_uom="lbs",5,2.5))))),"")</f>
        <v/>
      </c>
      <c s="70"/>
      <c s="63"/>
      <c s="97"/>
      <c s="44" t="str">
        <f>IFERROR(__xludf.DUMMYFUNCTION("IF(CO75=MAX(FILTER(CO$10:CO$199,LOOKUP(ROW(CI$10:CI$199),FILTER(ROW(CI$10:CI$199),CI$10:CI$199&lt;&gt;CI$9:CI$198))=LOOKUP(ROW(CI75),FILTER(ROW(CI$10:CI$199),CI$10:CI$199&lt;&gt;CI$9:CI$198)))),CP75,)"),"")</f>
        <v/>
      </c>
      <c s="42"/>
      <c s="63"/>
      <c s="64" t="str">
        <f t="shared" si="27"/>
        <v/>
      </c>
      <c s="65" t="str">
        <f>IFERROR(__xludf.DUMMYFUNCTION("""COMPUTED_VALUE"""),"ac")</f>
        <v>ac</v>
      </c>
      <c s="66">
        <f ca="1"/>
        <v>45257</v>
      </c>
      <c s="93" t="str">
        <f t="shared" si="45"/>
        <v>Day 4</v>
      </c>
      <c s="94" t="str">
        <f t="shared" si="302"/>
        <v/>
      </c>
      <c s="95" t="str">
        <f t="shared" si="377"/>
        <v/>
      </c>
      <c s="98" t="str">
        <f t="shared" si="304"/>
        <v/>
      </c>
      <c s="97" t="str">
        <f t="array" ref="DC75">IFERROR(IF(CW75="ac"+ISNUMBER(SEARCH("'",DB75))+DA75="","",IF(ISNUMBER(SEARCH("lw",DB75)),CO75+SUBSTITUTE(DB75,"lw+",""),MROUND(_xlfn.SWITCH(CW75,"sq",DA$7,"bn",DB$7,"dl",DC$7,"")*IF(DB75&gt;10,DB75/100,VLOOKUP(DB75,_rpe,SUBSTITUTE(DA75,"+","")+1,0)),IF(_xlfn.SWITCH(CW75,"sq",DA$7,"bn",DB$7,"dl",DC$7,"")&lt;IF(_uom="lbs",175,80),1.25,IF(_uom="lbs",5,2.5))))),"")</f>
        <v/>
      </c>
      <c s="70"/>
      <c s="63"/>
      <c s="97"/>
      <c s="44" t="str">
        <f>IFERROR(__xludf.DUMMYFUNCTION("IF(DC75=MAX(FILTER(DC$10:DC$199,LOOKUP(ROW(CW$10:CW$199),FILTER(ROW(CW$10:CW$199),CW$10:CW$199&lt;&gt;CW$9:CW$198))=LOOKUP(ROW(CW75),FILTER(ROW(CW$10:CW$199),CW$10:CW$199&lt;&gt;CW$9:CW$198)))),DD75,)"),"")</f>
        <v/>
      </c>
      <c s="42"/>
      <c s="63"/>
      <c s="64" t="str">
        <f t="shared" si="30"/>
        <v/>
      </c>
      <c s="65" t="str">
        <f>IFERROR(__xludf.DUMMYFUNCTION("""COMPUTED_VALUE"""),"ac")</f>
        <v>ac</v>
      </c>
      <c s="66">
        <f ca="1"/>
        <v>45264</v>
      </c>
      <c s="93" t="str">
        <f t="shared" si="46"/>
        <v>Day 4</v>
      </c>
      <c s="94" t="str">
        <f t="shared" si="305"/>
        <v/>
      </c>
      <c s="95" t="str">
        <f t="shared" si="378"/>
        <v/>
      </c>
      <c s="98" t="str">
        <f t="shared" si="379"/>
        <v/>
      </c>
      <c s="97" t="str">
        <f t="array" ref="DQ75">IFERROR(IF(DK75="ac"+ISNUMBER(SEARCH("'",DP75))+DO75="","",IF(ISNUMBER(SEARCH("lw",DP75)),DC75+SUBSTITUTE(DP75,"lw+",""),MROUND(_xlfn.SWITCH(DK75,"sq",DO$7,"bn",DP$7,"dl",DQ$7,"")*IF(DP75&gt;10,DP75/100,VLOOKUP(DP75,_rpe,SUBSTITUTE(DO75,"+","")+1,0)),IF(_xlfn.SWITCH(DK75,"sq",DO$7,"bn",DP$7,"dl",DQ$7,"")&lt;IF(_uom="lbs",175,80),1.25,IF(_uom="lbs",5,2.5))))),"")</f>
        <v/>
      </c>
      <c s="70"/>
      <c s="63"/>
      <c s="97"/>
      <c s="44" t="str">
        <f>IFERROR(__xludf.DUMMYFUNCTION("IF(DQ75=MAX(FILTER(DQ$10:DQ$199,LOOKUP(ROW(DK$10:DK$199),FILTER(ROW(DK$10:DK$199),DK$10:DK$199&lt;&gt;DK$9:DK$198))=LOOKUP(ROW(DK75),FILTER(ROW(DK$10:DK$199),DK$10:DK$199&lt;&gt;DK$9:DK$198)))),DR75,)"),"")</f>
        <v/>
      </c>
      <c s="42"/>
      <c s="63"/>
      <c s="64" t="str">
        <f t="shared" si="32"/>
        <v/>
      </c>
      <c s="65" t="str">
        <f>IFERROR(__xludf.DUMMYFUNCTION("""COMPUTED_VALUE"""),"ac")</f>
        <v>ac</v>
      </c>
      <c s="66">
        <f ca="1"/>
        <v>45271</v>
      </c>
      <c s="93" t="str">
        <f t="shared" si="47"/>
        <v>Day 4</v>
      </c>
      <c s="94" t="str">
        <f t="shared" si="308"/>
        <v/>
      </c>
      <c s="95" t="str">
        <f t="shared" si="380"/>
        <v/>
      </c>
      <c s="98" t="str">
        <f t="shared" si="381"/>
        <v/>
      </c>
      <c s="97" t="str">
        <f t="array" ref="EE75">IFERROR(IF(DY75="ac"+ISNUMBER(SEARCH("'",ED75))+EC75="","",IF(ISNUMBER(SEARCH("lw",ED75)),DQ75+SUBSTITUTE(ED75,"lw+",""),MROUND(_xlfn.SWITCH(DY75,"sq",EC$7,"bn",ED$7,"dl",EE$7,"")*IF(ED75&gt;10,ED75/100,VLOOKUP(ED75,_rpe,SUBSTITUTE(EC75,"+","")+1,0)),IF(_xlfn.SWITCH(DY75,"sq",EC$7,"bn",ED$7,"dl",EE$7,"")&lt;IF(_uom="lbs",175,80),1.25,IF(_uom="lbs",5,2.5))))),"")</f>
        <v/>
      </c>
      <c s="70"/>
      <c s="63"/>
      <c s="97"/>
      <c s="44" t="str">
        <f>IFERROR(__xludf.DUMMYFUNCTION("IF(EE75=MAX(FILTER(EE$10:EE$199,LOOKUP(ROW(DY$10:DY$199),FILTER(ROW(DY$10:DY$199),DY$10:DY$199&lt;&gt;DY$9:DY$198))=LOOKUP(ROW(DY75),FILTER(ROW(DY$10:DY$199),DY$10:DY$199&lt;&gt;DY$9:DY$198)))),EF75,)"),"")</f>
        <v/>
      </c>
      <c s="42"/>
      <c s="63"/>
      <c s="64" t="str">
        <f t="shared" si="34"/>
        <v/>
      </c>
      <c s="65" t="str">
        <f>IFERROR(__xludf.DUMMYFUNCTION("""COMPUTED_VALUE"""),"ac")</f>
        <v>ac</v>
      </c>
      <c s="66">
        <f ca="1"/>
        <v>45278</v>
      </c>
      <c s="93" t="str">
        <f t="shared" si="48"/>
        <v>Day 4</v>
      </c>
      <c s="94" t="str">
        <f t="shared" si="311"/>
        <v/>
      </c>
      <c s="95" t="str">
        <f t="shared" si="382"/>
        <v/>
      </c>
      <c s="98" t="str">
        <f t="shared" si="313"/>
        <v/>
      </c>
      <c s="97" t="str">
        <f t="array" ref="ES75">IFERROR(IF(EM75="ac"+ISNUMBER(SEARCH("'",ER75))+EQ75="","",IF(ISNUMBER(SEARCH("lw",ER75)),EE75+SUBSTITUTE(ER75,"lw+",""),MROUND(_xlfn.SWITCH(EM75,"sq",EQ$7,"bn",ER$7,"dl",ES$7,"")*IF(ER75&gt;10,ER75/100,VLOOKUP(ER75,_rpe,SUBSTITUTE(EQ75,"+","")+1,0)),IF(_xlfn.SWITCH(EM75,"sq",EQ$7,"bn",ER$7,"dl",ES$7,"")&lt;IF(_uom="lbs",175,80),1.25,IF(_uom="lbs",5,2.5))))),"")</f>
        <v/>
      </c>
      <c s="70"/>
      <c s="63"/>
      <c s="97"/>
      <c s="44" t="str">
        <f>IFERROR(__xludf.DUMMYFUNCTION("IF(ES75=MAX(FILTER(ES$10:ES$199,LOOKUP(ROW(EM$10:EM$199),FILTER(ROW(EM$10:EM$199),EM$10:EM$199&lt;&gt;EM$9:EM$198))=LOOKUP(ROW(EM75),FILTER(ROW(EM$10:EM$199),EM$10:EM$199&lt;&gt;EM$9:EM$198)))),ET75,)"),"")</f>
        <v/>
      </c>
      <c s="42"/>
      <c s="63"/>
      <c s="64" t="str">
        <f t="shared" si="36"/>
        <v/>
      </c>
      <c s="65" t="str">
        <f>IFERROR(__xludf.DUMMYFUNCTION("""COMPUTED_VALUE"""),"ac")</f>
        <v>ac</v>
      </c>
      <c s="66">
        <f ca="1"/>
        <v>45285</v>
      </c>
      <c s="93" t="str">
        <f t="shared" si="49"/>
        <v>Day 4</v>
      </c>
      <c s="94" t="str">
        <f t="shared" si="314"/>
        <v/>
      </c>
      <c s="95" t="str">
        <f t="shared" si="383"/>
        <v/>
      </c>
      <c s="98" t="str">
        <f t="shared" si="316"/>
        <v/>
      </c>
      <c s="97" t="str">
        <f t="array" ref="FG75">IFERROR(IF(FA75="ac"+ISNUMBER(SEARCH("'",FF75))+FE75="","",IF(ISNUMBER(SEARCH("lw",FF75)),ES75+SUBSTITUTE(FF75,"lw+",""),MROUND(_xlfn.SWITCH(FA75,"sq",FE$7,"bn",FF$7,"dl",FG$7,"")*IF(FF75&gt;10,FF75/100,VLOOKUP(FF75,_rpe,SUBSTITUTE(FE75,"+","")+1,0)),IF(_xlfn.SWITCH(FA75,"sq",FE$7,"bn",FF$7,"dl",FG$7,"")&lt;IF(_uom="lbs",175,80),1.25,IF(_uom="lbs",5,2.5))))),"")</f>
        <v/>
      </c>
      <c s="70"/>
      <c s="63"/>
      <c s="97"/>
      <c s="44" t="str">
        <f>IFERROR(__xludf.DUMMYFUNCTION("IF(FG75=MAX(FILTER(FG$10:FG$199,LOOKUP(ROW(FA$10:FA$199),FILTER(ROW(FA$10:FA$199),FA$10:FA$199&lt;&gt;FA$9:FA$198))=LOOKUP(ROW(FA75),FILTER(ROW(FA$10:FA$199),FA$10:FA$199&lt;&gt;FA$9:FA$198)))),FH75,)"),"")</f>
        <v/>
      </c>
      <c s="42"/>
      <c s="63"/>
      <c s="64" t="str">
        <f t="shared" si="38"/>
        <v/>
      </c>
      <c s="65" t="str">
        <f>IFERROR(__xludf.DUMMYFUNCTION("""COMPUTED_VALUE"""),"ac")</f>
        <v>ac</v>
      </c>
      <c s="66">
        <f ca="1"/>
        <v>45292</v>
      </c>
      <c s="93" t="s">
        <v>189</v>
      </c>
      <c s="94" t="str">
        <f>IF(ISBLANK(FD75),"",FD75)</f>
        <v/>
      </c>
      <c s="95" t="str">
        <f t="shared" si="385"/>
        <v/>
      </c>
      <c s="98" t="str">
        <f t="shared" si="386"/>
        <v/>
      </c>
      <c s="97" t="str">
        <f t="array" ref="FU75">IFERROR(IF(FO75="ac"+ISNUMBER(SEARCH("'",FT75))+FS75="","",IF(ISNUMBER(SEARCH("lw",FT75)),FG75+SUBSTITUTE(FT75,"lw+",""),MROUND(_xlfn.SWITCH(FO75,"sq",FS$7,"bn",FT$7,"dl",FU$7,"")*IF(FT75&gt;10,FT75/100,VLOOKUP(FT75,_rpe,SUBSTITUTE(FS75,"+","")+1,0)),IF(_xlfn.SWITCH(FO75,"sq",FS$7,"bn",FT$7,"dl",FU$7,"")&lt;IF(_uom="lbs",175,80),1.25,IF(_uom="lbs",5,2.5))))),"")</f>
        <v/>
      </c>
      <c s="70"/>
      <c s="63"/>
      <c s="97"/>
      <c s="44" t="str">
        <f>IFERROR(__xludf.DUMMYFUNCTION("IF(FU75=MAX(FILTER(FU$10:FU$199,LOOKUP(ROW(FO$10:FO$199),FILTER(ROW(FO$10:FO$199),FO$10:FO$199&lt;&gt;FO$9:FO$198))=LOOKUP(ROW(FO75),FILTER(ROW(FO$10:FO$199),FO$10:FO$199&lt;&gt;FO$9:FO$198)))),FV75,)"),"")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76" spans="1:259" ht="15.75">
      <c r="A76" s="63"/>
      <c s="64" t="s">
        <v>190</v>
      </c>
      <c s="65" t="str">
        <f>IFERROR(__xludf.DUMMYFUNCTION("""COMPUTED_VALUE"""),"dl")</f>
        <v>dl</v>
      </c>
      <c s="66">
        <f ca="1"/>
        <v>45208</v>
      </c>
      <c s="93" t="s">
        <v>161</v>
      </c>
      <c s="94">
        <v>1</v>
      </c>
      <c s="95">
        <v>4</v>
      </c>
      <c s="96" t="str">
        <f>IF(OR(gen="SELECT",gen="MALE"),"80% or @7","81% or @7")</f>
        <v>80% or @7</v>
      </c>
      <c s="97" t="str">
        <f t="array" ref="I76">IFERROR(IF(C76="ac"+ISNUMBER(SEARCH("'",H76))+G76="","",MROUND(_xlfn.SWITCH(C76,"sq",'Personal Info'!$O$15,"bn",'Personal Info'!$S$15,"dl",'Personal Info'!$W$15,"")*IF(H76&gt;10,H76/100,VLOOKUP(H76,_rpe,SUBSTITUTE(G76,"+","")+1,0)),IF(_xlfn.SWITCH(C76:C210,"sq",'Personal Info'!$O$15,"bn",'Personal Info'!$S$15,"dl",'Personal Info'!$W$15,"")&lt;IF(_uom="lbs",175,80),1.25,IF(_uom="lbs",5,2.5)))),"")</f>
        <v/>
      </c>
      <c s="70"/>
      <c s="63"/>
      <c s="97"/>
      <c s="44" t="str">
        <f>IFERROR(__xludf.DUMMYFUNCTION("IF(I76=MAX(FILTER(I$10:I$199,LOOKUP(ROW(C$10:C$199),FILTER(ROW(C$10:C$199),C$10:C$199&lt;&gt;C$9:C$198))=LOOKUP(ROW(C76),FILTER(ROW(C$10:C$199),C$10:C$199&lt;&gt;C$9:C$198)))),J76,)"),"")</f>
        <v/>
      </c>
      <c s="42"/>
      <c s="63"/>
      <c s="64" t="str">
        <f t="shared" si="11"/>
        <v>DL 2: strength</v>
      </c>
      <c s="65" t="str">
        <f>IFERROR(__xludf.DUMMYFUNCTION("""COMPUTED_VALUE"""),"dl")</f>
        <v>dl</v>
      </c>
      <c s="66">
        <f ca="1"/>
        <v>45215</v>
      </c>
      <c s="93" t="str">
        <f t="shared" si="12"/>
        <v>Deadlift</v>
      </c>
      <c s="94">
        <f t="shared" si="363"/>
        <v>1</v>
      </c>
      <c s="95">
        <f t="shared" si="364"/>
        <v>4</v>
      </c>
      <c s="98" t="s">
        <v>191</v>
      </c>
      <c s="97" t="str">
        <f t="array" ref="W76">IFERROR(IF(Q76="ac"+ISNUMBER(SEARCH("'",V76))+U76="","",IF(ISNUMBER(SEARCH("lw",V76)),I76+SUBSTITUTE(V76,"lw+",""),MROUND(_xlfn.SWITCH(Q76,"sq",U$7,"bn",V$7,"dl",W$7,"")*IF(V76&gt;10,V76/100,VLOOKUP(V76,_rpe,SUBSTITUTE(U76,"+","")+1,0)),IF(_xlfn.SWITCH(Q76,"sq",U$7,"bn",V$7,"dl",W$7,"")&lt;IF(_uom="lbs",175,80),1.25,IF(_uom="lbs",5,2.5))))),"")</f>
        <v/>
      </c>
      <c s="70"/>
      <c s="63"/>
      <c s="97"/>
      <c s="44" t="str">
        <f>IFERROR(__xludf.DUMMYFUNCTION("IF(W76=MAX(FILTER(W$10:W$199,LOOKUP(ROW(Q$10:Q$199),FILTER(ROW(Q$10:Q$199),Q$10:Q$199&lt;&gt;Q$9:Q$198))=LOOKUP(ROW(Q76),FILTER(ROW(Q$10:Q$199),Q$10:Q$199&lt;&gt;Q$9:Q$198)))),X76,)"),"")</f>
        <v/>
      </c>
      <c s="42"/>
      <c s="63"/>
      <c s="64" t="str">
        <f t="shared" si="14"/>
        <v>DL 2: strength</v>
      </c>
      <c s="65" t="str">
        <f>IFERROR(__xludf.DUMMYFUNCTION("""COMPUTED_VALUE"""),"dl")</f>
        <v>dl</v>
      </c>
      <c s="66">
        <f ca="1"/>
        <v>45222</v>
      </c>
      <c s="93" t="str">
        <f t="shared" si="156"/>
        <v>Deadlift</v>
      </c>
      <c s="94">
        <f t="shared" si="186"/>
        <v>1</v>
      </c>
      <c s="95">
        <v>3</v>
      </c>
      <c s="98" t="s">
        <v>180</v>
      </c>
      <c s="97" t="str">
        <f t="array" ref="AK76">IFERROR(IF(AE76="ac"+ISNUMBER(SEARCH("'",AJ76))+AI76="","",IF(ISNUMBER(SEARCH("lw",AJ76)),W76+SUBSTITUTE(AJ76,"lw+",""),MROUND(_xlfn.SWITCH(AE76,"sq",AI$7,"bn",AJ$7,"dl",AK$7,"")*IF(AJ76&gt;10,AJ76/100,VLOOKUP(AJ76,_rpe,SUBSTITUTE(AI76,"+","")+1,0)),IF(_xlfn.SWITCH(AE76,"sq",AI$7,"bn",AJ$7,"dl",AK$7,"")&lt;IF(_uom="lbs",175,80),1.25,IF(_uom="lbs",5,2.5))))),"")</f>
        <v/>
      </c>
      <c s="70"/>
      <c s="63"/>
      <c s="97"/>
      <c s="44" t="str">
        <f>IFERROR(__xludf.DUMMYFUNCTION("IF(AK76=MAX(FILTER(AK$10:AK$199,LOOKUP(ROW(AE$10:AE$199),FILTER(ROW(AE$10:AE$199),AE$10:AE$199&lt;&gt;AE$9:AE$198))=LOOKUP(ROW(AE76),FILTER(ROW(AE$10:AE$199),AE$10:AE$199&lt;&gt;AE$9:AE$198)))),AL76,)"),"")</f>
        <v/>
      </c>
      <c s="42"/>
      <c s="63"/>
      <c s="64" t="str">
        <f t="shared" si="17"/>
        <v>DL 2: strength</v>
      </c>
      <c s="65" t="str">
        <f>IFERROR(__xludf.DUMMYFUNCTION("""COMPUTED_VALUE"""),"dl")</f>
        <v>dl</v>
      </c>
      <c s="66">
        <f ca="1"/>
        <v>45229</v>
      </c>
      <c s="93" t="str">
        <f t="shared" si="157"/>
        <v>Deadlift</v>
      </c>
      <c s="94">
        <f t="shared" si="188"/>
        <v>1</v>
      </c>
      <c s="95">
        <v>2</v>
      </c>
      <c s="98" t="s">
        <v>192</v>
      </c>
      <c s="97" t="str">
        <f t="array" ref="AY76">IFERROR(IF(AS76="ac"+ISNUMBER(SEARCH("'",AX76))+AW76="","",IF(ISNUMBER(SEARCH("lw",AX76)),AK76+SUBSTITUTE(AX76,"lw+",""),MROUND(_xlfn.SWITCH(AS76,"sq",AW$7,"bn",AX$7,"dl",AY$7,"")*IF(AX76&gt;10,AX76/100,VLOOKUP(AX76,_rpe,SUBSTITUTE(AW76,"+","")+1,0)),IF(_xlfn.SWITCH(AS76,"sq",AW$7,"bn",AX$7,"dl",AY$7,"")&lt;IF(_uom="lbs",175,80),1.25,IF(_uom="lbs",5,2.5))))),"")</f>
        <v/>
      </c>
      <c s="70"/>
      <c s="63"/>
      <c s="97"/>
      <c s="44" t="str">
        <f>IFERROR(__xludf.DUMMYFUNCTION("IF(AY76=MAX(FILTER(AY$10:AY$199,LOOKUP(ROW(AS$10:AS$199),FILTER(ROW(AS$10:AS$199),AS$10:AS$199&lt;&gt;AS$9:AS$198))=LOOKUP(ROW(AS76),FILTER(ROW(AS$10:AS$199),AS$10:AS$199&lt;&gt;AS$9:AS$198)))),AZ76,)"),"")</f>
        <v/>
      </c>
      <c s="42"/>
      <c s="63"/>
      <c s="64" t="str">
        <f t="shared" si="19"/>
        <v>DL 2: strength</v>
      </c>
      <c s="65" t="str">
        <f>IFERROR(__xludf.DUMMYFUNCTION("""COMPUTED_VALUE"""),"dl")</f>
        <v>dl</v>
      </c>
      <c s="66">
        <f ca="1"/>
        <v>45236</v>
      </c>
      <c s="93" t="str">
        <f t="shared" si="20"/>
        <v>Deadlift</v>
      </c>
      <c s="94">
        <f t="shared" si="369"/>
        <v>1</v>
      </c>
      <c s="95">
        <v>3</v>
      </c>
      <c s="98" t="s">
        <v>191</v>
      </c>
      <c s="97" t="str">
        <f t="array" ref="BM76">IFERROR(IF(BG76="ac"+ISNUMBER(SEARCH("'",BL76))+BK76="","",IF(ISNUMBER(SEARCH("lw",BL76)),AY76+SUBSTITUTE(BL76,"lw+",""),MROUND(_xlfn.SWITCH(BG76,"sq",BK$7,"bn",BL$7,"dl",BM$7,"")*IF(BL76&gt;10,BL76/100,VLOOKUP(BL76,_rpe,SUBSTITUTE(BK76,"+","")+1,0)),IF(_xlfn.SWITCH(BG76,"sq",BK$7,"bn",BL$7,"dl",BM$7,"")&lt;IF(_uom="lbs",175,80),1.25,IF(_uom="lbs",5,2.5))))),"")</f>
        <v/>
      </c>
      <c s="70"/>
      <c s="63"/>
      <c s="97"/>
      <c s="44" t="str">
        <f>IFERROR(__xludf.DUMMYFUNCTION("IF(BM76=MAX(FILTER(BM$10:BM$199,LOOKUP(ROW(BG$10:BG$199),FILTER(ROW(BG$10:BG$199),BG$10:BG$199&lt;&gt;BG$9:BG$198))=LOOKUP(ROW(BG76),FILTER(ROW(BG$10:BG$199),BG$10:BG$199&lt;&gt;BG$9:BG$198)))),BN76,)"),"")</f>
        <v/>
      </c>
      <c s="42"/>
      <c s="63"/>
      <c s="64" t="str">
        <f t="shared" si="21"/>
        <v>DL 2: strength</v>
      </c>
      <c s="65" t="str">
        <f>IFERROR(__xludf.DUMMYFUNCTION("""COMPUTED_VALUE"""),"dl")</f>
        <v>dl</v>
      </c>
      <c s="66">
        <f ca="1"/>
        <v>45243</v>
      </c>
      <c s="93" t="str">
        <f t="shared" si="22"/>
        <v>Deadlift</v>
      </c>
      <c s="94">
        <f t="shared" si="372"/>
        <v>1</v>
      </c>
      <c s="95">
        <v>3</v>
      </c>
      <c s="97" t="str">
        <f>IF(OR(gen="SELECT",gen="MALE"),"86% or @8","87% or @8")</f>
        <v>86% or @8</v>
      </c>
      <c s="97" t="str">
        <f t="array" ref="CA76">IFERROR(IF(BU76="ac"+ISNUMBER(SEARCH("'",BZ76))+BY76="","",IF(ISNUMBER(SEARCH("lw",BZ76)),BM76+SUBSTITUTE(BZ76,"lw+",""),MROUND(_xlfn.SWITCH(BU76,"sq",BY$7,"bn",BZ$7,"dl",CA$7,"")*IF(BZ76&gt;10,BZ76/100,VLOOKUP(BZ76,_rpe,SUBSTITUTE(BY76,"+","")+1,0)),IF(_xlfn.SWITCH(BU76,"sq",BY$7,"bn",BZ$7,"dl",CA$7,"")&lt;IF(_uom="lbs",175,80),1.25,IF(_uom="lbs",5,2.5))))),"")</f>
        <v/>
      </c>
      <c s="70"/>
      <c s="63"/>
      <c s="97"/>
      <c s="44" t="str">
        <f>IFERROR(__xludf.DUMMYFUNCTION("IF(CA76=MAX(FILTER(CA$10:CA$199,LOOKUP(ROW(BU$10:BU$199),FILTER(ROW(BU$10:BU$199),BU$10:BU$199&lt;&gt;BU$9:BU$198))=LOOKUP(ROW(BU76),FILTER(ROW(BU$10:BU$199),BU$10:BU$199&lt;&gt;BU$9:BU$198)))),CB76,)"),"")</f>
        <v/>
      </c>
      <c s="42"/>
      <c s="63"/>
      <c s="64" t="str">
        <f t="shared" si="24"/>
        <v>DL 2: strength</v>
      </c>
      <c s="65" t="str">
        <f>IFERROR(__xludf.DUMMYFUNCTION("""COMPUTED_VALUE"""),"dl")</f>
        <v>dl</v>
      </c>
      <c s="66">
        <f ca="1"/>
        <v>45250</v>
      </c>
      <c s="93" t="str">
        <f t="shared" si="44"/>
        <v>Deadlift</v>
      </c>
      <c s="94">
        <f t="shared" si="300"/>
        <v>1</v>
      </c>
      <c s="95">
        <v>2</v>
      </c>
      <c s="98" t="str">
        <f>IF(OR(gen="SELECT",gen="MALE"),"87.5% or @7.5","88.5% or @7.5")</f>
        <v>87.5% or @7.5</v>
      </c>
      <c s="97" t="str">
        <f t="array" ref="CO76">IFERROR(IF(CI76="ac"+ISNUMBER(SEARCH("'",CN76))+CM76="","",IF(ISNUMBER(SEARCH("lw",CN76)),CA76+SUBSTITUTE(CN76,"lw+",""),MROUND(_xlfn.SWITCH(CI76,"sq",CM$7,"bn",CN$7,"dl",CO$7,"")*IF(CN76&gt;10,CN76/100,VLOOKUP(CN76,_rpe,SUBSTITUTE(CM76,"+","")+1,0)),IF(_xlfn.SWITCH(CI76,"sq",CM$7,"bn",CN$7,"dl",CO$7,"")&lt;IF(_uom="lbs",175,80),1.25,IF(_uom="lbs",5,2.5))))),"")</f>
        <v/>
      </c>
      <c s="70"/>
      <c s="63"/>
      <c s="97"/>
      <c s="44" t="str">
        <f>IFERROR(__xludf.DUMMYFUNCTION("IF(CO76=MAX(FILTER(CO$10:CO$199,LOOKUP(ROW(CI$10:CI$199),FILTER(ROW(CI$10:CI$199),CI$10:CI$199&lt;&gt;CI$9:CI$198))=LOOKUP(ROW(CI76),FILTER(ROW(CI$10:CI$199),CI$10:CI$199&lt;&gt;CI$9:CI$198)))),CP76,)"),"")</f>
        <v/>
      </c>
      <c s="42"/>
      <c s="63"/>
      <c s="64" t="str">
        <f t="shared" si="27"/>
        <v>DL 2: strength</v>
      </c>
      <c s="65" t="str">
        <f>IFERROR(__xludf.DUMMYFUNCTION("""COMPUTED_VALUE"""),"dl")</f>
        <v>dl</v>
      </c>
      <c s="66">
        <f ca="1"/>
        <v>45257</v>
      </c>
      <c s="93" t="str">
        <f t="shared" si="45"/>
        <v>Deadlift</v>
      </c>
      <c s="94">
        <f t="shared" si="302"/>
        <v>1</v>
      </c>
      <c s="95">
        <v>1</v>
      </c>
      <c s="98" t="str">
        <f>IF(OR(gen="SELECT",gen="MALE"),"91% or @7.5","92% or @7.5")</f>
        <v>91% or @7.5</v>
      </c>
      <c s="97" t="str">
        <f t="array" ref="DC76">IFERROR(IF(CW76="ac"+ISNUMBER(SEARCH("'",DB76))+DA76="","",IF(ISNUMBER(SEARCH("lw",DB76)),CO76+SUBSTITUTE(DB76,"lw+",""),MROUND(_xlfn.SWITCH(CW76,"sq",DA$7,"bn",DB$7,"dl",DC$7,"")*IF(DB76&gt;10,DB76/100,VLOOKUP(DB76,_rpe,SUBSTITUTE(DA76,"+","")+1,0)),IF(_xlfn.SWITCH(CW76,"sq",DA$7,"bn",DB$7,"dl",DC$7,"")&lt;IF(_uom="lbs",175,80),1.25,IF(_uom="lbs",5,2.5))))),"")</f>
        <v/>
      </c>
      <c s="70"/>
      <c s="63"/>
      <c s="97"/>
      <c s="44" t="str">
        <f>IFERROR(__xludf.DUMMYFUNCTION("IF(DC76=MAX(FILTER(DC$10:DC$199,LOOKUP(ROW(CW$10:CW$199),FILTER(ROW(CW$10:CW$199),CW$10:CW$199&lt;&gt;CW$9:CW$198))=LOOKUP(ROW(CW76),FILTER(ROW(CW$10:CW$199),CW$10:CW$199&lt;&gt;CW$9:CW$198)))),DD76,)"),"")</f>
        <v/>
      </c>
      <c s="42"/>
      <c s="63"/>
      <c s="64" t="str">
        <f t="shared" si="30"/>
        <v>DL 2: strength</v>
      </c>
      <c s="65" t="str">
        <f>IFERROR(__xludf.DUMMYFUNCTION("""COMPUTED_VALUE"""),"dl")</f>
        <v>dl</v>
      </c>
      <c s="66">
        <f ca="1"/>
        <v>45264</v>
      </c>
      <c s="93" t="str">
        <f t="shared" si="46"/>
        <v>Deadlift</v>
      </c>
      <c s="94">
        <f t="shared" si="305"/>
        <v>1</v>
      </c>
      <c s="95">
        <v>3</v>
      </c>
      <c s="106" t="s">
        <v>164</v>
      </c>
      <c s="97" t="str">
        <f t="array" ref="DQ76">IFERROR(IF(DK76="ac"+ISNUMBER(SEARCH("'",DP76))+DO76="","",IF(ISNUMBER(SEARCH("lw",DP76)),DC76+SUBSTITUTE(DP76,"lw+",""),MROUND(_xlfn.SWITCH(DK76,"sq",DO$7,"bn",DP$7,"dl",DQ$7,"")*IF(DP76&gt;10,DP76/100,VLOOKUP(DP76,_rpe,SUBSTITUTE(DO76,"+","")+1,0)),IF(_xlfn.SWITCH(DK76,"sq",DO$7,"bn",DP$7,"dl",DQ$7,"")&lt;IF(_uom="lbs",175,80),1.25,IF(_uom="lbs",5,2.5))))),"")</f>
        <v/>
      </c>
      <c s="70"/>
      <c s="63"/>
      <c s="97"/>
      <c s="44" t="str">
        <f>IFERROR(__xludf.DUMMYFUNCTION("IF(DQ76=MAX(FILTER(DQ$10:DQ$199,LOOKUP(ROW(DK$10:DK$199),FILTER(ROW(DK$10:DK$199),DK$10:DK$199&lt;&gt;DK$9:DK$198))=LOOKUP(ROW(DK76),FILTER(ROW(DK$10:DK$199),DK$10:DK$199&lt;&gt;DK$9:DK$198)))),DR76,)"),"")</f>
        <v/>
      </c>
      <c s="42"/>
      <c s="63"/>
      <c s="64" t="str">
        <f t="shared" si="32"/>
        <v>DL 2: strength</v>
      </c>
      <c s="65" t="str">
        <f>IFERROR(__xludf.DUMMYFUNCTION("""COMPUTED_VALUE"""),"dl")</f>
        <v>dl</v>
      </c>
      <c s="66">
        <f ca="1"/>
        <v>45271</v>
      </c>
      <c s="93" t="str">
        <f t="shared" si="47"/>
        <v>Deadlift</v>
      </c>
      <c s="94">
        <f t="shared" si="308"/>
        <v>1</v>
      </c>
      <c s="95">
        <v>1</v>
      </c>
      <c s="106" t="s">
        <v>193</v>
      </c>
      <c s="97" t="str">
        <f t="array" ref="EE76">IFERROR(IF(DY76="ac"+ISNUMBER(SEARCH("'",ED76))+EC76="","",IF(ISNUMBER(SEARCH("lw",ED76)),DQ76+SUBSTITUTE(ED76,"lw+",""),MROUND(_xlfn.SWITCH(DY76,"sq",EC$7,"bn",ED$7,"dl",EE$7,"")*IF(ED76&gt;10,ED76/100,VLOOKUP(ED76,_rpe,SUBSTITUTE(EC76,"+","")+1,0)),IF(_xlfn.SWITCH(DY76,"sq",EC$7,"bn",ED$7,"dl",EE$7,"")&lt;IF(_uom="lbs",175,80),1.25,IF(_uom="lbs",5,2.5))))),"")</f>
        <v/>
      </c>
      <c s="70"/>
      <c s="63"/>
      <c s="97"/>
      <c s="44" t="str">
        <f>IFERROR(__xludf.DUMMYFUNCTION("IF(EE76=MAX(FILTER(EE$10:EE$199,LOOKUP(ROW(DY$10:DY$199),FILTER(ROW(DY$10:DY$199),DY$10:DY$199&lt;&gt;DY$9:DY$198))=LOOKUP(ROW(DY76),FILTER(ROW(DY$10:DY$199),DY$10:DY$199&lt;&gt;DY$9:DY$198)))),EF76,)"),"")</f>
        <v/>
      </c>
      <c s="42"/>
      <c s="63"/>
      <c s="64" t="str">
        <f t="shared" si="34"/>
        <v>DL 2: strength</v>
      </c>
      <c s="65" t="str">
        <f>IFERROR(__xludf.DUMMYFUNCTION("""COMPUTED_VALUE"""),"dl")</f>
        <v>dl</v>
      </c>
      <c s="66">
        <f ca="1"/>
        <v>45278</v>
      </c>
      <c s="93" t="str">
        <f t="shared" si="48"/>
        <v>Deadlift</v>
      </c>
      <c s="94">
        <f t="shared" si="311"/>
        <v>1</v>
      </c>
      <c s="95">
        <f t="shared" si="382"/>
        <v>1</v>
      </c>
      <c s="98" t="s">
        <v>194</v>
      </c>
      <c s="97" t="str">
        <f t="array" ref="ES76">IFERROR(IF(EM76="ac"+ISNUMBER(SEARCH("'",ER76))+EQ76="","",IF(ISNUMBER(SEARCH("lw",ER76)),EE76+SUBSTITUTE(ER76,"lw+",""),MROUND(_xlfn.SWITCH(EM76,"sq",EQ$7,"bn",ER$7,"dl",ES$7,"")*IF(ER76&gt;10,ER76/100,VLOOKUP(ER76,_rpe,SUBSTITUTE(EQ76,"+","")+1,0)),IF(_xlfn.SWITCH(EM76,"sq",EQ$7,"bn",ER$7,"dl",ES$7,"")&lt;IF(_uom="lbs",175,80),1.25,IF(_uom="lbs",5,2.5))))),"")</f>
        <v/>
      </c>
      <c s="70"/>
      <c s="63"/>
      <c s="97"/>
      <c s="44" t="str">
        <f>IFERROR(__xludf.DUMMYFUNCTION("IF(ES76=MAX(FILTER(ES$10:ES$199,LOOKUP(ROW(EM$10:EM$199),FILTER(ROW(EM$10:EM$199),EM$10:EM$199&lt;&gt;EM$9:EM$198))=LOOKUP(ROW(EM76),FILTER(ROW(EM$10:EM$199),EM$10:EM$199&lt;&gt;EM$9:EM$198)))),ET76,)"),"")</f>
        <v/>
      </c>
      <c s="42"/>
      <c s="63"/>
      <c s="64" t="str">
        <f t="shared" si="36"/>
        <v>DL 2: strength</v>
      </c>
      <c s="65" t="str">
        <f>IFERROR(__xludf.DUMMYFUNCTION("""COMPUTED_VALUE"""),"dl")</f>
        <v>dl</v>
      </c>
      <c s="66">
        <f ca="1"/>
        <v>45285</v>
      </c>
      <c s="93" t="str">
        <f t="shared" si="49"/>
        <v>Deadlift</v>
      </c>
      <c s="94">
        <f t="shared" si="314"/>
        <v>1</v>
      </c>
      <c s="95">
        <f t="shared" si="383"/>
        <v>1</v>
      </c>
      <c s="98" t="s">
        <v>127</v>
      </c>
      <c s="97" t="str">
        <f t="array" ref="FG76">IFERROR(IF(FA76="ac"+ISNUMBER(SEARCH("'",FF76))+FE76="","",IF(ISNUMBER(SEARCH("lw",FF76)),ES76+SUBSTITUTE(FF76,"lw+",""),MROUND(_xlfn.SWITCH(FA76,"sq",FE$7,"bn",FF$7,"dl",FG$7,"")*IF(FF76&gt;10,FF76/100,VLOOKUP(FF76,_rpe,SUBSTITUTE(FE76,"+","")+1,0)),IF(_xlfn.SWITCH(FA76,"sq",FE$7,"bn",FF$7,"dl",FG$7,"")&lt;IF(_uom="lbs",175,80),1.25,IF(_uom="lbs",5,2.5))))),"")</f>
        <v/>
      </c>
      <c s="70"/>
      <c s="63"/>
      <c s="97"/>
      <c s="44" t="str">
        <f>IFERROR(__xludf.DUMMYFUNCTION("IF(FG76=MAX(FILTER(FG$10:FG$199,LOOKUP(ROW(FA$10:FA$199),FILTER(ROW(FA$10:FA$199),FA$10:FA$199&lt;&gt;FA$9:FA$198))=LOOKUP(ROW(FA76),FILTER(ROW(FA$10:FA$199),FA$10:FA$199&lt;&gt;FA$9:FA$198)))),FH76,)"),"")</f>
        <v/>
      </c>
      <c s="42"/>
      <c s="63"/>
      <c s="64" t="str">
        <f t="shared" si="38"/>
        <v>DL 2: strength</v>
      </c>
      <c s="65" t="str">
        <f>IFERROR(__xludf.DUMMYFUNCTION("""COMPUTED_VALUE"""),"sq")</f>
        <v>sq</v>
      </c>
      <c s="66">
        <f ca="1"/>
        <v>45292</v>
      </c>
      <c s="93" t="s">
        <v>195</v>
      </c>
      <c s="94"/>
      <c s="95"/>
      <c s="98"/>
      <c s="97" t="str">
        <f t="array" ref="FU76">IFERROR(IF(FO76="ac"+ISNUMBER(SEARCH("'",FT76))+FS76="","",IF(ISNUMBER(SEARCH("lw",FT76)),FG76+SUBSTITUTE(FT76,"lw+",""),MROUND(_xlfn.SWITCH(FO76,"sq",FS$7,"bn",FT$7,"dl",FU$7,"")*IF(FT76&gt;10,FT76/100,VLOOKUP(FT76,_rpe,SUBSTITUTE(FS76,"+","")+1,0)),IF(_xlfn.SWITCH(FO76,"sq",FS$7,"bn",FT$7,"dl",FU$7,"")&lt;IF(_uom="lbs",175,80),1.25,IF(_uom="lbs",5,2.5))))),"")</f>
        <v/>
      </c>
      <c s="70"/>
      <c s="63"/>
      <c s="97"/>
      <c s="44" t="str">
        <f>IFERROR(__xludf.DUMMYFUNCTION("IF(FU76=MAX(FILTER(FU$10:FU$199,LOOKUP(ROW(FO$10:FO$199),FILTER(ROW(FO$10:FO$199),FO$10:FO$199&lt;&gt;FO$9:FO$198))=LOOKUP(ROW(FO76),FILTER(ROW(FO$10:FO$199),FO$10:FO$199&lt;&gt;FO$9:FO$198)))),FV76,)"),"")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77" spans="1:259" ht="15.75" outlineLevel="1">
      <c r="A77" s="63"/>
      <c s="107"/>
      <c s="65" t="str">
        <f>IFERROR(__xludf.DUMMYFUNCTION("""COMPUTED_VALUE"""),"dl")</f>
        <v>dl</v>
      </c>
      <c s="66">
        <f ca="1"/>
        <v>45208</v>
      </c>
      <c s="93" t="s">
        <v>130</v>
      </c>
      <c s="94">
        <v>2</v>
      </c>
      <c s="95">
        <v>4</v>
      </c>
      <c s="96">
        <f>IF(OR(gen="SELECT",gen="MALE"),7500%,7600%)</f>
        <v>75</v>
      </c>
      <c s="97">
        <f t="array" ref="I77">IFERROR(IF(C77="ac"+ISNUMBER(SEARCH("'",H77))+G77="","",MROUND(_xlfn.SWITCH(C77,"sq",'Personal Info'!$O$15,"bn",'Personal Info'!$S$15,"dl",'Personal Info'!$W$15,"")*IF(H77&gt;10,H77/100,VLOOKUP(H77,_rpe,SUBSTITUTE(G77,"+","")+1,0)),IF(_xlfn.SWITCH(C77:C210,"sq",'Personal Info'!$O$15,"bn",'Personal Info'!$S$15,"dl",'Personal Info'!$W$15,"")&lt;IF(_uom="lbs",175,80),1.25,IF(_uom="lbs",5,2.5)))),"")</f>
        <v>97.5</v>
      </c>
      <c s="70"/>
      <c s="63"/>
      <c s="97"/>
      <c s="44" t="str">
        <f>IFERROR(__xludf.DUMMYFUNCTION("IF(I77=MAX(FILTER(I$10:I$199,LOOKUP(ROW(C$10:C$199),FILTER(ROW(C$10:C$199),C$10:C$199&lt;&gt;C$9:C$198))=LOOKUP(ROW(C77),FILTER(ROW(C$10:C$199),C$10:C$199&lt;&gt;C$9:C$198)))),J77,)"),"")</f>
        <v/>
      </c>
      <c s="42"/>
      <c s="63"/>
      <c s="64" t="str">
        <f t="shared" si="11"/>
        <v/>
      </c>
      <c s="65" t="str">
        <f>IFERROR(__xludf.DUMMYFUNCTION("""COMPUTED_VALUE"""),"dl")</f>
        <v>dl</v>
      </c>
      <c s="66">
        <f ca="1"/>
        <v>45215</v>
      </c>
      <c s="93" t="str">
        <f t="shared" si="12"/>
        <v>-</v>
      </c>
      <c s="94">
        <f>IF(OR(gen="SELECT",gen="MALE"),2,3)</f>
        <v>2</v>
      </c>
      <c s="95">
        <f t="shared" si="364"/>
        <v>4</v>
      </c>
      <c s="98">
        <v>78</v>
      </c>
      <c s="97">
        <f t="array" ref="W77">IFERROR(IF(Q77="ac"+ISNUMBER(SEARCH("'",V77))+U77="","",IF(ISNUMBER(SEARCH("lw",V77)),I77+SUBSTITUTE(V77,"lw+",""),MROUND(_xlfn.SWITCH(Q77,"sq",U$7,"bn",V$7,"dl",W$7,"")*IF(V77&gt;10,V77/100,VLOOKUP(V77,_rpe,SUBSTITUTE(U77,"+","")+1,0)),IF(_xlfn.SWITCH(Q77,"sq",U$7,"bn",V$7,"dl",W$7,"")&lt;IF(_uom="lbs",175,80),1.25,IF(_uom="lbs",5,2.5))))),"")</f>
        <v>101.25</v>
      </c>
      <c s="70"/>
      <c s="63"/>
      <c s="97"/>
      <c s="44" t="str">
        <f>IFERROR(__xludf.DUMMYFUNCTION("IF(W77=MAX(FILTER(W$10:W$199,LOOKUP(ROW(Q$10:Q$199),FILTER(ROW(Q$10:Q$199),Q$10:Q$199&lt;&gt;Q$9:Q$198))=LOOKUP(ROW(Q77),FILTER(ROW(Q$10:Q$199),Q$10:Q$199&lt;&gt;Q$9:Q$198)))),X77,)"),"")</f>
        <v/>
      </c>
      <c s="42"/>
      <c s="63"/>
      <c s="64" t="str">
        <f t="shared" si="14"/>
        <v/>
      </c>
      <c s="65" t="str">
        <f>IFERROR(__xludf.DUMMYFUNCTION("""COMPUTED_VALUE"""),"dl")</f>
        <v>dl</v>
      </c>
      <c s="66">
        <f ca="1"/>
        <v>45222</v>
      </c>
      <c s="93" t="str">
        <f t="shared" si="156"/>
        <v>-</v>
      </c>
      <c s="94">
        <f>IF(OR(gen="SELECT",gen="MALE"),3,4)</f>
        <v>3</v>
      </c>
      <c s="95">
        <v>3</v>
      </c>
      <c s="98">
        <v>81</v>
      </c>
      <c s="97">
        <f t="array" ref="AK77">IFERROR(IF(AE77="ac"+ISNUMBER(SEARCH("'",AJ77))+AI77="","",IF(ISNUMBER(SEARCH("lw",AJ77)),W77+SUBSTITUTE(AJ77,"lw+",""),MROUND(_xlfn.SWITCH(AE77,"sq",AI$7,"bn",AJ$7,"dl",AK$7,"")*IF(AJ77&gt;10,AJ77/100,VLOOKUP(AJ77,_rpe,SUBSTITUTE(AI77,"+","")+1,0)),IF(_xlfn.SWITCH(AE77,"sq",AI$7,"bn",AJ$7,"dl",AK$7,"")&lt;IF(_uom="lbs",175,80),1.25,IF(_uom="lbs",5,2.5))))),"")</f>
        <v>105</v>
      </c>
      <c s="70"/>
      <c s="63"/>
      <c s="97"/>
      <c s="44" t="str">
        <f>IFERROR(__xludf.DUMMYFUNCTION("IF(AK77=MAX(FILTER(AK$10:AK$199,LOOKUP(ROW(AE$10:AE$199),FILTER(ROW(AE$10:AE$199),AE$10:AE$199&lt;&gt;AE$9:AE$198))=LOOKUP(ROW(AE77),FILTER(ROW(AE$10:AE$199),AE$10:AE$199&lt;&gt;AE$9:AE$198)))),AL77,)"),"")</f>
        <v/>
      </c>
      <c s="42"/>
      <c s="63"/>
      <c s="64" t="str">
        <f t="shared" si="17"/>
        <v/>
      </c>
      <c s="65" t="str">
        <f>IFERROR(__xludf.DUMMYFUNCTION("""COMPUTED_VALUE"""),"dl")</f>
        <v>dl</v>
      </c>
      <c s="66">
        <f ca="1"/>
        <v>45229</v>
      </c>
      <c s="93" t="str">
        <f t="shared" si="157"/>
        <v>-</v>
      </c>
      <c s="94">
        <f>IF(OR(gen="SELECT",gen="MALE"),4,5)</f>
        <v>4</v>
      </c>
      <c s="95">
        <v>2</v>
      </c>
      <c s="98">
        <v>84</v>
      </c>
      <c s="97">
        <f t="array" ref="AY77">IFERROR(IF(AS77="ac"+ISNUMBER(SEARCH("'",AX77))+AW77="","",IF(ISNUMBER(SEARCH("lw",AX77)),AK77+SUBSTITUTE(AX77,"lw+",""),MROUND(_xlfn.SWITCH(AS77,"sq",AW$7,"bn",AX$7,"dl",AY$7,"")*IF(AX77&gt;10,AX77/100,VLOOKUP(AX77,_rpe,SUBSTITUTE(AW77,"+","")+1,0)),IF(_xlfn.SWITCH(AS77,"sq",AW$7,"bn",AX$7,"dl",AY$7,"")&lt;IF(_uom="lbs",175,80),1.25,IF(_uom="lbs",5,2.5))))),"")</f>
        <v>108.75</v>
      </c>
      <c s="70"/>
      <c s="63"/>
      <c s="97"/>
      <c s="44" t="str">
        <f>IFERROR(__xludf.DUMMYFUNCTION("IF(AY77=MAX(FILTER(AY$10:AY$199,LOOKUP(ROW(AS$10:AS$199),FILTER(ROW(AS$10:AS$199),AS$10:AS$199&lt;&gt;AS$9:AS$198))=LOOKUP(ROW(AS77),FILTER(ROW(AS$10:AS$199),AS$10:AS$199&lt;&gt;AS$9:AS$198)))),AZ77,)"),"")</f>
        <v/>
      </c>
      <c s="42"/>
      <c s="63"/>
      <c s="64" t="str">
        <f t="shared" si="19"/>
        <v/>
      </c>
      <c s="65" t="str">
        <f>IFERROR(__xludf.DUMMYFUNCTION("""COMPUTED_VALUE"""),"dl")</f>
        <v>dl</v>
      </c>
      <c s="66">
        <f ca="1"/>
        <v>45236</v>
      </c>
      <c s="93" t="str">
        <f t="shared" si="20"/>
        <v>-</v>
      </c>
      <c s="94">
        <v>2</v>
      </c>
      <c s="95">
        <v>3</v>
      </c>
      <c s="98">
        <v>78</v>
      </c>
      <c s="97">
        <f t="array" ref="BM77">IFERROR(IF(BG77="ac"+ISNUMBER(SEARCH("'",BL77))+BK77="","",IF(ISNUMBER(SEARCH("lw",BL77)),AY77+SUBSTITUTE(BL77,"lw+",""),MROUND(_xlfn.SWITCH(BG77,"sq",BK$7,"bn",BL$7,"dl",BM$7,"")*IF(BL77&gt;10,BL77/100,VLOOKUP(BL77,_rpe,SUBSTITUTE(BK77,"+","")+1,0)),IF(_xlfn.SWITCH(BG77,"sq",BK$7,"bn",BL$7,"dl",BM$7,"")&lt;IF(_uom="lbs",175,80),1.25,IF(_uom="lbs",5,2.5))))),"")</f>
        <v>101.25</v>
      </c>
      <c s="70"/>
      <c s="63"/>
      <c s="97"/>
      <c s="44" t="str">
        <f>IFERROR(__xludf.DUMMYFUNCTION("IF(BM77=MAX(FILTER(BM$10:BM$199,LOOKUP(ROW(BG$10:BG$199),FILTER(ROW(BG$10:BG$199),BG$10:BG$199&lt;&gt;BG$9:BG$198))=LOOKUP(ROW(BG77),FILTER(ROW(BG$10:BG$199),BG$10:BG$199&lt;&gt;BG$9:BG$198)))),BN77,)"),"")</f>
        <v/>
      </c>
      <c s="42"/>
      <c s="63"/>
      <c s="64" t="str">
        <f t="shared" si="21"/>
        <v/>
      </c>
      <c s="65" t="str">
        <f>IFERROR(__xludf.DUMMYFUNCTION("""COMPUTED_VALUE"""),"dl")</f>
        <v>dl</v>
      </c>
      <c s="66">
        <f ca="1"/>
        <v>45243</v>
      </c>
      <c s="93" t="str">
        <f t="shared" si="22"/>
        <v>-</v>
      </c>
      <c s="94">
        <v>3</v>
      </c>
      <c s="95">
        <v>3</v>
      </c>
      <c s="98">
        <f>IF(OR(gen="SELECT",gen="MALE"),8200%,8300%)</f>
        <v>82</v>
      </c>
      <c s="97">
        <f t="array" ref="CA77">IFERROR(IF(BU77="ac"+ISNUMBER(SEARCH("'",BZ77))+BY77="","",IF(ISNUMBER(SEARCH("lw",BZ77)),BM77+SUBSTITUTE(BZ77,"lw+",""),MROUND(_xlfn.SWITCH(BU77,"sq",BY$7,"bn",BZ$7,"dl",CA$7,"")*IF(BZ77&gt;10,BZ77/100,VLOOKUP(BZ77,_rpe,SUBSTITUTE(BY77,"+","")+1,0)),IF(_xlfn.SWITCH(BU77,"sq",BY$7,"bn",BZ$7,"dl",CA$7,"")&lt;IF(_uom="lbs",175,80),1.25,IF(_uom="lbs",5,2.5))))),"")</f>
        <v>106.25</v>
      </c>
      <c s="70"/>
      <c s="63"/>
      <c s="97"/>
      <c s="44" t="str">
        <f>IFERROR(__xludf.DUMMYFUNCTION("IF(CA77=MAX(FILTER(CA$10:CA$199,LOOKUP(ROW(BU$10:BU$199),FILTER(ROW(BU$10:BU$199),BU$10:BU$199&lt;&gt;BU$9:BU$198))=LOOKUP(ROW(BU77),FILTER(ROW(BU$10:BU$199),BU$10:BU$199&lt;&gt;BU$9:BU$198)))),CB77,)"),"")</f>
        <v/>
      </c>
      <c s="42"/>
      <c s="63"/>
      <c s="64" t="str">
        <f t="shared" si="24"/>
        <v/>
      </c>
      <c s="65" t="str">
        <f>IFERROR(__xludf.DUMMYFUNCTION("""COMPUTED_VALUE"""),"dl")</f>
        <v>dl</v>
      </c>
      <c s="66">
        <f ca="1"/>
        <v>45250</v>
      </c>
      <c s="93" t="str">
        <f t="shared" si="44"/>
        <v>-</v>
      </c>
      <c s="94">
        <v>4</v>
      </c>
      <c s="95">
        <v>2</v>
      </c>
      <c s="98">
        <f>IF(OR(gen="SELECT",gen="MALE"),8400%,8500%)</f>
        <v>84</v>
      </c>
      <c s="97">
        <f t="array" ref="CO77">IFERROR(IF(CI77="ac"+ISNUMBER(SEARCH("'",CN77))+CM77="","",IF(ISNUMBER(SEARCH("lw",CN77)),CA77+SUBSTITUTE(CN77,"lw+",""),MROUND(_xlfn.SWITCH(CI77,"sq",CM$7,"bn",CN$7,"dl",CO$7,"")*IF(CN77&gt;10,CN77/100,VLOOKUP(CN77,_rpe,SUBSTITUTE(CM77,"+","")+1,0)),IF(_xlfn.SWITCH(CI77,"sq",CM$7,"bn",CN$7,"dl",CO$7,"")&lt;IF(_uom="lbs",175,80),1.25,IF(_uom="lbs",5,2.5))))),"")</f>
        <v>108.75</v>
      </c>
      <c s="70"/>
      <c s="63"/>
      <c s="97"/>
      <c s="44" t="str">
        <f>IFERROR(__xludf.DUMMYFUNCTION("IF(CO77=MAX(FILTER(CO$10:CO$199,LOOKUP(ROW(CI$10:CI$199),FILTER(ROW(CI$10:CI$199),CI$10:CI$199&lt;&gt;CI$9:CI$198))=LOOKUP(ROW(CI77),FILTER(ROW(CI$10:CI$199),CI$10:CI$199&lt;&gt;CI$9:CI$198)))),CP77,)"),"")</f>
        <v/>
      </c>
      <c s="42"/>
      <c s="63"/>
      <c s="64" t="str">
        <f t="shared" si="27"/>
        <v/>
      </c>
      <c s="65" t="str">
        <f>IFERROR(__xludf.DUMMYFUNCTION("""COMPUTED_VALUE"""),"dl")</f>
        <v>dl</v>
      </c>
      <c s="66">
        <f ca="1"/>
        <v>45257</v>
      </c>
      <c s="93" t="str">
        <f t="shared" si="45"/>
        <v>-</v>
      </c>
      <c s="94">
        <v>3</v>
      </c>
      <c s="95">
        <v>2</v>
      </c>
      <c s="98">
        <f>IF(OR(gen="SELECT",gen="MALE"),8600%,8700%)</f>
        <v>86</v>
      </c>
      <c s="97">
        <f t="array" ref="DC77">IFERROR(IF(CW77="ac"+ISNUMBER(SEARCH("'",DB77))+DA77="","",IF(ISNUMBER(SEARCH("lw",DB77)),CO77+SUBSTITUTE(DB77,"lw+",""),MROUND(_xlfn.SWITCH(CW77,"sq",DA$7,"bn",DB$7,"dl",DC$7,"")*IF(DB77&gt;10,DB77/100,VLOOKUP(DB77,_rpe,SUBSTITUTE(DA77,"+","")+1,0)),IF(_xlfn.SWITCH(CW77,"sq",DA$7,"bn",DB$7,"dl",DC$7,"")&lt;IF(_uom="lbs",175,80),1.25,IF(_uom="lbs",5,2.5))))),"")</f>
        <v>111.25</v>
      </c>
      <c s="70"/>
      <c s="63"/>
      <c s="97"/>
      <c s="44" t="str">
        <f>IFERROR(__xludf.DUMMYFUNCTION("IF(DC77=MAX(FILTER(DC$10:DC$199,LOOKUP(ROW(CW$10:CW$199),FILTER(ROW(CW$10:CW$199),CW$10:CW$199&lt;&gt;CW$9:CW$198))=LOOKUP(ROW(CW77),FILTER(ROW(CW$10:CW$199),CW$10:CW$199&lt;&gt;CW$9:CW$198)))),DD77,)"),"")</f>
        <v/>
      </c>
      <c s="42"/>
      <c s="63"/>
      <c s="64" t="str">
        <f t="shared" si="30"/>
        <v/>
      </c>
      <c s="65" t="str">
        <f>IFERROR(__xludf.DUMMYFUNCTION("""COMPUTED_VALUE"""),"dl")</f>
        <v>dl</v>
      </c>
      <c s="66">
        <f ca="1"/>
        <v>45264</v>
      </c>
      <c s="93" t="str">
        <f t="shared" si="46"/>
        <v>-</v>
      </c>
      <c s="94"/>
      <c s="95"/>
      <c s="98"/>
      <c s="97" t="str">
        <f t="array" ref="DQ77">IFERROR(IF(DK77="ac"+ISNUMBER(SEARCH("'",DP77))+DO77="","",IF(ISNUMBER(SEARCH("lw",DP77)),DC77+SUBSTITUTE(DP77,"lw+",""),MROUND(_xlfn.SWITCH(DK77,"sq",DO$7,"bn",DP$7,"dl",DQ$7,"")*IF(DP77&gt;10,DP77/100,VLOOKUP(DP77,_rpe,SUBSTITUTE(DO77,"+","")+1,0)),IF(_xlfn.SWITCH(DK77,"sq",DO$7,"bn",DP$7,"dl",DQ$7,"")&lt;IF(_uom="lbs",175,80),1.25,IF(_uom="lbs",5,2.5))))),"")</f>
        <v/>
      </c>
      <c s="70"/>
      <c s="63"/>
      <c s="97"/>
      <c s="44" t="str">
        <f>IFERROR(__xludf.DUMMYFUNCTION("IF(DQ77=MAX(FILTER(DQ$10:DQ$199,LOOKUP(ROW(DK$10:DK$199),FILTER(ROW(DK$10:DK$199),DK$10:DK$199&lt;&gt;DK$9:DK$198))=LOOKUP(ROW(DK77),FILTER(ROW(DK$10:DK$199),DK$10:DK$199&lt;&gt;DK$9:DK$198)))),DR77,)"),"")</f>
        <v/>
      </c>
      <c s="42"/>
      <c s="63"/>
      <c s="64" t="str">
        <f t="shared" si="32"/>
        <v/>
      </c>
      <c s="65" t="str">
        <f>IFERROR(__xludf.DUMMYFUNCTION("""COMPUTED_VALUE"""),"dl")</f>
        <v>dl</v>
      </c>
      <c s="66">
        <f ca="1"/>
        <v>45271</v>
      </c>
      <c s="93" t="str">
        <f t="shared" si="47"/>
        <v>-</v>
      </c>
      <c s="94">
        <v>3</v>
      </c>
      <c s="95">
        <v>3</v>
      </c>
      <c s="98">
        <f>IF(OR(gen="SELECT",gen="MALE"),7800%,7900%)</f>
        <v>78</v>
      </c>
      <c s="97">
        <f t="array" ref="EE77">IFERROR(IF(DY77="ac"+ISNUMBER(SEARCH("'",ED77))+EC77="","",IF(ISNUMBER(SEARCH("lw",ED77)),DQ77+SUBSTITUTE(ED77,"lw+",""),MROUND(_xlfn.SWITCH(DY77,"sq",EC$7,"bn",ED$7,"dl",EE$7,"")*IF(ED77&gt;10,ED77/100,VLOOKUP(ED77,_rpe,SUBSTITUTE(EC77,"+","")+1,0)),IF(_xlfn.SWITCH(DY77,"sq",EC$7,"bn",ED$7,"dl",EE$7,"")&lt;IF(_uom="lbs",175,80),1.25,IF(_uom="lbs",5,2.5))))),"")</f>
        <v>101.25</v>
      </c>
      <c s="70"/>
      <c s="63"/>
      <c s="97"/>
      <c s="44" t="str">
        <f>IFERROR(__xludf.DUMMYFUNCTION("IF(EE77=MAX(FILTER(EE$10:EE$199,LOOKUP(ROW(DY$10:DY$199),FILTER(ROW(DY$10:DY$199),DY$10:DY$199&lt;&gt;DY$9:DY$198))=LOOKUP(ROW(DY77),FILTER(ROW(DY$10:DY$199),DY$10:DY$199&lt;&gt;DY$9:DY$198)))),EF77,)"),"")</f>
        <v/>
      </c>
      <c s="42"/>
      <c s="63"/>
      <c s="64" t="str">
        <f t="shared" si="34"/>
        <v/>
      </c>
      <c s="65" t="str">
        <f>IFERROR(__xludf.DUMMYFUNCTION("""COMPUTED_VALUE"""),"dl")</f>
        <v>dl</v>
      </c>
      <c s="66">
        <f ca="1"/>
        <v>45278</v>
      </c>
      <c s="93" t="str">
        <f t="shared" si="48"/>
        <v>-</v>
      </c>
      <c s="94">
        <v>4</v>
      </c>
      <c s="95">
        <f t="shared" si="382"/>
        <v>3</v>
      </c>
      <c s="98">
        <f>IF(OR(gen="SELECT",gen="MALE"),8200%,8300%)</f>
        <v>82</v>
      </c>
      <c s="97">
        <f t="array" ref="ES77">IFERROR(IF(EM77="ac"+ISNUMBER(SEARCH("'",ER77))+EQ77="","",IF(ISNUMBER(SEARCH("lw",ER77)),EE77+SUBSTITUTE(ER77,"lw+",""),MROUND(_xlfn.SWITCH(EM77,"sq",EQ$7,"bn",ER$7,"dl",ES$7,"")*IF(ER77&gt;10,ER77/100,VLOOKUP(ER77,_rpe,SUBSTITUTE(EQ77,"+","")+1,0)),IF(_xlfn.SWITCH(EM77,"sq",EQ$7,"bn",ER$7,"dl",ES$7,"")&lt;IF(_uom="lbs",175,80),1.25,IF(_uom="lbs",5,2.5))))),"")</f>
        <v>106.25</v>
      </c>
      <c s="70"/>
      <c s="63"/>
      <c s="97"/>
      <c s="44" t="str">
        <f>IFERROR(__xludf.DUMMYFUNCTION("IF(ES77=MAX(FILTER(ES$10:ES$199,LOOKUP(ROW(EM$10:EM$199),FILTER(ROW(EM$10:EM$199),EM$10:EM$199&lt;&gt;EM$9:EM$198))=LOOKUP(ROW(EM77),FILTER(ROW(EM$10:EM$199),EM$10:EM$199&lt;&gt;EM$9:EM$198)))),ET77,)"),"")</f>
        <v/>
      </c>
      <c s="42"/>
      <c s="63"/>
      <c s="64" t="str">
        <f t="shared" si="36"/>
        <v/>
      </c>
      <c s="65" t="str">
        <f>IFERROR(__xludf.DUMMYFUNCTION("""COMPUTED_VALUE"""),"dl")</f>
        <v>dl</v>
      </c>
      <c s="66">
        <f ca="1"/>
        <v>45285</v>
      </c>
      <c s="93" t="str">
        <f t="shared" si="49"/>
        <v>-</v>
      </c>
      <c s="94">
        <v>5</v>
      </c>
      <c s="95">
        <v>2</v>
      </c>
      <c s="98">
        <f>IF(OR(gen="SELECT",gen="MALE"),8400%,8500%)</f>
        <v>84</v>
      </c>
      <c s="97">
        <f t="array" ref="FG77">IFERROR(IF(FA77="ac"+ISNUMBER(SEARCH("'",FF77))+FE77="","",IF(ISNUMBER(SEARCH("lw",FF77)),ES77+SUBSTITUTE(FF77,"lw+",""),MROUND(_xlfn.SWITCH(FA77,"sq",FE$7,"bn",FF$7,"dl",FG$7,"")*IF(FF77&gt;10,FF77/100,VLOOKUP(FF77,_rpe,SUBSTITUTE(FE77,"+","")+1,0)),IF(_xlfn.SWITCH(FA77,"sq",FE$7,"bn",FF$7,"dl",FG$7,"")&lt;IF(_uom="lbs",175,80),1.25,IF(_uom="lbs",5,2.5))))),"")</f>
        <v>108.75</v>
      </c>
      <c s="70"/>
      <c s="63"/>
      <c s="97"/>
      <c s="44" t="str">
        <f>IFERROR(__xludf.DUMMYFUNCTION("IF(FG77=MAX(FILTER(FG$10:FG$199,LOOKUP(ROW(FA$10:FA$199),FILTER(ROW(FA$10:FA$199),FA$10:FA$199&lt;&gt;FA$9:FA$198))=LOOKUP(ROW(FA77),FILTER(ROW(FA$10:FA$199),FA$10:FA$199&lt;&gt;FA$9:FA$198)))),FH77,)"),"")</f>
        <v/>
      </c>
      <c s="42"/>
      <c s="63"/>
      <c s="64" t="str">
        <f t="shared" si="38"/>
        <v/>
      </c>
      <c s="65" t="str">
        <f>IFERROR(__xludf.DUMMYFUNCTION("""COMPUTED_VALUE"""),"bn")</f>
        <v>bn</v>
      </c>
      <c s="66">
        <f ca="1"/>
        <v>45292</v>
      </c>
      <c s="93" t="s">
        <v>133</v>
      </c>
      <c s="94"/>
      <c s="95"/>
      <c s="98"/>
      <c s="97" t="str">
        <f t="array" ref="FU77">IFERROR(IF(FO77="ac"+ISNUMBER(SEARCH("'",FT77))+FS77="","",IF(ISNUMBER(SEARCH("lw",FT77)),FG77+SUBSTITUTE(FT77,"lw+",""),MROUND(_xlfn.SWITCH(FO77,"sq",FS$7,"bn",FT$7,"dl",FU$7,"")*IF(FT77&gt;10,FT77/100,VLOOKUP(FT77,_rpe,SUBSTITUTE(FS77,"+","")+1,0)),IF(_xlfn.SWITCH(FO77,"sq",FS$7,"bn",FT$7,"dl",FU$7,"")&lt;IF(_uom="lbs",175,80),1.25,IF(_uom="lbs",5,2.5))))),"")</f>
        <v/>
      </c>
      <c s="70"/>
      <c s="63"/>
      <c s="97"/>
      <c s="44" t="str">
        <f>IFERROR(__xludf.DUMMYFUNCTION("IF(FU77=MAX(FILTER(FU$10:FU$199,LOOKUP(ROW(FO$10:FO$199),FILTER(ROW(FO$10:FO$199),FO$10:FO$199&lt;&gt;FO$9:FO$198))=LOOKUP(ROW(FO77),FILTER(ROW(FO$10:FO$199),FO$10:FO$199&lt;&gt;FO$9:FO$198)))),FV77,)"),"")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78" spans="1:259" ht="15.75" outlineLevel="1">
      <c r="A78" s="63"/>
      <c s="64" t="s">
        <v>196</v>
      </c>
      <c s="65" t="str">
        <f>IFERROR(__xludf.DUMMYFUNCTION("""COMPUTED_VALUE"""),"bn")</f>
        <v>bn</v>
      </c>
      <c s="66">
        <f ca="1"/>
        <v>45208</v>
      </c>
      <c s="93" t="s">
        <v>197</v>
      </c>
      <c s="94">
        <v>3</v>
      </c>
      <c s="95">
        <v>4</v>
      </c>
      <c s="96" t="str">
        <f>IF(OR(gen="SELECT",gen="MALE"),"67% or @6","69% or @6")</f>
        <v>67% or @6</v>
      </c>
      <c s="97" t="str">
        <f t="array" ref="I78">IFERROR(IF(C78="ac"+ISNUMBER(SEARCH("'",H78))+G78="","",MROUND(_xlfn.SWITCH(C78,"sq",'Personal Info'!$O$15,"bn",'Personal Info'!$S$15,"dl",'Personal Info'!$W$15,"")*IF(H78&gt;10,H78/100,VLOOKUP(H78,_rpe,SUBSTITUTE(G78,"+","")+1,0)),IF(_xlfn.SWITCH(C78:C210,"sq",'Personal Info'!$O$15,"bn",'Personal Info'!$S$15,"dl",'Personal Info'!$W$15,"")&lt;IF(_uom="lbs",175,80),1.25,IF(_uom="lbs",5,2.5)))),"")</f>
        <v/>
      </c>
      <c s="70"/>
      <c s="63"/>
      <c s="97"/>
      <c s="44" t="str">
        <f>IFERROR(__xludf.DUMMYFUNCTION("IF(I78=MAX(FILTER(I$10:I$199,LOOKUP(ROW(C$10:C$199),FILTER(ROW(C$10:C$199),C$10:C$199&lt;&gt;C$9:C$198))=LOOKUP(ROW(C78),FILTER(ROW(C$10:C$199),C$10:C$199&lt;&gt;C$9:C$198)))),J78,)"),"")</f>
        <v/>
      </c>
      <c s="42"/>
      <c s="63"/>
      <c s="64" t="str">
        <f t="shared" si="11"/>
        <v>BN 3: nonspecific/practice</v>
      </c>
      <c s="65" t="str">
        <f>IFERROR(__xludf.DUMMYFUNCTION("""COMPUTED_VALUE"""),"bn")</f>
        <v>bn</v>
      </c>
      <c s="66">
        <f ca="1"/>
        <v>45215</v>
      </c>
      <c s="93" t="str">
        <f t="shared" si="12"/>
        <v>3 ct. Paused Bench Press</v>
      </c>
      <c s="94">
        <v>4</v>
      </c>
      <c s="95" t="s">
        <v>198</v>
      </c>
      <c s="98" t="str">
        <f>IF(OR(gen="SELECT",gen="MALE"),"70% or @6.5","72% or @6.5")</f>
        <v>70% or @6.5</v>
      </c>
      <c s="97" t="str">
        <f t="array" ref="W78">IFERROR(IF(Q78="ac"+ISNUMBER(SEARCH("'",V78))+U78="","",IF(ISNUMBER(SEARCH("lw",V78)),I78+SUBSTITUTE(V78,"lw+",""),MROUND(_xlfn.SWITCH(Q78,"sq",U$7,"bn",V$7,"dl",W$7,"")*IF(V78&gt;10,V78/100,VLOOKUP(V78,_rpe,SUBSTITUTE(U78,"+","")+1,0)),IF(_xlfn.SWITCH(Q78,"sq",U$7,"bn",V$7,"dl",W$7,"")&lt;IF(_uom="lbs",175,80),1.25,IF(_uom="lbs",5,2.5))))),"")</f>
        <v/>
      </c>
      <c s="70"/>
      <c s="63"/>
      <c s="97"/>
      <c s="44" t="str">
        <f>IFERROR(__xludf.DUMMYFUNCTION("IF(W78=MAX(FILTER(W$10:W$199,LOOKUP(ROW(Q$10:Q$199),FILTER(ROW(Q$10:Q$199),Q$10:Q$199&lt;&gt;Q$9:Q$198))=LOOKUP(ROW(Q78),FILTER(ROW(Q$10:Q$199),Q$10:Q$199&lt;&gt;Q$9:Q$198)))),X78,)"),"")</f>
        <v/>
      </c>
      <c s="42"/>
      <c s="63"/>
      <c s="64" t="str">
        <f t="shared" si="14"/>
        <v>BN 3: nonspecific/practice</v>
      </c>
      <c s="65" t="str">
        <f>IFERROR(__xludf.DUMMYFUNCTION("""COMPUTED_VALUE"""),"bn")</f>
        <v>bn</v>
      </c>
      <c s="66">
        <f ca="1"/>
        <v>45222</v>
      </c>
      <c s="93" t="str">
        <f t="shared" si="156"/>
        <v>3 ct. Paused Bench Press</v>
      </c>
      <c s="94">
        <v>4</v>
      </c>
      <c s="95">
        <v>4</v>
      </c>
      <c s="98" t="str">
        <f>IF(OR(gen="SELECT",gen="MALE"),"72% or @7","74% or @7")</f>
        <v>72% or @7</v>
      </c>
      <c s="97" t="str">
        <f t="array" ref="AK78">IFERROR(IF(AE78="ac"+ISNUMBER(SEARCH("'",AJ78))+AI78="","",IF(ISNUMBER(SEARCH("lw",AJ78)),W78+SUBSTITUTE(AJ78,"lw+",""),MROUND(_xlfn.SWITCH(AE78,"sq",AI$7,"bn",AJ$7,"dl",AK$7,"")*IF(AJ78&gt;10,AJ78/100,VLOOKUP(AJ78,_rpe,SUBSTITUTE(AI78,"+","")+1,0)),IF(_xlfn.SWITCH(AE78,"sq",AI$7,"bn",AJ$7,"dl",AK$7,"")&lt;IF(_uom="lbs",175,80),1.25,IF(_uom="lbs",5,2.5))))),"")</f>
        <v/>
      </c>
      <c s="70"/>
      <c s="63"/>
      <c s="97"/>
      <c s="44" t="str">
        <f>IFERROR(__xludf.DUMMYFUNCTION("IF(AK78=MAX(FILTER(AK$10:AK$199,LOOKUP(ROW(AE$10:AE$199),FILTER(ROW(AE$10:AE$199),AE$10:AE$199&lt;&gt;AE$9:AE$198))=LOOKUP(ROW(AE78),FILTER(ROW(AE$10:AE$199),AE$10:AE$199&lt;&gt;AE$9:AE$198)))),AL78,)"),"")</f>
        <v/>
      </c>
      <c s="42"/>
      <c s="63"/>
      <c s="64" t="str">
        <f t="shared" si="17"/>
        <v>BN 3: nonspecific/practice</v>
      </c>
      <c s="65" t="str">
        <f>IFERROR(__xludf.DUMMYFUNCTION("""COMPUTED_VALUE"""),"bn")</f>
        <v>bn</v>
      </c>
      <c s="66">
        <f ca="1"/>
        <v>45229</v>
      </c>
      <c s="93" t="str">
        <f t="shared" si="157"/>
        <v>3 ct. Paused Bench Press</v>
      </c>
      <c s="94">
        <v>4</v>
      </c>
      <c s="95" t="s">
        <v>198</v>
      </c>
      <c s="98" t="str">
        <f>IF(OR(gen="SELECT",gen="MALE"),"74% or @7.5","76% or @7.5")</f>
        <v>74% or @7.5</v>
      </c>
      <c s="97" t="str">
        <f t="array" ref="AY78">IFERROR(IF(AS78="ac"+ISNUMBER(SEARCH("'",AX78))+AW78="","",IF(ISNUMBER(SEARCH("lw",AX78)),AK78+SUBSTITUTE(AX78,"lw+",""),MROUND(_xlfn.SWITCH(AS78,"sq",AW$7,"bn",AX$7,"dl",AY$7,"")*IF(AX78&gt;10,AX78/100,VLOOKUP(AX78,_rpe,SUBSTITUTE(AW78,"+","")+1,0)),IF(_xlfn.SWITCH(AS78,"sq",AW$7,"bn",AX$7,"dl",AY$7,"")&lt;IF(_uom="lbs",175,80),1.25,IF(_uom="lbs",5,2.5))))),"")</f>
        <v/>
      </c>
      <c s="70"/>
      <c s="63"/>
      <c s="97"/>
      <c s="44" t="str">
        <f>IFERROR(__xludf.DUMMYFUNCTION("IF(AY78=MAX(FILTER(AY$10:AY$199,LOOKUP(ROW(AS$10:AS$199),FILTER(ROW(AS$10:AS$199),AS$10:AS$199&lt;&gt;AS$9:AS$198))=LOOKUP(ROW(AS78),FILTER(ROW(AS$10:AS$199),AS$10:AS$199&lt;&gt;AS$9:AS$198)))),AZ78,)"),"")</f>
        <v/>
      </c>
      <c s="42"/>
      <c s="63"/>
      <c s="64" t="str">
        <f t="shared" si="19"/>
        <v>BN 3: nonspecific/practice</v>
      </c>
      <c s="65" t="str">
        <f>IFERROR(__xludf.DUMMYFUNCTION("""COMPUTED_VALUE"""),"bn")</f>
        <v>bn</v>
      </c>
      <c s="66">
        <f ca="1"/>
        <v>45236</v>
      </c>
      <c s="93" t="str">
        <f t="shared" si="20"/>
        <v>3 ct. Paused Bench Press</v>
      </c>
      <c s="94">
        <f>IF(OR(gen="SELECT",gen="MALE"),4,5)</f>
        <v>4</v>
      </c>
      <c s="95">
        <v>3</v>
      </c>
      <c s="98" t="str">
        <f>IF(OR(gen="SELECT",gen="MALE"),"70% or @6","72% or @6")</f>
        <v>70% or @6</v>
      </c>
      <c s="97" t="str">
        <f t="array" ref="BM78">IFERROR(IF(BG78="ac"+ISNUMBER(SEARCH("'",BL78))+BK78="","",IF(ISNUMBER(SEARCH("lw",BL78)),AY78+SUBSTITUTE(BL78,"lw+",""),MROUND(_xlfn.SWITCH(BG78,"sq",BK$7,"bn",BL$7,"dl",BM$7,"")*IF(BL78&gt;10,BL78/100,VLOOKUP(BL78,_rpe,SUBSTITUTE(BK78,"+","")+1,0)),IF(_xlfn.SWITCH(BG78,"sq",BK$7,"bn",BL$7,"dl",BM$7,"")&lt;IF(_uom="lbs",175,80),1.25,IF(_uom="lbs",5,2.5))))),"")</f>
        <v/>
      </c>
      <c s="70"/>
      <c s="63"/>
      <c s="97"/>
      <c s="44" t="str">
        <f>IFERROR(__xludf.DUMMYFUNCTION("IF(BM78=MAX(FILTER(BM$10:BM$199,LOOKUP(ROW(BG$10:BG$199),FILTER(ROW(BG$10:BG$199),BG$10:BG$199&lt;&gt;BG$9:BG$198))=LOOKUP(ROW(BG78),FILTER(ROW(BG$10:BG$199),BG$10:BG$199&lt;&gt;BG$9:BG$198)))),BN78,)"),"")</f>
        <v/>
      </c>
      <c s="42"/>
      <c s="63"/>
      <c s="64" t="str">
        <f t="shared" si="21"/>
        <v>BN 3: nonspecific/practice</v>
      </c>
      <c s="65" t="str">
        <f>IFERROR(__xludf.DUMMYFUNCTION("""COMPUTED_VALUE"""),"bn")</f>
        <v>bn</v>
      </c>
      <c s="66">
        <f ca="1"/>
        <v>45243</v>
      </c>
      <c s="93" t="str">
        <f t="shared" si="22"/>
        <v>3 ct. Paused Bench Press</v>
      </c>
      <c s="94">
        <f>IF(OR(gen="SELECT",gen="MALE"),5,6)</f>
        <v>5</v>
      </c>
      <c s="95" t="s">
        <v>199</v>
      </c>
      <c s="98" t="str">
        <f>IF(OR(gen="SELECT",gen="MALE"),"73% or @6.5","75% or @6.5")</f>
        <v>73% or @6.5</v>
      </c>
      <c s="97" t="str">
        <f t="array" ref="CA78">IFERROR(IF(BU78="ac"+ISNUMBER(SEARCH("'",BZ78))+BY78="","",IF(ISNUMBER(SEARCH("lw",BZ78)),BM78+SUBSTITUTE(BZ78,"lw+",""),MROUND(_xlfn.SWITCH(BU78,"sq",BY$7,"bn",BZ$7,"dl",CA$7,"")*IF(BZ78&gt;10,BZ78/100,VLOOKUP(BZ78,_rpe,SUBSTITUTE(BY78,"+","")+1,0)),IF(_xlfn.SWITCH(BU78,"sq",BY$7,"bn",BZ$7,"dl",CA$7,"")&lt;IF(_uom="lbs",175,80),1.25,IF(_uom="lbs",5,2.5))))),"")</f>
        <v/>
      </c>
      <c s="70"/>
      <c s="63"/>
      <c s="97"/>
      <c s="44" t="str">
        <f>IFERROR(__xludf.DUMMYFUNCTION("IF(CA78=MAX(FILTER(CA$10:CA$199,LOOKUP(ROW(BU$10:BU$199),FILTER(ROW(BU$10:BU$199),BU$10:BU$199&lt;&gt;BU$9:BU$198))=LOOKUP(ROW(BU78),FILTER(ROW(BU$10:BU$199),BU$10:BU$199&lt;&gt;BU$9:BU$198)))),CB78,)"),"")</f>
        <v/>
      </c>
      <c s="42"/>
      <c s="63"/>
      <c s="64" t="str">
        <f t="shared" si="24"/>
        <v>BN 3: nonspecific/practice</v>
      </c>
      <c s="65" t="str">
        <f>IFERROR(__xludf.DUMMYFUNCTION("""COMPUTED_VALUE"""),"bn")</f>
        <v>bn</v>
      </c>
      <c s="66">
        <f ca="1"/>
        <v>45250</v>
      </c>
      <c s="93" t="str">
        <f t="shared" si="44"/>
        <v>3 ct. Paused Bench Press</v>
      </c>
      <c s="94">
        <f t="shared" si="392" ref="CL78:CL199">IF(ISBLANK(BX78),"",BX78)</f>
        <v>5</v>
      </c>
      <c s="95">
        <v>3</v>
      </c>
      <c s="98" t="str">
        <f>IF(OR(gen="SELECT",gen="MALE"),"75% or @7","77% or @7")</f>
        <v>75% or @7</v>
      </c>
      <c s="97" t="str">
        <f t="array" ref="CO78">IFERROR(IF(CI78="ac"+ISNUMBER(SEARCH("'",CN78))+CM78="","",IF(ISNUMBER(SEARCH("lw",CN78)),CA78+SUBSTITUTE(CN78,"lw+",""),MROUND(_xlfn.SWITCH(CI78,"sq",CM$7,"bn",CN$7,"dl",CO$7,"")*IF(CN78&gt;10,CN78/100,VLOOKUP(CN78,_rpe,SUBSTITUTE(CM78,"+","")+1,0)),IF(_xlfn.SWITCH(CI78,"sq",CM$7,"bn",CN$7,"dl",CO$7,"")&lt;IF(_uom="lbs",175,80),1.25,IF(_uom="lbs",5,2.5))))),"")</f>
        <v/>
      </c>
      <c s="70"/>
      <c s="63"/>
      <c s="97"/>
      <c s="44" t="str">
        <f>IFERROR(__xludf.DUMMYFUNCTION("IF(CO78=MAX(FILTER(CO$10:CO$199,LOOKUP(ROW(CI$10:CI$199),FILTER(ROW(CI$10:CI$199),CI$10:CI$199&lt;&gt;CI$9:CI$198))=LOOKUP(ROW(CI78),FILTER(ROW(CI$10:CI$199),CI$10:CI$199&lt;&gt;CI$9:CI$198)))),CP78,)"),"")</f>
        <v/>
      </c>
      <c s="42"/>
      <c s="63"/>
      <c s="64" t="str">
        <f t="shared" si="27"/>
        <v>BN 3: nonspecific/practice</v>
      </c>
      <c s="65" t="str">
        <f>IFERROR(__xludf.DUMMYFUNCTION("""COMPUTED_VALUE"""),"bn")</f>
        <v>bn</v>
      </c>
      <c s="66">
        <f ca="1"/>
        <v>45257</v>
      </c>
      <c s="93" t="str">
        <f t="shared" si="45"/>
        <v>3 ct. Paused Bench Press</v>
      </c>
      <c s="94">
        <f t="shared" si="393" ref="CZ78:CZ199">IF(ISBLANK(CL78),"",CL78)</f>
        <v>5</v>
      </c>
      <c s="95" t="s">
        <v>199</v>
      </c>
      <c s="98" t="str">
        <f>IF(OR(gen="SELECT",gen="MALE"),"77% or @7.5","79% or @7.5")</f>
        <v>77% or @7.5</v>
      </c>
      <c s="97" t="str">
        <f t="array" ref="DC78">IFERROR(IF(CW78="ac"+ISNUMBER(SEARCH("'",DB78))+DA78="","",IF(ISNUMBER(SEARCH("lw",DB78)),CO78+SUBSTITUTE(DB78,"lw+",""),MROUND(_xlfn.SWITCH(CW78,"sq",DA$7,"bn",DB$7,"dl",DC$7,"")*IF(DB78&gt;10,DB78/100,VLOOKUP(DB78,_rpe,SUBSTITUTE(DA78,"+","")+1,0)),IF(_xlfn.SWITCH(CW78,"sq",DA$7,"bn",DB$7,"dl",DC$7,"")&lt;IF(_uom="lbs",175,80),1.25,IF(_uom="lbs",5,2.5))))),"")</f>
        <v/>
      </c>
      <c s="70"/>
      <c s="63"/>
      <c s="97"/>
      <c s="44" t="str">
        <f>IFERROR(__xludf.DUMMYFUNCTION("IF(DC78=MAX(FILTER(DC$10:DC$199,LOOKUP(ROW(CW$10:CW$199),FILTER(ROW(CW$10:CW$199),CW$10:CW$199&lt;&gt;CW$9:CW$198))=LOOKUP(ROW(CW78),FILTER(ROW(CW$10:CW$199),CW$10:CW$199&lt;&gt;CW$9:CW$198)))),DD78,)"),"")</f>
        <v/>
      </c>
      <c s="42"/>
      <c s="63"/>
      <c s="64" t="str">
        <f t="shared" si="30"/>
        <v>BN 3: nonspecific/practice</v>
      </c>
      <c s="65" t="str">
        <f>IFERROR(__xludf.DUMMYFUNCTION("""COMPUTED_VALUE"""),"bn")</f>
        <v>bn</v>
      </c>
      <c s="66">
        <f ca="1"/>
        <v>45264</v>
      </c>
      <c s="93" t="str">
        <f t="shared" si="46"/>
        <v>3 ct. Paused Bench Press</v>
      </c>
      <c s="94">
        <f t="shared" si="394" ref="DN78:DN199">IF(ISBLANK(CZ78),"",CZ78)</f>
        <v>5</v>
      </c>
      <c s="95">
        <v>1</v>
      </c>
      <c s="109" t="str">
        <f>IF(OR(gen="SELECT",gen="MALE"),"77% or @7.5","78% or @7.5")</f>
        <v>77% or @7.5</v>
      </c>
      <c s="97" t="str">
        <f t="array" ref="DQ78">IFERROR(IF(DK78="ac"+ISNUMBER(SEARCH("'",DP78))+DO78="","",IF(ISNUMBER(SEARCH("lw",DP78)),DC78+SUBSTITUTE(DP78,"lw+",""),MROUND(_xlfn.SWITCH(DK78,"sq",DO$7,"bn",DP$7,"dl",DQ$7,"")*IF(DP78&gt;10,DP78/100,VLOOKUP(DP78,_rpe,SUBSTITUTE(DO78,"+","")+1,0)),IF(_xlfn.SWITCH(DK78,"sq",DO$7,"bn",DP$7,"dl",DQ$7,"")&lt;IF(_uom="lbs",175,80),1.25,IF(_uom="lbs",5,2.5))))),"")</f>
        <v/>
      </c>
      <c s="70"/>
      <c s="63"/>
      <c s="97"/>
      <c s="44" t="str">
        <f>IFERROR(__xludf.DUMMYFUNCTION("IF(DQ78=MAX(FILTER(DQ$10:DQ$199,LOOKUP(ROW(DK$10:DK$199),FILTER(ROW(DK$10:DK$199),DK$10:DK$199&lt;&gt;DK$9:DK$198))=LOOKUP(ROW(DK78),FILTER(ROW(DK$10:DK$199),DK$10:DK$199&lt;&gt;DK$9:DK$198)))),DR78,)"),"")</f>
        <v/>
      </c>
      <c s="42"/>
      <c s="63"/>
      <c s="64" t="str">
        <f t="shared" si="32"/>
        <v>BN 3: nonspecific/practice</v>
      </c>
      <c s="65" t="str">
        <f>IFERROR(__xludf.DUMMYFUNCTION("""COMPUTED_VALUE"""),"bn")</f>
        <v>bn</v>
      </c>
      <c s="66">
        <f ca="1"/>
        <v>45271</v>
      </c>
      <c s="93" t="str">
        <f t="shared" si="47"/>
        <v>3 ct. Paused Bench Press</v>
      </c>
      <c s="94">
        <v>6</v>
      </c>
      <c s="95">
        <v>2</v>
      </c>
      <c s="98" t="str">
        <f>IF(OR(gen="SELECT",gen="MALE"),"75% or @6","76% or @6")</f>
        <v>75% or @6</v>
      </c>
      <c s="97" t="str">
        <f t="array" ref="EE78">IFERROR(IF(DY78="ac"+ISNUMBER(SEARCH("'",ED78))+EC78="","",IF(ISNUMBER(SEARCH("lw",ED78)),DQ78+SUBSTITUTE(ED78,"lw+",""),MROUND(_xlfn.SWITCH(DY78,"sq",EC$7,"bn",ED$7,"dl",EE$7,"")*IF(ED78&gt;10,ED78/100,VLOOKUP(ED78,_rpe,SUBSTITUTE(EC78,"+","")+1,0)),IF(_xlfn.SWITCH(DY78,"sq",EC$7,"bn",ED$7,"dl",EE$7,"")&lt;IF(_uom="lbs",175,80),1.25,IF(_uom="lbs",5,2.5))))),"")</f>
        <v/>
      </c>
      <c s="70"/>
      <c s="63"/>
      <c s="97"/>
      <c s="44" t="str">
        <f>IFERROR(__xludf.DUMMYFUNCTION("IF(EE78=MAX(FILTER(EE$10:EE$199,LOOKUP(ROW(DY$10:DY$199),FILTER(ROW(DY$10:DY$199),DY$10:DY$199&lt;&gt;DY$9:DY$198))=LOOKUP(ROW(DY78),FILTER(ROW(DY$10:DY$199),DY$10:DY$199&lt;&gt;DY$9:DY$198)))),EF78,)"),"")</f>
        <v/>
      </c>
      <c s="42"/>
      <c s="63"/>
      <c s="64" t="str">
        <f t="shared" si="34"/>
        <v>BN 3: nonspecific/practice</v>
      </c>
      <c s="65" t="str">
        <f>IFERROR(__xludf.DUMMYFUNCTION("""COMPUTED_VALUE"""),"bn")</f>
        <v>bn</v>
      </c>
      <c s="66">
        <f ca="1"/>
        <v>45278</v>
      </c>
      <c s="93" t="str">
        <f t="shared" si="48"/>
        <v>3 ct. Paused Bench Press</v>
      </c>
      <c s="94">
        <f t="shared" si="395" ref="EP78:EP199">IF(ISBLANK(EB78),"",EB78)</f>
        <v>6</v>
      </c>
      <c s="95" t="s">
        <v>200</v>
      </c>
      <c s="98" t="str">
        <f>IF(OR(gen="SELECT",gen="MALE"),"77% or @7","79% or @7")</f>
        <v>77% or @7</v>
      </c>
      <c s="97" t="str">
        <f t="array" ref="ES78">IFERROR(IF(EM78="ac"+ISNUMBER(SEARCH("'",ER78))+EQ78="","",IF(ISNUMBER(SEARCH("lw",ER78)),EE78+SUBSTITUTE(ER78,"lw+",""),MROUND(_xlfn.SWITCH(EM78,"sq",EQ$7,"bn",ER$7,"dl",ES$7,"")*IF(ER78&gt;10,ER78/100,VLOOKUP(ER78,_rpe,SUBSTITUTE(EQ78,"+","")+1,0)),IF(_xlfn.SWITCH(EM78,"sq",EQ$7,"bn",ER$7,"dl",ES$7,"")&lt;IF(_uom="lbs",175,80),1.25,IF(_uom="lbs",5,2.5))))),"")</f>
        <v/>
      </c>
      <c s="70"/>
      <c s="63"/>
      <c s="97"/>
      <c s="44" t="str">
        <f>IFERROR(__xludf.DUMMYFUNCTION("IF(ES78=MAX(FILTER(ES$10:ES$199,LOOKUP(ROW(EM$10:EM$199),FILTER(ROW(EM$10:EM$199),EM$10:EM$199&lt;&gt;EM$9:EM$198))=LOOKUP(ROW(EM78),FILTER(ROW(EM$10:EM$199),EM$10:EM$199&lt;&gt;EM$9:EM$198)))),ET78,)"),"")</f>
        <v/>
      </c>
      <c s="42"/>
      <c s="63"/>
      <c s="64" t="str">
        <f t="shared" si="36"/>
        <v>BN 3: nonspecific/practice</v>
      </c>
      <c s="65" t="str">
        <f>IFERROR(__xludf.DUMMYFUNCTION("""COMPUTED_VALUE"""),"bn")</f>
        <v>bn</v>
      </c>
      <c s="66">
        <f ca="1"/>
        <v>45285</v>
      </c>
      <c s="93" t="str">
        <f t="shared" si="49"/>
        <v>3 ct. Paused Bench Press</v>
      </c>
      <c s="94">
        <f t="shared" si="396" ref="FD78:FD199">IF(ISBLANK(EP78),"",EP78)</f>
        <v>6</v>
      </c>
      <c s="95">
        <v>2</v>
      </c>
      <c s="97" t="str">
        <f>IF(OR(gen="SELECT",gen="MALE"),"79% or @7.5","81% or @7.5")</f>
        <v>79% or @7.5</v>
      </c>
      <c s="97" t="str">
        <f t="array" ref="FG78">IFERROR(IF(FA78="ac"+ISNUMBER(SEARCH("'",FF78))+FE78="","",IF(ISNUMBER(SEARCH("lw",FF78)),ES78+SUBSTITUTE(FF78,"lw+",""),MROUND(_xlfn.SWITCH(FA78,"sq",FE$7,"bn",FF$7,"dl",FG$7,"")*IF(FF78&gt;10,FF78/100,VLOOKUP(FF78,_rpe,SUBSTITUTE(FE78,"+","")+1,0)),IF(_xlfn.SWITCH(FA78,"sq",FE$7,"bn",FF$7,"dl",FG$7,"")&lt;IF(_uom="lbs",175,80),1.25,IF(_uom="lbs",5,2.5))))),"")</f>
        <v/>
      </c>
      <c s="70"/>
      <c s="63"/>
      <c s="97"/>
      <c s="44" t="str">
        <f>IFERROR(__xludf.DUMMYFUNCTION("IF(FG78=MAX(FILTER(FG$10:FG$199,LOOKUP(ROW(FA$10:FA$199),FILTER(ROW(FA$10:FA$199),FA$10:FA$199&lt;&gt;FA$9:FA$198))=LOOKUP(ROW(FA78),FILTER(ROW(FA$10:FA$199),FA$10:FA$199&lt;&gt;FA$9:FA$198)))),FH78,)"),"")</f>
        <v/>
      </c>
      <c s="42"/>
      <c s="63"/>
      <c s="64" t="str">
        <f t="shared" si="38"/>
        <v>BN 3: nonspecific/practice</v>
      </c>
      <c s="65" t="str">
        <f>IFERROR(__xludf.DUMMYFUNCTION("""COMPUTED_VALUE"""),"dl")</f>
        <v>dl</v>
      </c>
      <c s="66">
        <f ca="1"/>
        <v>45292</v>
      </c>
      <c s="93" t="s">
        <v>161</v>
      </c>
      <c s="94"/>
      <c s="95"/>
      <c s="98"/>
      <c s="97" t="str">
        <f t="array" ref="FU78">IFERROR(IF(FO78="ac"+ISNUMBER(SEARCH("'",FT78))+FS78="","",IF(ISNUMBER(SEARCH("lw",FT78)),FG78+SUBSTITUTE(FT78,"lw+",""),MROUND(_xlfn.SWITCH(FO78,"sq",FS$7,"bn",FT$7,"dl",FU$7,"")*IF(FT78&gt;10,FT78/100,VLOOKUP(FT78,_rpe,SUBSTITUTE(FS78,"+","")+1,0)),IF(_xlfn.SWITCH(FO78,"sq",FS$7,"bn",FT$7,"dl",FU$7,"")&lt;IF(_uom="lbs",175,80),1.25,IF(_uom="lbs",5,2.5))))),"")</f>
        <v/>
      </c>
      <c s="70"/>
      <c s="63"/>
      <c s="97"/>
      <c s="44" t="str">
        <f>IFERROR(__xludf.DUMMYFUNCTION("IF(FU78=MAX(FILTER(FU$10:FU$199,LOOKUP(ROW(FO$10:FO$199),FILTER(ROW(FO$10:FO$199),FO$10:FO$199&lt;&gt;FO$9:FO$198))=LOOKUP(ROW(FO78),FILTER(ROW(FO$10:FO$199),FO$10:FO$199&lt;&gt;FO$9:FO$198)))),FV78,)"),"")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79" spans="1:259" ht="15.75" outlineLevel="1">
      <c r="A79" s="63"/>
      <c s="64" t="s">
        <v>201</v>
      </c>
      <c s="65" t="str">
        <f>IFERROR(__xludf.DUMMYFUNCTION("""COMPUTED_VALUE"""),"ac")</f>
        <v>ac</v>
      </c>
      <c s="66">
        <f ca="1"/>
        <v>45208</v>
      </c>
      <c s="93" t="s">
        <v>202</v>
      </c>
      <c s="94">
        <v>3</v>
      </c>
      <c s="95">
        <v>10</v>
      </c>
      <c s="106" t="s">
        <v>143</v>
      </c>
      <c s="97" t="str">
        <f t="array" ref="I79">IFERROR(IF(C79="ac"+ISNUMBER(SEARCH("'",H79))+G79="","",MROUND(_xlfn.SWITCH(C79,"sq",'Personal Info'!$O$15,"bn",'Personal Info'!$S$15,"dl",'Personal Info'!$W$15,"")*IF(H79&gt;10,H79/100,VLOOKUP(H79,_rpe,SUBSTITUTE(G79,"+","")+1,0)),IF(_xlfn.SWITCH(C79:C210,"sq",'Personal Info'!$O$15,"bn",'Personal Info'!$S$15,"dl",'Personal Info'!$W$15,"")&lt;IF(_uom="lbs",175,80),1.25,IF(_uom="lbs",5,2.5)))),"")</f>
        <v/>
      </c>
      <c s="70"/>
      <c s="63"/>
      <c s="97"/>
      <c s="44" t="str">
        <f>IFERROR(__xludf.DUMMYFUNCTION("IF(I79=MAX(FILTER(I$10:I$199,LOOKUP(ROW(C$10:C$199),FILTER(ROW(C$10:C$199),C$10:C$199&lt;&gt;C$9:C$198))=LOOKUP(ROW(C79),FILTER(ROW(C$10:C$199),C$10:C$199&lt;&gt;C$9:C$198)))),J79,)"),"")</f>
        <v/>
      </c>
      <c s="42"/>
      <c s="63"/>
      <c s="64" t="str">
        <f t="shared" si="11"/>
        <v>quads - compound</v>
      </c>
      <c s="65" t="str">
        <f>IFERROR(__xludf.DUMMYFUNCTION("""COMPUTED_VALUE"""),"ac")</f>
        <v>ac</v>
      </c>
      <c s="66">
        <f ca="1"/>
        <v>45215</v>
      </c>
      <c s="93" t="str">
        <f t="shared" si="12"/>
        <v>Hack Squat</v>
      </c>
      <c s="94">
        <f>IF(OR(gen="SELECT",gen="MALE"),3,4)</f>
        <v>3</v>
      </c>
      <c s="95">
        <f>IF(OR(ISBLANK(G79),G79=""),"",G79)</f>
        <v>10</v>
      </c>
      <c s="106" t="s">
        <v>203</v>
      </c>
      <c s="97" t="str">
        <f t="array" ref="W79">IFERROR(IF(Q79="ac"+ISNUMBER(SEARCH("'",V79))+U79="","",IF(ISNUMBER(SEARCH("lw",V79)),I79+SUBSTITUTE(V79,"lw+",""),MROUND(_xlfn.SWITCH(Q79,"sq",U$7,"bn",V$7,"dl",W$7,"")*IF(V79&gt;10,V79/100,VLOOKUP(V79,_rpe,SUBSTITUTE(U79,"+","")+1,0)),IF(_xlfn.SWITCH(Q79,"sq",U$7,"bn",V$7,"dl",W$7,"")&lt;IF(_uom="lbs",175,80),1.25,IF(_uom="lbs",5,2.5))))),"")</f>
        <v/>
      </c>
      <c s="70"/>
      <c s="63"/>
      <c s="97"/>
      <c s="44" t="str">
        <f>IFERROR(__xludf.DUMMYFUNCTION("IF(W79=MAX(FILTER(W$10:W$199,LOOKUP(ROW(Q$10:Q$199),FILTER(ROW(Q$10:Q$199),Q$10:Q$199&lt;&gt;Q$9:Q$198))=LOOKUP(ROW(Q79),FILTER(ROW(Q$10:Q$199),Q$10:Q$199&lt;&gt;Q$9:Q$198)))),X79,)"),"")</f>
        <v/>
      </c>
      <c s="42"/>
      <c s="63"/>
      <c s="64" t="str">
        <f t="shared" si="14"/>
        <v>quads - compound</v>
      </c>
      <c s="65" t="str">
        <f>IFERROR(__xludf.DUMMYFUNCTION("""COMPUTED_VALUE"""),"ac")</f>
        <v>ac</v>
      </c>
      <c s="66">
        <f ca="1"/>
        <v>45222</v>
      </c>
      <c s="93" t="str">
        <f t="shared" si="156"/>
        <v>Hack Squat</v>
      </c>
      <c s="94">
        <f t="shared" si="397" ref="AH79:AH199">IF(ISBLANK(T79),"",T79)</f>
        <v>3</v>
      </c>
      <c s="95">
        <v>9</v>
      </c>
      <c s="98" t="str">
        <f t="shared" si="398" ref="AJ79:AJ199">IF(ISBLANK(V79),"",V79)</f>
        <v>@6.5-8</v>
      </c>
      <c s="97" t="str">
        <f t="array" ref="AK79">IFERROR(IF(AE79="ac"+ISNUMBER(SEARCH("'",AJ79))+AI79="","",IF(ISNUMBER(SEARCH("lw",AJ79)),W79+SUBSTITUTE(AJ79,"lw+",""),MROUND(_xlfn.SWITCH(AE79,"sq",AI$7,"bn",AJ$7,"dl",AK$7,"")*IF(AJ79&gt;10,AJ79/100,VLOOKUP(AJ79,_rpe,SUBSTITUTE(AI79,"+","")+1,0)),IF(_xlfn.SWITCH(AE79,"sq",AI$7,"bn",AJ$7,"dl",AK$7,"")&lt;IF(_uom="lbs",175,80),1.25,IF(_uom="lbs",5,2.5))))),"")</f>
        <v/>
      </c>
      <c s="70"/>
      <c s="63"/>
      <c s="97"/>
      <c s="44" t="str">
        <f>IFERROR(__xludf.DUMMYFUNCTION("IF(AK79=MAX(FILTER(AK$10:AK$199,LOOKUP(ROW(AE$10:AE$199),FILTER(ROW(AE$10:AE$199),AE$10:AE$199&lt;&gt;AE$9:AE$198))=LOOKUP(ROW(AE79),FILTER(ROW(AE$10:AE$199),AE$10:AE$199&lt;&gt;AE$9:AE$198)))),AL79,)"),"")</f>
        <v/>
      </c>
      <c s="42"/>
      <c s="63"/>
      <c s="64" t="str">
        <f t="shared" si="17"/>
        <v>quads - compound</v>
      </c>
      <c s="65" t="str">
        <f>IFERROR(__xludf.DUMMYFUNCTION("""COMPUTED_VALUE"""),"ac")</f>
        <v>ac</v>
      </c>
      <c s="66">
        <f ca="1"/>
        <v>45229</v>
      </c>
      <c s="93" t="str">
        <f t="shared" si="157"/>
        <v>Hack Squat</v>
      </c>
      <c s="94">
        <f t="shared" si="399" ref="AV79:AV199">IF(ISBLANK(AH79),"",AH79)</f>
        <v>3</v>
      </c>
      <c s="95">
        <v>8</v>
      </c>
      <c s="98" t="str">
        <f t="shared" si="400" ref="AX79:AX199">IF(ISBLANK(AJ79),"",AJ79)</f>
        <v>@6.5-8</v>
      </c>
      <c s="97" t="str">
        <f t="array" ref="AY79">IFERROR(IF(AS79="ac"+ISNUMBER(SEARCH("'",AX79))+AW79="","",IF(ISNUMBER(SEARCH("lw",AX79)),AK79+SUBSTITUTE(AX79,"lw+",""),MROUND(_xlfn.SWITCH(AS79,"sq",AW$7,"bn",AX$7,"dl",AY$7,"")*IF(AX79&gt;10,AX79/100,VLOOKUP(AX79,_rpe,SUBSTITUTE(AW79,"+","")+1,0)),IF(_xlfn.SWITCH(AS79,"sq",AW$7,"bn",AX$7,"dl",AY$7,"")&lt;IF(_uom="lbs",175,80),1.25,IF(_uom="lbs",5,2.5))))),"")</f>
        <v/>
      </c>
      <c s="70"/>
      <c s="63"/>
      <c s="97"/>
      <c s="44" t="str">
        <f>IFERROR(__xludf.DUMMYFUNCTION("IF(AY79=MAX(FILTER(AY$10:AY$199,LOOKUP(ROW(AS$10:AS$199),FILTER(ROW(AS$10:AS$199),AS$10:AS$199&lt;&gt;AS$9:AS$198))=LOOKUP(ROW(AS79),FILTER(ROW(AS$10:AS$199),AS$10:AS$199&lt;&gt;AS$9:AS$198)))),AZ79,)"),"")</f>
        <v/>
      </c>
      <c s="42"/>
      <c s="63"/>
      <c s="64" t="str">
        <f t="shared" si="19"/>
        <v>quads - compound</v>
      </c>
      <c s="65" t="str">
        <f>IFERROR(__xludf.DUMMYFUNCTION("""COMPUTED_VALUE"""),"ac")</f>
        <v>ac</v>
      </c>
      <c s="66">
        <f ca="1"/>
        <v>45236</v>
      </c>
      <c s="93" t="str">
        <f t="shared" si="20"/>
        <v>Hack Squat</v>
      </c>
      <c s="94">
        <v>2</v>
      </c>
      <c s="95">
        <v>10</v>
      </c>
      <c s="106" t="s">
        <v>142</v>
      </c>
      <c s="97" t="str">
        <f t="array" ref="BM79">IFERROR(IF(BG79="ac"+ISNUMBER(SEARCH("'",BL79))+BK79="","",IF(ISNUMBER(SEARCH("lw",BL79)),AY79+SUBSTITUTE(BL79,"lw+",""),MROUND(_xlfn.SWITCH(BG79,"sq",BK$7,"bn",BL$7,"dl",BM$7,"")*IF(BL79&gt;10,BL79/100,VLOOKUP(BL79,_rpe,SUBSTITUTE(BK79,"+","")+1,0)),IF(_xlfn.SWITCH(BG79,"sq",BK$7,"bn",BL$7,"dl",BM$7,"")&lt;IF(_uom="lbs",175,80),1.25,IF(_uom="lbs",5,2.5))))),"")</f>
        <v/>
      </c>
      <c s="70"/>
      <c s="63"/>
      <c s="97"/>
      <c s="44" t="str">
        <f>IFERROR(__xludf.DUMMYFUNCTION("IF(BM79=MAX(FILTER(BM$10:BM$199,LOOKUP(ROW(BG$10:BG$199),FILTER(ROW(BG$10:BG$199),BG$10:BG$199&lt;&gt;BG$9:BG$198))=LOOKUP(ROW(BG79),FILTER(ROW(BG$10:BG$199),BG$10:BG$199&lt;&gt;BG$9:BG$198)))),BN79,)"),"")</f>
        <v/>
      </c>
      <c s="42"/>
      <c s="63"/>
      <c s="64" t="str">
        <f t="shared" si="21"/>
        <v>quads - compound</v>
      </c>
      <c s="65" t="str">
        <f>IFERROR(__xludf.DUMMYFUNCTION("""COMPUTED_VALUE"""),"ac")</f>
        <v>ac</v>
      </c>
      <c s="66">
        <f ca="1"/>
        <v>45243</v>
      </c>
      <c s="93" t="str">
        <f t="shared" si="22"/>
        <v>Hack Squat</v>
      </c>
      <c s="94">
        <f>IF(OR(gen="SELECT",gen="MALE"),3,4)</f>
        <v>3</v>
      </c>
      <c s="95">
        <f>IF(OR(ISBLANK(BK79),BK79=""),"",BK79)</f>
        <v>10</v>
      </c>
      <c s="106" t="s">
        <v>140</v>
      </c>
      <c s="97" t="str">
        <f t="array" ref="CA79">IFERROR(IF(BU79="ac"+ISNUMBER(SEARCH("'",BZ79))+BY79="","",IF(ISNUMBER(SEARCH("lw",BZ79)),BM79+SUBSTITUTE(BZ79,"lw+",""),MROUND(_xlfn.SWITCH(BU79,"sq",BY$7,"bn",BZ$7,"dl",CA$7,"")*IF(BZ79&gt;10,BZ79/100,VLOOKUP(BZ79,_rpe,SUBSTITUTE(BY79,"+","")+1,0)),IF(_xlfn.SWITCH(BU79,"sq",BY$7,"bn",BZ$7,"dl",CA$7,"")&lt;IF(_uom="lbs",175,80),1.25,IF(_uom="lbs",5,2.5))))),"")</f>
        <v/>
      </c>
      <c s="70"/>
      <c s="63"/>
      <c s="97"/>
      <c s="44" t="str">
        <f>IFERROR(__xludf.DUMMYFUNCTION("IF(CA79=MAX(FILTER(CA$10:CA$199,LOOKUP(ROW(BU$10:BU$199),FILTER(ROW(BU$10:BU$199),BU$10:BU$199&lt;&gt;BU$9:BU$198))=LOOKUP(ROW(BU79),FILTER(ROW(BU$10:BU$199),BU$10:BU$199&lt;&gt;BU$9:BU$198)))),CB79,)"),"")</f>
        <v/>
      </c>
      <c s="42"/>
      <c s="63"/>
      <c s="64" t="str">
        <f t="shared" si="24"/>
        <v>quads - compound</v>
      </c>
      <c s="65" t="str">
        <f>IFERROR(__xludf.DUMMYFUNCTION("""COMPUTED_VALUE"""),"ac")</f>
        <v>ac</v>
      </c>
      <c s="66">
        <f ca="1"/>
        <v>45250</v>
      </c>
      <c s="93" t="str">
        <f t="shared" si="44"/>
        <v>Hack Squat</v>
      </c>
      <c s="94">
        <f t="shared" si="392"/>
        <v>3</v>
      </c>
      <c s="95">
        <v>9</v>
      </c>
      <c s="106" t="s">
        <v>141</v>
      </c>
      <c s="97" t="str">
        <f t="array" ref="CO79">IFERROR(IF(CI79="ac"+ISNUMBER(SEARCH("'",CN79))+CM79="","",IF(ISNUMBER(SEARCH("lw",CN79)),CA79+SUBSTITUTE(CN79,"lw+",""),MROUND(_xlfn.SWITCH(CI79,"sq",CM$7,"bn",CN$7,"dl",CO$7,"")*IF(CN79&gt;10,CN79/100,VLOOKUP(CN79,_rpe,SUBSTITUTE(CM79,"+","")+1,0)),IF(_xlfn.SWITCH(CI79,"sq",CM$7,"bn",CN$7,"dl",CO$7,"")&lt;IF(_uom="lbs",175,80),1.25,IF(_uom="lbs",5,2.5))))),"")</f>
        <v/>
      </c>
      <c s="70"/>
      <c s="63"/>
      <c s="97"/>
      <c s="44" t="str">
        <f>IFERROR(__xludf.DUMMYFUNCTION("IF(CO79=MAX(FILTER(CO$10:CO$199,LOOKUP(ROW(CI$10:CI$199),FILTER(ROW(CI$10:CI$199),CI$10:CI$199&lt;&gt;CI$9:CI$198))=LOOKUP(ROW(CI79),FILTER(ROW(CI$10:CI$199),CI$10:CI$199&lt;&gt;CI$9:CI$198)))),CP79,)"),"")</f>
        <v/>
      </c>
      <c s="42"/>
      <c s="63"/>
      <c s="64" t="str">
        <f t="shared" si="27"/>
        <v>quads - compound</v>
      </c>
      <c s="65" t="str">
        <f>IFERROR(__xludf.DUMMYFUNCTION("""COMPUTED_VALUE"""),"ac")</f>
        <v>ac</v>
      </c>
      <c s="66">
        <f ca="1"/>
        <v>45257</v>
      </c>
      <c s="93" t="str">
        <f t="shared" si="45"/>
        <v>Hack Squat</v>
      </c>
      <c s="94">
        <f t="shared" si="393"/>
        <v>3</v>
      </c>
      <c s="95">
        <v>8</v>
      </c>
      <c s="98" t="str">
        <f t="shared" si="401" ref="DB79:DB199">IF(ISBLANK(CN79),"",CN79)</f>
        <v>@8-9</v>
      </c>
      <c s="97" t="str">
        <f t="array" ref="DC79">IFERROR(IF(CW79="ac"+ISNUMBER(SEARCH("'",DB79))+DA79="","",IF(ISNUMBER(SEARCH("lw",DB79)),CO79+SUBSTITUTE(DB79,"lw+",""),MROUND(_xlfn.SWITCH(CW79,"sq",DA$7,"bn",DB$7,"dl",DC$7,"")*IF(DB79&gt;10,DB79/100,VLOOKUP(DB79,_rpe,SUBSTITUTE(DA79,"+","")+1,0)),IF(_xlfn.SWITCH(CW79,"sq",DA$7,"bn",DB$7,"dl",DC$7,"")&lt;IF(_uom="lbs",175,80),1.25,IF(_uom="lbs",5,2.5))))),"")</f>
        <v/>
      </c>
      <c s="70"/>
      <c s="63"/>
      <c s="97"/>
      <c s="44" t="str">
        <f>IFERROR(__xludf.DUMMYFUNCTION("IF(DC79=MAX(FILTER(DC$10:DC$199,LOOKUP(ROW(CW$10:CW$199),FILTER(ROW(CW$10:CW$199),CW$10:CW$199&lt;&gt;CW$9:CW$198))=LOOKUP(ROW(CW79),FILTER(ROW(CW$10:CW$199),CW$10:CW$199&lt;&gt;CW$9:CW$198)))),DD79,)"),"")</f>
        <v/>
      </c>
      <c s="42"/>
      <c s="63"/>
      <c s="64" t="str">
        <f t="shared" si="30"/>
        <v>quads - compound</v>
      </c>
      <c s="65" t="str">
        <f>IFERROR(__xludf.DUMMYFUNCTION("""COMPUTED_VALUE"""),"ac")</f>
        <v>ac</v>
      </c>
      <c s="66">
        <f ca="1"/>
        <v>45264</v>
      </c>
      <c s="93" t="str">
        <f t="shared" si="46"/>
        <v>Hack Squat</v>
      </c>
      <c s="94">
        <f t="shared" si="394"/>
        <v>3</v>
      </c>
      <c s="95">
        <v>7</v>
      </c>
      <c s="106" t="s">
        <v>143</v>
      </c>
      <c s="97" t="str">
        <f t="array" ref="DQ79">IFERROR(IF(DK79="ac"+ISNUMBER(SEARCH("'",DP79))+DO79="","",IF(ISNUMBER(SEARCH("lw",DP79)),DC79+SUBSTITUTE(DP79,"lw+",""),MROUND(_xlfn.SWITCH(DK79,"sq",DO$7,"bn",DP$7,"dl",DQ$7,"")*IF(DP79&gt;10,DP79/100,VLOOKUP(DP79,_rpe,SUBSTITUTE(DO79,"+","")+1,0)),IF(_xlfn.SWITCH(DK79,"sq",DO$7,"bn",DP$7,"dl",DQ$7,"")&lt;IF(_uom="lbs",175,80),1.25,IF(_uom="lbs",5,2.5))))),"")</f>
        <v/>
      </c>
      <c s="70"/>
      <c s="63"/>
      <c s="97"/>
      <c s="44" t="str">
        <f>IFERROR(__xludf.DUMMYFUNCTION("IF(DQ79=MAX(FILTER(DQ$10:DQ$199,LOOKUP(ROW(DK$10:DK$199),FILTER(ROW(DK$10:DK$199),DK$10:DK$199&lt;&gt;DK$9:DK$198))=LOOKUP(ROW(DK79),FILTER(ROW(DK$10:DK$199),DK$10:DK$199&lt;&gt;DK$9:DK$198)))),DR79,)"),"")</f>
        <v/>
      </c>
      <c s="42"/>
      <c s="63"/>
      <c s="64" t="str">
        <f t="shared" si="32"/>
        <v>quads - compound</v>
      </c>
      <c s="65" t="str">
        <f>IFERROR(__xludf.DUMMYFUNCTION("""COMPUTED_VALUE"""),"ac")</f>
        <v>ac</v>
      </c>
      <c s="66">
        <f ca="1"/>
        <v>45271</v>
      </c>
      <c s="93" t="str">
        <f t="shared" si="47"/>
        <v>Hack Squat</v>
      </c>
      <c s="94">
        <f>IF(OR(gen="SELECT",gen="MALE"),3,4)</f>
        <v>3</v>
      </c>
      <c s="95">
        <v>9</v>
      </c>
      <c s="106" t="s">
        <v>141</v>
      </c>
      <c s="97" t="str">
        <f t="array" ref="EE79">IFERROR(IF(DY79="ac"+ISNUMBER(SEARCH("'",ED79))+EC79="","",IF(ISNUMBER(SEARCH("lw",ED79)),DQ79+SUBSTITUTE(ED79,"lw+",""),MROUND(_xlfn.SWITCH(DY79,"sq",EC$7,"bn",ED$7,"dl",EE$7,"")*IF(ED79&gt;10,ED79/100,VLOOKUP(ED79,_rpe,SUBSTITUTE(EC79,"+","")+1,0)),IF(_xlfn.SWITCH(DY79,"sq",EC$7,"bn",ED$7,"dl",EE$7,"")&lt;IF(_uom="lbs",175,80),1.25,IF(_uom="lbs",5,2.5))))),"")</f>
        <v/>
      </c>
      <c s="70"/>
      <c s="63"/>
      <c s="97"/>
      <c s="44" t="str">
        <f>IFERROR(__xludf.DUMMYFUNCTION("IF(EE79=MAX(FILTER(EE$10:EE$199,LOOKUP(ROW(DY$10:DY$199),FILTER(ROW(DY$10:DY$199),DY$10:DY$199&lt;&gt;DY$9:DY$198))=LOOKUP(ROW(DY79),FILTER(ROW(DY$10:DY$199),DY$10:DY$199&lt;&gt;DY$9:DY$198)))),EF79,)"),"")</f>
        <v/>
      </c>
      <c s="42"/>
      <c s="63"/>
      <c s="64" t="str">
        <f t="shared" si="34"/>
        <v>quads - compound</v>
      </c>
      <c s="65" t="str">
        <f>IFERROR(__xludf.DUMMYFUNCTION("""COMPUTED_VALUE"""),"ac")</f>
        <v>ac</v>
      </c>
      <c s="66">
        <f ca="1"/>
        <v>45278</v>
      </c>
      <c s="93" t="str">
        <f t="shared" si="48"/>
        <v>Hack Squat</v>
      </c>
      <c s="94">
        <f t="shared" si="395"/>
        <v>3</v>
      </c>
      <c s="95">
        <v>8</v>
      </c>
      <c s="98" t="str">
        <f t="shared" si="402" ref="ER79:ER199">IF(ISBLANK(ED79),"",ED79)</f>
        <v>@8-9</v>
      </c>
      <c s="97" t="str">
        <f t="array" ref="ES79">IFERROR(IF(EM79="ac"+ISNUMBER(SEARCH("'",ER79))+EQ79="","",IF(ISNUMBER(SEARCH("lw",ER79)),EE79+SUBSTITUTE(ER79,"lw+",""),MROUND(_xlfn.SWITCH(EM79,"sq",EQ$7,"bn",ER$7,"dl",ES$7,"")*IF(ER79&gt;10,ER79/100,VLOOKUP(ER79,_rpe,SUBSTITUTE(EQ79,"+","")+1,0)),IF(_xlfn.SWITCH(EM79,"sq",EQ$7,"bn",ER$7,"dl",ES$7,"")&lt;IF(_uom="lbs",175,80),1.25,IF(_uom="lbs",5,2.5))))),"")</f>
        <v/>
      </c>
      <c s="70"/>
      <c s="63"/>
      <c s="97"/>
      <c s="44" t="str">
        <f>IFERROR(__xludf.DUMMYFUNCTION("IF(ES79=MAX(FILTER(ES$10:ES$199,LOOKUP(ROW(EM$10:EM$199),FILTER(ROW(EM$10:EM$199),EM$10:EM$199&lt;&gt;EM$9:EM$198))=LOOKUP(ROW(EM79),FILTER(ROW(EM$10:EM$199),EM$10:EM$199&lt;&gt;EM$9:EM$198)))),ET79,)"),"")</f>
        <v/>
      </c>
      <c s="42"/>
      <c s="63"/>
      <c s="64" t="str">
        <f t="shared" si="36"/>
        <v>quads - compound</v>
      </c>
      <c s="65" t="str">
        <f>IFERROR(__xludf.DUMMYFUNCTION("""COMPUTED_VALUE"""),"ac")</f>
        <v>ac</v>
      </c>
      <c s="66">
        <f ca="1"/>
        <v>45285</v>
      </c>
      <c s="93" t="str">
        <f t="shared" si="49"/>
        <v>Hack Squat</v>
      </c>
      <c s="94">
        <f t="shared" si="396"/>
        <v>3</v>
      </c>
      <c s="95">
        <v>7</v>
      </c>
      <c s="98" t="str">
        <f t="shared" si="403" ref="FF79:FF199">IF(ISBLANK(ER79),"",ER79)</f>
        <v>@8-9</v>
      </c>
      <c s="97" t="str">
        <f t="array" ref="FG79">IFERROR(IF(FA79="ac"+ISNUMBER(SEARCH("'",FF79))+FE79="","",IF(ISNUMBER(SEARCH("lw",FF79)),ES79+SUBSTITUTE(FF79,"lw+",""),MROUND(_xlfn.SWITCH(FA79,"sq",FE$7,"bn",FF$7,"dl",FG$7,"")*IF(FF79&gt;10,FF79/100,VLOOKUP(FF79,_rpe,SUBSTITUTE(FE79,"+","")+1,0)),IF(_xlfn.SWITCH(FA79,"sq",FE$7,"bn",FF$7,"dl",FG$7,"")&lt;IF(_uom="lbs",175,80),1.25,IF(_uom="lbs",5,2.5))))),"")</f>
        <v/>
      </c>
      <c s="70"/>
      <c s="63"/>
      <c s="97"/>
      <c s="44" t="str">
        <f>IFERROR(__xludf.DUMMYFUNCTION("IF(FG79=MAX(FILTER(FG$10:FG$199,LOOKUP(ROW(FA$10:FA$199),FILTER(ROW(FA$10:FA$199),FA$10:FA$199&lt;&gt;FA$9:FA$198))=LOOKUP(ROW(FA79),FILTER(ROW(FA$10:FA$199),FA$10:FA$199&lt;&gt;FA$9:FA$198)))),FH79,)"),"")</f>
        <v/>
      </c>
      <c s="42"/>
      <c s="63"/>
      <c s="64" t="str">
        <f t="shared" si="38"/>
        <v>quads - compound</v>
      </c>
      <c s="65" t="str">
        <f>IFERROR(__xludf.DUMMYFUNCTION("""COMPUTED_VALUE"""),"")</f>
        <v/>
      </c>
      <c s="66">
        <f ca="1"/>
        <v>45292</v>
      </c>
      <c s="93"/>
      <c s="94"/>
      <c s="95"/>
      <c s="98"/>
      <c s="97" t="str">
        <f t="array" ref="FU79">IFERROR(IF(FO79="ac"+ISNUMBER(SEARCH("'",FT79))+FS79="","",IF(ISNUMBER(SEARCH("lw",FT79)),FG79+SUBSTITUTE(FT79,"lw+",""),MROUND(_xlfn.SWITCH(FO79,"sq",FS$7,"bn",FT$7,"dl",FU$7,"")*IF(FT79&gt;10,FT79/100,VLOOKUP(FT79,_rpe,SUBSTITUTE(FS79,"+","")+1,0)),IF(_xlfn.SWITCH(FO79,"sq",FS$7,"bn",FT$7,"dl",FU$7,"")&lt;IF(_uom="lbs",175,80),1.25,IF(_uom="lbs",5,2.5))))),"")</f>
        <v/>
      </c>
      <c s="70"/>
      <c s="63"/>
      <c s="97"/>
      <c s="44" t="str">
        <f>IFERROR(__xludf.DUMMYFUNCTION("IF(FU79=MAX(FILTER(FU$10:FU$199,LOOKUP(ROW(FO$10:FO$199),FILTER(ROW(FO$10:FO$199),FO$10:FO$199&lt;&gt;FO$9:FO$198))=LOOKUP(ROW(FO79),FILTER(ROW(FO$10:FO$199),FO$10:FO$199&lt;&gt;FO$9:FO$198)))),FV79,)"),"")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80" spans="1:259" ht="15.75" collapsed="1">
      <c r="A80" s="63"/>
      <c s="64" t="s">
        <v>204</v>
      </c>
      <c s="65" t="str">
        <f>IFERROR(__xludf.DUMMYFUNCTION("""COMPUTED_VALUE"""),"ac")</f>
        <v>ac</v>
      </c>
      <c s="66">
        <f ca="1"/>
        <v>45208</v>
      </c>
      <c s="93" t="s">
        <v>205</v>
      </c>
      <c s="94">
        <v>3</v>
      </c>
      <c s="95">
        <v>15</v>
      </c>
      <c s="106" t="s">
        <v>143</v>
      </c>
      <c s="97" t="str">
        <f t="array" ref="I80">IFERROR(IF(C80="ac"+ISNUMBER(SEARCH("'",H80))+G80="","",MROUND(_xlfn.SWITCH(C80,"sq",'Personal Info'!$O$15,"bn",'Personal Info'!$S$15,"dl",'Personal Info'!$W$15,"")*IF(H80&gt;10,H80/100,VLOOKUP(H80,_rpe,SUBSTITUTE(G80,"+","")+1,0)),IF(_xlfn.SWITCH(C80:C210,"sq",'Personal Info'!$O$15,"bn",'Personal Info'!$S$15,"dl",'Personal Info'!$W$15,"")&lt;IF(_uom="lbs",175,80),1.25,IF(_uom="lbs",5,2.5)))),"")</f>
        <v/>
      </c>
      <c s="70"/>
      <c s="63"/>
      <c s="97"/>
      <c s="44" t="str">
        <f>IFERROR(__xludf.DUMMYFUNCTION("IF(I80=MAX(FILTER(I$10:I$199,LOOKUP(ROW(C$10:C$199),FILTER(ROW(C$10:C$199),C$10:C$199&lt;&gt;C$9:C$198))=LOOKUP(ROW(C80),FILTER(ROW(C$10:C$199),C$10:C$199&lt;&gt;C$9:C$198)))),J80,)"),"")</f>
        <v/>
      </c>
      <c s="42"/>
      <c s="63"/>
      <c s="64" t="str">
        <f t="shared" si="11"/>
        <v>quads - single joint</v>
      </c>
      <c s="65" t="str">
        <f>IFERROR(__xludf.DUMMYFUNCTION("""COMPUTED_VALUE"""),"ac")</f>
        <v>ac</v>
      </c>
      <c s="66">
        <f ca="1"/>
        <v>45215</v>
      </c>
      <c s="93" t="str">
        <f t="shared" si="12"/>
        <v>Leg Extension</v>
      </c>
      <c s="94">
        <f t="shared" si="404" ref="T80:T199">IF(ISBLANK(F80),"",F80)</f>
        <v>3</v>
      </c>
      <c s="95">
        <v>14</v>
      </c>
      <c s="106" t="s">
        <v>141</v>
      </c>
      <c s="97" t="str">
        <f t="array" ref="W80">IFERROR(IF(Q80="ac"+ISNUMBER(SEARCH("'",V80))+U80="","",IF(ISNUMBER(SEARCH("lw",V80)),I80+SUBSTITUTE(V80,"lw+",""),MROUND(_xlfn.SWITCH(Q80,"sq",U$7,"bn",V$7,"dl",W$7,"")*IF(V80&gt;10,V80/100,VLOOKUP(V80,_rpe,SUBSTITUTE(U80,"+","")+1,0)),IF(_xlfn.SWITCH(Q80,"sq",U$7,"bn",V$7,"dl",W$7,"")&lt;IF(_uom="lbs",175,80),1.25,IF(_uom="lbs",5,2.5))))),"")</f>
        <v/>
      </c>
      <c s="70"/>
      <c s="63"/>
      <c s="97"/>
      <c s="44" t="str">
        <f>IFERROR(__xludf.DUMMYFUNCTION("IF(W80=MAX(FILTER(W$10:W$199,LOOKUP(ROW(Q$10:Q$199),FILTER(ROW(Q$10:Q$199),Q$10:Q$199&lt;&gt;Q$9:Q$198))=LOOKUP(ROW(Q80),FILTER(ROW(Q$10:Q$199),Q$10:Q$199&lt;&gt;Q$9:Q$198)))),X80,)"),"")</f>
        <v/>
      </c>
      <c s="42"/>
      <c s="63"/>
      <c s="64" t="str">
        <f t="shared" si="14"/>
        <v>quads - single joint</v>
      </c>
      <c s="65" t="str">
        <f>IFERROR(__xludf.DUMMYFUNCTION("""COMPUTED_VALUE"""),"ac")</f>
        <v>ac</v>
      </c>
      <c s="66">
        <f ca="1"/>
        <v>45222</v>
      </c>
      <c s="93" t="str">
        <f t="shared" si="156"/>
        <v>Leg Extension</v>
      </c>
      <c s="94">
        <f t="shared" si="397"/>
        <v>3</v>
      </c>
      <c s="95">
        <v>13</v>
      </c>
      <c s="98" t="str">
        <f t="shared" si="398"/>
        <v>@8-9</v>
      </c>
      <c s="97" t="str">
        <f t="array" ref="AK80">IFERROR(IF(AE80="ac"+ISNUMBER(SEARCH("'",AJ80))+AI80="","",IF(ISNUMBER(SEARCH("lw",AJ80)),W80+SUBSTITUTE(AJ80,"lw+",""),MROUND(_xlfn.SWITCH(AE80,"sq",AI$7,"bn",AJ$7,"dl",AK$7,"")*IF(AJ80&gt;10,AJ80/100,VLOOKUP(AJ80,_rpe,SUBSTITUTE(AI80,"+","")+1,0)),IF(_xlfn.SWITCH(AE80,"sq",AI$7,"bn",AJ$7,"dl",AK$7,"")&lt;IF(_uom="lbs",175,80),1.25,IF(_uom="lbs",5,2.5))))),"")</f>
        <v/>
      </c>
      <c s="70"/>
      <c s="63"/>
      <c s="97"/>
      <c s="44" t="str">
        <f>IFERROR(__xludf.DUMMYFUNCTION("IF(AK80=MAX(FILTER(AK$10:AK$199,LOOKUP(ROW(AE$10:AE$199),FILTER(ROW(AE$10:AE$199),AE$10:AE$199&lt;&gt;AE$9:AE$198))=LOOKUP(ROW(AE80),FILTER(ROW(AE$10:AE$199),AE$10:AE$199&lt;&gt;AE$9:AE$198)))),AL80,)"),"")</f>
        <v/>
      </c>
      <c s="42"/>
      <c s="63"/>
      <c s="64" t="str">
        <f t="shared" si="17"/>
        <v>quads - single joint</v>
      </c>
      <c s="65" t="str">
        <f>IFERROR(__xludf.DUMMYFUNCTION("""COMPUTED_VALUE"""),"ac")</f>
        <v>ac</v>
      </c>
      <c s="66">
        <f ca="1"/>
        <v>45229</v>
      </c>
      <c s="93" t="str">
        <f t="shared" si="157"/>
        <v>Leg Extension</v>
      </c>
      <c s="94">
        <f t="shared" si="399"/>
        <v>3</v>
      </c>
      <c s="95">
        <v>12</v>
      </c>
      <c s="98" t="str">
        <f t="shared" si="400"/>
        <v>@8-9</v>
      </c>
      <c s="97" t="str">
        <f t="array" ref="AY80">IFERROR(IF(AS80="ac"+ISNUMBER(SEARCH("'",AX80))+AW80="","",IF(ISNUMBER(SEARCH("lw",AX80)),AK80+SUBSTITUTE(AX80,"lw+",""),MROUND(_xlfn.SWITCH(AS80,"sq",AW$7,"bn",AX$7,"dl",AY$7,"")*IF(AX80&gt;10,AX80/100,VLOOKUP(AX80,_rpe,SUBSTITUTE(AW80,"+","")+1,0)),IF(_xlfn.SWITCH(AS80,"sq",AW$7,"bn",AX$7,"dl",AY$7,"")&lt;IF(_uom="lbs",175,80),1.25,IF(_uom="lbs",5,2.5))))),"")</f>
        <v/>
      </c>
      <c s="70"/>
      <c s="63"/>
      <c s="97"/>
      <c s="44" t="str">
        <f>IFERROR(__xludf.DUMMYFUNCTION("IF(AY80=MAX(FILTER(AY$10:AY$199,LOOKUP(ROW(AS$10:AS$199),FILTER(ROW(AS$10:AS$199),AS$10:AS$199&lt;&gt;AS$9:AS$198))=LOOKUP(ROW(AS80),FILTER(ROW(AS$10:AS$199),AS$10:AS$199&lt;&gt;AS$9:AS$198)))),AZ80,)"),"")</f>
        <v/>
      </c>
      <c s="42"/>
      <c s="63"/>
      <c s="64" t="str">
        <f t="shared" si="19"/>
        <v>quads - single joint</v>
      </c>
      <c s="65" t="str">
        <f>IFERROR(__xludf.DUMMYFUNCTION("""COMPUTED_VALUE"""),"ac")</f>
        <v>ac</v>
      </c>
      <c s="66">
        <f ca="1"/>
        <v>45236</v>
      </c>
      <c s="93" t="str">
        <f t="shared" si="20"/>
        <v>Leg Extension</v>
      </c>
      <c s="94">
        <v>2</v>
      </c>
      <c s="95">
        <v>15</v>
      </c>
      <c s="106" t="s">
        <v>142</v>
      </c>
      <c s="97" t="str">
        <f t="array" ref="BM80">IFERROR(IF(BG80="ac"+ISNUMBER(SEARCH("'",BL80))+BK80="","",IF(ISNUMBER(SEARCH("lw",BL80)),AY80+SUBSTITUTE(BL80,"lw+",""),MROUND(_xlfn.SWITCH(BG80,"sq",BK$7,"bn",BL$7,"dl",BM$7,"")*IF(BL80&gt;10,BL80/100,VLOOKUP(BL80,_rpe,SUBSTITUTE(BK80,"+","")+1,0)),IF(_xlfn.SWITCH(BG80,"sq",BK$7,"bn",BL$7,"dl",BM$7,"")&lt;IF(_uom="lbs",175,80),1.25,IF(_uom="lbs",5,2.5))))),"")</f>
        <v/>
      </c>
      <c s="70"/>
      <c s="63"/>
      <c s="97"/>
      <c s="44" t="str">
        <f>IFERROR(__xludf.DUMMYFUNCTION("IF(BM80=MAX(FILTER(BM$10:BM$199,LOOKUP(ROW(BG$10:BG$199),FILTER(ROW(BG$10:BG$199),BG$10:BG$199&lt;&gt;BG$9:BG$198))=LOOKUP(ROW(BG80),FILTER(ROW(BG$10:BG$199),BG$10:BG$199&lt;&gt;BG$9:BG$198)))),BN80,)"),"")</f>
        <v/>
      </c>
      <c s="42"/>
      <c s="63"/>
      <c s="64" t="str">
        <f t="shared" si="21"/>
        <v>quads - single joint</v>
      </c>
      <c s="65" t="str">
        <f>IFERROR(__xludf.DUMMYFUNCTION("""COMPUTED_VALUE"""),"ac")</f>
        <v>ac</v>
      </c>
      <c s="66">
        <f ca="1"/>
        <v>45243</v>
      </c>
      <c s="93" t="str">
        <f t="shared" si="22"/>
        <v>Leg Extension</v>
      </c>
      <c s="94">
        <v>3</v>
      </c>
      <c s="95">
        <v>14</v>
      </c>
      <c s="106" t="s">
        <v>140</v>
      </c>
      <c s="97" t="str">
        <f t="array" ref="CA80">IFERROR(IF(BU80="ac"+ISNUMBER(SEARCH("'",BZ80))+BY80="","",IF(ISNUMBER(SEARCH("lw",BZ80)),BM80+SUBSTITUTE(BZ80,"lw+",""),MROUND(_xlfn.SWITCH(BU80,"sq",BY$7,"bn",BZ$7,"dl",CA$7,"")*IF(BZ80&gt;10,BZ80/100,VLOOKUP(BZ80,_rpe,SUBSTITUTE(BY80,"+","")+1,0)),IF(_xlfn.SWITCH(BU80,"sq",BY$7,"bn",BZ$7,"dl",CA$7,"")&lt;IF(_uom="lbs",175,80),1.25,IF(_uom="lbs",5,2.5))))),"")</f>
        <v/>
      </c>
      <c s="70"/>
      <c s="63"/>
      <c s="97"/>
      <c s="44" t="str">
        <f>IFERROR(__xludf.DUMMYFUNCTION("IF(CA80=MAX(FILTER(CA$10:CA$199,LOOKUP(ROW(BU$10:BU$199),FILTER(ROW(BU$10:BU$199),BU$10:BU$199&lt;&gt;BU$9:BU$198))=LOOKUP(ROW(BU80),FILTER(ROW(BU$10:BU$199),BU$10:BU$199&lt;&gt;BU$9:BU$198)))),CB80,)"),"")</f>
        <v/>
      </c>
      <c s="42"/>
      <c s="63"/>
      <c s="64" t="str">
        <f t="shared" si="24"/>
        <v>quads - single joint</v>
      </c>
      <c s="65" t="str">
        <f>IFERROR(__xludf.DUMMYFUNCTION("""COMPUTED_VALUE"""),"ac")</f>
        <v>ac</v>
      </c>
      <c s="66">
        <f ca="1"/>
        <v>45250</v>
      </c>
      <c s="93" t="str">
        <f t="shared" si="44"/>
        <v>Leg Extension</v>
      </c>
      <c s="94">
        <f t="shared" si="392"/>
        <v>3</v>
      </c>
      <c s="95">
        <v>13</v>
      </c>
      <c s="106" t="s">
        <v>141</v>
      </c>
      <c s="97" t="str">
        <f t="array" ref="CO80">IFERROR(IF(CI80="ac"+ISNUMBER(SEARCH("'",CN80))+CM80="","",IF(ISNUMBER(SEARCH("lw",CN80)),CA80+SUBSTITUTE(CN80,"lw+",""),MROUND(_xlfn.SWITCH(CI80,"sq",CM$7,"bn",CN$7,"dl",CO$7,"")*IF(CN80&gt;10,CN80/100,VLOOKUP(CN80,_rpe,SUBSTITUTE(CM80,"+","")+1,0)),IF(_xlfn.SWITCH(CI80,"sq",CM$7,"bn",CN$7,"dl",CO$7,"")&lt;IF(_uom="lbs",175,80),1.25,IF(_uom="lbs",5,2.5))))),"")</f>
        <v/>
      </c>
      <c s="70"/>
      <c s="63"/>
      <c s="97"/>
      <c s="44" t="str">
        <f>IFERROR(__xludf.DUMMYFUNCTION("IF(CO80=MAX(FILTER(CO$10:CO$199,LOOKUP(ROW(CI$10:CI$199),FILTER(ROW(CI$10:CI$199),CI$10:CI$199&lt;&gt;CI$9:CI$198))=LOOKUP(ROW(CI80),FILTER(ROW(CI$10:CI$199),CI$10:CI$199&lt;&gt;CI$9:CI$198)))),CP80,)"),"")</f>
        <v/>
      </c>
      <c s="42"/>
      <c s="63"/>
      <c s="64" t="str">
        <f t="shared" si="27"/>
        <v>quads - single joint</v>
      </c>
      <c s="65" t="str">
        <f>IFERROR(__xludf.DUMMYFUNCTION("""COMPUTED_VALUE"""),"ac")</f>
        <v>ac</v>
      </c>
      <c s="66">
        <f ca="1"/>
        <v>45257</v>
      </c>
      <c s="93" t="str">
        <f t="shared" si="45"/>
        <v>Leg Extension</v>
      </c>
      <c s="94">
        <f t="shared" si="393"/>
        <v>3</v>
      </c>
      <c s="95">
        <v>12</v>
      </c>
      <c s="98" t="str">
        <f t="shared" si="401"/>
        <v>@8-9</v>
      </c>
      <c s="97" t="str">
        <f t="array" ref="DC80">IFERROR(IF(CW80="ac"+ISNUMBER(SEARCH("'",DB80))+DA80="","",IF(ISNUMBER(SEARCH("lw",DB80)),CO80+SUBSTITUTE(DB80,"lw+",""),MROUND(_xlfn.SWITCH(CW80,"sq",DA$7,"bn",DB$7,"dl",DC$7,"")*IF(DB80&gt;10,DB80/100,VLOOKUP(DB80,_rpe,SUBSTITUTE(DA80,"+","")+1,0)),IF(_xlfn.SWITCH(CW80,"sq",DA$7,"bn",DB$7,"dl",DC$7,"")&lt;IF(_uom="lbs",175,80),1.25,IF(_uom="lbs",5,2.5))))),"")</f>
        <v/>
      </c>
      <c s="70"/>
      <c s="63"/>
      <c s="97"/>
      <c s="44" t="str">
        <f>IFERROR(__xludf.DUMMYFUNCTION("IF(DC80=MAX(FILTER(DC$10:DC$199,LOOKUP(ROW(CW$10:CW$199),FILTER(ROW(CW$10:CW$199),CW$10:CW$199&lt;&gt;CW$9:CW$198))=LOOKUP(ROW(CW80),FILTER(ROW(CW$10:CW$199),CW$10:CW$199&lt;&gt;CW$9:CW$198)))),DD80,)"),"")</f>
        <v/>
      </c>
      <c s="42"/>
      <c s="63"/>
      <c s="64" t="str">
        <f t="shared" si="30"/>
        <v>quads - single joint</v>
      </c>
      <c s="65" t="str">
        <f>IFERROR(__xludf.DUMMYFUNCTION("""COMPUTED_VALUE"""),"ac")</f>
        <v>ac</v>
      </c>
      <c s="66">
        <f ca="1"/>
        <v>45264</v>
      </c>
      <c s="93" t="str">
        <f t="shared" si="46"/>
        <v>Leg Extension</v>
      </c>
      <c s="94">
        <f t="shared" si="394"/>
        <v>3</v>
      </c>
      <c s="95">
        <v>11</v>
      </c>
      <c s="106" t="s">
        <v>143</v>
      </c>
      <c s="97" t="str">
        <f t="array" ref="DQ80">IFERROR(IF(DK80="ac"+ISNUMBER(SEARCH("'",DP80))+DO80="","",IF(ISNUMBER(SEARCH("lw",DP80)),DC80+SUBSTITUTE(DP80,"lw+",""),MROUND(_xlfn.SWITCH(DK80,"sq",DO$7,"bn",DP$7,"dl",DQ$7,"")*IF(DP80&gt;10,DP80/100,VLOOKUP(DP80,_rpe,SUBSTITUTE(DO80,"+","")+1,0)),IF(_xlfn.SWITCH(DK80,"sq",DO$7,"bn",DP$7,"dl",DQ$7,"")&lt;IF(_uom="lbs",175,80),1.25,IF(_uom="lbs",5,2.5))))),"")</f>
        <v/>
      </c>
      <c s="70"/>
      <c s="63"/>
      <c s="97"/>
      <c s="44" t="str">
        <f>IFERROR(__xludf.DUMMYFUNCTION("IF(DQ80=MAX(FILTER(DQ$10:DQ$199,LOOKUP(ROW(DK$10:DK$199),FILTER(ROW(DK$10:DK$199),DK$10:DK$199&lt;&gt;DK$9:DK$198))=LOOKUP(ROW(DK80),FILTER(ROW(DK$10:DK$199),DK$10:DK$199&lt;&gt;DK$9:DK$198)))),DR80,)"),"")</f>
        <v/>
      </c>
      <c s="42"/>
      <c s="63"/>
      <c s="64" t="str">
        <f t="shared" si="32"/>
        <v>quads - single joint</v>
      </c>
      <c s="65" t="str">
        <f>IFERROR(__xludf.DUMMYFUNCTION("""COMPUTED_VALUE"""),"ac")</f>
        <v>ac</v>
      </c>
      <c s="66">
        <f ca="1"/>
        <v>45271</v>
      </c>
      <c s="93" t="str">
        <f t="shared" si="47"/>
        <v>Leg Extension</v>
      </c>
      <c s="94">
        <f t="shared" si="405" ref="EB80:EB199">IF(ISBLANK(DN80),"",DN80)</f>
        <v>3</v>
      </c>
      <c s="95">
        <v>12</v>
      </c>
      <c s="106" t="s">
        <v>141</v>
      </c>
      <c s="97" t="str">
        <f t="array" ref="EE80">IFERROR(IF(DY80="ac"+ISNUMBER(SEARCH("'",ED80))+EC80="","",IF(ISNUMBER(SEARCH("lw",ED80)),DQ80+SUBSTITUTE(ED80,"lw+",""),MROUND(_xlfn.SWITCH(DY80,"sq",EC$7,"bn",ED$7,"dl",EE$7,"")*IF(ED80&gt;10,ED80/100,VLOOKUP(ED80,_rpe,SUBSTITUTE(EC80,"+","")+1,0)),IF(_xlfn.SWITCH(DY80,"sq",EC$7,"bn",ED$7,"dl",EE$7,"")&lt;IF(_uom="lbs",175,80),1.25,IF(_uom="lbs",5,2.5))))),"")</f>
        <v/>
      </c>
      <c s="70"/>
      <c s="63"/>
      <c s="97"/>
      <c s="44" t="str">
        <f>IFERROR(__xludf.DUMMYFUNCTION("IF(EE80=MAX(FILTER(EE$10:EE$199,LOOKUP(ROW(DY$10:DY$199),FILTER(ROW(DY$10:DY$199),DY$10:DY$199&lt;&gt;DY$9:DY$198))=LOOKUP(ROW(DY80),FILTER(ROW(DY$10:DY$199),DY$10:DY$199&lt;&gt;DY$9:DY$198)))),EF80,)"),"")</f>
        <v/>
      </c>
      <c s="42"/>
      <c s="63"/>
      <c s="64" t="str">
        <f t="shared" si="34"/>
        <v>quads - single joint</v>
      </c>
      <c s="65" t="str">
        <f>IFERROR(__xludf.DUMMYFUNCTION("""COMPUTED_VALUE"""),"ac")</f>
        <v>ac</v>
      </c>
      <c s="66">
        <f ca="1"/>
        <v>45278</v>
      </c>
      <c s="93" t="str">
        <f t="shared" si="48"/>
        <v>Leg Extension</v>
      </c>
      <c s="94">
        <f t="shared" si="395"/>
        <v>3</v>
      </c>
      <c s="95">
        <v>11</v>
      </c>
      <c s="98" t="str">
        <f t="shared" si="402"/>
        <v>@8-9</v>
      </c>
      <c s="97" t="str">
        <f t="array" ref="ES80">IFERROR(IF(EM80="ac"+ISNUMBER(SEARCH("'",ER80))+EQ80="","",IF(ISNUMBER(SEARCH("lw",ER80)),EE80+SUBSTITUTE(ER80,"lw+",""),MROUND(_xlfn.SWITCH(EM80,"sq",EQ$7,"bn",ER$7,"dl",ES$7,"")*IF(ER80&gt;10,ER80/100,VLOOKUP(ER80,_rpe,SUBSTITUTE(EQ80,"+","")+1,0)),IF(_xlfn.SWITCH(EM80,"sq",EQ$7,"bn",ER$7,"dl",ES$7,"")&lt;IF(_uom="lbs",175,80),1.25,IF(_uom="lbs",5,2.5))))),"")</f>
        <v/>
      </c>
      <c s="70"/>
      <c s="63"/>
      <c s="97"/>
      <c s="44" t="str">
        <f>IFERROR(__xludf.DUMMYFUNCTION("IF(ES80=MAX(FILTER(ES$10:ES$199,LOOKUP(ROW(EM$10:EM$199),FILTER(ROW(EM$10:EM$199),EM$10:EM$199&lt;&gt;EM$9:EM$198))=LOOKUP(ROW(EM80),FILTER(ROW(EM$10:EM$199),EM$10:EM$199&lt;&gt;EM$9:EM$198)))),ET80,)"),"")</f>
        <v/>
      </c>
      <c s="42"/>
      <c s="63"/>
      <c s="64" t="str">
        <f t="shared" si="36"/>
        <v>quads - single joint</v>
      </c>
      <c s="65" t="str">
        <f>IFERROR(__xludf.DUMMYFUNCTION("""COMPUTED_VALUE"""),"ac")</f>
        <v>ac</v>
      </c>
      <c s="66">
        <f ca="1"/>
        <v>45285</v>
      </c>
      <c s="93" t="str">
        <f t="shared" si="49"/>
        <v>Leg Extension</v>
      </c>
      <c s="94">
        <f t="shared" si="396"/>
        <v>3</v>
      </c>
      <c s="95">
        <v>10</v>
      </c>
      <c s="98" t="str">
        <f t="shared" si="403"/>
        <v>@8-9</v>
      </c>
      <c s="97" t="str">
        <f t="array" ref="FG80">IFERROR(IF(FA80="ac"+ISNUMBER(SEARCH("'",FF80))+FE80="","",IF(ISNUMBER(SEARCH("lw",FF80)),ES80+SUBSTITUTE(FF80,"lw+",""),MROUND(_xlfn.SWITCH(FA80,"sq",FE$7,"bn",FF$7,"dl",FG$7,"")*IF(FF80&gt;10,FF80/100,VLOOKUP(FF80,_rpe,SUBSTITUTE(FE80,"+","")+1,0)),IF(_xlfn.SWITCH(FA80,"sq",FE$7,"bn",FF$7,"dl",FG$7,"")&lt;IF(_uom="lbs",175,80),1.25,IF(_uom="lbs",5,2.5))))),"")</f>
        <v/>
      </c>
      <c s="70"/>
      <c s="63"/>
      <c s="97"/>
      <c s="44" t="str">
        <f>IFERROR(__xludf.DUMMYFUNCTION("IF(FG80=MAX(FILTER(FG$10:FG$199,LOOKUP(ROW(FA$10:FA$199),FILTER(ROW(FA$10:FA$199),FA$10:FA$199&lt;&gt;FA$9:FA$198))=LOOKUP(ROW(FA80),FILTER(ROW(FA$10:FA$199),FA$10:FA$199&lt;&gt;FA$9:FA$198)))),FH80,)"),"")</f>
        <v/>
      </c>
      <c s="42"/>
      <c s="63"/>
      <c s="64" t="str">
        <f t="shared" si="38"/>
        <v>quads - single joint</v>
      </c>
      <c s="65" t="str">
        <f>IFERROR(__xludf.DUMMYFUNCTION("""COMPUTED_VALUE"""),"")</f>
        <v/>
      </c>
      <c s="66">
        <f ca="1"/>
        <v>45292</v>
      </c>
      <c s="93"/>
      <c s="94"/>
      <c s="95"/>
      <c s="98"/>
      <c s="97" t="str">
        <f t="array" ref="FU80">IFERROR(IF(FO80="ac"+ISNUMBER(SEARCH("'",FT80))+FS80="","",IF(ISNUMBER(SEARCH("lw",FT80)),FG80+SUBSTITUTE(FT80,"lw+",""),MROUND(_xlfn.SWITCH(FO80,"sq",FS$7,"bn",FT$7,"dl",FU$7,"")*IF(FT80&gt;10,FT80/100,VLOOKUP(FT80,_rpe,SUBSTITUTE(FS80,"+","")+1,0)),IF(_xlfn.SWITCH(FO80,"sq",FS$7,"bn",FT$7,"dl",FU$7,"")&lt;IF(_uom="lbs",175,80),1.25,IF(_uom="lbs",5,2.5))))),"")</f>
        <v/>
      </c>
      <c s="70"/>
      <c s="63"/>
      <c s="97"/>
      <c s="44" t="str">
        <f>IFERROR(__xludf.DUMMYFUNCTION("IF(FU80=MAX(FILTER(FU$10:FU$199,LOOKUP(ROW(FO$10:FO$199),FILTER(ROW(FO$10:FO$199),FO$10:FO$199&lt;&gt;FO$9:FO$198))=LOOKUP(ROW(FO80),FILTER(ROW(FO$10:FO$199),FO$10:FO$199&lt;&gt;FO$9:FO$198)))),FV80,)"),"")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81" spans="1:259" ht="15.75" hidden="1" outlineLevel="1">
      <c r="A81" s="63"/>
      <c s="107"/>
      <c s="65" t="str">
        <f>IFERROR(__xludf.DUMMYFUNCTION("""COMPUTED_VALUE"""),"")</f>
        <v/>
      </c>
      <c s="66">
        <f ca="1"/>
        <v>45208</v>
      </c>
      <c s="108"/>
      <c s="94"/>
      <c s="95"/>
      <c s="96"/>
      <c s="97" t="str">
        <f t="array" ref="I81">IFERROR(IF(C81="ac"+ISNUMBER(SEARCH("'",H81))+G81="","",MROUND(_xlfn.SWITCH(C81,"sq",'Personal Info'!$O$15,"bn",'Personal Info'!$S$15,"dl",'Personal Info'!$W$15,"")*IF(H81&gt;10,H81/100,VLOOKUP(H81,_rpe,SUBSTITUTE(G81,"+","")+1,0)),IF(_xlfn.SWITCH(C81:C210,"sq",'Personal Info'!$O$15,"bn",'Personal Info'!$S$15,"dl",'Personal Info'!$W$15,"")&lt;IF(_uom="lbs",175,80),1.25,IF(_uom="lbs",5,2.5)))),"")</f>
        <v/>
      </c>
      <c s="70"/>
      <c s="63"/>
      <c s="97"/>
      <c s="44" t="str">
        <f>IFERROR(__xludf.DUMMYFUNCTION("IF(I81=MAX(FILTER(I$10:I$199,LOOKUP(ROW(C$10:C$199),FILTER(ROW(C$10:C$199),C$10:C$199&lt;&gt;C$9:C$198))=LOOKUP(ROW(C81),FILTER(ROW(C$10:C$199),C$10:C$199&lt;&gt;C$9:C$198)))),J81,)"),"")</f>
        <v/>
      </c>
      <c s="42"/>
      <c s="63"/>
      <c s="64" t="str">
        <f t="shared" si="11"/>
        <v/>
      </c>
      <c s="65" t="str">
        <f>IFERROR(__xludf.DUMMYFUNCTION("""COMPUTED_VALUE"""),"")</f>
        <v/>
      </c>
      <c s="66">
        <f ca="1"/>
        <v>45215</v>
      </c>
      <c s="93" t="str">
        <f t="shared" si="12"/>
        <v/>
      </c>
      <c s="94" t="str">
        <f t="shared" si="404"/>
        <v/>
      </c>
      <c s="95" t="str">
        <f t="shared" si="406" ref="U81:U199">IF(OR(ISBLANK(G81),G81=""),"",G81)</f>
        <v/>
      </c>
      <c s="98" t="str">
        <f t="shared" si="407" ref="V81:V199">IF(ISBLANK(H81),"",H81)</f>
        <v/>
      </c>
      <c s="97" t="str">
        <f t="array" ref="W81">IFERROR(IF(Q81="ac"+ISNUMBER(SEARCH("'",V81))+U81="","",IF(ISNUMBER(SEARCH("lw",V81)),I81+SUBSTITUTE(V81,"lw+",""),MROUND(_xlfn.SWITCH(Q81,"sq",U$7,"bn",V$7,"dl",W$7,"")*IF(V81&gt;10,V81/100,VLOOKUP(V81,_rpe,SUBSTITUTE(U81,"+","")+1,0)),IF(_xlfn.SWITCH(Q81,"sq",U$7,"bn",V$7,"dl",W$7,"")&lt;IF(_uom="lbs",175,80),1.25,IF(_uom="lbs",5,2.5))))),"")</f>
        <v/>
      </c>
      <c s="70"/>
      <c s="63"/>
      <c s="97"/>
      <c s="44" t="str">
        <f>IFERROR(__xludf.DUMMYFUNCTION("IF(W81=MAX(FILTER(W$10:W$199,LOOKUP(ROW(Q$10:Q$199),FILTER(ROW(Q$10:Q$199),Q$10:Q$199&lt;&gt;Q$9:Q$198))=LOOKUP(ROW(Q81),FILTER(ROW(Q$10:Q$199),Q$10:Q$199&lt;&gt;Q$9:Q$198)))),X81,)"),"")</f>
        <v/>
      </c>
      <c s="42"/>
      <c s="63"/>
      <c s="64" t="str">
        <f t="shared" si="14"/>
        <v/>
      </c>
      <c s="65" t="str">
        <f>IFERROR(__xludf.DUMMYFUNCTION("""COMPUTED_VALUE"""),"")</f>
        <v/>
      </c>
      <c s="66">
        <f ca="1"/>
        <v>45222</v>
      </c>
      <c s="93" t="str">
        <f t="shared" si="156"/>
        <v/>
      </c>
      <c s="94" t="str">
        <f t="shared" si="397"/>
        <v/>
      </c>
      <c s="95" t="str">
        <f t="shared" si="408" ref="AI81:AI199">IF(OR(ISBLANK(U81),U81=""),"",U81)</f>
        <v/>
      </c>
      <c s="98" t="str">
        <f t="shared" si="398"/>
        <v/>
      </c>
      <c s="97" t="str">
        <f t="array" ref="AK81">IFERROR(IF(AE81="ac"+ISNUMBER(SEARCH("'",AJ81))+AI81="","",IF(ISNUMBER(SEARCH("lw",AJ81)),W81+SUBSTITUTE(AJ81,"lw+",""),MROUND(_xlfn.SWITCH(AE81,"sq",AI$7,"bn",AJ$7,"dl",AK$7,"")*IF(AJ81&gt;10,AJ81/100,VLOOKUP(AJ81,_rpe,SUBSTITUTE(AI81,"+","")+1,0)),IF(_xlfn.SWITCH(AE81,"sq",AI$7,"bn",AJ$7,"dl",AK$7,"")&lt;IF(_uom="lbs",175,80),1.25,IF(_uom="lbs",5,2.5))))),"")</f>
        <v/>
      </c>
      <c s="70"/>
      <c s="63"/>
      <c s="97"/>
      <c s="44" t="str">
        <f>IFERROR(__xludf.DUMMYFUNCTION("IF(AK81=MAX(FILTER(AK$10:AK$199,LOOKUP(ROW(AE$10:AE$199),FILTER(ROW(AE$10:AE$199),AE$10:AE$199&lt;&gt;AE$9:AE$198))=LOOKUP(ROW(AE81),FILTER(ROW(AE$10:AE$199),AE$10:AE$199&lt;&gt;AE$9:AE$198)))),AL81,)"),"")</f>
        <v/>
      </c>
      <c s="42"/>
      <c s="63"/>
      <c s="64" t="str">
        <f t="shared" si="17"/>
        <v/>
      </c>
      <c s="65" t="str">
        <f>IFERROR(__xludf.DUMMYFUNCTION("""COMPUTED_VALUE"""),"")</f>
        <v/>
      </c>
      <c s="66">
        <f ca="1"/>
        <v>45229</v>
      </c>
      <c s="93" t="str">
        <f t="shared" si="157"/>
        <v/>
      </c>
      <c s="94" t="str">
        <f t="shared" si="399"/>
        <v/>
      </c>
      <c s="95" t="str">
        <f t="shared" si="409" ref="AW81:AW199">IF(OR(ISBLANK(AI81),AI81=""),"",AI81)</f>
        <v/>
      </c>
      <c s="98" t="str">
        <f t="shared" si="400"/>
        <v/>
      </c>
      <c s="97" t="str">
        <f t="array" ref="AY81">IFERROR(IF(AS81="ac"+ISNUMBER(SEARCH("'",AX81))+AW81="","",IF(ISNUMBER(SEARCH("lw",AX81)),AK81+SUBSTITUTE(AX81,"lw+",""),MROUND(_xlfn.SWITCH(AS81,"sq",AW$7,"bn",AX$7,"dl",AY$7,"")*IF(AX81&gt;10,AX81/100,VLOOKUP(AX81,_rpe,SUBSTITUTE(AW81,"+","")+1,0)),IF(_xlfn.SWITCH(AS81,"sq",AW$7,"bn",AX$7,"dl",AY$7,"")&lt;IF(_uom="lbs",175,80),1.25,IF(_uom="lbs",5,2.5))))),"")</f>
        <v/>
      </c>
      <c s="70"/>
      <c s="63"/>
      <c s="97"/>
      <c s="44" t="str">
        <f>IFERROR(__xludf.DUMMYFUNCTION("IF(AY81=MAX(FILTER(AY$10:AY$199,LOOKUP(ROW(AS$10:AS$199),FILTER(ROW(AS$10:AS$199),AS$10:AS$199&lt;&gt;AS$9:AS$198))=LOOKUP(ROW(AS81),FILTER(ROW(AS$10:AS$199),AS$10:AS$199&lt;&gt;AS$9:AS$198)))),AZ81,)"),"")</f>
        <v/>
      </c>
      <c s="42"/>
      <c s="63"/>
      <c s="64" t="str">
        <f t="shared" si="19"/>
        <v/>
      </c>
      <c s="65" t="str">
        <f>IFERROR(__xludf.DUMMYFUNCTION("""COMPUTED_VALUE"""),"")</f>
        <v/>
      </c>
      <c s="66">
        <f ca="1"/>
        <v>45236</v>
      </c>
      <c s="93" t="str">
        <f t="shared" si="20"/>
        <v/>
      </c>
      <c s="94" t="str">
        <f t="shared" si="410" ref="BJ81:BJ83">IF(ISBLANK(AV81),"",AV81)</f>
        <v/>
      </c>
      <c s="95" t="str">
        <f t="shared" si="411" ref="BK81:BK199">IF(OR(ISBLANK(AW81),AW81=""),"",AW81)</f>
        <v/>
      </c>
      <c s="98" t="str">
        <f t="shared" si="412" ref="BL81:BL199">IF(ISBLANK(AX81),"",AX81)</f>
        <v/>
      </c>
      <c s="97" t="str">
        <f t="array" ref="BM81">IFERROR(IF(BG81="ac"+ISNUMBER(SEARCH("'",BL81))+BK81="","",IF(ISNUMBER(SEARCH("lw",BL81)),AY81+SUBSTITUTE(BL81,"lw+",""),MROUND(_xlfn.SWITCH(BG81,"sq",BK$7,"bn",BL$7,"dl",BM$7,"")*IF(BL81&gt;10,BL81/100,VLOOKUP(BL81,_rpe,SUBSTITUTE(BK81,"+","")+1,0)),IF(_xlfn.SWITCH(BG81,"sq",BK$7,"bn",BL$7,"dl",BM$7,"")&lt;IF(_uom="lbs",175,80),1.25,IF(_uom="lbs",5,2.5))))),"")</f>
        <v/>
      </c>
      <c s="70"/>
      <c s="63"/>
      <c s="97"/>
      <c s="44" t="str">
        <f>IFERROR(__xludf.DUMMYFUNCTION("IF(BM81=MAX(FILTER(BM$10:BM$199,LOOKUP(ROW(BG$10:BG$199),FILTER(ROW(BG$10:BG$199),BG$10:BG$199&lt;&gt;BG$9:BG$198))=LOOKUP(ROW(BG81),FILTER(ROW(BG$10:BG$199),BG$10:BG$199&lt;&gt;BG$9:BG$198)))),BN81,)"),"")</f>
        <v/>
      </c>
      <c s="42"/>
      <c s="63"/>
      <c s="64" t="str">
        <f t="shared" si="21"/>
        <v/>
      </c>
      <c s="65" t="str">
        <f>IFERROR(__xludf.DUMMYFUNCTION("""COMPUTED_VALUE"""),"")</f>
        <v/>
      </c>
      <c s="66">
        <f ca="1"/>
        <v>45243</v>
      </c>
      <c s="93" t="str">
        <f t="shared" si="22"/>
        <v/>
      </c>
      <c s="94" t="str">
        <f t="shared" si="413" ref="BX81:BX83">IF(ISBLANK(BJ81),"",BJ81)</f>
        <v/>
      </c>
      <c s="95" t="str">
        <f t="shared" si="414" ref="BY81:BY199">IF(OR(ISBLANK(BK81),BK81=""),"",BK81)</f>
        <v/>
      </c>
      <c s="98" t="str">
        <f t="shared" si="415" ref="BZ81:BZ199">IF(ISBLANK(BL81),"",BL81)</f>
        <v/>
      </c>
      <c s="97" t="str">
        <f t="array" ref="CA81">IFERROR(IF(BU81="ac"+ISNUMBER(SEARCH("'",BZ81))+BY81="","",IF(ISNUMBER(SEARCH("lw",BZ81)),BM81+SUBSTITUTE(BZ81,"lw+",""),MROUND(_xlfn.SWITCH(BU81,"sq",BY$7,"bn",BZ$7,"dl",CA$7,"")*IF(BZ81&gt;10,BZ81/100,VLOOKUP(BZ81,_rpe,SUBSTITUTE(BY81,"+","")+1,0)),IF(_xlfn.SWITCH(BU81,"sq",BY$7,"bn",BZ$7,"dl",CA$7,"")&lt;IF(_uom="lbs",175,80),1.25,IF(_uom="lbs",5,2.5))))),"")</f>
        <v/>
      </c>
      <c s="70"/>
      <c s="63"/>
      <c s="97"/>
      <c s="44" t="str">
        <f>IFERROR(__xludf.DUMMYFUNCTION("IF(CA81=MAX(FILTER(CA$10:CA$199,LOOKUP(ROW(BU$10:BU$199),FILTER(ROW(BU$10:BU$199),BU$10:BU$199&lt;&gt;BU$9:BU$198))=LOOKUP(ROW(BU81),FILTER(ROW(BU$10:BU$199),BU$10:BU$199&lt;&gt;BU$9:BU$198)))),CB81,)"),"")</f>
        <v/>
      </c>
      <c s="42"/>
      <c s="63"/>
      <c s="64" t="str">
        <f t="shared" si="24"/>
        <v/>
      </c>
      <c s="65" t="str">
        <f>IFERROR(__xludf.DUMMYFUNCTION("""COMPUTED_VALUE"""),"")</f>
        <v/>
      </c>
      <c s="66">
        <f ca="1"/>
        <v>45250</v>
      </c>
      <c s="93" t="str">
        <f t="shared" si="44"/>
        <v/>
      </c>
      <c s="94" t="str">
        <f t="shared" si="392"/>
        <v/>
      </c>
      <c s="95" t="str">
        <f t="shared" si="416" ref="CM81:CM199">IF(OR(ISBLANK(BY81),BY81=""),"",BY81)</f>
        <v/>
      </c>
      <c s="98" t="str">
        <f t="shared" si="417" ref="CN81:CN199">IF(ISBLANK(BZ81),"",BZ81)</f>
        <v/>
      </c>
      <c s="97" t="str">
        <f t="array" ref="CO81">IFERROR(IF(CI81="ac"+ISNUMBER(SEARCH("'",CN81))+CM81="","",IF(ISNUMBER(SEARCH("lw",CN81)),CA81+SUBSTITUTE(CN81,"lw+",""),MROUND(_xlfn.SWITCH(CI81,"sq",CM$7,"bn",CN$7,"dl",CO$7,"")*IF(CN81&gt;10,CN81/100,VLOOKUP(CN81,_rpe,SUBSTITUTE(CM81,"+","")+1,0)),IF(_xlfn.SWITCH(CI81,"sq",CM$7,"bn",CN$7,"dl",CO$7,"")&lt;IF(_uom="lbs",175,80),1.25,IF(_uom="lbs",5,2.5))))),"")</f>
        <v/>
      </c>
      <c s="70"/>
      <c s="63"/>
      <c s="97"/>
      <c s="44" t="str">
        <f>IFERROR(__xludf.DUMMYFUNCTION("IF(CO81=MAX(FILTER(CO$10:CO$199,LOOKUP(ROW(CI$10:CI$199),FILTER(ROW(CI$10:CI$199),CI$10:CI$199&lt;&gt;CI$9:CI$198))=LOOKUP(ROW(CI81),FILTER(ROW(CI$10:CI$199),CI$10:CI$199&lt;&gt;CI$9:CI$198)))),CP81,)"),"")</f>
        <v/>
      </c>
      <c s="42"/>
      <c s="63"/>
      <c s="64" t="str">
        <f t="shared" si="27"/>
        <v/>
      </c>
      <c s="65" t="str">
        <f>IFERROR(__xludf.DUMMYFUNCTION("""COMPUTED_VALUE"""),"")</f>
        <v/>
      </c>
      <c s="66">
        <f ca="1"/>
        <v>45257</v>
      </c>
      <c s="93" t="str">
        <f t="shared" si="45"/>
        <v/>
      </c>
      <c s="94" t="str">
        <f t="shared" si="393"/>
        <v/>
      </c>
      <c s="95" t="str">
        <f t="shared" si="418" ref="DA81:DA199">IF(OR(ISBLANK(CM81),CM81=""),"",CM81)</f>
        <v/>
      </c>
      <c s="98" t="str">
        <f t="shared" si="401"/>
        <v/>
      </c>
      <c s="97" t="str">
        <f t="array" ref="DC81">IFERROR(IF(CW81="ac"+ISNUMBER(SEARCH("'",DB81))+DA81="","",IF(ISNUMBER(SEARCH("lw",DB81)),CO81+SUBSTITUTE(DB81,"lw+",""),MROUND(_xlfn.SWITCH(CW81,"sq",DA$7,"bn",DB$7,"dl",DC$7,"")*IF(DB81&gt;10,DB81/100,VLOOKUP(DB81,_rpe,SUBSTITUTE(DA81,"+","")+1,0)),IF(_xlfn.SWITCH(CW81,"sq",DA$7,"bn",DB$7,"dl",DC$7,"")&lt;IF(_uom="lbs",175,80),1.25,IF(_uom="lbs",5,2.5))))),"")</f>
        <v/>
      </c>
      <c s="70"/>
      <c s="63"/>
      <c s="97"/>
      <c s="44" t="str">
        <f>IFERROR(__xludf.DUMMYFUNCTION("IF(DC81=MAX(FILTER(DC$10:DC$199,LOOKUP(ROW(CW$10:CW$199),FILTER(ROW(CW$10:CW$199),CW$10:CW$199&lt;&gt;CW$9:CW$198))=LOOKUP(ROW(CW81),FILTER(ROW(CW$10:CW$199),CW$10:CW$199&lt;&gt;CW$9:CW$198)))),DD81,)"),"")</f>
        <v/>
      </c>
      <c s="42"/>
      <c s="63"/>
      <c s="64" t="str">
        <f t="shared" si="30"/>
        <v/>
      </c>
      <c s="65" t="str">
        <f>IFERROR(__xludf.DUMMYFUNCTION("""COMPUTED_VALUE"""),"")</f>
        <v/>
      </c>
      <c s="66">
        <f ca="1"/>
        <v>45264</v>
      </c>
      <c s="93" t="str">
        <f t="shared" si="46"/>
        <v/>
      </c>
      <c s="94" t="str">
        <f t="shared" si="394"/>
        <v/>
      </c>
      <c s="95" t="str">
        <f t="shared" si="419" ref="DO81:DO199">IF(OR(ISBLANK(DA81),DA81=""),"",DA81)</f>
        <v/>
      </c>
      <c s="98" t="str">
        <f t="shared" si="420" ref="DP81:DP199">IF(ISBLANK(DB81),"",DB81)</f>
        <v/>
      </c>
      <c s="97" t="str">
        <f t="array" ref="DQ81">IFERROR(IF(DK81="ac"+ISNUMBER(SEARCH("'",DP81))+DO81="","",IF(ISNUMBER(SEARCH("lw",DP81)),DC81+SUBSTITUTE(DP81,"lw+",""),MROUND(_xlfn.SWITCH(DK81,"sq",DO$7,"bn",DP$7,"dl",DQ$7,"")*IF(DP81&gt;10,DP81/100,VLOOKUP(DP81,_rpe,SUBSTITUTE(DO81,"+","")+1,0)),IF(_xlfn.SWITCH(DK81,"sq",DO$7,"bn",DP$7,"dl",DQ$7,"")&lt;IF(_uom="lbs",175,80),1.25,IF(_uom="lbs",5,2.5))))),"")</f>
        <v/>
      </c>
      <c s="70"/>
      <c s="63"/>
      <c s="97"/>
      <c s="44" t="str">
        <f>IFERROR(__xludf.DUMMYFUNCTION("IF(DQ81=MAX(FILTER(DQ$10:DQ$199,LOOKUP(ROW(DK$10:DK$199),FILTER(ROW(DK$10:DK$199),DK$10:DK$199&lt;&gt;DK$9:DK$198))=LOOKUP(ROW(DK81),FILTER(ROW(DK$10:DK$199),DK$10:DK$199&lt;&gt;DK$9:DK$198)))),DR81,)"),"")</f>
        <v/>
      </c>
      <c s="42"/>
      <c s="63"/>
      <c s="64" t="str">
        <f t="shared" si="32"/>
        <v/>
      </c>
      <c s="65" t="str">
        <f>IFERROR(__xludf.DUMMYFUNCTION("""COMPUTED_VALUE"""),"")</f>
        <v/>
      </c>
      <c s="66">
        <f ca="1"/>
        <v>45271</v>
      </c>
      <c s="93" t="str">
        <f t="shared" si="47"/>
        <v/>
      </c>
      <c s="94" t="str">
        <f t="shared" si="405"/>
        <v/>
      </c>
      <c s="95" t="str">
        <f t="shared" si="421" ref="EC81:EC199">IF(OR(ISBLANK(DO81),DO81=""),"",DO81)</f>
        <v/>
      </c>
      <c s="98" t="str">
        <f t="shared" si="422" ref="ED81:ED199">IF(ISBLANK(DP81),"",DP81)</f>
        <v/>
      </c>
      <c s="97" t="str">
        <f t="array" ref="EE81">IFERROR(IF(DY81="ac"+ISNUMBER(SEARCH("'",ED81))+EC81="","",IF(ISNUMBER(SEARCH("lw",ED81)),DQ81+SUBSTITUTE(ED81,"lw+",""),MROUND(_xlfn.SWITCH(DY81,"sq",EC$7,"bn",ED$7,"dl",EE$7,"")*IF(ED81&gt;10,ED81/100,VLOOKUP(ED81,_rpe,SUBSTITUTE(EC81,"+","")+1,0)),IF(_xlfn.SWITCH(DY81,"sq",EC$7,"bn",ED$7,"dl",EE$7,"")&lt;IF(_uom="lbs",175,80),1.25,IF(_uom="lbs",5,2.5))))),"")</f>
        <v/>
      </c>
      <c s="70"/>
      <c s="63"/>
      <c s="97"/>
      <c s="44" t="str">
        <f>IFERROR(__xludf.DUMMYFUNCTION("IF(EE81=MAX(FILTER(EE$10:EE$199,LOOKUP(ROW(DY$10:DY$199),FILTER(ROW(DY$10:DY$199),DY$10:DY$199&lt;&gt;DY$9:DY$198))=LOOKUP(ROW(DY81),FILTER(ROW(DY$10:DY$199),DY$10:DY$199&lt;&gt;DY$9:DY$198)))),EF81,)"),"")</f>
        <v/>
      </c>
      <c s="42"/>
      <c s="63"/>
      <c s="64" t="str">
        <f t="shared" si="34"/>
        <v/>
      </c>
      <c s="65" t="str">
        <f>IFERROR(__xludf.DUMMYFUNCTION("""COMPUTED_VALUE"""),"")</f>
        <v/>
      </c>
      <c s="66">
        <f ca="1"/>
        <v>45278</v>
      </c>
      <c s="93" t="str">
        <f t="shared" si="48"/>
        <v/>
      </c>
      <c s="94" t="str">
        <f t="shared" si="395"/>
        <v/>
      </c>
      <c s="95" t="str">
        <f t="shared" si="423" ref="EQ81:EQ199">IF(OR(ISBLANK(EC81),EC81=""),"",EC81)</f>
        <v/>
      </c>
      <c s="98" t="str">
        <f t="shared" si="402"/>
        <v/>
      </c>
      <c s="97" t="str">
        <f t="array" ref="ES81">IFERROR(IF(EM81="ac"+ISNUMBER(SEARCH("'",ER81))+EQ81="","",IF(ISNUMBER(SEARCH("lw",ER81)),EE81+SUBSTITUTE(ER81,"lw+",""),MROUND(_xlfn.SWITCH(EM81,"sq",EQ$7,"bn",ER$7,"dl",ES$7,"")*IF(ER81&gt;10,ER81/100,VLOOKUP(ER81,_rpe,SUBSTITUTE(EQ81,"+","")+1,0)),IF(_xlfn.SWITCH(EM81,"sq",EQ$7,"bn",ER$7,"dl",ES$7,"")&lt;IF(_uom="lbs",175,80),1.25,IF(_uom="lbs",5,2.5))))),"")</f>
        <v/>
      </c>
      <c s="70"/>
      <c s="63"/>
      <c s="97"/>
      <c s="44" t="str">
        <f>IFERROR(__xludf.DUMMYFUNCTION("IF(ES81=MAX(FILTER(ES$10:ES$199,LOOKUP(ROW(EM$10:EM$199),FILTER(ROW(EM$10:EM$199),EM$10:EM$199&lt;&gt;EM$9:EM$198))=LOOKUP(ROW(EM81),FILTER(ROW(EM$10:EM$199),EM$10:EM$199&lt;&gt;EM$9:EM$198)))),ET81,)"),"")</f>
        <v/>
      </c>
      <c s="42"/>
      <c s="63"/>
      <c s="64" t="str">
        <f t="shared" si="36"/>
        <v/>
      </c>
      <c s="65" t="str">
        <f>IFERROR(__xludf.DUMMYFUNCTION("""COMPUTED_VALUE"""),"")</f>
        <v/>
      </c>
      <c s="66">
        <f ca="1"/>
        <v>45285</v>
      </c>
      <c s="93" t="str">
        <f t="shared" si="49"/>
        <v/>
      </c>
      <c s="94" t="str">
        <f t="shared" si="396"/>
        <v/>
      </c>
      <c s="95" t="str">
        <f t="shared" si="424" ref="FE81:FE199">IF(OR(ISBLANK(EQ81),EQ81=""),"",EQ81)</f>
        <v/>
      </c>
      <c s="98" t="str">
        <f t="shared" si="403"/>
        <v/>
      </c>
      <c s="97" t="str">
        <f t="array" ref="FG81">IFERROR(IF(FA81="ac"+ISNUMBER(SEARCH("'",FF81))+FE81="","",IF(ISNUMBER(SEARCH("lw",FF81)),ES81+SUBSTITUTE(FF81,"lw+",""),MROUND(_xlfn.SWITCH(FA81,"sq",FE$7,"bn",FF$7,"dl",FG$7,"")*IF(FF81&gt;10,FF81/100,VLOOKUP(FF81,_rpe,SUBSTITUTE(FE81,"+","")+1,0)),IF(_xlfn.SWITCH(FA81,"sq",FE$7,"bn",FF$7,"dl",FG$7,"")&lt;IF(_uom="lbs",175,80),1.25,IF(_uom="lbs",5,2.5))))),"")</f>
        <v/>
      </c>
      <c s="70"/>
      <c s="63"/>
      <c s="97"/>
      <c s="44" t="str">
        <f>IFERROR(__xludf.DUMMYFUNCTION("IF(FG81=MAX(FILTER(FG$10:FG$199,LOOKUP(ROW(FA$10:FA$199),FILTER(ROW(FA$10:FA$199),FA$10:FA$199&lt;&gt;FA$9:FA$198))=LOOKUP(ROW(FA81),FILTER(ROW(FA$10:FA$199),FA$10:FA$199&lt;&gt;FA$9:FA$198)))),FH81,)"),"")</f>
        <v/>
      </c>
      <c s="42"/>
      <c s="63"/>
      <c s="64" t="str">
        <f t="shared" si="38"/>
        <v/>
      </c>
      <c s="65" t="str">
        <f>IFERROR(__xludf.DUMMYFUNCTION("""COMPUTED_VALUE"""),"")</f>
        <v/>
      </c>
      <c s="66">
        <f ca="1"/>
        <v>45292</v>
      </c>
      <c s="93"/>
      <c s="94"/>
      <c s="95"/>
      <c s="98"/>
      <c s="97" t="str">
        <f t="array" ref="FU81">IFERROR(IF(FO81="ac"+ISNUMBER(SEARCH("'",FT81))+FS81="","",IF(ISNUMBER(SEARCH("lw",FT81)),FG81+SUBSTITUTE(FT81,"lw+",""),MROUND(_xlfn.SWITCH(FO81,"sq",FS$7,"bn",FT$7,"dl",FU$7,"")*IF(FT81&gt;10,FT81/100,VLOOKUP(FT81,_rpe,SUBSTITUTE(FS81,"+","")+1,0)),IF(_xlfn.SWITCH(FO81,"sq",FS$7,"bn",FT$7,"dl",FU$7,"")&lt;IF(_uom="lbs",175,80),1.25,IF(_uom="lbs",5,2.5))))),"")</f>
        <v/>
      </c>
      <c s="70"/>
      <c s="63"/>
      <c s="97"/>
      <c s="44" t="str">
        <f>IFERROR(__xludf.DUMMYFUNCTION("IF(FU81=MAX(FILTER(FU$10:FU$199,LOOKUP(ROW(FO$10:FO$199),FILTER(ROW(FO$10:FO$199),FO$10:FO$199&lt;&gt;FO$9:FO$198))=LOOKUP(ROW(FO81),FILTER(ROW(FO$10:FO$199),FO$10:FO$199&lt;&gt;FO$9:FO$198)))),FV81,)"),"")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82" spans="1:259" ht="15.75" hidden="1" outlineLevel="1">
      <c r="A82" s="63"/>
      <c s="107"/>
      <c s="65" t="str">
        <f>IFERROR(__xludf.DUMMYFUNCTION("""COMPUTED_VALUE"""),"")</f>
        <v/>
      </c>
      <c s="66">
        <f ca="1"/>
        <v>45208</v>
      </c>
      <c s="108"/>
      <c s="94"/>
      <c s="95"/>
      <c s="96"/>
      <c s="97" t="str">
        <f t="array" ref="I82">IFERROR(IF(C82="ac"+ISNUMBER(SEARCH("'",H82))+G82="","",MROUND(_xlfn.SWITCH(C82,"sq",'Personal Info'!$O$15,"bn",'Personal Info'!$S$15,"dl",'Personal Info'!$W$15,"")*IF(H82&gt;10,H82/100,VLOOKUP(H82,_rpe,SUBSTITUTE(G82,"+","")+1,0)),IF(_xlfn.SWITCH(C82:C210,"sq",'Personal Info'!$O$15,"bn",'Personal Info'!$S$15,"dl",'Personal Info'!$W$15,"")&lt;IF(_uom="lbs",175,80),1.25,IF(_uom="lbs",5,2.5)))),"")</f>
        <v/>
      </c>
      <c s="70"/>
      <c s="63"/>
      <c s="97"/>
      <c s="44" t="str">
        <f>IFERROR(__xludf.DUMMYFUNCTION("IF(I82=MAX(FILTER(I$10:I$199,LOOKUP(ROW(C$10:C$199),FILTER(ROW(C$10:C$199),C$10:C$199&lt;&gt;C$9:C$198))=LOOKUP(ROW(C82),FILTER(ROW(C$10:C$199),C$10:C$199&lt;&gt;C$9:C$198)))),J82,)"),"")</f>
        <v/>
      </c>
      <c s="42"/>
      <c s="63"/>
      <c s="64" t="str">
        <f t="shared" si="11"/>
        <v/>
      </c>
      <c s="65" t="str">
        <f>IFERROR(__xludf.DUMMYFUNCTION("""COMPUTED_VALUE"""),"")</f>
        <v/>
      </c>
      <c s="66">
        <f ca="1"/>
        <v>45215</v>
      </c>
      <c s="93" t="str">
        <f t="shared" si="12"/>
        <v/>
      </c>
      <c s="94" t="str">
        <f t="shared" si="404"/>
        <v/>
      </c>
      <c s="95" t="str">
        <f t="shared" si="406"/>
        <v/>
      </c>
      <c s="98" t="str">
        <f t="shared" si="407"/>
        <v/>
      </c>
      <c s="97" t="str">
        <f t="array" ref="W82">IFERROR(IF(Q82="ac"+ISNUMBER(SEARCH("'",V82))+U82="","",IF(ISNUMBER(SEARCH("lw",V82)),I82+SUBSTITUTE(V82,"lw+",""),MROUND(_xlfn.SWITCH(Q82,"sq",U$7,"bn",V$7,"dl",W$7,"")*IF(V82&gt;10,V82/100,VLOOKUP(V82,_rpe,SUBSTITUTE(U82,"+","")+1,0)),IF(_xlfn.SWITCH(Q82,"sq",U$7,"bn",V$7,"dl",W$7,"")&lt;IF(_uom="lbs",175,80),1.25,IF(_uom="lbs",5,2.5))))),"")</f>
        <v/>
      </c>
      <c s="70"/>
      <c s="63"/>
      <c s="97"/>
      <c s="44" t="str">
        <f>IFERROR(__xludf.DUMMYFUNCTION("IF(W82=MAX(FILTER(W$10:W$199,LOOKUP(ROW(Q$10:Q$199),FILTER(ROW(Q$10:Q$199),Q$10:Q$199&lt;&gt;Q$9:Q$198))=LOOKUP(ROW(Q82),FILTER(ROW(Q$10:Q$199),Q$10:Q$199&lt;&gt;Q$9:Q$198)))),X82,)"),"")</f>
        <v/>
      </c>
      <c s="42"/>
      <c s="63"/>
      <c s="64" t="str">
        <f t="shared" si="14"/>
        <v/>
      </c>
      <c s="65" t="str">
        <f>IFERROR(__xludf.DUMMYFUNCTION("""COMPUTED_VALUE"""),"")</f>
        <v/>
      </c>
      <c s="66">
        <f ca="1"/>
        <v>45222</v>
      </c>
      <c s="93" t="str">
        <f t="shared" si="156"/>
        <v/>
      </c>
      <c s="94" t="str">
        <f t="shared" si="397"/>
        <v/>
      </c>
      <c s="95" t="str">
        <f t="shared" si="408"/>
        <v/>
      </c>
      <c s="98" t="str">
        <f t="shared" si="398"/>
        <v/>
      </c>
      <c s="97" t="str">
        <f t="array" ref="AK82">IFERROR(IF(AE82="ac"+ISNUMBER(SEARCH("'",AJ82))+AI82="","",IF(ISNUMBER(SEARCH("lw",AJ82)),W82+SUBSTITUTE(AJ82,"lw+",""),MROUND(_xlfn.SWITCH(AE82,"sq",AI$7,"bn",AJ$7,"dl",AK$7,"")*IF(AJ82&gt;10,AJ82/100,VLOOKUP(AJ82,_rpe,SUBSTITUTE(AI82,"+","")+1,0)),IF(_xlfn.SWITCH(AE82,"sq",AI$7,"bn",AJ$7,"dl",AK$7,"")&lt;IF(_uom="lbs",175,80),1.25,IF(_uom="lbs",5,2.5))))),"")</f>
        <v/>
      </c>
      <c s="70"/>
      <c s="63"/>
      <c s="97"/>
      <c s="44" t="str">
        <f>IFERROR(__xludf.DUMMYFUNCTION("IF(AK82=MAX(FILTER(AK$10:AK$199,LOOKUP(ROW(AE$10:AE$199),FILTER(ROW(AE$10:AE$199),AE$10:AE$199&lt;&gt;AE$9:AE$198))=LOOKUP(ROW(AE82),FILTER(ROW(AE$10:AE$199),AE$10:AE$199&lt;&gt;AE$9:AE$198)))),AL82,)"),"")</f>
        <v/>
      </c>
      <c s="42"/>
      <c s="63"/>
      <c s="64" t="str">
        <f t="shared" si="17"/>
        <v/>
      </c>
      <c s="65" t="str">
        <f>IFERROR(__xludf.DUMMYFUNCTION("""COMPUTED_VALUE"""),"")</f>
        <v/>
      </c>
      <c s="66">
        <f ca="1"/>
        <v>45229</v>
      </c>
      <c s="93" t="str">
        <f t="shared" si="157"/>
        <v/>
      </c>
      <c s="94" t="str">
        <f t="shared" si="399"/>
        <v/>
      </c>
      <c s="95" t="str">
        <f t="shared" si="409"/>
        <v/>
      </c>
      <c s="98" t="str">
        <f t="shared" si="400"/>
        <v/>
      </c>
      <c s="97" t="str">
        <f t="array" ref="AY82">IFERROR(IF(AS82="ac"+ISNUMBER(SEARCH("'",AX82))+AW82="","",IF(ISNUMBER(SEARCH("lw",AX82)),AK82+SUBSTITUTE(AX82,"lw+",""),MROUND(_xlfn.SWITCH(AS82,"sq",AW$7,"bn",AX$7,"dl",AY$7,"")*IF(AX82&gt;10,AX82/100,VLOOKUP(AX82,_rpe,SUBSTITUTE(AW82,"+","")+1,0)),IF(_xlfn.SWITCH(AS82,"sq",AW$7,"bn",AX$7,"dl",AY$7,"")&lt;IF(_uom="lbs",175,80),1.25,IF(_uom="lbs",5,2.5))))),"")</f>
        <v/>
      </c>
      <c s="70"/>
      <c s="63"/>
      <c s="97"/>
      <c s="44" t="str">
        <f>IFERROR(__xludf.DUMMYFUNCTION("IF(AY82=MAX(FILTER(AY$10:AY$199,LOOKUP(ROW(AS$10:AS$199),FILTER(ROW(AS$10:AS$199),AS$10:AS$199&lt;&gt;AS$9:AS$198))=LOOKUP(ROW(AS82),FILTER(ROW(AS$10:AS$199),AS$10:AS$199&lt;&gt;AS$9:AS$198)))),AZ82,)"),"")</f>
        <v/>
      </c>
      <c s="42"/>
      <c s="63"/>
      <c s="64" t="str">
        <f t="shared" si="19"/>
        <v/>
      </c>
      <c s="65" t="str">
        <f>IFERROR(__xludf.DUMMYFUNCTION("""COMPUTED_VALUE"""),"")</f>
        <v/>
      </c>
      <c s="66">
        <f ca="1"/>
        <v>45236</v>
      </c>
      <c s="93" t="str">
        <f t="shared" si="20"/>
        <v/>
      </c>
      <c s="94" t="str">
        <f t="shared" si="410"/>
        <v/>
      </c>
      <c s="95" t="str">
        <f t="shared" si="411"/>
        <v/>
      </c>
      <c s="98" t="str">
        <f t="shared" si="412"/>
        <v/>
      </c>
      <c s="97" t="str">
        <f t="array" ref="BM82">IFERROR(IF(BG82="ac"+ISNUMBER(SEARCH("'",BL82))+BK82="","",IF(ISNUMBER(SEARCH("lw",BL82)),AY82+SUBSTITUTE(BL82,"lw+",""),MROUND(_xlfn.SWITCH(BG82,"sq",BK$7,"bn",BL$7,"dl",BM$7,"")*IF(BL82&gt;10,BL82/100,VLOOKUP(BL82,_rpe,SUBSTITUTE(BK82,"+","")+1,0)),IF(_xlfn.SWITCH(BG82,"sq",BK$7,"bn",BL$7,"dl",BM$7,"")&lt;IF(_uom="lbs",175,80),1.25,IF(_uom="lbs",5,2.5))))),"")</f>
        <v/>
      </c>
      <c s="70"/>
      <c s="63"/>
      <c s="97"/>
      <c s="44" t="str">
        <f>IFERROR(__xludf.DUMMYFUNCTION("IF(BM82=MAX(FILTER(BM$10:BM$199,LOOKUP(ROW(BG$10:BG$199),FILTER(ROW(BG$10:BG$199),BG$10:BG$199&lt;&gt;BG$9:BG$198))=LOOKUP(ROW(BG82),FILTER(ROW(BG$10:BG$199),BG$10:BG$199&lt;&gt;BG$9:BG$198)))),BN82,)"),"")</f>
        <v/>
      </c>
      <c s="42"/>
      <c s="63"/>
      <c s="64" t="str">
        <f t="shared" si="21"/>
        <v/>
      </c>
      <c s="65" t="str">
        <f>IFERROR(__xludf.DUMMYFUNCTION("""COMPUTED_VALUE"""),"")</f>
        <v/>
      </c>
      <c s="66">
        <f ca="1"/>
        <v>45243</v>
      </c>
      <c s="93" t="str">
        <f t="shared" si="22"/>
        <v/>
      </c>
      <c s="94" t="str">
        <f t="shared" si="413"/>
        <v/>
      </c>
      <c s="95" t="str">
        <f t="shared" si="414"/>
        <v/>
      </c>
      <c s="98" t="str">
        <f t="shared" si="415"/>
        <v/>
      </c>
      <c s="97" t="str">
        <f t="array" ref="CA82">IFERROR(IF(BU82="ac"+ISNUMBER(SEARCH("'",BZ82))+BY82="","",IF(ISNUMBER(SEARCH("lw",BZ82)),BM82+SUBSTITUTE(BZ82,"lw+",""),MROUND(_xlfn.SWITCH(BU82,"sq",BY$7,"bn",BZ$7,"dl",CA$7,"")*IF(BZ82&gt;10,BZ82/100,VLOOKUP(BZ82,_rpe,SUBSTITUTE(BY82,"+","")+1,0)),IF(_xlfn.SWITCH(BU82,"sq",BY$7,"bn",BZ$7,"dl",CA$7,"")&lt;IF(_uom="lbs",175,80),1.25,IF(_uom="lbs",5,2.5))))),"")</f>
        <v/>
      </c>
      <c s="70"/>
      <c s="63"/>
      <c s="97"/>
      <c s="44" t="str">
        <f>IFERROR(__xludf.DUMMYFUNCTION("IF(CA82=MAX(FILTER(CA$10:CA$199,LOOKUP(ROW(BU$10:BU$199),FILTER(ROW(BU$10:BU$199),BU$10:BU$199&lt;&gt;BU$9:BU$198))=LOOKUP(ROW(BU82),FILTER(ROW(BU$10:BU$199),BU$10:BU$199&lt;&gt;BU$9:BU$198)))),CB82,)"),"")</f>
        <v/>
      </c>
      <c s="42"/>
      <c s="63"/>
      <c s="64" t="str">
        <f t="shared" si="24"/>
        <v/>
      </c>
      <c s="65" t="str">
        <f>IFERROR(__xludf.DUMMYFUNCTION("""COMPUTED_VALUE"""),"")</f>
        <v/>
      </c>
      <c s="66">
        <f ca="1"/>
        <v>45250</v>
      </c>
      <c s="93" t="str">
        <f t="shared" si="44"/>
        <v/>
      </c>
      <c s="94" t="str">
        <f t="shared" si="392"/>
        <v/>
      </c>
      <c s="95" t="str">
        <f t="shared" si="416"/>
        <v/>
      </c>
      <c s="98" t="str">
        <f t="shared" si="417"/>
        <v/>
      </c>
      <c s="97" t="str">
        <f t="array" ref="CO82">IFERROR(IF(CI82="ac"+ISNUMBER(SEARCH("'",CN82))+CM82="","",IF(ISNUMBER(SEARCH("lw",CN82)),CA82+SUBSTITUTE(CN82,"lw+",""),MROUND(_xlfn.SWITCH(CI82,"sq",CM$7,"bn",CN$7,"dl",CO$7,"")*IF(CN82&gt;10,CN82/100,VLOOKUP(CN82,_rpe,SUBSTITUTE(CM82,"+","")+1,0)),IF(_xlfn.SWITCH(CI82,"sq",CM$7,"bn",CN$7,"dl",CO$7,"")&lt;IF(_uom="lbs",175,80),1.25,IF(_uom="lbs",5,2.5))))),"")</f>
        <v/>
      </c>
      <c s="70"/>
      <c s="63"/>
      <c s="97"/>
      <c s="44" t="str">
        <f>IFERROR(__xludf.DUMMYFUNCTION("IF(CO82=MAX(FILTER(CO$10:CO$199,LOOKUP(ROW(CI$10:CI$199),FILTER(ROW(CI$10:CI$199),CI$10:CI$199&lt;&gt;CI$9:CI$198))=LOOKUP(ROW(CI82),FILTER(ROW(CI$10:CI$199),CI$10:CI$199&lt;&gt;CI$9:CI$198)))),CP82,)"),"")</f>
        <v/>
      </c>
      <c s="42"/>
      <c s="63"/>
      <c s="64" t="str">
        <f t="shared" si="27"/>
        <v/>
      </c>
      <c s="65" t="str">
        <f>IFERROR(__xludf.DUMMYFUNCTION("""COMPUTED_VALUE"""),"")</f>
        <v/>
      </c>
      <c s="66">
        <f ca="1"/>
        <v>45257</v>
      </c>
      <c s="93" t="str">
        <f t="shared" si="45"/>
        <v/>
      </c>
      <c s="94" t="str">
        <f t="shared" si="393"/>
        <v/>
      </c>
      <c s="95" t="str">
        <f t="shared" si="418"/>
        <v/>
      </c>
      <c s="98" t="str">
        <f t="shared" si="401"/>
        <v/>
      </c>
      <c s="97" t="str">
        <f t="array" ref="DC82">IFERROR(IF(CW82="ac"+ISNUMBER(SEARCH("'",DB82))+DA82="","",IF(ISNUMBER(SEARCH("lw",DB82)),CO82+SUBSTITUTE(DB82,"lw+",""),MROUND(_xlfn.SWITCH(CW82,"sq",DA$7,"bn",DB$7,"dl",DC$7,"")*IF(DB82&gt;10,DB82/100,VLOOKUP(DB82,_rpe,SUBSTITUTE(DA82,"+","")+1,0)),IF(_xlfn.SWITCH(CW82,"sq",DA$7,"bn",DB$7,"dl",DC$7,"")&lt;IF(_uom="lbs",175,80),1.25,IF(_uom="lbs",5,2.5))))),"")</f>
        <v/>
      </c>
      <c s="70"/>
      <c s="63"/>
      <c s="97"/>
      <c s="44" t="str">
        <f>IFERROR(__xludf.DUMMYFUNCTION("IF(DC82=MAX(FILTER(DC$10:DC$199,LOOKUP(ROW(CW$10:CW$199),FILTER(ROW(CW$10:CW$199),CW$10:CW$199&lt;&gt;CW$9:CW$198))=LOOKUP(ROW(CW82),FILTER(ROW(CW$10:CW$199),CW$10:CW$199&lt;&gt;CW$9:CW$198)))),DD82,)"),"")</f>
        <v/>
      </c>
      <c s="42"/>
      <c s="63"/>
      <c s="64" t="str">
        <f t="shared" si="30"/>
        <v/>
      </c>
      <c s="65" t="str">
        <f>IFERROR(__xludf.DUMMYFUNCTION("""COMPUTED_VALUE"""),"")</f>
        <v/>
      </c>
      <c s="66">
        <f ca="1"/>
        <v>45264</v>
      </c>
      <c s="93" t="str">
        <f t="shared" si="46"/>
        <v/>
      </c>
      <c s="94" t="str">
        <f t="shared" si="394"/>
        <v/>
      </c>
      <c s="95" t="str">
        <f t="shared" si="419"/>
        <v/>
      </c>
      <c s="98" t="str">
        <f t="shared" si="420"/>
        <v/>
      </c>
      <c s="97" t="str">
        <f t="array" ref="DQ82">IFERROR(IF(DK82="ac"+ISNUMBER(SEARCH("'",DP82))+DO82="","",IF(ISNUMBER(SEARCH("lw",DP82)),DC82+SUBSTITUTE(DP82,"lw+",""),MROUND(_xlfn.SWITCH(DK82,"sq",DO$7,"bn",DP$7,"dl",DQ$7,"")*IF(DP82&gt;10,DP82/100,VLOOKUP(DP82,_rpe,SUBSTITUTE(DO82,"+","")+1,0)),IF(_xlfn.SWITCH(DK82,"sq",DO$7,"bn",DP$7,"dl",DQ$7,"")&lt;IF(_uom="lbs",175,80),1.25,IF(_uom="lbs",5,2.5))))),"")</f>
        <v/>
      </c>
      <c s="70"/>
      <c s="63"/>
      <c s="97"/>
      <c s="44" t="str">
        <f>IFERROR(__xludf.DUMMYFUNCTION("IF(DQ82=MAX(FILTER(DQ$10:DQ$199,LOOKUP(ROW(DK$10:DK$199),FILTER(ROW(DK$10:DK$199),DK$10:DK$199&lt;&gt;DK$9:DK$198))=LOOKUP(ROW(DK82),FILTER(ROW(DK$10:DK$199),DK$10:DK$199&lt;&gt;DK$9:DK$198)))),DR82,)"),"")</f>
        <v/>
      </c>
      <c s="42"/>
      <c s="63"/>
      <c s="64" t="str">
        <f t="shared" si="32"/>
        <v/>
      </c>
      <c s="65" t="str">
        <f>IFERROR(__xludf.DUMMYFUNCTION("""COMPUTED_VALUE"""),"")</f>
        <v/>
      </c>
      <c s="66">
        <f ca="1"/>
        <v>45271</v>
      </c>
      <c s="93" t="str">
        <f t="shared" si="47"/>
        <v/>
      </c>
      <c s="94" t="str">
        <f t="shared" si="405"/>
        <v/>
      </c>
      <c s="95" t="str">
        <f t="shared" si="421"/>
        <v/>
      </c>
      <c s="98" t="str">
        <f t="shared" si="422"/>
        <v/>
      </c>
      <c s="97" t="str">
        <f t="array" ref="EE82">IFERROR(IF(DY82="ac"+ISNUMBER(SEARCH("'",ED82))+EC82="","",IF(ISNUMBER(SEARCH("lw",ED82)),DQ82+SUBSTITUTE(ED82,"lw+",""),MROUND(_xlfn.SWITCH(DY82,"sq",EC$7,"bn",ED$7,"dl",EE$7,"")*IF(ED82&gt;10,ED82/100,VLOOKUP(ED82,_rpe,SUBSTITUTE(EC82,"+","")+1,0)),IF(_xlfn.SWITCH(DY82,"sq",EC$7,"bn",ED$7,"dl",EE$7,"")&lt;IF(_uom="lbs",175,80),1.25,IF(_uom="lbs",5,2.5))))),"")</f>
        <v/>
      </c>
      <c s="70"/>
      <c s="63"/>
      <c s="97"/>
      <c s="44" t="str">
        <f>IFERROR(__xludf.DUMMYFUNCTION("IF(EE82=MAX(FILTER(EE$10:EE$199,LOOKUP(ROW(DY$10:DY$199),FILTER(ROW(DY$10:DY$199),DY$10:DY$199&lt;&gt;DY$9:DY$198))=LOOKUP(ROW(DY82),FILTER(ROW(DY$10:DY$199),DY$10:DY$199&lt;&gt;DY$9:DY$198)))),EF82,)"),"")</f>
        <v/>
      </c>
      <c s="42"/>
      <c s="63"/>
      <c s="64" t="str">
        <f t="shared" si="34"/>
        <v/>
      </c>
      <c s="65" t="str">
        <f>IFERROR(__xludf.DUMMYFUNCTION("""COMPUTED_VALUE"""),"")</f>
        <v/>
      </c>
      <c s="66">
        <f ca="1"/>
        <v>45278</v>
      </c>
      <c s="93" t="str">
        <f t="shared" si="48"/>
        <v/>
      </c>
      <c s="94" t="str">
        <f t="shared" si="395"/>
        <v/>
      </c>
      <c s="95" t="str">
        <f t="shared" si="423"/>
        <v/>
      </c>
      <c s="98" t="str">
        <f t="shared" si="402"/>
        <v/>
      </c>
      <c s="97" t="str">
        <f t="array" ref="ES82">IFERROR(IF(EM82="ac"+ISNUMBER(SEARCH("'",ER82))+EQ82="","",IF(ISNUMBER(SEARCH("lw",ER82)),EE82+SUBSTITUTE(ER82,"lw+",""),MROUND(_xlfn.SWITCH(EM82,"sq",EQ$7,"bn",ER$7,"dl",ES$7,"")*IF(ER82&gt;10,ER82/100,VLOOKUP(ER82,_rpe,SUBSTITUTE(EQ82,"+","")+1,0)),IF(_xlfn.SWITCH(EM82,"sq",EQ$7,"bn",ER$7,"dl",ES$7,"")&lt;IF(_uom="lbs",175,80),1.25,IF(_uom="lbs",5,2.5))))),"")</f>
        <v/>
      </c>
      <c s="70"/>
      <c s="63"/>
      <c s="97"/>
      <c s="44" t="str">
        <f>IFERROR(__xludf.DUMMYFUNCTION("IF(ES82=MAX(FILTER(ES$10:ES$199,LOOKUP(ROW(EM$10:EM$199),FILTER(ROW(EM$10:EM$199),EM$10:EM$199&lt;&gt;EM$9:EM$198))=LOOKUP(ROW(EM82),FILTER(ROW(EM$10:EM$199),EM$10:EM$199&lt;&gt;EM$9:EM$198)))),ET82,)"),"")</f>
        <v/>
      </c>
      <c s="42"/>
      <c s="63"/>
      <c s="64" t="str">
        <f t="shared" si="36"/>
        <v/>
      </c>
      <c s="65" t="str">
        <f>IFERROR(__xludf.DUMMYFUNCTION("""COMPUTED_VALUE"""),"")</f>
        <v/>
      </c>
      <c s="66">
        <f ca="1"/>
        <v>45285</v>
      </c>
      <c s="93" t="str">
        <f t="shared" si="49"/>
        <v/>
      </c>
      <c s="94" t="str">
        <f t="shared" si="396"/>
        <v/>
      </c>
      <c s="95" t="str">
        <f t="shared" si="424"/>
        <v/>
      </c>
      <c s="98" t="str">
        <f t="shared" si="403"/>
        <v/>
      </c>
      <c s="97" t="str">
        <f t="array" ref="FG82">IFERROR(IF(FA82="ac"+ISNUMBER(SEARCH("'",FF82))+FE82="","",IF(ISNUMBER(SEARCH("lw",FF82)),ES82+SUBSTITUTE(FF82,"lw+",""),MROUND(_xlfn.SWITCH(FA82,"sq",FE$7,"bn",FF$7,"dl",FG$7,"")*IF(FF82&gt;10,FF82/100,VLOOKUP(FF82,_rpe,SUBSTITUTE(FE82,"+","")+1,0)),IF(_xlfn.SWITCH(FA82,"sq",FE$7,"bn",FF$7,"dl",FG$7,"")&lt;IF(_uom="lbs",175,80),1.25,IF(_uom="lbs",5,2.5))))),"")</f>
        <v/>
      </c>
      <c s="70"/>
      <c s="63"/>
      <c s="97"/>
      <c s="44" t="str">
        <f>IFERROR(__xludf.DUMMYFUNCTION("IF(FG82=MAX(FILTER(FG$10:FG$199,LOOKUP(ROW(FA$10:FA$199),FILTER(ROW(FA$10:FA$199),FA$10:FA$199&lt;&gt;FA$9:FA$198))=LOOKUP(ROW(FA82),FILTER(ROW(FA$10:FA$199),FA$10:FA$199&lt;&gt;FA$9:FA$198)))),FH82,)"),"")</f>
        <v/>
      </c>
      <c s="42"/>
      <c s="63"/>
      <c s="64" t="str">
        <f t="shared" si="38"/>
        <v/>
      </c>
      <c s="65" t="str">
        <f>IFERROR(__xludf.DUMMYFUNCTION("""COMPUTED_VALUE"""),"")</f>
        <v/>
      </c>
      <c s="66">
        <f ca="1"/>
        <v>45292</v>
      </c>
      <c s="93"/>
      <c s="94"/>
      <c s="95"/>
      <c s="98"/>
      <c s="97" t="str">
        <f t="array" ref="FU82">IFERROR(IF(FO82="ac"+ISNUMBER(SEARCH("'",FT82))+FS82="","",IF(ISNUMBER(SEARCH("lw",FT82)),FG82+SUBSTITUTE(FT82,"lw+",""),MROUND(_xlfn.SWITCH(FO82,"sq",FS$7,"bn",FT$7,"dl",FU$7,"")*IF(FT82&gt;10,FT82/100,VLOOKUP(FT82,_rpe,SUBSTITUTE(FS82,"+","")+1,0)),IF(_xlfn.SWITCH(FO82,"sq",FS$7,"bn",FT$7,"dl",FU$7,"")&lt;IF(_uom="lbs",175,80),1.25,IF(_uom="lbs",5,2.5))))),"")</f>
        <v/>
      </c>
      <c s="70"/>
      <c s="63"/>
      <c s="97"/>
      <c s="44" t="str">
        <f>IFERROR(__xludf.DUMMYFUNCTION("IF(FU82=MAX(FILTER(FU$10:FU$199,LOOKUP(ROW(FO$10:FO$199),FILTER(ROW(FO$10:FO$199),FO$10:FO$199&lt;&gt;FO$9:FO$198))=LOOKUP(ROW(FO82),FILTER(ROW(FO$10:FO$199),FO$10:FO$199&lt;&gt;FO$9:FO$198)))),FV82,)"),"")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83" spans="1:259" ht="15.75" hidden="1" outlineLevel="1">
      <c r="A83" s="63"/>
      <c s="107"/>
      <c s="65" t="str">
        <f>IFERROR(__xludf.DUMMYFUNCTION("""COMPUTED_VALUE"""),"")</f>
        <v/>
      </c>
      <c s="66">
        <f ca="1"/>
        <v>45208</v>
      </c>
      <c s="108"/>
      <c s="94"/>
      <c s="95"/>
      <c s="96"/>
      <c s="97" t="str">
        <f t="array" ref="I83">IFERROR(IF(C83="ac"+ISNUMBER(SEARCH("'",H83))+G83="","",MROUND(_xlfn.SWITCH(C83,"sq",'Personal Info'!$O$15,"bn",'Personal Info'!$S$15,"dl",'Personal Info'!$W$15,"")*IF(H83&gt;10,H83/100,VLOOKUP(H83,_rpe,SUBSTITUTE(G83,"+","")+1,0)),IF(_xlfn.SWITCH(C83:C210,"sq",'Personal Info'!$O$15,"bn",'Personal Info'!$S$15,"dl",'Personal Info'!$W$15,"")&lt;IF(_uom="lbs",175,80),1.25,IF(_uom="lbs",5,2.5)))),"")</f>
        <v/>
      </c>
      <c s="70"/>
      <c s="63"/>
      <c s="97"/>
      <c s="44" t="str">
        <f>IFERROR(__xludf.DUMMYFUNCTION("IF(I83=MAX(FILTER(I$10:I$199,LOOKUP(ROW(C$10:C$199),FILTER(ROW(C$10:C$199),C$10:C$199&lt;&gt;C$9:C$198))=LOOKUP(ROW(C83),FILTER(ROW(C$10:C$199),C$10:C$199&lt;&gt;C$9:C$198)))),J83,)"),"")</f>
        <v/>
      </c>
      <c s="42"/>
      <c s="63"/>
      <c s="64" t="str">
        <f t="shared" si="11"/>
        <v/>
      </c>
      <c s="65" t="str">
        <f>IFERROR(__xludf.DUMMYFUNCTION("""COMPUTED_VALUE"""),"")</f>
        <v/>
      </c>
      <c s="66">
        <f ca="1"/>
        <v>45215</v>
      </c>
      <c s="93" t="str">
        <f t="shared" si="12"/>
        <v/>
      </c>
      <c s="94" t="str">
        <f t="shared" si="404"/>
        <v/>
      </c>
      <c s="95" t="str">
        <f t="shared" si="406"/>
        <v/>
      </c>
      <c s="98" t="str">
        <f t="shared" si="407"/>
        <v/>
      </c>
      <c s="97" t="str">
        <f t="array" ref="W83">IFERROR(IF(Q83="ac"+ISNUMBER(SEARCH("'",V83))+U83="","",IF(ISNUMBER(SEARCH("lw",V83)),I83+SUBSTITUTE(V83,"lw+",""),MROUND(_xlfn.SWITCH(Q83,"sq",U$7,"bn",V$7,"dl",W$7,"")*IF(V83&gt;10,V83/100,VLOOKUP(V83,_rpe,SUBSTITUTE(U83,"+","")+1,0)),IF(_xlfn.SWITCH(Q83,"sq",U$7,"bn",V$7,"dl",W$7,"")&lt;IF(_uom="lbs",175,80),1.25,IF(_uom="lbs",5,2.5))))),"")</f>
        <v/>
      </c>
      <c s="70"/>
      <c s="63"/>
      <c s="97"/>
      <c s="44" t="str">
        <f>IFERROR(__xludf.DUMMYFUNCTION("IF(W83=MAX(FILTER(W$10:W$199,LOOKUP(ROW(Q$10:Q$199),FILTER(ROW(Q$10:Q$199),Q$10:Q$199&lt;&gt;Q$9:Q$198))=LOOKUP(ROW(Q83),FILTER(ROW(Q$10:Q$199),Q$10:Q$199&lt;&gt;Q$9:Q$198)))),X83,)"),"")</f>
        <v/>
      </c>
      <c s="42"/>
      <c s="63"/>
      <c s="64" t="str">
        <f t="shared" si="14"/>
        <v/>
      </c>
      <c s="65" t="str">
        <f>IFERROR(__xludf.DUMMYFUNCTION("""COMPUTED_VALUE"""),"")</f>
        <v/>
      </c>
      <c s="66">
        <f ca="1"/>
        <v>45222</v>
      </c>
      <c s="93" t="str">
        <f t="shared" si="156"/>
        <v/>
      </c>
      <c s="94" t="str">
        <f t="shared" si="397"/>
        <v/>
      </c>
      <c s="95" t="str">
        <f t="shared" si="408"/>
        <v/>
      </c>
      <c s="98" t="str">
        <f t="shared" si="398"/>
        <v/>
      </c>
      <c s="97" t="str">
        <f t="array" ref="AK83">IFERROR(IF(AE83="ac"+ISNUMBER(SEARCH("'",AJ83))+AI83="","",IF(ISNUMBER(SEARCH("lw",AJ83)),W83+SUBSTITUTE(AJ83,"lw+",""),MROUND(_xlfn.SWITCH(AE83,"sq",AI$7,"bn",AJ$7,"dl",AK$7,"")*IF(AJ83&gt;10,AJ83/100,VLOOKUP(AJ83,_rpe,SUBSTITUTE(AI83,"+","")+1,0)),IF(_xlfn.SWITCH(AE83,"sq",AI$7,"bn",AJ$7,"dl",AK$7,"")&lt;IF(_uom="lbs",175,80),1.25,IF(_uom="lbs",5,2.5))))),"")</f>
        <v/>
      </c>
      <c s="70"/>
      <c s="63"/>
      <c s="97"/>
      <c s="44" t="str">
        <f>IFERROR(__xludf.DUMMYFUNCTION("IF(AK83=MAX(FILTER(AK$10:AK$199,LOOKUP(ROW(AE$10:AE$199),FILTER(ROW(AE$10:AE$199),AE$10:AE$199&lt;&gt;AE$9:AE$198))=LOOKUP(ROW(AE83),FILTER(ROW(AE$10:AE$199),AE$10:AE$199&lt;&gt;AE$9:AE$198)))),AL83,)"),"")</f>
        <v/>
      </c>
      <c s="42"/>
      <c s="63"/>
      <c s="64" t="str">
        <f t="shared" si="17"/>
        <v/>
      </c>
      <c s="65" t="str">
        <f>IFERROR(__xludf.DUMMYFUNCTION("""COMPUTED_VALUE"""),"")</f>
        <v/>
      </c>
      <c s="66">
        <f ca="1"/>
        <v>45229</v>
      </c>
      <c s="93" t="str">
        <f t="shared" si="157"/>
        <v/>
      </c>
      <c s="94" t="str">
        <f t="shared" si="399"/>
        <v/>
      </c>
      <c s="95" t="str">
        <f t="shared" si="409"/>
        <v/>
      </c>
      <c s="98" t="str">
        <f t="shared" si="400"/>
        <v/>
      </c>
      <c s="97" t="str">
        <f t="array" ref="AY83">IFERROR(IF(AS83="ac"+ISNUMBER(SEARCH("'",AX83))+AW83="","",IF(ISNUMBER(SEARCH("lw",AX83)),AK83+SUBSTITUTE(AX83,"lw+",""),MROUND(_xlfn.SWITCH(AS83,"sq",AW$7,"bn",AX$7,"dl",AY$7,"")*IF(AX83&gt;10,AX83/100,VLOOKUP(AX83,_rpe,SUBSTITUTE(AW83,"+","")+1,0)),IF(_xlfn.SWITCH(AS83,"sq",AW$7,"bn",AX$7,"dl",AY$7,"")&lt;IF(_uom="lbs",175,80),1.25,IF(_uom="lbs",5,2.5))))),"")</f>
        <v/>
      </c>
      <c s="70"/>
      <c s="63"/>
      <c s="97"/>
      <c s="44" t="str">
        <f>IFERROR(__xludf.DUMMYFUNCTION("IF(AY83=MAX(FILTER(AY$10:AY$199,LOOKUP(ROW(AS$10:AS$199),FILTER(ROW(AS$10:AS$199),AS$10:AS$199&lt;&gt;AS$9:AS$198))=LOOKUP(ROW(AS83),FILTER(ROW(AS$10:AS$199),AS$10:AS$199&lt;&gt;AS$9:AS$198)))),AZ83,)"),"")</f>
        <v/>
      </c>
      <c s="42"/>
      <c s="63"/>
      <c s="64" t="str">
        <f t="shared" si="19"/>
        <v/>
      </c>
      <c s="65" t="str">
        <f>IFERROR(__xludf.DUMMYFUNCTION("""COMPUTED_VALUE"""),"")</f>
        <v/>
      </c>
      <c s="66">
        <f ca="1"/>
        <v>45236</v>
      </c>
      <c s="93" t="str">
        <f t="shared" si="20"/>
        <v/>
      </c>
      <c s="94" t="str">
        <f t="shared" si="410"/>
        <v/>
      </c>
      <c s="95" t="str">
        <f t="shared" si="411"/>
        <v/>
      </c>
      <c s="98" t="str">
        <f t="shared" si="412"/>
        <v/>
      </c>
      <c s="97" t="str">
        <f t="array" ref="BM83">IFERROR(IF(BG83="ac"+ISNUMBER(SEARCH("'",BL83))+BK83="","",IF(ISNUMBER(SEARCH("lw",BL83)),AY83+SUBSTITUTE(BL83,"lw+",""),MROUND(_xlfn.SWITCH(BG83,"sq",BK$7,"bn",BL$7,"dl",BM$7,"")*IF(BL83&gt;10,BL83/100,VLOOKUP(BL83,_rpe,SUBSTITUTE(BK83,"+","")+1,0)),IF(_xlfn.SWITCH(BG83,"sq",BK$7,"bn",BL$7,"dl",BM$7,"")&lt;IF(_uom="lbs",175,80),1.25,IF(_uom="lbs",5,2.5))))),"")</f>
        <v/>
      </c>
      <c s="70"/>
      <c s="63"/>
      <c s="97"/>
      <c s="44" t="str">
        <f>IFERROR(__xludf.DUMMYFUNCTION("IF(BM83=MAX(FILTER(BM$10:BM$199,LOOKUP(ROW(BG$10:BG$199),FILTER(ROW(BG$10:BG$199),BG$10:BG$199&lt;&gt;BG$9:BG$198))=LOOKUP(ROW(BG83),FILTER(ROW(BG$10:BG$199),BG$10:BG$199&lt;&gt;BG$9:BG$198)))),BN83,)"),"")</f>
        <v/>
      </c>
      <c s="42"/>
      <c s="63"/>
      <c s="64" t="str">
        <f t="shared" si="21"/>
        <v/>
      </c>
      <c s="65" t="str">
        <f>IFERROR(__xludf.DUMMYFUNCTION("""COMPUTED_VALUE"""),"")</f>
        <v/>
      </c>
      <c s="66">
        <f ca="1"/>
        <v>45243</v>
      </c>
      <c s="93" t="str">
        <f t="shared" si="22"/>
        <v/>
      </c>
      <c s="94" t="str">
        <f t="shared" si="413"/>
        <v/>
      </c>
      <c s="95" t="str">
        <f t="shared" si="414"/>
        <v/>
      </c>
      <c s="98" t="str">
        <f t="shared" si="415"/>
        <v/>
      </c>
      <c s="97" t="str">
        <f t="array" ref="CA83">IFERROR(IF(BU83="ac"+ISNUMBER(SEARCH("'",BZ83))+BY83="","",IF(ISNUMBER(SEARCH("lw",BZ83)),BM83+SUBSTITUTE(BZ83,"lw+",""),MROUND(_xlfn.SWITCH(BU83,"sq",BY$7,"bn",BZ$7,"dl",CA$7,"")*IF(BZ83&gt;10,BZ83/100,VLOOKUP(BZ83,_rpe,SUBSTITUTE(BY83,"+","")+1,0)),IF(_xlfn.SWITCH(BU83,"sq",BY$7,"bn",BZ$7,"dl",CA$7,"")&lt;IF(_uom="lbs",175,80),1.25,IF(_uom="lbs",5,2.5))))),"")</f>
        <v/>
      </c>
      <c s="70"/>
      <c s="63"/>
      <c s="97"/>
      <c s="44" t="str">
        <f>IFERROR(__xludf.DUMMYFUNCTION("IF(CA83=MAX(FILTER(CA$10:CA$199,LOOKUP(ROW(BU$10:BU$199),FILTER(ROW(BU$10:BU$199),BU$10:BU$199&lt;&gt;BU$9:BU$198))=LOOKUP(ROW(BU83),FILTER(ROW(BU$10:BU$199),BU$10:BU$199&lt;&gt;BU$9:BU$198)))),CB83,)"),"")</f>
        <v/>
      </c>
      <c s="42"/>
      <c s="63"/>
      <c s="64" t="str">
        <f t="shared" si="24"/>
        <v/>
      </c>
      <c s="65" t="str">
        <f>IFERROR(__xludf.DUMMYFUNCTION("""COMPUTED_VALUE"""),"")</f>
        <v/>
      </c>
      <c s="66">
        <f ca="1"/>
        <v>45250</v>
      </c>
      <c s="93" t="str">
        <f t="shared" si="44"/>
        <v/>
      </c>
      <c s="94" t="str">
        <f t="shared" si="392"/>
        <v/>
      </c>
      <c s="95" t="str">
        <f t="shared" si="416"/>
        <v/>
      </c>
      <c s="98" t="str">
        <f t="shared" si="417"/>
        <v/>
      </c>
      <c s="97" t="str">
        <f t="array" ref="CO83">IFERROR(IF(CI83="ac"+ISNUMBER(SEARCH("'",CN83))+CM83="","",IF(ISNUMBER(SEARCH("lw",CN83)),CA83+SUBSTITUTE(CN83,"lw+",""),MROUND(_xlfn.SWITCH(CI83,"sq",CM$7,"bn",CN$7,"dl",CO$7,"")*IF(CN83&gt;10,CN83/100,VLOOKUP(CN83,_rpe,SUBSTITUTE(CM83,"+","")+1,0)),IF(_xlfn.SWITCH(CI83,"sq",CM$7,"bn",CN$7,"dl",CO$7,"")&lt;IF(_uom="lbs",175,80),1.25,IF(_uom="lbs",5,2.5))))),"")</f>
        <v/>
      </c>
      <c s="70"/>
      <c s="63"/>
      <c s="97"/>
      <c s="44" t="str">
        <f>IFERROR(__xludf.DUMMYFUNCTION("IF(CO83=MAX(FILTER(CO$10:CO$199,LOOKUP(ROW(CI$10:CI$199),FILTER(ROW(CI$10:CI$199),CI$10:CI$199&lt;&gt;CI$9:CI$198))=LOOKUP(ROW(CI83),FILTER(ROW(CI$10:CI$199),CI$10:CI$199&lt;&gt;CI$9:CI$198)))),CP83,)"),"")</f>
        <v/>
      </c>
      <c s="42"/>
      <c s="63"/>
      <c s="64" t="str">
        <f t="shared" si="27"/>
        <v/>
      </c>
      <c s="65" t="str">
        <f>IFERROR(__xludf.DUMMYFUNCTION("""COMPUTED_VALUE"""),"")</f>
        <v/>
      </c>
      <c s="66">
        <f ca="1"/>
        <v>45257</v>
      </c>
      <c s="93" t="str">
        <f t="shared" si="45"/>
        <v/>
      </c>
      <c s="94" t="str">
        <f t="shared" si="393"/>
        <v/>
      </c>
      <c s="95" t="str">
        <f t="shared" si="418"/>
        <v/>
      </c>
      <c s="98" t="str">
        <f t="shared" si="401"/>
        <v/>
      </c>
      <c s="97" t="str">
        <f t="array" ref="DC83">IFERROR(IF(CW83="ac"+ISNUMBER(SEARCH("'",DB83))+DA83="","",IF(ISNUMBER(SEARCH("lw",DB83)),CO83+SUBSTITUTE(DB83,"lw+",""),MROUND(_xlfn.SWITCH(CW83,"sq",DA$7,"bn",DB$7,"dl",DC$7,"")*IF(DB83&gt;10,DB83/100,VLOOKUP(DB83,_rpe,SUBSTITUTE(DA83,"+","")+1,0)),IF(_xlfn.SWITCH(CW83,"sq",DA$7,"bn",DB$7,"dl",DC$7,"")&lt;IF(_uom="lbs",175,80),1.25,IF(_uom="lbs",5,2.5))))),"")</f>
        <v/>
      </c>
      <c s="70"/>
      <c s="63"/>
      <c s="97"/>
      <c s="44" t="str">
        <f>IFERROR(__xludf.DUMMYFUNCTION("IF(DC83=MAX(FILTER(DC$10:DC$199,LOOKUP(ROW(CW$10:CW$199),FILTER(ROW(CW$10:CW$199),CW$10:CW$199&lt;&gt;CW$9:CW$198))=LOOKUP(ROW(CW83),FILTER(ROW(CW$10:CW$199),CW$10:CW$199&lt;&gt;CW$9:CW$198)))),DD83,)"),"")</f>
        <v/>
      </c>
      <c s="42"/>
      <c s="63"/>
      <c s="64" t="str">
        <f t="shared" si="30"/>
        <v/>
      </c>
      <c s="65" t="str">
        <f>IFERROR(__xludf.DUMMYFUNCTION("""COMPUTED_VALUE"""),"")</f>
        <v/>
      </c>
      <c s="66">
        <f ca="1"/>
        <v>45264</v>
      </c>
      <c s="93" t="str">
        <f t="shared" si="46"/>
        <v/>
      </c>
      <c s="94" t="str">
        <f t="shared" si="394"/>
        <v/>
      </c>
      <c s="95" t="str">
        <f t="shared" si="419"/>
        <v/>
      </c>
      <c s="98" t="str">
        <f t="shared" si="420"/>
        <v/>
      </c>
      <c s="97" t="str">
        <f t="array" ref="DQ83">IFERROR(IF(DK83="ac"+ISNUMBER(SEARCH("'",DP83))+DO83="","",IF(ISNUMBER(SEARCH("lw",DP83)),DC83+SUBSTITUTE(DP83,"lw+",""),MROUND(_xlfn.SWITCH(DK83,"sq",DO$7,"bn",DP$7,"dl",DQ$7,"")*IF(DP83&gt;10,DP83/100,VLOOKUP(DP83,_rpe,SUBSTITUTE(DO83,"+","")+1,0)),IF(_xlfn.SWITCH(DK83,"sq",DO$7,"bn",DP$7,"dl",DQ$7,"")&lt;IF(_uom="lbs",175,80),1.25,IF(_uom="lbs",5,2.5))))),"")</f>
        <v/>
      </c>
      <c s="70"/>
      <c s="63"/>
      <c s="97"/>
      <c s="44" t="str">
        <f>IFERROR(__xludf.DUMMYFUNCTION("IF(DQ83=MAX(FILTER(DQ$10:DQ$199,LOOKUP(ROW(DK$10:DK$199),FILTER(ROW(DK$10:DK$199),DK$10:DK$199&lt;&gt;DK$9:DK$198))=LOOKUP(ROW(DK83),FILTER(ROW(DK$10:DK$199),DK$10:DK$199&lt;&gt;DK$9:DK$198)))),DR83,)"),"")</f>
        <v/>
      </c>
      <c s="42"/>
      <c s="63"/>
      <c s="64" t="str">
        <f t="shared" si="32"/>
        <v/>
      </c>
      <c s="65" t="str">
        <f>IFERROR(__xludf.DUMMYFUNCTION("""COMPUTED_VALUE"""),"")</f>
        <v/>
      </c>
      <c s="66">
        <f ca="1"/>
        <v>45271</v>
      </c>
      <c s="93" t="str">
        <f t="shared" si="47"/>
        <v/>
      </c>
      <c s="94" t="str">
        <f t="shared" si="405"/>
        <v/>
      </c>
      <c s="95" t="str">
        <f t="shared" si="421"/>
        <v/>
      </c>
      <c s="98" t="str">
        <f t="shared" si="422"/>
        <v/>
      </c>
      <c s="97" t="str">
        <f t="array" ref="EE83">IFERROR(IF(DY83="ac"+ISNUMBER(SEARCH("'",ED83))+EC83="","",IF(ISNUMBER(SEARCH("lw",ED83)),DQ83+SUBSTITUTE(ED83,"lw+",""),MROUND(_xlfn.SWITCH(DY83,"sq",EC$7,"bn",ED$7,"dl",EE$7,"")*IF(ED83&gt;10,ED83/100,VLOOKUP(ED83,_rpe,SUBSTITUTE(EC83,"+","")+1,0)),IF(_xlfn.SWITCH(DY83,"sq",EC$7,"bn",ED$7,"dl",EE$7,"")&lt;IF(_uom="lbs",175,80),1.25,IF(_uom="lbs",5,2.5))))),"")</f>
        <v/>
      </c>
      <c s="70"/>
      <c s="63"/>
      <c s="97"/>
      <c s="44" t="str">
        <f>IFERROR(__xludf.DUMMYFUNCTION("IF(EE83=MAX(FILTER(EE$10:EE$199,LOOKUP(ROW(DY$10:DY$199),FILTER(ROW(DY$10:DY$199),DY$10:DY$199&lt;&gt;DY$9:DY$198))=LOOKUP(ROW(DY83),FILTER(ROW(DY$10:DY$199),DY$10:DY$199&lt;&gt;DY$9:DY$198)))),EF83,)"),"")</f>
        <v/>
      </c>
      <c s="42"/>
      <c s="63"/>
      <c s="64" t="str">
        <f t="shared" si="34"/>
        <v/>
      </c>
      <c s="65" t="str">
        <f>IFERROR(__xludf.DUMMYFUNCTION("""COMPUTED_VALUE"""),"")</f>
        <v/>
      </c>
      <c s="66">
        <f ca="1"/>
        <v>45278</v>
      </c>
      <c s="93" t="str">
        <f t="shared" si="48"/>
        <v/>
      </c>
      <c s="94" t="str">
        <f t="shared" si="395"/>
        <v/>
      </c>
      <c s="95" t="str">
        <f t="shared" si="423"/>
        <v/>
      </c>
      <c s="98" t="str">
        <f t="shared" si="402"/>
        <v/>
      </c>
      <c s="97" t="str">
        <f t="array" ref="ES83">IFERROR(IF(EM83="ac"+ISNUMBER(SEARCH("'",ER83))+EQ83="","",IF(ISNUMBER(SEARCH("lw",ER83)),EE83+SUBSTITUTE(ER83,"lw+",""),MROUND(_xlfn.SWITCH(EM83,"sq",EQ$7,"bn",ER$7,"dl",ES$7,"")*IF(ER83&gt;10,ER83/100,VLOOKUP(ER83,_rpe,SUBSTITUTE(EQ83,"+","")+1,0)),IF(_xlfn.SWITCH(EM83,"sq",EQ$7,"bn",ER$7,"dl",ES$7,"")&lt;IF(_uom="lbs",175,80),1.25,IF(_uom="lbs",5,2.5))))),"")</f>
        <v/>
      </c>
      <c s="70"/>
      <c s="63"/>
      <c s="97"/>
      <c s="44" t="str">
        <f>IFERROR(__xludf.DUMMYFUNCTION("IF(ES83=MAX(FILTER(ES$10:ES$199,LOOKUP(ROW(EM$10:EM$199),FILTER(ROW(EM$10:EM$199),EM$10:EM$199&lt;&gt;EM$9:EM$198))=LOOKUP(ROW(EM83),FILTER(ROW(EM$10:EM$199),EM$10:EM$199&lt;&gt;EM$9:EM$198)))),ET83,)"),"")</f>
        <v/>
      </c>
      <c s="42"/>
      <c s="63"/>
      <c s="64" t="str">
        <f t="shared" si="36"/>
        <v/>
      </c>
      <c s="65" t="str">
        <f>IFERROR(__xludf.DUMMYFUNCTION("""COMPUTED_VALUE"""),"")</f>
        <v/>
      </c>
      <c s="66">
        <f ca="1"/>
        <v>45285</v>
      </c>
      <c s="93" t="str">
        <f t="shared" si="49"/>
        <v/>
      </c>
      <c s="94" t="str">
        <f t="shared" si="396"/>
        <v/>
      </c>
      <c s="95" t="str">
        <f t="shared" si="424"/>
        <v/>
      </c>
      <c s="98" t="str">
        <f t="shared" si="403"/>
        <v/>
      </c>
      <c s="97" t="str">
        <f t="array" ref="FG83">IFERROR(IF(FA83="ac"+ISNUMBER(SEARCH("'",FF83))+FE83="","",IF(ISNUMBER(SEARCH("lw",FF83)),ES83+SUBSTITUTE(FF83,"lw+",""),MROUND(_xlfn.SWITCH(FA83,"sq",FE$7,"bn",FF$7,"dl",FG$7,"")*IF(FF83&gt;10,FF83/100,VLOOKUP(FF83,_rpe,SUBSTITUTE(FE83,"+","")+1,0)),IF(_xlfn.SWITCH(FA83,"sq",FE$7,"bn",FF$7,"dl",FG$7,"")&lt;IF(_uom="lbs",175,80),1.25,IF(_uom="lbs",5,2.5))))),"")</f>
        <v/>
      </c>
      <c s="70"/>
      <c s="63"/>
      <c s="97"/>
      <c s="44" t="str">
        <f>IFERROR(__xludf.DUMMYFUNCTION("IF(FG83=MAX(FILTER(FG$10:FG$199,LOOKUP(ROW(FA$10:FA$199),FILTER(ROW(FA$10:FA$199),FA$10:FA$199&lt;&gt;FA$9:FA$198))=LOOKUP(ROW(FA83),FILTER(ROW(FA$10:FA$199),FA$10:FA$199&lt;&gt;FA$9:FA$198)))),FH83,)"),"")</f>
        <v/>
      </c>
      <c s="42"/>
      <c s="63"/>
      <c s="64" t="str">
        <f t="shared" si="38"/>
        <v/>
      </c>
      <c s="65" t="str">
        <f>IFERROR(__xludf.DUMMYFUNCTION("""COMPUTED_VALUE"""),"")</f>
        <v/>
      </c>
      <c s="66">
        <f ca="1"/>
        <v>45292</v>
      </c>
      <c s="93"/>
      <c s="94"/>
      <c s="95"/>
      <c s="98"/>
      <c s="97" t="str">
        <f t="array" ref="FU83">IFERROR(IF(FO83="ac"+ISNUMBER(SEARCH("'",FT83))+FS83="","",IF(ISNUMBER(SEARCH("lw",FT83)),FG83+SUBSTITUTE(FT83,"lw+",""),MROUND(_xlfn.SWITCH(FO83,"sq",FS$7,"bn",FT$7,"dl",FU$7,"")*IF(FT83&gt;10,FT83/100,VLOOKUP(FT83,_rpe,SUBSTITUTE(FS83,"+","")+1,0)),IF(_xlfn.SWITCH(FO83,"sq",FS$7,"bn",FT$7,"dl",FU$7,"")&lt;IF(_uom="lbs",175,80),1.25,IF(_uom="lbs",5,2.5))))),"")</f>
        <v/>
      </c>
      <c s="70"/>
      <c s="63"/>
      <c s="97"/>
      <c s="44" t="str">
        <f>IFERROR(__xludf.DUMMYFUNCTION("IF(FU83=MAX(FILTER(FU$10:FU$199,LOOKUP(ROW(FO$10:FO$199),FILTER(ROW(FO$10:FO$199),FO$10:FO$199&lt;&gt;FO$9:FO$198))=LOOKUP(ROW(FO83),FILTER(ROW(FO$10:FO$199),FO$10:FO$199&lt;&gt;FO$9:FO$198)))),FV83,)"),"")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84" spans="1:259" ht="15.75" collapsed="1">
      <c r="A84" s="63"/>
      <c s="64" t="s">
        <v>206</v>
      </c>
      <c s="65" t="str">
        <f>IFERROR(__xludf.DUMMYFUNCTION("""COMPUTED_VALUE"""),"ac")</f>
        <v>ac</v>
      </c>
      <c s="66">
        <f ca="1"/>
        <v>45208</v>
      </c>
      <c s="93" t="s">
        <v>207</v>
      </c>
      <c s="94"/>
      <c s="95"/>
      <c s="96"/>
      <c s="97" t="str">
        <f t="array" ref="I84">IFERROR(IF(C84="ac"+ISNUMBER(SEARCH("'",H84))+G84="","",MROUND(_xlfn.SWITCH(C84,"sq",'Personal Info'!$O$15,"bn",'Personal Info'!$S$15,"dl",'Personal Info'!$W$15,"")*IF(H84&gt;10,H84/100,VLOOKUP(H84,_rpe,SUBSTITUTE(G84,"+","")+1,0)),IF(_xlfn.SWITCH(C84:C210,"sq",'Personal Info'!$O$15,"bn",'Personal Info'!$S$15,"dl",'Personal Info'!$W$15,"")&lt;IF(_uom="lbs",175,80),1.25,IF(_uom="lbs",5,2.5)))),"")</f>
        <v/>
      </c>
      <c s="70"/>
      <c s="63"/>
      <c s="97"/>
      <c s="44" t="str">
        <f>IFERROR(__xludf.DUMMYFUNCTION("IF(I84=MAX(FILTER(I$10:I$199,LOOKUP(ROW(C$10:C$199),FILTER(ROW(C$10:C$199),C$10:C$199&lt;&gt;C$9:C$198))=LOOKUP(ROW(C84),FILTER(ROW(C$10:C$199),C$10:C$199&lt;&gt;C$9:C$198)))),J84,)"),"")</f>
        <v/>
      </c>
      <c s="42"/>
      <c s="63"/>
      <c s="64" t="str">
        <f t="shared" si="11"/>
        <v>autonomy</v>
      </c>
      <c s="65" t="str">
        <f>IFERROR(__xludf.DUMMYFUNCTION("""COMPUTED_VALUE"""),"ac")</f>
        <v>ac</v>
      </c>
      <c s="66">
        <f ca="1"/>
        <v>45215</v>
      </c>
      <c s="93" t="str">
        <f t="shared" si="12"/>
        <v>Athlete Movement of Choice</v>
      </c>
      <c s="94" t="str">
        <f t="shared" si="404"/>
        <v/>
      </c>
      <c s="95" t="str">
        <f t="shared" si="406"/>
        <v/>
      </c>
      <c s="98" t="str">
        <f t="shared" si="407"/>
        <v/>
      </c>
      <c s="97" t="str">
        <f t="array" ref="W84">IFERROR(IF(Q84="ac"+ISNUMBER(SEARCH("'",V84))+U84="","",IF(ISNUMBER(SEARCH("lw",V84)),I84+SUBSTITUTE(V84,"lw+",""),MROUND(_xlfn.SWITCH(Q84,"sq",U$7,"bn",V$7,"dl",W$7,"")*IF(V84&gt;10,V84/100,VLOOKUP(V84,_rpe,SUBSTITUTE(U84,"+","")+1,0)),IF(_xlfn.SWITCH(Q84,"sq",U$7,"bn",V$7,"dl",W$7,"")&lt;IF(_uom="lbs",175,80),1.25,IF(_uom="lbs",5,2.5))))),"")</f>
        <v/>
      </c>
      <c s="70"/>
      <c s="63"/>
      <c s="97"/>
      <c s="44" t="str">
        <f>IFERROR(__xludf.DUMMYFUNCTION("IF(W84=MAX(FILTER(W$10:W$199,LOOKUP(ROW(Q$10:Q$199),FILTER(ROW(Q$10:Q$199),Q$10:Q$199&lt;&gt;Q$9:Q$198))=LOOKUP(ROW(Q84),FILTER(ROW(Q$10:Q$199),Q$10:Q$199&lt;&gt;Q$9:Q$198)))),X84,)"),"")</f>
        <v/>
      </c>
      <c s="42"/>
      <c s="63"/>
      <c s="64" t="str">
        <f t="shared" si="14"/>
        <v>autonomy</v>
      </c>
      <c s="65" t="str">
        <f>IFERROR(__xludf.DUMMYFUNCTION("""COMPUTED_VALUE"""),"ac")</f>
        <v>ac</v>
      </c>
      <c s="66">
        <f ca="1"/>
        <v>45222</v>
      </c>
      <c s="93" t="str">
        <f t="shared" si="156"/>
        <v>Athlete Movement of Choice</v>
      </c>
      <c s="94" t="str">
        <f t="shared" si="397"/>
        <v/>
      </c>
      <c s="95" t="str">
        <f t="shared" si="408"/>
        <v/>
      </c>
      <c s="98" t="str">
        <f t="shared" si="398"/>
        <v/>
      </c>
      <c s="97" t="str">
        <f t="array" ref="AK84">IFERROR(IF(AE84="ac"+ISNUMBER(SEARCH("'",AJ84))+AI84="","",IF(ISNUMBER(SEARCH("lw",AJ84)),W84+SUBSTITUTE(AJ84,"lw+",""),MROUND(_xlfn.SWITCH(AE84,"sq",AI$7,"bn",AJ$7,"dl",AK$7,"")*IF(AJ84&gt;10,AJ84/100,VLOOKUP(AJ84,_rpe,SUBSTITUTE(AI84,"+","")+1,0)),IF(_xlfn.SWITCH(AE84,"sq",AI$7,"bn",AJ$7,"dl",AK$7,"")&lt;IF(_uom="lbs",175,80),1.25,IF(_uom="lbs",5,2.5))))),"")</f>
        <v/>
      </c>
      <c s="70"/>
      <c s="63"/>
      <c s="97"/>
      <c s="44" t="str">
        <f>IFERROR(__xludf.DUMMYFUNCTION("IF(AK84=MAX(FILTER(AK$10:AK$199,LOOKUP(ROW(AE$10:AE$199),FILTER(ROW(AE$10:AE$199),AE$10:AE$199&lt;&gt;AE$9:AE$198))=LOOKUP(ROW(AE84),FILTER(ROW(AE$10:AE$199),AE$10:AE$199&lt;&gt;AE$9:AE$198)))),AL84,)"),"")</f>
        <v/>
      </c>
      <c s="42"/>
      <c s="63"/>
      <c s="64" t="str">
        <f t="shared" si="17"/>
        <v>autonomy</v>
      </c>
      <c s="65" t="str">
        <f>IFERROR(__xludf.DUMMYFUNCTION("""COMPUTED_VALUE"""),"ac")</f>
        <v>ac</v>
      </c>
      <c s="66">
        <f ca="1"/>
        <v>45229</v>
      </c>
      <c s="93" t="str">
        <f t="shared" si="157"/>
        <v>Athlete Movement of Choice</v>
      </c>
      <c s="94" t="str">
        <f t="shared" si="399"/>
        <v/>
      </c>
      <c s="95" t="str">
        <f t="shared" si="409"/>
        <v/>
      </c>
      <c s="98" t="str">
        <f t="shared" si="400"/>
        <v/>
      </c>
      <c s="97" t="str">
        <f t="array" ref="AY84">IFERROR(IF(AS84="ac"+ISNUMBER(SEARCH("'",AX84))+AW84="","",IF(ISNUMBER(SEARCH("lw",AX84)),AK84+SUBSTITUTE(AX84,"lw+",""),MROUND(_xlfn.SWITCH(AS84,"sq",AW$7,"bn",AX$7,"dl",AY$7,"")*IF(AX84&gt;10,AX84/100,VLOOKUP(AX84,_rpe,SUBSTITUTE(AW84,"+","")+1,0)),IF(_xlfn.SWITCH(AS84,"sq",AW$7,"bn",AX$7,"dl",AY$7,"")&lt;IF(_uom="lbs",175,80),1.25,IF(_uom="lbs",5,2.5))))),"")</f>
        <v/>
      </c>
      <c s="70"/>
      <c s="63"/>
      <c s="97"/>
      <c s="44" t="str">
        <f>IFERROR(__xludf.DUMMYFUNCTION("IF(AY84=MAX(FILTER(AY$10:AY$199,LOOKUP(ROW(AS$10:AS$199),FILTER(ROW(AS$10:AS$199),AS$10:AS$199&lt;&gt;AS$9:AS$198))=LOOKUP(ROW(AS84),FILTER(ROW(AS$10:AS$199),AS$10:AS$199&lt;&gt;AS$9:AS$198)))),AZ84,)"),"")</f>
        <v/>
      </c>
      <c s="42"/>
      <c s="63"/>
      <c s="64" t="str">
        <f t="shared" si="19"/>
        <v>autonomy</v>
      </c>
      <c s="65" t="str">
        <f>IFERROR(__xludf.DUMMYFUNCTION("""COMPUTED_VALUE"""),"ac")</f>
        <v>ac</v>
      </c>
      <c s="66">
        <f ca="1"/>
        <v>45236</v>
      </c>
      <c s="93" t="str">
        <f t="shared" si="20"/>
        <v>Athlete Movement of Choice</v>
      </c>
      <c s="94">
        <v>2</v>
      </c>
      <c s="95" t="str">
        <f t="shared" si="411"/>
        <v/>
      </c>
      <c s="98" t="str">
        <f t="shared" si="412"/>
        <v/>
      </c>
      <c s="97" t="str">
        <f t="array" ref="BM84">IFERROR(IF(BG84="ac"+ISNUMBER(SEARCH("'",BL84))+BK84="","",IF(ISNUMBER(SEARCH("lw",BL84)),AY84+SUBSTITUTE(BL84,"lw+",""),MROUND(_xlfn.SWITCH(BG84,"sq",BK$7,"bn",BL$7,"dl",BM$7,"")*IF(BL84&gt;10,BL84/100,VLOOKUP(BL84,_rpe,SUBSTITUTE(BK84,"+","")+1,0)),IF(_xlfn.SWITCH(BG84,"sq",BK$7,"bn",BL$7,"dl",BM$7,"")&lt;IF(_uom="lbs",175,80),1.25,IF(_uom="lbs",5,2.5))))),"")</f>
        <v/>
      </c>
      <c s="70"/>
      <c s="63"/>
      <c s="97"/>
      <c s="44" t="str">
        <f>IFERROR(__xludf.DUMMYFUNCTION("IF(BM84=MAX(FILTER(BM$10:BM$199,LOOKUP(ROW(BG$10:BG$199),FILTER(ROW(BG$10:BG$199),BG$10:BG$199&lt;&gt;BG$9:BG$198))=LOOKUP(ROW(BG84),FILTER(ROW(BG$10:BG$199),BG$10:BG$199&lt;&gt;BG$9:BG$198)))),BN84,)"),"")</f>
        <v/>
      </c>
      <c s="42"/>
      <c s="63"/>
      <c s="64" t="str">
        <f t="shared" si="21"/>
        <v>autonomy</v>
      </c>
      <c s="65" t="str">
        <f>IFERROR(__xludf.DUMMYFUNCTION("""COMPUTED_VALUE"""),"ac")</f>
        <v>ac</v>
      </c>
      <c s="66">
        <f ca="1"/>
        <v>45243</v>
      </c>
      <c s="93" t="str">
        <f t="shared" si="22"/>
        <v>Athlete Movement of Choice</v>
      </c>
      <c s="94">
        <v>3</v>
      </c>
      <c s="95" t="str">
        <f t="shared" si="414"/>
        <v/>
      </c>
      <c s="98" t="str">
        <f t="shared" si="415"/>
        <v/>
      </c>
      <c s="97" t="str">
        <f t="array" ref="CA84">IFERROR(IF(BU84="ac"+ISNUMBER(SEARCH("'",BZ84))+BY84="","",IF(ISNUMBER(SEARCH("lw",BZ84)),BM84+SUBSTITUTE(BZ84,"lw+",""),MROUND(_xlfn.SWITCH(BU84,"sq",BY$7,"bn",BZ$7,"dl",CA$7,"")*IF(BZ84&gt;10,BZ84/100,VLOOKUP(BZ84,_rpe,SUBSTITUTE(BY84,"+","")+1,0)),IF(_xlfn.SWITCH(BU84,"sq",BY$7,"bn",BZ$7,"dl",CA$7,"")&lt;IF(_uom="lbs",175,80),1.25,IF(_uom="lbs",5,2.5))))),"")</f>
        <v/>
      </c>
      <c s="70"/>
      <c s="63"/>
      <c s="97"/>
      <c s="44" t="str">
        <f>IFERROR(__xludf.DUMMYFUNCTION("IF(CA84=MAX(FILTER(CA$10:CA$199,LOOKUP(ROW(BU$10:BU$199),FILTER(ROW(BU$10:BU$199),BU$10:BU$199&lt;&gt;BU$9:BU$198))=LOOKUP(ROW(BU84),FILTER(ROW(BU$10:BU$199),BU$10:BU$199&lt;&gt;BU$9:BU$198)))),CB84,)"),"")</f>
        <v/>
      </c>
      <c s="42"/>
      <c s="63"/>
      <c s="64" t="str">
        <f t="shared" si="24"/>
        <v>autonomy</v>
      </c>
      <c s="65" t="str">
        <f>IFERROR(__xludf.DUMMYFUNCTION("""COMPUTED_VALUE"""),"ac")</f>
        <v>ac</v>
      </c>
      <c s="66">
        <f ca="1"/>
        <v>45250</v>
      </c>
      <c s="93" t="str">
        <f t="shared" si="44"/>
        <v>Athlete Movement of Choice</v>
      </c>
      <c s="94">
        <f t="shared" si="392"/>
        <v>3</v>
      </c>
      <c s="95" t="str">
        <f t="shared" si="416"/>
        <v/>
      </c>
      <c s="98" t="str">
        <f t="shared" si="417"/>
        <v/>
      </c>
      <c s="97" t="str">
        <f t="array" ref="CO84">IFERROR(IF(CI84="ac"+ISNUMBER(SEARCH("'",CN84))+CM84="","",IF(ISNUMBER(SEARCH("lw",CN84)),CA84+SUBSTITUTE(CN84,"lw+",""),MROUND(_xlfn.SWITCH(CI84,"sq",CM$7,"bn",CN$7,"dl",CO$7,"")*IF(CN84&gt;10,CN84/100,VLOOKUP(CN84,_rpe,SUBSTITUTE(CM84,"+","")+1,0)),IF(_xlfn.SWITCH(CI84,"sq",CM$7,"bn",CN$7,"dl",CO$7,"")&lt;IF(_uom="lbs",175,80),1.25,IF(_uom="lbs",5,2.5))))),"")</f>
        <v/>
      </c>
      <c s="70"/>
      <c s="63"/>
      <c s="97"/>
      <c s="44" t="str">
        <f>IFERROR(__xludf.DUMMYFUNCTION("IF(CO84=MAX(FILTER(CO$10:CO$199,LOOKUP(ROW(CI$10:CI$199),FILTER(ROW(CI$10:CI$199),CI$10:CI$199&lt;&gt;CI$9:CI$198))=LOOKUP(ROW(CI84),FILTER(ROW(CI$10:CI$199),CI$10:CI$199&lt;&gt;CI$9:CI$198)))),CP84,)"),"")</f>
        <v/>
      </c>
      <c s="42"/>
      <c s="63"/>
      <c s="64" t="str">
        <f t="shared" si="27"/>
        <v>autonomy</v>
      </c>
      <c s="65" t="str">
        <f>IFERROR(__xludf.DUMMYFUNCTION("""COMPUTED_VALUE"""),"ac")</f>
        <v>ac</v>
      </c>
      <c s="66">
        <f ca="1"/>
        <v>45257</v>
      </c>
      <c s="93" t="str">
        <f t="shared" si="45"/>
        <v>Athlete Movement of Choice</v>
      </c>
      <c s="94">
        <f t="shared" si="393"/>
        <v>3</v>
      </c>
      <c s="95" t="str">
        <f t="shared" si="418"/>
        <v/>
      </c>
      <c s="98" t="str">
        <f t="shared" si="401"/>
        <v/>
      </c>
      <c s="97" t="str">
        <f t="array" ref="DC84">IFERROR(IF(CW84="ac"+ISNUMBER(SEARCH("'",DB84))+DA84="","",IF(ISNUMBER(SEARCH("lw",DB84)),CO84+SUBSTITUTE(DB84,"lw+",""),MROUND(_xlfn.SWITCH(CW84,"sq",DA$7,"bn",DB$7,"dl",DC$7,"")*IF(DB84&gt;10,DB84/100,VLOOKUP(DB84,_rpe,SUBSTITUTE(DA84,"+","")+1,0)),IF(_xlfn.SWITCH(CW84,"sq",DA$7,"bn",DB$7,"dl",DC$7,"")&lt;IF(_uom="lbs",175,80),1.25,IF(_uom="lbs",5,2.5))))),"")</f>
        <v/>
      </c>
      <c s="70"/>
      <c s="63"/>
      <c s="97"/>
      <c s="44" t="str">
        <f>IFERROR(__xludf.DUMMYFUNCTION("IF(DC84=MAX(FILTER(DC$10:DC$199,LOOKUP(ROW(CW$10:CW$199),FILTER(ROW(CW$10:CW$199),CW$10:CW$199&lt;&gt;CW$9:CW$198))=LOOKUP(ROW(CW84),FILTER(ROW(CW$10:CW$199),CW$10:CW$199&lt;&gt;CW$9:CW$198)))),DD84,)"),"")</f>
        <v/>
      </c>
      <c s="42"/>
      <c s="63"/>
      <c s="64" t="str">
        <f t="shared" si="30"/>
        <v>autonomy</v>
      </c>
      <c s="65" t="str">
        <f>IFERROR(__xludf.DUMMYFUNCTION("""COMPUTED_VALUE"""),"ac")</f>
        <v>ac</v>
      </c>
      <c s="66">
        <f ca="1"/>
        <v>45264</v>
      </c>
      <c s="93" t="str">
        <f t="shared" si="46"/>
        <v>Athlete Movement of Choice</v>
      </c>
      <c s="94">
        <f t="shared" si="394"/>
        <v>3</v>
      </c>
      <c s="95" t="str">
        <f t="shared" si="419"/>
        <v/>
      </c>
      <c s="98" t="str">
        <f t="shared" si="420"/>
        <v/>
      </c>
      <c s="97" t="str">
        <f t="array" ref="DQ84">IFERROR(IF(DK84="ac"+ISNUMBER(SEARCH("'",DP84))+DO84="","",IF(ISNUMBER(SEARCH("lw",DP84)),DC84+SUBSTITUTE(DP84,"lw+",""),MROUND(_xlfn.SWITCH(DK84,"sq",DO$7,"bn",DP$7,"dl",DQ$7,"")*IF(DP84&gt;10,DP84/100,VLOOKUP(DP84,_rpe,SUBSTITUTE(DO84,"+","")+1,0)),IF(_xlfn.SWITCH(DK84,"sq",DO$7,"bn",DP$7,"dl",DQ$7,"")&lt;IF(_uom="lbs",175,80),1.25,IF(_uom="lbs",5,2.5))))),"")</f>
        <v/>
      </c>
      <c s="70"/>
      <c s="63"/>
      <c s="97"/>
      <c s="44" t="str">
        <f>IFERROR(__xludf.DUMMYFUNCTION("IF(DQ84=MAX(FILTER(DQ$10:DQ$199,LOOKUP(ROW(DK$10:DK$199),FILTER(ROW(DK$10:DK$199),DK$10:DK$199&lt;&gt;DK$9:DK$198))=LOOKUP(ROW(DK84),FILTER(ROW(DK$10:DK$199),DK$10:DK$199&lt;&gt;DK$9:DK$198)))),DR84,)"),"")</f>
        <v/>
      </c>
      <c s="42"/>
      <c s="63"/>
      <c s="64" t="str">
        <f t="shared" si="32"/>
        <v>autonomy</v>
      </c>
      <c s="65" t="str">
        <f>IFERROR(__xludf.DUMMYFUNCTION("""COMPUTED_VALUE"""),"ac")</f>
        <v>ac</v>
      </c>
      <c s="66">
        <f ca="1"/>
        <v>45271</v>
      </c>
      <c s="93" t="str">
        <f t="shared" si="47"/>
        <v>Athlete Movement of Choice</v>
      </c>
      <c s="94">
        <f t="shared" si="405"/>
        <v>3</v>
      </c>
      <c s="95" t="str">
        <f t="shared" si="421"/>
        <v/>
      </c>
      <c s="98" t="str">
        <f t="shared" si="422"/>
        <v/>
      </c>
      <c s="97" t="str">
        <f t="array" ref="EE84">IFERROR(IF(DY84="ac"+ISNUMBER(SEARCH("'",ED84))+EC84="","",IF(ISNUMBER(SEARCH("lw",ED84)),DQ84+SUBSTITUTE(ED84,"lw+",""),MROUND(_xlfn.SWITCH(DY84,"sq",EC$7,"bn",ED$7,"dl",EE$7,"")*IF(ED84&gt;10,ED84/100,VLOOKUP(ED84,_rpe,SUBSTITUTE(EC84,"+","")+1,0)),IF(_xlfn.SWITCH(DY84,"sq",EC$7,"bn",ED$7,"dl",EE$7,"")&lt;IF(_uom="lbs",175,80),1.25,IF(_uom="lbs",5,2.5))))),"")</f>
        <v/>
      </c>
      <c s="70"/>
      <c s="63"/>
      <c s="97"/>
      <c s="44" t="str">
        <f>IFERROR(__xludf.DUMMYFUNCTION("IF(EE84=MAX(FILTER(EE$10:EE$199,LOOKUP(ROW(DY$10:DY$199),FILTER(ROW(DY$10:DY$199),DY$10:DY$199&lt;&gt;DY$9:DY$198))=LOOKUP(ROW(DY84),FILTER(ROW(DY$10:DY$199),DY$10:DY$199&lt;&gt;DY$9:DY$198)))),EF84,)"),"")</f>
        <v/>
      </c>
      <c s="42"/>
      <c s="63"/>
      <c s="64" t="str">
        <f t="shared" si="34"/>
        <v>autonomy</v>
      </c>
      <c s="65" t="str">
        <f>IFERROR(__xludf.DUMMYFUNCTION("""COMPUTED_VALUE"""),"ac")</f>
        <v>ac</v>
      </c>
      <c s="66">
        <f ca="1"/>
        <v>45278</v>
      </c>
      <c s="93" t="str">
        <f t="shared" si="48"/>
        <v>Athlete Movement of Choice</v>
      </c>
      <c s="94">
        <f t="shared" si="395"/>
        <v>3</v>
      </c>
      <c s="95" t="str">
        <f t="shared" si="423"/>
        <v/>
      </c>
      <c s="98" t="str">
        <f t="shared" si="402"/>
        <v/>
      </c>
      <c s="97" t="str">
        <f t="array" ref="ES84">IFERROR(IF(EM84="ac"+ISNUMBER(SEARCH("'",ER84))+EQ84="","",IF(ISNUMBER(SEARCH("lw",ER84)),EE84+SUBSTITUTE(ER84,"lw+",""),MROUND(_xlfn.SWITCH(EM84,"sq",EQ$7,"bn",ER$7,"dl",ES$7,"")*IF(ER84&gt;10,ER84/100,VLOOKUP(ER84,_rpe,SUBSTITUTE(EQ84,"+","")+1,0)),IF(_xlfn.SWITCH(EM84,"sq",EQ$7,"bn",ER$7,"dl",ES$7,"")&lt;IF(_uom="lbs",175,80),1.25,IF(_uom="lbs",5,2.5))))),"")</f>
        <v/>
      </c>
      <c s="70"/>
      <c s="63"/>
      <c s="97"/>
      <c s="44" t="str">
        <f>IFERROR(__xludf.DUMMYFUNCTION("IF(ES84=MAX(FILTER(ES$10:ES$199,LOOKUP(ROW(EM$10:EM$199),FILTER(ROW(EM$10:EM$199),EM$10:EM$199&lt;&gt;EM$9:EM$198))=LOOKUP(ROW(EM84),FILTER(ROW(EM$10:EM$199),EM$10:EM$199&lt;&gt;EM$9:EM$198)))),ET84,)"),"")</f>
        <v/>
      </c>
      <c s="42"/>
      <c s="63"/>
      <c s="64" t="str">
        <f t="shared" si="36"/>
        <v>autonomy</v>
      </c>
      <c s="65" t="str">
        <f>IFERROR(__xludf.DUMMYFUNCTION("""COMPUTED_VALUE"""),"ac")</f>
        <v>ac</v>
      </c>
      <c s="66">
        <f ca="1"/>
        <v>45285</v>
      </c>
      <c s="93" t="str">
        <f t="shared" si="49"/>
        <v>Athlete Movement of Choice</v>
      </c>
      <c s="94">
        <f t="shared" si="396"/>
        <v>3</v>
      </c>
      <c s="95" t="str">
        <f t="shared" si="424"/>
        <v/>
      </c>
      <c s="98" t="str">
        <f t="shared" si="403"/>
        <v/>
      </c>
      <c s="97" t="str">
        <f t="array" ref="FG84">IFERROR(IF(FA84="ac"+ISNUMBER(SEARCH("'",FF84))+FE84="","",IF(ISNUMBER(SEARCH("lw",FF84)),ES84+SUBSTITUTE(FF84,"lw+",""),MROUND(_xlfn.SWITCH(FA84,"sq",FE$7,"bn",FF$7,"dl",FG$7,"")*IF(FF84&gt;10,FF84/100,VLOOKUP(FF84,_rpe,SUBSTITUTE(FE84,"+","")+1,0)),IF(_xlfn.SWITCH(FA84,"sq",FE$7,"bn",FF$7,"dl",FG$7,"")&lt;IF(_uom="lbs",175,80),1.25,IF(_uom="lbs",5,2.5))))),"")</f>
        <v/>
      </c>
      <c s="70"/>
      <c s="63"/>
      <c s="97"/>
      <c s="44" t="str">
        <f>IFERROR(__xludf.DUMMYFUNCTION("IF(FG84=MAX(FILTER(FG$10:FG$199,LOOKUP(ROW(FA$10:FA$199),FILTER(ROW(FA$10:FA$199),FA$10:FA$199&lt;&gt;FA$9:FA$198))=LOOKUP(ROW(FA84),FILTER(ROW(FA$10:FA$199),FA$10:FA$199&lt;&gt;FA$9:FA$198)))),FH84,)"),"")</f>
        <v/>
      </c>
      <c s="42"/>
      <c s="63"/>
      <c s="64" t="str">
        <f t="shared" si="38"/>
        <v>autonomy</v>
      </c>
      <c s="65" t="str">
        <f>IFERROR(__xludf.DUMMYFUNCTION("""COMPUTED_VALUE"""),"")</f>
        <v/>
      </c>
      <c s="66">
        <f ca="1"/>
        <v>45292</v>
      </c>
      <c s="93"/>
      <c s="94"/>
      <c s="95"/>
      <c s="98"/>
      <c s="97" t="str">
        <f t="array" ref="FU84">IFERROR(IF(FO84="ac"+ISNUMBER(SEARCH("'",FT84))+FS84="","",IF(ISNUMBER(SEARCH("lw",FT84)),FG84+SUBSTITUTE(FT84,"lw+",""),MROUND(_xlfn.SWITCH(FO84,"sq",FS$7,"bn",FT$7,"dl",FU$7,"")*IF(FT84&gt;10,FT84/100,VLOOKUP(FT84,_rpe,SUBSTITUTE(FS84,"+","")+1,0)),IF(_xlfn.SWITCH(FO84,"sq",FS$7,"bn",FT$7,"dl",FU$7,"")&lt;IF(_uom="lbs",175,80),1.25,IF(_uom="lbs",5,2.5))))),"")</f>
        <v/>
      </c>
      <c s="70"/>
      <c s="63"/>
      <c s="97"/>
      <c s="44" t="str">
        <f>IFERROR(__xludf.DUMMYFUNCTION("IF(FU84=MAX(FILTER(FU$10:FU$199,LOOKUP(ROW(FO$10:FO$199),FILTER(ROW(FO$10:FO$199),FO$10:FO$199&lt;&gt;FO$9:FO$198))=LOOKUP(ROW(FO84),FILTER(ROW(FO$10:FO$199),FO$10:FO$199&lt;&gt;FO$9:FO$198)))),FV84,)"),"")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85" spans="1:259" ht="15.75" hidden="1" outlineLevel="1">
      <c r="A85" s="63"/>
      <c s="107"/>
      <c s="65" t="str">
        <f>IFERROR(__xludf.DUMMYFUNCTION("""COMPUTED_VALUE"""),"")</f>
        <v/>
      </c>
      <c s="66">
        <f ca="1"/>
        <v>45208</v>
      </c>
      <c s="108"/>
      <c s="94"/>
      <c s="95"/>
      <c s="96"/>
      <c s="97" t="str">
        <f t="array" ref="I85">IFERROR(IF(C85="ac"+ISNUMBER(SEARCH("'",H85))+G85="","",MROUND(_xlfn.SWITCH(C85,"sq",'Personal Info'!$O$15,"bn",'Personal Info'!$S$15,"dl",'Personal Info'!$W$15,"")*IF(H85&gt;10,H85/100,VLOOKUP(H85,_rpe,SUBSTITUTE(G85,"+","")+1,0)),IF(_xlfn.SWITCH(C85:C210,"sq",'Personal Info'!$O$15,"bn",'Personal Info'!$S$15,"dl",'Personal Info'!$W$15,"")&lt;IF(_uom="lbs",175,80),1.25,IF(_uom="lbs",5,2.5)))),"")</f>
        <v/>
      </c>
      <c s="70"/>
      <c s="63"/>
      <c s="97"/>
      <c s="44" t="str">
        <f>IFERROR(__xludf.DUMMYFUNCTION("IF(I85=MAX(FILTER(I$10:I$199,LOOKUP(ROW(C$10:C$199),FILTER(ROW(C$10:C$199),C$10:C$199&lt;&gt;C$9:C$198))=LOOKUP(ROW(C85),FILTER(ROW(C$10:C$199),C$10:C$199&lt;&gt;C$9:C$198)))),J85,)"),"")</f>
        <v/>
      </c>
      <c s="42"/>
      <c s="63"/>
      <c s="64" t="str">
        <f t="shared" si="11"/>
        <v/>
      </c>
      <c s="65" t="str">
        <f>IFERROR(__xludf.DUMMYFUNCTION("""COMPUTED_VALUE"""),"")</f>
        <v/>
      </c>
      <c s="66">
        <f ca="1"/>
        <v>45215</v>
      </c>
      <c s="93" t="str">
        <f t="shared" si="12"/>
        <v/>
      </c>
      <c s="94" t="str">
        <f t="shared" si="404"/>
        <v/>
      </c>
      <c s="95" t="str">
        <f t="shared" si="406"/>
        <v/>
      </c>
      <c s="98" t="str">
        <f t="shared" si="407"/>
        <v/>
      </c>
      <c s="97" t="str">
        <f t="array" ref="W85">IFERROR(IF(Q85="ac"+ISNUMBER(SEARCH("'",V85))+U85="","",IF(ISNUMBER(SEARCH("lw",V85)),I85+SUBSTITUTE(V85,"lw+",""),MROUND(_xlfn.SWITCH(Q85,"sq",U$7,"bn",V$7,"dl",W$7,"")*IF(V85&gt;10,V85/100,VLOOKUP(V85,_rpe,SUBSTITUTE(U85,"+","")+1,0)),IF(_xlfn.SWITCH(Q85,"sq",U$7,"bn",V$7,"dl",W$7,"")&lt;IF(_uom="lbs",175,80),1.25,IF(_uom="lbs",5,2.5))))),"")</f>
        <v/>
      </c>
      <c s="70"/>
      <c s="63"/>
      <c s="97"/>
      <c s="44" t="str">
        <f>IFERROR(__xludf.DUMMYFUNCTION("IF(W85=MAX(FILTER(W$10:W$199,LOOKUP(ROW(Q$10:Q$199),FILTER(ROW(Q$10:Q$199),Q$10:Q$199&lt;&gt;Q$9:Q$198))=LOOKUP(ROW(Q85),FILTER(ROW(Q$10:Q$199),Q$10:Q$199&lt;&gt;Q$9:Q$198)))),X85,)"),"")</f>
        <v/>
      </c>
      <c s="42"/>
      <c s="63"/>
      <c s="64" t="str">
        <f t="shared" si="14"/>
        <v/>
      </c>
      <c s="65" t="str">
        <f>IFERROR(__xludf.DUMMYFUNCTION("""COMPUTED_VALUE"""),"")</f>
        <v/>
      </c>
      <c s="66">
        <f ca="1"/>
        <v>45222</v>
      </c>
      <c s="93" t="str">
        <f t="shared" si="156"/>
        <v/>
      </c>
      <c s="94" t="str">
        <f t="shared" si="397"/>
        <v/>
      </c>
      <c s="95" t="str">
        <f t="shared" si="408"/>
        <v/>
      </c>
      <c s="98" t="str">
        <f t="shared" si="398"/>
        <v/>
      </c>
      <c s="97" t="str">
        <f t="array" ref="AK85">IFERROR(IF(AE85="ac"+ISNUMBER(SEARCH("'",AJ85))+AI85="","",IF(ISNUMBER(SEARCH("lw",AJ85)),W85+SUBSTITUTE(AJ85,"lw+",""),MROUND(_xlfn.SWITCH(AE85,"sq",AI$7,"bn",AJ$7,"dl",AK$7,"")*IF(AJ85&gt;10,AJ85/100,VLOOKUP(AJ85,_rpe,SUBSTITUTE(AI85,"+","")+1,0)),IF(_xlfn.SWITCH(AE85,"sq",AI$7,"bn",AJ$7,"dl",AK$7,"")&lt;IF(_uom="lbs",175,80),1.25,IF(_uom="lbs",5,2.5))))),"")</f>
        <v/>
      </c>
      <c s="70"/>
      <c s="63"/>
      <c s="97"/>
      <c s="44" t="str">
        <f>IFERROR(__xludf.DUMMYFUNCTION("IF(AK85=MAX(FILTER(AK$10:AK$199,LOOKUP(ROW(AE$10:AE$199),FILTER(ROW(AE$10:AE$199),AE$10:AE$199&lt;&gt;AE$9:AE$198))=LOOKUP(ROW(AE85),FILTER(ROW(AE$10:AE$199),AE$10:AE$199&lt;&gt;AE$9:AE$198)))),AL85,)"),"")</f>
        <v/>
      </c>
      <c s="42"/>
      <c s="63"/>
      <c s="64" t="str">
        <f t="shared" si="17"/>
        <v/>
      </c>
      <c s="65" t="str">
        <f>IFERROR(__xludf.DUMMYFUNCTION("""COMPUTED_VALUE"""),"")</f>
        <v/>
      </c>
      <c s="66">
        <f ca="1"/>
        <v>45229</v>
      </c>
      <c s="93" t="str">
        <f t="shared" si="157"/>
        <v/>
      </c>
      <c s="94" t="str">
        <f t="shared" si="399"/>
        <v/>
      </c>
      <c s="95" t="str">
        <f t="shared" si="409"/>
        <v/>
      </c>
      <c s="98" t="str">
        <f t="shared" si="400"/>
        <v/>
      </c>
      <c s="97" t="str">
        <f t="array" ref="AY85">IFERROR(IF(AS85="ac"+ISNUMBER(SEARCH("'",AX85))+AW85="","",IF(ISNUMBER(SEARCH("lw",AX85)),AK85+SUBSTITUTE(AX85,"lw+",""),MROUND(_xlfn.SWITCH(AS85,"sq",AW$7,"bn",AX$7,"dl",AY$7,"")*IF(AX85&gt;10,AX85/100,VLOOKUP(AX85,_rpe,SUBSTITUTE(AW85,"+","")+1,0)),IF(_xlfn.SWITCH(AS85,"sq",AW$7,"bn",AX$7,"dl",AY$7,"")&lt;IF(_uom="lbs",175,80),1.25,IF(_uom="lbs",5,2.5))))),"")</f>
        <v/>
      </c>
      <c s="70"/>
      <c s="63"/>
      <c s="97"/>
      <c s="44" t="str">
        <f>IFERROR(__xludf.DUMMYFUNCTION("IF(AY85=MAX(FILTER(AY$10:AY$199,LOOKUP(ROW(AS$10:AS$199),FILTER(ROW(AS$10:AS$199),AS$10:AS$199&lt;&gt;AS$9:AS$198))=LOOKUP(ROW(AS85),FILTER(ROW(AS$10:AS$199),AS$10:AS$199&lt;&gt;AS$9:AS$198)))),AZ85,)"),"")</f>
        <v/>
      </c>
      <c s="42"/>
      <c s="63"/>
      <c s="64" t="str">
        <f t="shared" si="19"/>
        <v/>
      </c>
      <c s="65" t="str">
        <f>IFERROR(__xludf.DUMMYFUNCTION("""COMPUTED_VALUE"""),"")</f>
        <v/>
      </c>
      <c s="66">
        <f ca="1"/>
        <v>45236</v>
      </c>
      <c s="93" t="str">
        <f t="shared" si="20"/>
        <v/>
      </c>
      <c s="94" t="str">
        <f t="shared" si="425" ref="BJ85:BJ199">IF(ISBLANK(AV85),"",AV85)</f>
        <v/>
      </c>
      <c s="95" t="str">
        <f t="shared" si="411"/>
        <v/>
      </c>
      <c s="98" t="str">
        <f t="shared" si="412"/>
        <v/>
      </c>
      <c s="97" t="str">
        <f t="array" ref="BM85">IFERROR(IF(BG85="ac"+ISNUMBER(SEARCH("'",BL85))+BK85="","",IF(ISNUMBER(SEARCH("lw",BL85)),AY85+SUBSTITUTE(BL85,"lw+",""),MROUND(_xlfn.SWITCH(BG85,"sq",BK$7,"bn",BL$7,"dl",BM$7,"")*IF(BL85&gt;10,BL85/100,VLOOKUP(BL85,_rpe,SUBSTITUTE(BK85,"+","")+1,0)),IF(_xlfn.SWITCH(BG85,"sq",BK$7,"bn",BL$7,"dl",BM$7,"")&lt;IF(_uom="lbs",175,80),1.25,IF(_uom="lbs",5,2.5))))),"")</f>
        <v/>
      </c>
      <c s="70"/>
      <c s="63"/>
      <c s="97"/>
      <c s="44" t="str">
        <f>IFERROR(__xludf.DUMMYFUNCTION("IF(BM85=MAX(FILTER(BM$10:BM$199,LOOKUP(ROW(BG$10:BG$199),FILTER(ROW(BG$10:BG$199),BG$10:BG$199&lt;&gt;BG$9:BG$198))=LOOKUP(ROW(BG85),FILTER(ROW(BG$10:BG$199),BG$10:BG$199&lt;&gt;BG$9:BG$198)))),BN85,)"),"")</f>
        <v/>
      </c>
      <c s="42"/>
      <c s="63"/>
      <c s="64" t="str">
        <f t="shared" si="21"/>
        <v/>
      </c>
      <c s="65" t="str">
        <f>IFERROR(__xludf.DUMMYFUNCTION("""COMPUTED_VALUE"""),"")</f>
        <v/>
      </c>
      <c s="66">
        <f ca="1"/>
        <v>45243</v>
      </c>
      <c s="93" t="str">
        <f t="shared" si="22"/>
        <v/>
      </c>
      <c s="94" t="str">
        <f t="shared" si="426" ref="BX85:BX199">IF(ISBLANK(BJ85),"",BJ85)</f>
        <v/>
      </c>
      <c s="95" t="str">
        <f t="shared" si="414"/>
        <v/>
      </c>
      <c s="98" t="str">
        <f t="shared" si="415"/>
        <v/>
      </c>
      <c s="97" t="str">
        <f t="array" ref="CA85">IFERROR(IF(BU85="ac"+ISNUMBER(SEARCH("'",BZ85))+BY85="","",IF(ISNUMBER(SEARCH("lw",BZ85)),BM85+SUBSTITUTE(BZ85,"lw+",""),MROUND(_xlfn.SWITCH(BU85,"sq",BY$7,"bn",BZ$7,"dl",CA$7,"")*IF(BZ85&gt;10,BZ85/100,VLOOKUP(BZ85,_rpe,SUBSTITUTE(BY85,"+","")+1,0)),IF(_xlfn.SWITCH(BU85,"sq",BY$7,"bn",BZ$7,"dl",CA$7,"")&lt;IF(_uom="lbs",175,80),1.25,IF(_uom="lbs",5,2.5))))),"")</f>
        <v/>
      </c>
      <c s="70"/>
      <c s="63"/>
      <c s="97"/>
      <c s="44" t="str">
        <f>IFERROR(__xludf.DUMMYFUNCTION("IF(CA85=MAX(FILTER(CA$10:CA$199,LOOKUP(ROW(BU$10:BU$199),FILTER(ROW(BU$10:BU$199),BU$10:BU$199&lt;&gt;BU$9:BU$198))=LOOKUP(ROW(BU85),FILTER(ROW(BU$10:BU$199),BU$10:BU$199&lt;&gt;BU$9:BU$198)))),CB85,)"),"")</f>
        <v/>
      </c>
      <c s="42"/>
      <c s="63"/>
      <c s="64" t="str">
        <f t="shared" si="24"/>
        <v/>
      </c>
      <c s="65" t="str">
        <f>IFERROR(__xludf.DUMMYFUNCTION("""COMPUTED_VALUE"""),"")</f>
        <v/>
      </c>
      <c s="66">
        <f ca="1"/>
        <v>45250</v>
      </c>
      <c s="93" t="str">
        <f t="shared" si="44"/>
        <v/>
      </c>
      <c s="94" t="str">
        <f t="shared" si="392"/>
        <v/>
      </c>
      <c s="95" t="str">
        <f t="shared" si="416"/>
        <v/>
      </c>
      <c s="98" t="str">
        <f t="shared" si="417"/>
        <v/>
      </c>
      <c s="97" t="str">
        <f t="array" ref="CO85">IFERROR(IF(CI85="ac"+ISNUMBER(SEARCH("'",CN85))+CM85="","",IF(ISNUMBER(SEARCH("lw",CN85)),CA85+SUBSTITUTE(CN85,"lw+",""),MROUND(_xlfn.SWITCH(CI85,"sq",CM$7,"bn",CN$7,"dl",CO$7,"")*IF(CN85&gt;10,CN85/100,VLOOKUP(CN85,_rpe,SUBSTITUTE(CM85,"+","")+1,0)),IF(_xlfn.SWITCH(CI85,"sq",CM$7,"bn",CN$7,"dl",CO$7,"")&lt;IF(_uom="lbs",175,80),1.25,IF(_uom="lbs",5,2.5))))),"")</f>
        <v/>
      </c>
      <c s="70"/>
      <c s="63"/>
      <c s="97"/>
      <c s="44" t="str">
        <f>IFERROR(__xludf.DUMMYFUNCTION("IF(CO85=MAX(FILTER(CO$10:CO$199,LOOKUP(ROW(CI$10:CI$199),FILTER(ROW(CI$10:CI$199),CI$10:CI$199&lt;&gt;CI$9:CI$198))=LOOKUP(ROW(CI85),FILTER(ROW(CI$10:CI$199),CI$10:CI$199&lt;&gt;CI$9:CI$198)))),CP85,)"),"")</f>
        <v/>
      </c>
      <c s="42"/>
      <c s="63"/>
      <c s="64" t="str">
        <f t="shared" si="27"/>
        <v/>
      </c>
      <c s="65" t="str">
        <f>IFERROR(__xludf.DUMMYFUNCTION("""COMPUTED_VALUE"""),"")</f>
        <v/>
      </c>
      <c s="66">
        <f ca="1"/>
        <v>45257</v>
      </c>
      <c s="93" t="str">
        <f t="shared" si="45"/>
        <v/>
      </c>
      <c s="94" t="str">
        <f t="shared" si="393"/>
        <v/>
      </c>
      <c s="95" t="str">
        <f t="shared" si="418"/>
        <v/>
      </c>
      <c s="98" t="str">
        <f t="shared" si="401"/>
        <v/>
      </c>
      <c s="97" t="str">
        <f t="array" ref="DC85">IFERROR(IF(CW85="ac"+ISNUMBER(SEARCH("'",DB85))+DA85="","",IF(ISNUMBER(SEARCH("lw",DB85)),CO85+SUBSTITUTE(DB85,"lw+",""),MROUND(_xlfn.SWITCH(CW85,"sq",DA$7,"bn",DB$7,"dl",DC$7,"")*IF(DB85&gt;10,DB85/100,VLOOKUP(DB85,_rpe,SUBSTITUTE(DA85,"+","")+1,0)),IF(_xlfn.SWITCH(CW85,"sq",DA$7,"bn",DB$7,"dl",DC$7,"")&lt;IF(_uom="lbs",175,80),1.25,IF(_uom="lbs",5,2.5))))),"")</f>
        <v/>
      </c>
      <c s="70"/>
      <c s="63"/>
      <c s="97"/>
      <c s="44" t="str">
        <f>IFERROR(__xludf.DUMMYFUNCTION("IF(DC85=MAX(FILTER(DC$10:DC$199,LOOKUP(ROW(CW$10:CW$199),FILTER(ROW(CW$10:CW$199),CW$10:CW$199&lt;&gt;CW$9:CW$198))=LOOKUP(ROW(CW85),FILTER(ROW(CW$10:CW$199),CW$10:CW$199&lt;&gt;CW$9:CW$198)))),DD85,)"),"")</f>
        <v/>
      </c>
      <c s="42"/>
      <c s="63"/>
      <c s="64" t="str">
        <f t="shared" si="30"/>
        <v/>
      </c>
      <c s="65" t="str">
        <f>IFERROR(__xludf.DUMMYFUNCTION("""COMPUTED_VALUE"""),"")</f>
        <v/>
      </c>
      <c s="66">
        <f ca="1"/>
        <v>45264</v>
      </c>
      <c s="93" t="str">
        <f t="shared" si="46"/>
        <v/>
      </c>
      <c s="94" t="str">
        <f t="shared" si="394"/>
        <v/>
      </c>
      <c s="95" t="str">
        <f t="shared" si="419"/>
        <v/>
      </c>
      <c s="98" t="str">
        <f t="shared" si="420"/>
        <v/>
      </c>
      <c s="97" t="str">
        <f t="array" ref="DQ85">IFERROR(IF(DK85="ac"+ISNUMBER(SEARCH("'",DP85))+DO85="","",IF(ISNUMBER(SEARCH("lw",DP85)),DC85+SUBSTITUTE(DP85,"lw+",""),MROUND(_xlfn.SWITCH(DK85,"sq",DO$7,"bn",DP$7,"dl",DQ$7,"")*IF(DP85&gt;10,DP85/100,VLOOKUP(DP85,_rpe,SUBSTITUTE(DO85,"+","")+1,0)),IF(_xlfn.SWITCH(DK85,"sq",DO$7,"bn",DP$7,"dl",DQ$7,"")&lt;IF(_uom="lbs",175,80),1.25,IF(_uom="lbs",5,2.5))))),"")</f>
        <v/>
      </c>
      <c s="70"/>
      <c s="63"/>
      <c s="97"/>
      <c s="44" t="str">
        <f>IFERROR(__xludf.DUMMYFUNCTION("IF(DQ85=MAX(FILTER(DQ$10:DQ$199,LOOKUP(ROW(DK$10:DK$199),FILTER(ROW(DK$10:DK$199),DK$10:DK$199&lt;&gt;DK$9:DK$198))=LOOKUP(ROW(DK85),FILTER(ROW(DK$10:DK$199),DK$10:DK$199&lt;&gt;DK$9:DK$198)))),DR85,)"),"")</f>
        <v/>
      </c>
      <c s="42"/>
      <c s="63"/>
      <c s="64" t="str">
        <f t="shared" si="32"/>
        <v/>
      </c>
      <c s="65" t="str">
        <f>IFERROR(__xludf.DUMMYFUNCTION("""COMPUTED_VALUE"""),"")</f>
        <v/>
      </c>
      <c s="66">
        <f ca="1"/>
        <v>45271</v>
      </c>
      <c s="93" t="str">
        <f t="shared" si="47"/>
        <v/>
      </c>
      <c s="94" t="str">
        <f t="shared" si="405"/>
        <v/>
      </c>
      <c s="95" t="str">
        <f t="shared" si="421"/>
        <v/>
      </c>
      <c s="98" t="str">
        <f t="shared" si="422"/>
        <v/>
      </c>
      <c s="97" t="str">
        <f t="array" ref="EE85">IFERROR(IF(DY85="ac"+ISNUMBER(SEARCH("'",ED85))+EC85="","",IF(ISNUMBER(SEARCH("lw",ED85)),DQ85+SUBSTITUTE(ED85,"lw+",""),MROUND(_xlfn.SWITCH(DY85,"sq",EC$7,"bn",ED$7,"dl",EE$7,"")*IF(ED85&gt;10,ED85/100,VLOOKUP(ED85,_rpe,SUBSTITUTE(EC85,"+","")+1,0)),IF(_xlfn.SWITCH(DY85,"sq",EC$7,"bn",ED$7,"dl",EE$7,"")&lt;IF(_uom="lbs",175,80),1.25,IF(_uom="lbs",5,2.5))))),"")</f>
        <v/>
      </c>
      <c s="70"/>
      <c s="63"/>
      <c s="97"/>
      <c s="44" t="str">
        <f>IFERROR(__xludf.DUMMYFUNCTION("IF(EE85=MAX(FILTER(EE$10:EE$199,LOOKUP(ROW(DY$10:DY$199),FILTER(ROW(DY$10:DY$199),DY$10:DY$199&lt;&gt;DY$9:DY$198))=LOOKUP(ROW(DY85),FILTER(ROW(DY$10:DY$199),DY$10:DY$199&lt;&gt;DY$9:DY$198)))),EF85,)"),"")</f>
        <v/>
      </c>
      <c s="42"/>
      <c s="63"/>
      <c s="64" t="str">
        <f t="shared" si="34"/>
        <v/>
      </c>
      <c s="65" t="str">
        <f>IFERROR(__xludf.DUMMYFUNCTION("""COMPUTED_VALUE"""),"")</f>
        <v/>
      </c>
      <c s="66">
        <f ca="1"/>
        <v>45278</v>
      </c>
      <c s="93" t="str">
        <f t="shared" si="48"/>
        <v/>
      </c>
      <c s="94" t="str">
        <f t="shared" si="395"/>
        <v/>
      </c>
      <c s="95" t="str">
        <f t="shared" si="423"/>
        <v/>
      </c>
      <c s="98" t="str">
        <f t="shared" si="402"/>
        <v/>
      </c>
      <c s="97" t="str">
        <f t="array" ref="ES85">IFERROR(IF(EM85="ac"+ISNUMBER(SEARCH("'",ER85))+EQ85="","",IF(ISNUMBER(SEARCH("lw",ER85)),EE85+SUBSTITUTE(ER85,"lw+",""),MROUND(_xlfn.SWITCH(EM85,"sq",EQ$7,"bn",ER$7,"dl",ES$7,"")*IF(ER85&gt;10,ER85/100,VLOOKUP(ER85,_rpe,SUBSTITUTE(EQ85,"+","")+1,0)),IF(_xlfn.SWITCH(EM85,"sq",EQ$7,"bn",ER$7,"dl",ES$7,"")&lt;IF(_uom="lbs",175,80),1.25,IF(_uom="lbs",5,2.5))))),"")</f>
        <v/>
      </c>
      <c s="70"/>
      <c s="63"/>
      <c s="97"/>
      <c s="44" t="str">
        <f>IFERROR(__xludf.DUMMYFUNCTION("IF(ES85=MAX(FILTER(ES$10:ES$199,LOOKUP(ROW(EM$10:EM$199),FILTER(ROW(EM$10:EM$199),EM$10:EM$199&lt;&gt;EM$9:EM$198))=LOOKUP(ROW(EM85),FILTER(ROW(EM$10:EM$199),EM$10:EM$199&lt;&gt;EM$9:EM$198)))),ET85,)"),"")</f>
        <v/>
      </c>
      <c s="42"/>
      <c s="63"/>
      <c s="64" t="str">
        <f t="shared" si="36"/>
        <v/>
      </c>
      <c s="65" t="str">
        <f>IFERROR(__xludf.DUMMYFUNCTION("""COMPUTED_VALUE"""),"")</f>
        <v/>
      </c>
      <c s="66">
        <f ca="1"/>
        <v>45285</v>
      </c>
      <c s="93" t="str">
        <f t="shared" si="49"/>
        <v/>
      </c>
      <c s="94" t="str">
        <f t="shared" si="396"/>
        <v/>
      </c>
      <c s="95" t="str">
        <f t="shared" si="424"/>
        <v/>
      </c>
      <c s="98" t="str">
        <f t="shared" si="403"/>
        <v/>
      </c>
      <c s="97" t="str">
        <f t="array" ref="FG85">IFERROR(IF(FA85="ac"+ISNUMBER(SEARCH("'",FF85))+FE85="","",IF(ISNUMBER(SEARCH("lw",FF85)),ES85+SUBSTITUTE(FF85,"lw+",""),MROUND(_xlfn.SWITCH(FA85,"sq",FE$7,"bn",FF$7,"dl",FG$7,"")*IF(FF85&gt;10,FF85/100,VLOOKUP(FF85,_rpe,SUBSTITUTE(FE85,"+","")+1,0)),IF(_xlfn.SWITCH(FA85,"sq",FE$7,"bn",FF$7,"dl",FG$7,"")&lt;IF(_uom="lbs",175,80),1.25,IF(_uom="lbs",5,2.5))))),"")</f>
        <v/>
      </c>
      <c s="70"/>
      <c s="63"/>
      <c s="97"/>
      <c s="44" t="str">
        <f>IFERROR(__xludf.DUMMYFUNCTION("IF(FG85=MAX(FILTER(FG$10:FG$199,LOOKUP(ROW(FA$10:FA$199),FILTER(ROW(FA$10:FA$199),FA$10:FA$199&lt;&gt;FA$9:FA$198))=LOOKUP(ROW(FA85),FILTER(ROW(FA$10:FA$199),FA$10:FA$199&lt;&gt;FA$9:FA$198)))),FH85,)"),"")</f>
        <v/>
      </c>
      <c s="42"/>
      <c s="63"/>
      <c s="64" t="str">
        <f t="shared" si="38"/>
        <v/>
      </c>
      <c s="65" t="str">
        <f>IFERROR(__xludf.DUMMYFUNCTION("""COMPUTED_VALUE"""),"")</f>
        <v/>
      </c>
      <c s="66">
        <f ca="1"/>
        <v>45292</v>
      </c>
      <c s="93" t="str">
        <f t="shared" si="427" ref="FQ85:FR85">IF(ISBLANK(FC85),"",FC85)</f>
        <v/>
      </c>
      <c s="94" t="str">
        <f t="shared" si="427"/>
        <v/>
      </c>
      <c s="95" t="str">
        <f t="shared" si="428" ref="FS85:FS199">IF(OR(ISBLANK(FE85),FE85=""),"",FE85)</f>
        <v/>
      </c>
      <c s="98" t="str">
        <f t="shared" si="429" ref="FT85:FT199">IF(ISBLANK(FF85),"",FF85)</f>
        <v/>
      </c>
      <c s="97" t="str">
        <f t="array" ref="FU85">IFERROR(IF(FO85="ac"+ISNUMBER(SEARCH("'",FT85))+FS85="","",IF(ISNUMBER(SEARCH("lw",FT85)),FG85+SUBSTITUTE(FT85,"lw+",""),MROUND(_xlfn.SWITCH(FO85,"sq",FS$7,"bn",FT$7,"dl",FU$7,"")*IF(FT85&gt;10,FT85/100,VLOOKUP(FT85,_rpe,SUBSTITUTE(FS85,"+","")+1,0)),IF(_xlfn.SWITCH(FO85,"sq",FS$7,"bn",FT$7,"dl",FU$7,"")&lt;IF(_uom="lbs",175,80),1.25,IF(_uom="lbs",5,2.5))))),"")</f>
        <v/>
      </c>
      <c s="70"/>
      <c s="63"/>
      <c s="97"/>
      <c s="44" t="str">
        <f>IFERROR(__xludf.DUMMYFUNCTION("IF(FU85=MAX(FILTER(FU$10:FU$199,LOOKUP(ROW(FO$10:FO$199),FILTER(ROW(FO$10:FO$199),FO$10:FO$199&lt;&gt;FO$9:FO$198))=LOOKUP(ROW(FO85),FILTER(ROW(FO$10:FO$199),FO$10:FO$199&lt;&gt;FO$9:FO$198)))),FV85,)"),"")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86" spans="1:259" ht="15.75" hidden="1" outlineLevel="1">
      <c r="A86" s="63"/>
      <c s="107"/>
      <c s="65" t="str">
        <f>IFERROR(__xludf.DUMMYFUNCTION("""COMPUTED_VALUE"""),"")</f>
        <v/>
      </c>
      <c s="66">
        <f ca="1"/>
        <v>45208</v>
      </c>
      <c s="108"/>
      <c s="94"/>
      <c s="95"/>
      <c s="96"/>
      <c s="97" t="str">
        <f t="array" ref="I86">IFERROR(IF(C86="ac"+ISNUMBER(SEARCH("'",H86))+G86="","",MROUND(_xlfn.SWITCH(C86,"sq",'Personal Info'!$O$15,"bn",'Personal Info'!$S$15,"dl",'Personal Info'!$W$15,"")*IF(H86&gt;10,H86/100,VLOOKUP(H86,_rpe,SUBSTITUTE(G86,"+","")+1,0)),IF(_xlfn.SWITCH(C86:C210,"sq",'Personal Info'!$O$15,"bn",'Personal Info'!$S$15,"dl",'Personal Info'!$W$15,"")&lt;IF(_uom="lbs",175,80),1.25,IF(_uom="lbs",5,2.5)))),"")</f>
        <v/>
      </c>
      <c s="70"/>
      <c s="63"/>
      <c s="97"/>
      <c s="44" t="str">
        <f>IFERROR(__xludf.DUMMYFUNCTION("IF(I86=MAX(FILTER(I$10:I$199,LOOKUP(ROW(C$10:C$199),FILTER(ROW(C$10:C$199),C$10:C$199&lt;&gt;C$9:C$198))=LOOKUP(ROW(C86),FILTER(ROW(C$10:C$199),C$10:C$199&lt;&gt;C$9:C$198)))),J86,)"),"")</f>
        <v/>
      </c>
      <c s="42"/>
      <c s="63"/>
      <c s="64" t="str">
        <f t="shared" si="11"/>
        <v/>
      </c>
      <c s="65" t="str">
        <f>IFERROR(__xludf.DUMMYFUNCTION("""COMPUTED_VALUE"""),"")</f>
        <v/>
      </c>
      <c s="66">
        <f ca="1"/>
        <v>45215</v>
      </c>
      <c s="93" t="str">
        <f t="shared" si="12"/>
        <v/>
      </c>
      <c s="94" t="str">
        <f t="shared" si="404"/>
        <v/>
      </c>
      <c s="95" t="str">
        <f t="shared" si="406"/>
        <v/>
      </c>
      <c s="98" t="str">
        <f t="shared" si="407"/>
        <v/>
      </c>
      <c s="97" t="str">
        <f t="array" ref="W86">IFERROR(IF(Q86="ac"+ISNUMBER(SEARCH("'",V86))+U86="","",IF(ISNUMBER(SEARCH("lw",V86)),I86+SUBSTITUTE(V86,"lw+",""),MROUND(_xlfn.SWITCH(Q86,"sq",U$7,"bn",V$7,"dl",W$7,"")*IF(V86&gt;10,V86/100,VLOOKUP(V86,_rpe,SUBSTITUTE(U86,"+","")+1,0)),IF(_xlfn.SWITCH(Q86,"sq",U$7,"bn",V$7,"dl",W$7,"")&lt;IF(_uom="lbs",175,80),1.25,IF(_uom="lbs",5,2.5))))),"")</f>
        <v/>
      </c>
      <c s="70"/>
      <c s="63"/>
      <c s="97"/>
      <c s="44" t="str">
        <f>IFERROR(__xludf.DUMMYFUNCTION("IF(W86=MAX(FILTER(W$10:W$199,LOOKUP(ROW(Q$10:Q$199),FILTER(ROW(Q$10:Q$199),Q$10:Q$199&lt;&gt;Q$9:Q$198))=LOOKUP(ROW(Q86),FILTER(ROW(Q$10:Q$199),Q$10:Q$199&lt;&gt;Q$9:Q$198)))),X86,)"),"")</f>
        <v/>
      </c>
      <c s="42"/>
      <c s="63"/>
      <c s="64" t="str">
        <f t="shared" si="14"/>
        <v/>
      </c>
      <c s="65" t="str">
        <f>IFERROR(__xludf.DUMMYFUNCTION("""COMPUTED_VALUE"""),"")</f>
        <v/>
      </c>
      <c s="66">
        <f ca="1"/>
        <v>45222</v>
      </c>
      <c s="93" t="str">
        <f t="shared" si="156"/>
        <v/>
      </c>
      <c s="94" t="str">
        <f t="shared" si="397"/>
        <v/>
      </c>
      <c s="95" t="str">
        <f t="shared" si="408"/>
        <v/>
      </c>
      <c s="98" t="str">
        <f t="shared" si="398"/>
        <v/>
      </c>
      <c s="97" t="str">
        <f t="array" ref="AK86">IFERROR(IF(AE86="ac"+ISNUMBER(SEARCH("'",AJ86))+AI86="","",IF(ISNUMBER(SEARCH("lw",AJ86)),W86+SUBSTITUTE(AJ86,"lw+",""),MROUND(_xlfn.SWITCH(AE86,"sq",AI$7,"bn",AJ$7,"dl",AK$7,"")*IF(AJ86&gt;10,AJ86/100,VLOOKUP(AJ86,_rpe,SUBSTITUTE(AI86,"+","")+1,0)),IF(_xlfn.SWITCH(AE86,"sq",AI$7,"bn",AJ$7,"dl",AK$7,"")&lt;IF(_uom="lbs",175,80),1.25,IF(_uom="lbs",5,2.5))))),"")</f>
        <v/>
      </c>
      <c s="70"/>
      <c s="63"/>
      <c s="97"/>
      <c s="44" t="str">
        <f>IFERROR(__xludf.DUMMYFUNCTION("IF(AK86=MAX(FILTER(AK$10:AK$199,LOOKUP(ROW(AE$10:AE$199),FILTER(ROW(AE$10:AE$199),AE$10:AE$199&lt;&gt;AE$9:AE$198))=LOOKUP(ROW(AE86),FILTER(ROW(AE$10:AE$199),AE$10:AE$199&lt;&gt;AE$9:AE$198)))),AL86,)"),"")</f>
        <v/>
      </c>
      <c s="42"/>
      <c s="63"/>
      <c s="64" t="str">
        <f t="shared" si="17"/>
        <v/>
      </c>
      <c s="65" t="str">
        <f>IFERROR(__xludf.DUMMYFUNCTION("""COMPUTED_VALUE"""),"")</f>
        <v/>
      </c>
      <c s="66">
        <f ca="1"/>
        <v>45229</v>
      </c>
      <c s="93" t="str">
        <f t="shared" si="157"/>
        <v/>
      </c>
      <c s="94" t="str">
        <f t="shared" si="399"/>
        <v/>
      </c>
      <c s="95" t="str">
        <f t="shared" si="409"/>
        <v/>
      </c>
      <c s="98" t="str">
        <f t="shared" si="400"/>
        <v/>
      </c>
      <c s="97" t="str">
        <f t="array" ref="AY86">IFERROR(IF(AS86="ac"+ISNUMBER(SEARCH("'",AX86))+AW86="","",IF(ISNUMBER(SEARCH("lw",AX86)),AK86+SUBSTITUTE(AX86,"lw+",""),MROUND(_xlfn.SWITCH(AS86,"sq",AW$7,"bn",AX$7,"dl",AY$7,"")*IF(AX86&gt;10,AX86/100,VLOOKUP(AX86,_rpe,SUBSTITUTE(AW86,"+","")+1,0)),IF(_xlfn.SWITCH(AS86,"sq",AW$7,"bn",AX$7,"dl",AY$7,"")&lt;IF(_uom="lbs",175,80),1.25,IF(_uom="lbs",5,2.5))))),"")</f>
        <v/>
      </c>
      <c s="70"/>
      <c s="63"/>
      <c s="97"/>
      <c s="44" t="str">
        <f>IFERROR(__xludf.DUMMYFUNCTION("IF(AY86=MAX(FILTER(AY$10:AY$199,LOOKUP(ROW(AS$10:AS$199),FILTER(ROW(AS$10:AS$199),AS$10:AS$199&lt;&gt;AS$9:AS$198))=LOOKUP(ROW(AS86),FILTER(ROW(AS$10:AS$199),AS$10:AS$199&lt;&gt;AS$9:AS$198)))),AZ86,)"),"")</f>
        <v/>
      </c>
      <c s="42"/>
      <c s="63"/>
      <c s="64" t="str">
        <f t="shared" si="19"/>
        <v/>
      </c>
      <c s="65" t="str">
        <f>IFERROR(__xludf.DUMMYFUNCTION("""COMPUTED_VALUE"""),"")</f>
        <v/>
      </c>
      <c s="66">
        <f ca="1"/>
        <v>45236</v>
      </c>
      <c s="93" t="str">
        <f t="shared" si="20"/>
        <v/>
      </c>
      <c s="94" t="str">
        <f t="shared" si="425"/>
        <v/>
      </c>
      <c s="95" t="str">
        <f t="shared" si="411"/>
        <v/>
      </c>
      <c s="98" t="str">
        <f t="shared" si="412"/>
        <v/>
      </c>
      <c s="97" t="str">
        <f t="array" ref="BM86">IFERROR(IF(BG86="ac"+ISNUMBER(SEARCH("'",BL86))+BK86="","",IF(ISNUMBER(SEARCH("lw",BL86)),AY86+SUBSTITUTE(BL86,"lw+",""),MROUND(_xlfn.SWITCH(BG86,"sq",BK$7,"bn",BL$7,"dl",BM$7,"")*IF(BL86&gt;10,BL86/100,VLOOKUP(BL86,_rpe,SUBSTITUTE(BK86,"+","")+1,0)),IF(_xlfn.SWITCH(BG86,"sq",BK$7,"bn",BL$7,"dl",BM$7,"")&lt;IF(_uom="lbs",175,80),1.25,IF(_uom="lbs",5,2.5))))),"")</f>
        <v/>
      </c>
      <c s="70"/>
      <c s="63"/>
      <c s="97"/>
      <c s="44" t="str">
        <f>IFERROR(__xludf.DUMMYFUNCTION("IF(BM86=MAX(FILTER(BM$10:BM$199,LOOKUP(ROW(BG$10:BG$199),FILTER(ROW(BG$10:BG$199),BG$10:BG$199&lt;&gt;BG$9:BG$198))=LOOKUP(ROW(BG86),FILTER(ROW(BG$10:BG$199),BG$10:BG$199&lt;&gt;BG$9:BG$198)))),BN86,)"),"")</f>
        <v/>
      </c>
      <c s="42"/>
      <c s="63"/>
      <c s="64" t="str">
        <f t="shared" si="21"/>
        <v/>
      </c>
      <c s="65" t="str">
        <f>IFERROR(__xludf.DUMMYFUNCTION("""COMPUTED_VALUE"""),"")</f>
        <v/>
      </c>
      <c s="66">
        <f ca="1"/>
        <v>45243</v>
      </c>
      <c s="93" t="str">
        <f t="shared" si="22"/>
        <v/>
      </c>
      <c s="94" t="str">
        <f t="shared" si="426"/>
        <v/>
      </c>
      <c s="95" t="str">
        <f t="shared" si="414"/>
        <v/>
      </c>
      <c s="98" t="str">
        <f t="shared" si="415"/>
        <v/>
      </c>
      <c s="97" t="str">
        <f t="array" ref="CA86">IFERROR(IF(BU86="ac"+ISNUMBER(SEARCH("'",BZ86))+BY86="","",IF(ISNUMBER(SEARCH("lw",BZ86)),BM86+SUBSTITUTE(BZ86,"lw+",""),MROUND(_xlfn.SWITCH(BU86,"sq",BY$7,"bn",BZ$7,"dl",CA$7,"")*IF(BZ86&gt;10,BZ86/100,VLOOKUP(BZ86,_rpe,SUBSTITUTE(BY86,"+","")+1,0)),IF(_xlfn.SWITCH(BU86,"sq",BY$7,"bn",BZ$7,"dl",CA$7,"")&lt;IF(_uom="lbs",175,80),1.25,IF(_uom="lbs",5,2.5))))),"")</f>
        <v/>
      </c>
      <c s="70"/>
      <c s="63"/>
      <c s="97"/>
      <c s="44" t="str">
        <f>IFERROR(__xludf.DUMMYFUNCTION("IF(CA86=MAX(FILTER(CA$10:CA$199,LOOKUP(ROW(BU$10:BU$199),FILTER(ROW(BU$10:BU$199),BU$10:BU$199&lt;&gt;BU$9:BU$198))=LOOKUP(ROW(BU86),FILTER(ROW(BU$10:BU$199),BU$10:BU$199&lt;&gt;BU$9:BU$198)))),CB86,)"),"")</f>
        <v/>
      </c>
      <c s="42"/>
      <c s="63"/>
      <c s="64" t="str">
        <f t="shared" si="24"/>
        <v/>
      </c>
      <c s="65" t="str">
        <f>IFERROR(__xludf.DUMMYFUNCTION("""COMPUTED_VALUE"""),"")</f>
        <v/>
      </c>
      <c s="66">
        <f ca="1"/>
        <v>45250</v>
      </c>
      <c s="93" t="str">
        <f t="shared" si="44"/>
        <v/>
      </c>
      <c s="94" t="str">
        <f t="shared" si="392"/>
        <v/>
      </c>
      <c s="95" t="str">
        <f t="shared" si="416"/>
        <v/>
      </c>
      <c s="98" t="str">
        <f t="shared" si="417"/>
        <v/>
      </c>
      <c s="97" t="str">
        <f t="array" ref="CO86">IFERROR(IF(CI86="ac"+ISNUMBER(SEARCH("'",CN86))+CM86="","",IF(ISNUMBER(SEARCH("lw",CN86)),CA86+SUBSTITUTE(CN86,"lw+",""),MROUND(_xlfn.SWITCH(CI86,"sq",CM$7,"bn",CN$7,"dl",CO$7,"")*IF(CN86&gt;10,CN86/100,VLOOKUP(CN86,_rpe,SUBSTITUTE(CM86,"+","")+1,0)),IF(_xlfn.SWITCH(CI86,"sq",CM$7,"bn",CN$7,"dl",CO$7,"")&lt;IF(_uom="lbs",175,80),1.25,IF(_uom="lbs",5,2.5))))),"")</f>
        <v/>
      </c>
      <c s="70"/>
      <c s="63"/>
      <c s="97"/>
      <c s="44" t="str">
        <f>IFERROR(__xludf.DUMMYFUNCTION("IF(CO86=MAX(FILTER(CO$10:CO$199,LOOKUP(ROW(CI$10:CI$199),FILTER(ROW(CI$10:CI$199),CI$10:CI$199&lt;&gt;CI$9:CI$198))=LOOKUP(ROW(CI86),FILTER(ROW(CI$10:CI$199),CI$10:CI$199&lt;&gt;CI$9:CI$198)))),CP86,)"),"")</f>
        <v/>
      </c>
      <c s="42"/>
      <c s="63"/>
      <c s="64" t="str">
        <f t="shared" si="27"/>
        <v/>
      </c>
      <c s="65" t="str">
        <f>IFERROR(__xludf.DUMMYFUNCTION("""COMPUTED_VALUE"""),"")</f>
        <v/>
      </c>
      <c s="66">
        <f ca="1"/>
        <v>45257</v>
      </c>
      <c s="93" t="str">
        <f t="shared" si="45"/>
        <v/>
      </c>
      <c s="94" t="str">
        <f t="shared" si="393"/>
        <v/>
      </c>
      <c s="95" t="str">
        <f t="shared" si="418"/>
        <v/>
      </c>
      <c s="98" t="str">
        <f t="shared" si="401"/>
        <v/>
      </c>
      <c s="97" t="str">
        <f t="array" ref="DC86">IFERROR(IF(CW86="ac"+ISNUMBER(SEARCH("'",DB86))+DA86="","",IF(ISNUMBER(SEARCH("lw",DB86)),CO86+SUBSTITUTE(DB86,"lw+",""),MROUND(_xlfn.SWITCH(CW86,"sq",DA$7,"bn",DB$7,"dl",DC$7,"")*IF(DB86&gt;10,DB86/100,VLOOKUP(DB86,_rpe,SUBSTITUTE(DA86,"+","")+1,0)),IF(_xlfn.SWITCH(CW86,"sq",DA$7,"bn",DB$7,"dl",DC$7,"")&lt;IF(_uom="lbs",175,80),1.25,IF(_uom="lbs",5,2.5))))),"")</f>
        <v/>
      </c>
      <c s="70"/>
      <c s="63"/>
      <c s="97"/>
      <c s="44" t="str">
        <f>IFERROR(__xludf.DUMMYFUNCTION("IF(DC86=MAX(FILTER(DC$10:DC$199,LOOKUP(ROW(CW$10:CW$199),FILTER(ROW(CW$10:CW$199),CW$10:CW$199&lt;&gt;CW$9:CW$198))=LOOKUP(ROW(CW86),FILTER(ROW(CW$10:CW$199),CW$10:CW$199&lt;&gt;CW$9:CW$198)))),DD86,)"),"")</f>
        <v/>
      </c>
      <c s="42"/>
      <c s="63"/>
      <c s="64" t="str">
        <f t="shared" si="30"/>
        <v/>
      </c>
      <c s="65" t="str">
        <f>IFERROR(__xludf.DUMMYFUNCTION("""COMPUTED_VALUE"""),"")</f>
        <v/>
      </c>
      <c s="66">
        <f ca="1"/>
        <v>45264</v>
      </c>
      <c s="93" t="str">
        <f t="shared" si="46"/>
        <v/>
      </c>
      <c s="94" t="str">
        <f t="shared" si="394"/>
        <v/>
      </c>
      <c s="95" t="str">
        <f t="shared" si="419"/>
        <v/>
      </c>
      <c s="98" t="str">
        <f t="shared" si="420"/>
        <v/>
      </c>
      <c s="97" t="str">
        <f t="array" ref="DQ86">IFERROR(IF(DK86="ac"+ISNUMBER(SEARCH("'",DP86))+DO86="","",IF(ISNUMBER(SEARCH("lw",DP86)),DC86+SUBSTITUTE(DP86,"lw+",""),MROUND(_xlfn.SWITCH(DK86,"sq",DO$7,"bn",DP$7,"dl",DQ$7,"")*IF(DP86&gt;10,DP86/100,VLOOKUP(DP86,_rpe,SUBSTITUTE(DO86,"+","")+1,0)),IF(_xlfn.SWITCH(DK86,"sq",DO$7,"bn",DP$7,"dl",DQ$7,"")&lt;IF(_uom="lbs",175,80),1.25,IF(_uom="lbs",5,2.5))))),"")</f>
        <v/>
      </c>
      <c s="70"/>
      <c s="63"/>
      <c s="97"/>
      <c s="44" t="str">
        <f>IFERROR(__xludf.DUMMYFUNCTION("IF(DQ86=MAX(FILTER(DQ$10:DQ$199,LOOKUP(ROW(DK$10:DK$199),FILTER(ROW(DK$10:DK$199),DK$10:DK$199&lt;&gt;DK$9:DK$198))=LOOKUP(ROW(DK86),FILTER(ROW(DK$10:DK$199),DK$10:DK$199&lt;&gt;DK$9:DK$198)))),DR86,)"),"")</f>
        <v/>
      </c>
      <c s="42"/>
      <c s="63"/>
      <c s="64" t="str">
        <f t="shared" si="32"/>
        <v/>
      </c>
      <c s="65" t="str">
        <f>IFERROR(__xludf.DUMMYFUNCTION("""COMPUTED_VALUE"""),"")</f>
        <v/>
      </c>
      <c s="66">
        <f ca="1"/>
        <v>45271</v>
      </c>
      <c s="93" t="str">
        <f t="shared" si="47"/>
        <v/>
      </c>
      <c s="94" t="str">
        <f t="shared" si="405"/>
        <v/>
      </c>
      <c s="95" t="str">
        <f t="shared" si="421"/>
        <v/>
      </c>
      <c s="98" t="str">
        <f t="shared" si="422"/>
        <v/>
      </c>
      <c s="97" t="str">
        <f t="array" ref="EE86">IFERROR(IF(DY86="ac"+ISNUMBER(SEARCH("'",ED86))+EC86="","",IF(ISNUMBER(SEARCH("lw",ED86)),DQ86+SUBSTITUTE(ED86,"lw+",""),MROUND(_xlfn.SWITCH(DY86,"sq",EC$7,"bn",ED$7,"dl",EE$7,"")*IF(ED86&gt;10,ED86/100,VLOOKUP(ED86,_rpe,SUBSTITUTE(EC86,"+","")+1,0)),IF(_xlfn.SWITCH(DY86,"sq",EC$7,"bn",ED$7,"dl",EE$7,"")&lt;IF(_uom="lbs",175,80),1.25,IF(_uom="lbs",5,2.5))))),"")</f>
        <v/>
      </c>
      <c s="70"/>
      <c s="63"/>
      <c s="97"/>
      <c s="44" t="str">
        <f>IFERROR(__xludf.DUMMYFUNCTION("IF(EE86=MAX(FILTER(EE$10:EE$199,LOOKUP(ROW(DY$10:DY$199),FILTER(ROW(DY$10:DY$199),DY$10:DY$199&lt;&gt;DY$9:DY$198))=LOOKUP(ROW(DY86),FILTER(ROW(DY$10:DY$199),DY$10:DY$199&lt;&gt;DY$9:DY$198)))),EF86,)"),"")</f>
        <v/>
      </c>
      <c s="42"/>
      <c s="63"/>
      <c s="64" t="str">
        <f t="shared" si="34"/>
        <v/>
      </c>
      <c s="65" t="str">
        <f>IFERROR(__xludf.DUMMYFUNCTION("""COMPUTED_VALUE"""),"")</f>
        <v/>
      </c>
      <c s="66">
        <f ca="1"/>
        <v>45278</v>
      </c>
      <c s="93" t="str">
        <f t="shared" si="48"/>
        <v/>
      </c>
      <c s="94" t="str">
        <f t="shared" si="395"/>
        <v/>
      </c>
      <c s="95" t="str">
        <f t="shared" si="423"/>
        <v/>
      </c>
      <c s="98" t="str">
        <f t="shared" si="402"/>
        <v/>
      </c>
      <c s="97" t="str">
        <f t="array" ref="ES86">IFERROR(IF(EM86="ac"+ISNUMBER(SEARCH("'",ER86))+EQ86="","",IF(ISNUMBER(SEARCH("lw",ER86)),EE86+SUBSTITUTE(ER86,"lw+",""),MROUND(_xlfn.SWITCH(EM86,"sq",EQ$7,"bn",ER$7,"dl",ES$7,"")*IF(ER86&gt;10,ER86/100,VLOOKUP(ER86,_rpe,SUBSTITUTE(EQ86,"+","")+1,0)),IF(_xlfn.SWITCH(EM86,"sq",EQ$7,"bn",ER$7,"dl",ES$7,"")&lt;IF(_uom="lbs",175,80),1.25,IF(_uom="lbs",5,2.5))))),"")</f>
        <v/>
      </c>
      <c s="70"/>
      <c s="63"/>
      <c s="97"/>
      <c s="44" t="str">
        <f>IFERROR(__xludf.DUMMYFUNCTION("IF(ES86=MAX(FILTER(ES$10:ES$199,LOOKUP(ROW(EM$10:EM$199),FILTER(ROW(EM$10:EM$199),EM$10:EM$199&lt;&gt;EM$9:EM$198))=LOOKUP(ROW(EM86),FILTER(ROW(EM$10:EM$199),EM$10:EM$199&lt;&gt;EM$9:EM$198)))),ET86,)"),"")</f>
        <v/>
      </c>
      <c s="42"/>
      <c s="63"/>
      <c s="64" t="str">
        <f t="shared" si="36"/>
        <v/>
      </c>
      <c s="65" t="str">
        <f>IFERROR(__xludf.DUMMYFUNCTION("""COMPUTED_VALUE"""),"")</f>
        <v/>
      </c>
      <c s="66">
        <f ca="1"/>
        <v>45285</v>
      </c>
      <c s="93" t="str">
        <f t="shared" si="49"/>
        <v/>
      </c>
      <c s="94" t="str">
        <f t="shared" si="396"/>
        <v/>
      </c>
      <c s="95" t="str">
        <f t="shared" si="424"/>
        <v/>
      </c>
      <c s="98" t="str">
        <f t="shared" si="403"/>
        <v/>
      </c>
      <c s="97" t="str">
        <f t="array" ref="FG86">IFERROR(IF(FA86="ac"+ISNUMBER(SEARCH("'",FF86))+FE86="","",IF(ISNUMBER(SEARCH("lw",FF86)),ES86+SUBSTITUTE(FF86,"lw+",""),MROUND(_xlfn.SWITCH(FA86,"sq",FE$7,"bn",FF$7,"dl",FG$7,"")*IF(FF86&gt;10,FF86/100,VLOOKUP(FF86,_rpe,SUBSTITUTE(FE86,"+","")+1,0)),IF(_xlfn.SWITCH(FA86,"sq",FE$7,"bn",FF$7,"dl",FG$7,"")&lt;IF(_uom="lbs",175,80),1.25,IF(_uom="lbs",5,2.5))))),"")</f>
        <v/>
      </c>
      <c s="70"/>
      <c s="63"/>
      <c s="97"/>
      <c s="44" t="str">
        <f>IFERROR(__xludf.DUMMYFUNCTION("IF(FG86=MAX(FILTER(FG$10:FG$199,LOOKUP(ROW(FA$10:FA$199),FILTER(ROW(FA$10:FA$199),FA$10:FA$199&lt;&gt;FA$9:FA$198))=LOOKUP(ROW(FA86),FILTER(ROW(FA$10:FA$199),FA$10:FA$199&lt;&gt;FA$9:FA$198)))),FH86,)"),"")</f>
        <v/>
      </c>
      <c s="42"/>
      <c s="63"/>
      <c s="64" t="str">
        <f t="shared" si="38"/>
        <v/>
      </c>
      <c s="65" t="str">
        <f>IFERROR(__xludf.DUMMYFUNCTION("""COMPUTED_VALUE"""),"")</f>
        <v/>
      </c>
      <c s="66">
        <f ca="1"/>
        <v>45292</v>
      </c>
      <c s="93" t="str">
        <f t="shared" si="430" ref="FQ86:FR86">IF(ISBLANK(FC86),"",FC86)</f>
        <v/>
      </c>
      <c s="94" t="str">
        <f t="shared" si="430"/>
        <v/>
      </c>
      <c s="95" t="str">
        <f t="shared" si="428"/>
        <v/>
      </c>
      <c s="98" t="str">
        <f t="shared" si="429"/>
        <v/>
      </c>
      <c s="97" t="str">
        <f t="array" ref="FU86">IFERROR(IF(FO86="ac"+ISNUMBER(SEARCH("'",FT86))+FS86="","",IF(ISNUMBER(SEARCH("lw",FT86)),FG86+SUBSTITUTE(FT86,"lw+",""),MROUND(_xlfn.SWITCH(FO86,"sq",FS$7,"bn",FT$7,"dl",FU$7,"")*IF(FT86&gt;10,FT86/100,VLOOKUP(FT86,_rpe,SUBSTITUTE(FS86,"+","")+1,0)),IF(_xlfn.SWITCH(FO86,"sq",FS$7,"bn",FT$7,"dl",FU$7,"")&lt;IF(_uom="lbs",175,80),1.25,IF(_uom="lbs",5,2.5))))),"")</f>
        <v/>
      </c>
      <c s="70"/>
      <c s="63"/>
      <c s="97"/>
      <c s="44" t="str">
        <f>IFERROR(__xludf.DUMMYFUNCTION("IF(FU86=MAX(FILTER(FU$10:FU$199,LOOKUP(ROW(FO$10:FO$199),FILTER(ROW(FO$10:FO$199),FO$10:FO$199&lt;&gt;FO$9:FO$198))=LOOKUP(ROW(FO86),FILTER(ROW(FO$10:FO$199),FO$10:FO$199&lt;&gt;FO$9:FO$198)))),FV86,)"),"")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87" spans="1:259" ht="15.75" hidden="1" outlineLevel="1">
      <c r="A87" s="63"/>
      <c s="107"/>
      <c s="65" t="str">
        <f>IFERROR(__xludf.DUMMYFUNCTION("""COMPUTED_VALUE"""),"")</f>
        <v/>
      </c>
      <c s="66">
        <f ca="1"/>
        <v>45208</v>
      </c>
      <c s="108"/>
      <c s="94"/>
      <c s="95"/>
      <c s="96"/>
      <c s="97" t="str">
        <f t="array" ref="I87">IFERROR(IF(C87="ac"+ISNUMBER(SEARCH("'",H87))+G87="","",MROUND(_xlfn.SWITCH(C87,"sq",'Personal Info'!$O$15,"bn",'Personal Info'!$S$15,"dl",'Personal Info'!$W$15,"")*IF(H87&gt;10,H87/100,VLOOKUP(H87,_rpe,SUBSTITUTE(G87,"+","")+1,0)),IF(_xlfn.SWITCH(C87:C210,"sq",'Personal Info'!$O$15,"bn",'Personal Info'!$S$15,"dl",'Personal Info'!$W$15,"")&lt;IF(_uom="lbs",175,80),1.25,IF(_uom="lbs",5,2.5)))),"")</f>
        <v/>
      </c>
      <c s="70"/>
      <c s="63"/>
      <c s="97"/>
      <c s="44" t="str">
        <f>IFERROR(__xludf.DUMMYFUNCTION("IF(I87=MAX(FILTER(I$10:I$199,LOOKUP(ROW(C$10:C$199),FILTER(ROW(C$10:C$199),C$10:C$199&lt;&gt;C$9:C$198))=LOOKUP(ROW(C87),FILTER(ROW(C$10:C$199),C$10:C$199&lt;&gt;C$9:C$198)))),J87,)"),"")</f>
        <v/>
      </c>
      <c s="42"/>
      <c s="63"/>
      <c s="64" t="str">
        <f t="shared" si="11"/>
        <v/>
      </c>
      <c s="65" t="str">
        <f>IFERROR(__xludf.DUMMYFUNCTION("""COMPUTED_VALUE"""),"")</f>
        <v/>
      </c>
      <c s="66">
        <f ca="1"/>
        <v>45215</v>
      </c>
      <c s="93" t="str">
        <f t="shared" si="12"/>
        <v/>
      </c>
      <c s="94" t="str">
        <f t="shared" si="404"/>
        <v/>
      </c>
      <c s="95" t="str">
        <f t="shared" si="406"/>
        <v/>
      </c>
      <c s="98" t="str">
        <f t="shared" si="407"/>
        <v/>
      </c>
      <c s="97" t="str">
        <f t="array" ref="W87">IFERROR(IF(Q87="ac"+ISNUMBER(SEARCH("'",V87))+U87="","",IF(ISNUMBER(SEARCH("lw",V87)),I87+SUBSTITUTE(V87,"lw+",""),MROUND(_xlfn.SWITCH(Q87,"sq",U$7,"bn",V$7,"dl",W$7,"")*IF(V87&gt;10,V87/100,VLOOKUP(V87,_rpe,SUBSTITUTE(U87,"+","")+1,0)),IF(_xlfn.SWITCH(Q87,"sq",U$7,"bn",V$7,"dl",W$7,"")&lt;IF(_uom="lbs",175,80),1.25,IF(_uom="lbs",5,2.5))))),"")</f>
        <v/>
      </c>
      <c s="70"/>
      <c s="63"/>
      <c s="97"/>
      <c s="44" t="str">
        <f>IFERROR(__xludf.DUMMYFUNCTION("IF(W87=MAX(FILTER(W$10:W$199,LOOKUP(ROW(Q$10:Q$199),FILTER(ROW(Q$10:Q$199),Q$10:Q$199&lt;&gt;Q$9:Q$198))=LOOKUP(ROW(Q87),FILTER(ROW(Q$10:Q$199),Q$10:Q$199&lt;&gt;Q$9:Q$198)))),X87,)"),"")</f>
        <v/>
      </c>
      <c s="42"/>
      <c s="63"/>
      <c s="64" t="str">
        <f t="shared" si="14"/>
        <v/>
      </c>
      <c s="65" t="str">
        <f>IFERROR(__xludf.DUMMYFUNCTION("""COMPUTED_VALUE"""),"")</f>
        <v/>
      </c>
      <c s="66">
        <f ca="1"/>
        <v>45222</v>
      </c>
      <c s="93" t="str">
        <f t="shared" si="156"/>
        <v/>
      </c>
      <c s="94" t="str">
        <f t="shared" si="397"/>
        <v/>
      </c>
      <c s="95" t="str">
        <f t="shared" si="408"/>
        <v/>
      </c>
      <c s="98" t="str">
        <f t="shared" si="398"/>
        <v/>
      </c>
      <c s="97" t="str">
        <f t="array" ref="AK87">IFERROR(IF(AE87="ac"+ISNUMBER(SEARCH("'",AJ87))+AI87="","",IF(ISNUMBER(SEARCH("lw",AJ87)),W87+SUBSTITUTE(AJ87,"lw+",""),MROUND(_xlfn.SWITCH(AE87,"sq",AI$7,"bn",AJ$7,"dl",AK$7,"")*IF(AJ87&gt;10,AJ87/100,VLOOKUP(AJ87,_rpe,SUBSTITUTE(AI87,"+","")+1,0)),IF(_xlfn.SWITCH(AE87,"sq",AI$7,"bn",AJ$7,"dl",AK$7,"")&lt;IF(_uom="lbs",175,80),1.25,IF(_uom="lbs",5,2.5))))),"")</f>
        <v/>
      </c>
      <c s="70"/>
      <c s="63"/>
      <c s="97"/>
      <c s="44" t="str">
        <f>IFERROR(__xludf.DUMMYFUNCTION("IF(AK87=MAX(FILTER(AK$10:AK$199,LOOKUP(ROW(AE$10:AE$199),FILTER(ROW(AE$10:AE$199),AE$10:AE$199&lt;&gt;AE$9:AE$198))=LOOKUP(ROW(AE87),FILTER(ROW(AE$10:AE$199),AE$10:AE$199&lt;&gt;AE$9:AE$198)))),AL87,)"),"")</f>
        <v/>
      </c>
      <c s="42"/>
      <c s="63"/>
      <c s="64" t="str">
        <f t="shared" si="17"/>
        <v/>
      </c>
      <c s="65" t="str">
        <f>IFERROR(__xludf.DUMMYFUNCTION("""COMPUTED_VALUE"""),"")</f>
        <v/>
      </c>
      <c s="66">
        <f ca="1"/>
        <v>45229</v>
      </c>
      <c s="93" t="str">
        <f t="shared" si="157"/>
        <v/>
      </c>
      <c s="94" t="str">
        <f t="shared" si="399"/>
        <v/>
      </c>
      <c s="95" t="str">
        <f t="shared" si="409"/>
        <v/>
      </c>
      <c s="98" t="str">
        <f t="shared" si="400"/>
        <v/>
      </c>
      <c s="97" t="str">
        <f t="array" ref="AY87">IFERROR(IF(AS87="ac"+ISNUMBER(SEARCH("'",AX87))+AW87="","",IF(ISNUMBER(SEARCH("lw",AX87)),AK87+SUBSTITUTE(AX87,"lw+",""),MROUND(_xlfn.SWITCH(AS87,"sq",AW$7,"bn",AX$7,"dl",AY$7,"")*IF(AX87&gt;10,AX87/100,VLOOKUP(AX87,_rpe,SUBSTITUTE(AW87,"+","")+1,0)),IF(_xlfn.SWITCH(AS87,"sq",AW$7,"bn",AX$7,"dl",AY$7,"")&lt;IF(_uom="lbs",175,80),1.25,IF(_uom="lbs",5,2.5))))),"")</f>
        <v/>
      </c>
      <c s="70"/>
      <c s="63"/>
      <c s="97"/>
      <c s="44" t="str">
        <f>IFERROR(__xludf.DUMMYFUNCTION("IF(AY87=MAX(FILTER(AY$10:AY$199,LOOKUP(ROW(AS$10:AS$199),FILTER(ROW(AS$10:AS$199),AS$10:AS$199&lt;&gt;AS$9:AS$198))=LOOKUP(ROW(AS87),FILTER(ROW(AS$10:AS$199),AS$10:AS$199&lt;&gt;AS$9:AS$198)))),AZ87,)"),"")</f>
        <v/>
      </c>
      <c s="42"/>
      <c s="63"/>
      <c s="64" t="str">
        <f t="shared" si="19"/>
        <v/>
      </c>
      <c s="65" t="str">
        <f>IFERROR(__xludf.DUMMYFUNCTION("""COMPUTED_VALUE"""),"")</f>
        <v/>
      </c>
      <c s="66">
        <f ca="1"/>
        <v>45236</v>
      </c>
      <c s="93" t="str">
        <f t="shared" si="20"/>
        <v/>
      </c>
      <c s="94" t="str">
        <f t="shared" si="425"/>
        <v/>
      </c>
      <c s="95" t="str">
        <f t="shared" si="411"/>
        <v/>
      </c>
      <c s="98" t="str">
        <f t="shared" si="412"/>
        <v/>
      </c>
      <c s="97" t="str">
        <f t="array" ref="BM87">IFERROR(IF(BG87="ac"+ISNUMBER(SEARCH("'",BL87))+BK87="","",IF(ISNUMBER(SEARCH("lw",BL87)),AY87+SUBSTITUTE(BL87,"lw+",""),MROUND(_xlfn.SWITCH(BG87,"sq",BK$7,"bn",BL$7,"dl",BM$7,"")*IF(BL87&gt;10,BL87/100,VLOOKUP(BL87,_rpe,SUBSTITUTE(BK87,"+","")+1,0)),IF(_xlfn.SWITCH(BG87,"sq",BK$7,"bn",BL$7,"dl",BM$7,"")&lt;IF(_uom="lbs",175,80),1.25,IF(_uom="lbs",5,2.5))))),"")</f>
        <v/>
      </c>
      <c s="70"/>
      <c s="63"/>
      <c s="97"/>
      <c s="44" t="str">
        <f>IFERROR(__xludf.DUMMYFUNCTION("IF(BM87=MAX(FILTER(BM$10:BM$199,LOOKUP(ROW(BG$10:BG$199),FILTER(ROW(BG$10:BG$199),BG$10:BG$199&lt;&gt;BG$9:BG$198))=LOOKUP(ROW(BG87),FILTER(ROW(BG$10:BG$199),BG$10:BG$199&lt;&gt;BG$9:BG$198)))),BN87,)"),"")</f>
        <v/>
      </c>
      <c s="42"/>
      <c s="63"/>
      <c s="64" t="str">
        <f t="shared" si="21"/>
        <v/>
      </c>
      <c s="65" t="str">
        <f>IFERROR(__xludf.DUMMYFUNCTION("""COMPUTED_VALUE"""),"")</f>
        <v/>
      </c>
      <c s="66">
        <f ca="1"/>
        <v>45243</v>
      </c>
      <c s="93" t="str">
        <f t="shared" si="22"/>
        <v/>
      </c>
      <c s="94" t="str">
        <f t="shared" si="426"/>
        <v/>
      </c>
      <c s="95" t="str">
        <f t="shared" si="414"/>
        <v/>
      </c>
      <c s="98" t="str">
        <f t="shared" si="415"/>
        <v/>
      </c>
      <c s="97" t="str">
        <f t="array" ref="CA87">IFERROR(IF(BU87="ac"+ISNUMBER(SEARCH("'",BZ87))+BY87="","",IF(ISNUMBER(SEARCH("lw",BZ87)),BM87+SUBSTITUTE(BZ87,"lw+",""),MROUND(_xlfn.SWITCH(BU87,"sq",BY$7,"bn",BZ$7,"dl",CA$7,"")*IF(BZ87&gt;10,BZ87/100,VLOOKUP(BZ87,_rpe,SUBSTITUTE(BY87,"+","")+1,0)),IF(_xlfn.SWITCH(BU87,"sq",BY$7,"bn",BZ$7,"dl",CA$7,"")&lt;IF(_uom="lbs",175,80),1.25,IF(_uom="lbs",5,2.5))))),"")</f>
        <v/>
      </c>
      <c s="70"/>
      <c s="63"/>
      <c s="97"/>
      <c s="44" t="str">
        <f>IFERROR(__xludf.DUMMYFUNCTION("IF(CA87=MAX(FILTER(CA$10:CA$199,LOOKUP(ROW(BU$10:BU$199),FILTER(ROW(BU$10:BU$199),BU$10:BU$199&lt;&gt;BU$9:BU$198))=LOOKUP(ROW(BU87),FILTER(ROW(BU$10:BU$199),BU$10:BU$199&lt;&gt;BU$9:BU$198)))),CB87,)"),"")</f>
        <v/>
      </c>
      <c s="42"/>
      <c s="63"/>
      <c s="64" t="str">
        <f t="shared" si="24"/>
        <v/>
      </c>
      <c s="65" t="str">
        <f>IFERROR(__xludf.DUMMYFUNCTION("""COMPUTED_VALUE"""),"")</f>
        <v/>
      </c>
      <c s="66">
        <f ca="1"/>
        <v>45250</v>
      </c>
      <c s="93" t="str">
        <f t="shared" si="44"/>
        <v/>
      </c>
      <c s="94" t="str">
        <f t="shared" si="392"/>
        <v/>
      </c>
      <c s="95" t="str">
        <f t="shared" si="416"/>
        <v/>
      </c>
      <c s="98" t="str">
        <f t="shared" si="417"/>
        <v/>
      </c>
      <c s="97" t="str">
        <f t="array" ref="CO87">IFERROR(IF(CI87="ac"+ISNUMBER(SEARCH("'",CN87))+CM87="","",IF(ISNUMBER(SEARCH("lw",CN87)),CA87+SUBSTITUTE(CN87,"lw+",""),MROUND(_xlfn.SWITCH(CI87,"sq",CM$7,"bn",CN$7,"dl",CO$7,"")*IF(CN87&gt;10,CN87/100,VLOOKUP(CN87,_rpe,SUBSTITUTE(CM87,"+","")+1,0)),IF(_xlfn.SWITCH(CI87,"sq",CM$7,"bn",CN$7,"dl",CO$7,"")&lt;IF(_uom="lbs",175,80),1.25,IF(_uom="lbs",5,2.5))))),"")</f>
        <v/>
      </c>
      <c s="70"/>
      <c s="63"/>
      <c s="97"/>
      <c s="44" t="str">
        <f>IFERROR(__xludf.DUMMYFUNCTION("IF(CO87=MAX(FILTER(CO$10:CO$199,LOOKUP(ROW(CI$10:CI$199),FILTER(ROW(CI$10:CI$199),CI$10:CI$199&lt;&gt;CI$9:CI$198))=LOOKUP(ROW(CI87),FILTER(ROW(CI$10:CI$199),CI$10:CI$199&lt;&gt;CI$9:CI$198)))),CP87,)"),"")</f>
        <v/>
      </c>
      <c s="42"/>
      <c s="63"/>
      <c s="64" t="str">
        <f t="shared" si="27"/>
        <v/>
      </c>
      <c s="65" t="str">
        <f>IFERROR(__xludf.DUMMYFUNCTION("""COMPUTED_VALUE"""),"")</f>
        <v/>
      </c>
      <c s="66">
        <f ca="1"/>
        <v>45257</v>
      </c>
      <c s="93" t="str">
        <f t="shared" si="45"/>
        <v/>
      </c>
      <c s="94" t="str">
        <f t="shared" si="393"/>
        <v/>
      </c>
      <c s="95" t="str">
        <f t="shared" si="418"/>
        <v/>
      </c>
      <c s="98" t="str">
        <f t="shared" si="401"/>
        <v/>
      </c>
      <c s="97" t="str">
        <f t="array" ref="DC87">IFERROR(IF(CW87="ac"+ISNUMBER(SEARCH("'",DB87))+DA87="","",IF(ISNUMBER(SEARCH("lw",DB87)),CO87+SUBSTITUTE(DB87,"lw+",""),MROUND(_xlfn.SWITCH(CW87,"sq",DA$7,"bn",DB$7,"dl",DC$7,"")*IF(DB87&gt;10,DB87/100,VLOOKUP(DB87,_rpe,SUBSTITUTE(DA87,"+","")+1,0)),IF(_xlfn.SWITCH(CW87,"sq",DA$7,"bn",DB$7,"dl",DC$7,"")&lt;IF(_uom="lbs",175,80),1.25,IF(_uom="lbs",5,2.5))))),"")</f>
        <v/>
      </c>
      <c s="70"/>
      <c s="63"/>
      <c s="97"/>
      <c s="44" t="str">
        <f>IFERROR(__xludf.DUMMYFUNCTION("IF(DC87=MAX(FILTER(DC$10:DC$199,LOOKUP(ROW(CW$10:CW$199),FILTER(ROW(CW$10:CW$199),CW$10:CW$199&lt;&gt;CW$9:CW$198))=LOOKUP(ROW(CW87),FILTER(ROW(CW$10:CW$199),CW$10:CW$199&lt;&gt;CW$9:CW$198)))),DD87,)"),"")</f>
        <v/>
      </c>
      <c s="42"/>
      <c s="63"/>
      <c s="64" t="str">
        <f t="shared" si="30"/>
        <v/>
      </c>
      <c s="65" t="str">
        <f>IFERROR(__xludf.DUMMYFUNCTION("""COMPUTED_VALUE"""),"")</f>
        <v/>
      </c>
      <c s="66">
        <f ca="1"/>
        <v>45264</v>
      </c>
      <c s="93" t="str">
        <f t="shared" si="46"/>
        <v/>
      </c>
      <c s="94" t="str">
        <f t="shared" si="394"/>
        <v/>
      </c>
      <c s="95" t="str">
        <f t="shared" si="419"/>
        <v/>
      </c>
      <c s="98" t="str">
        <f t="shared" si="420"/>
        <v/>
      </c>
      <c s="97" t="str">
        <f t="array" ref="DQ87">IFERROR(IF(DK87="ac"+ISNUMBER(SEARCH("'",DP87))+DO87="","",IF(ISNUMBER(SEARCH("lw",DP87)),DC87+SUBSTITUTE(DP87,"lw+",""),MROUND(_xlfn.SWITCH(DK87,"sq",DO$7,"bn",DP$7,"dl",DQ$7,"")*IF(DP87&gt;10,DP87/100,VLOOKUP(DP87,_rpe,SUBSTITUTE(DO87,"+","")+1,0)),IF(_xlfn.SWITCH(DK87,"sq",DO$7,"bn",DP$7,"dl",DQ$7,"")&lt;IF(_uom="lbs",175,80),1.25,IF(_uom="lbs",5,2.5))))),"")</f>
        <v/>
      </c>
      <c s="70"/>
      <c s="63"/>
      <c s="97"/>
      <c s="44" t="str">
        <f>IFERROR(__xludf.DUMMYFUNCTION("IF(DQ87=MAX(FILTER(DQ$10:DQ$199,LOOKUP(ROW(DK$10:DK$199),FILTER(ROW(DK$10:DK$199),DK$10:DK$199&lt;&gt;DK$9:DK$198))=LOOKUP(ROW(DK87),FILTER(ROW(DK$10:DK$199),DK$10:DK$199&lt;&gt;DK$9:DK$198)))),DR87,)"),"")</f>
        <v/>
      </c>
      <c s="42"/>
      <c s="63"/>
      <c s="64" t="str">
        <f t="shared" si="32"/>
        <v/>
      </c>
      <c s="65" t="str">
        <f>IFERROR(__xludf.DUMMYFUNCTION("""COMPUTED_VALUE"""),"")</f>
        <v/>
      </c>
      <c s="66">
        <f ca="1"/>
        <v>45271</v>
      </c>
      <c s="93" t="str">
        <f t="shared" si="47"/>
        <v/>
      </c>
      <c s="94" t="str">
        <f t="shared" si="405"/>
        <v/>
      </c>
      <c s="95" t="str">
        <f t="shared" si="421"/>
        <v/>
      </c>
      <c s="98" t="str">
        <f t="shared" si="422"/>
        <v/>
      </c>
      <c s="97" t="str">
        <f t="array" ref="EE87">IFERROR(IF(DY87="ac"+ISNUMBER(SEARCH("'",ED87))+EC87="","",IF(ISNUMBER(SEARCH("lw",ED87)),DQ87+SUBSTITUTE(ED87,"lw+",""),MROUND(_xlfn.SWITCH(DY87,"sq",EC$7,"bn",ED$7,"dl",EE$7,"")*IF(ED87&gt;10,ED87/100,VLOOKUP(ED87,_rpe,SUBSTITUTE(EC87,"+","")+1,0)),IF(_xlfn.SWITCH(DY87,"sq",EC$7,"bn",ED$7,"dl",EE$7,"")&lt;IF(_uom="lbs",175,80),1.25,IF(_uom="lbs",5,2.5))))),"")</f>
        <v/>
      </c>
      <c s="70"/>
      <c s="63"/>
      <c s="97"/>
      <c s="44" t="str">
        <f>IFERROR(__xludf.DUMMYFUNCTION("IF(EE87=MAX(FILTER(EE$10:EE$199,LOOKUP(ROW(DY$10:DY$199),FILTER(ROW(DY$10:DY$199),DY$10:DY$199&lt;&gt;DY$9:DY$198))=LOOKUP(ROW(DY87),FILTER(ROW(DY$10:DY$199),DY$10:DY$199&lt;&gt;DY$9:DY$198)))),EF87,)"),"")</f>
        <v/>
      </c>
      <c s="42"/>
      <c s="63"/>
      <c s="64" t="str">
        <f t="shared" si="34"/>
        <v/>
      </c>
      <c s="65" t="str">
        <f>IFERROR(__xludf.DUMMYFUNCTION("""COMPUTED_VALUE"""),"")</f>
        <v/>
      </c>
      <c s="66">
        <f ca="1"/>
        <v>45278</v>
      </c>
      <c s="93" t="str">
        <f t="shared" si="48"/>
        <v/>
      </c>
      <c s="94" t="str">
        <f t="shared" si="395"/>
        <v/>
      </c>
      <c s="95" t="str">
        <f t="shared" si="423"/>
        <v/>
      </c>
      <c s="98" t="str">
        <f t="shared" si="402"/>
        <v/>
      </c>
      <c s="97" t="str">
        <f t="array" ref="ES87">IFERROR(IF(EM87="ac"+ISNUMBER(SEARCH("'",ER87))+EQ87="","",IF(ISNUMBER(SEARCH("lw",ER87)),EE87+SUBSTITUTE(ER87,"lw+",""),MROUND(_xlfn.SWITCH(EM87,"sq",EQ$7,"bn",ER$7,"dl",ES$7,"")*IF(ER87&gt;10,ER87/100,VLOOKUP(ER87,_rpe,SUBSTITUTE(EQ87,"+","")+1,0)),IF(_xlfn.SWITCH(EM87,"sq",EQ$7,"bn",ER$7,"dl",ES$7,"")&lt;IF(_uom="lbs",175,80),1.25,IF(_uom="lbs",5,2.5))))),"")</f>
        <v/>
      </c>
      <c s="70"/>
      <c s="63"/>
      <c s="97"/>
      <c s="44" t="str">
        <f>IFERROR(__xludf.DUMMYFUNCTION("IF(ES87=MAX(FILTER(ES$10:ES$199,LOOKUP(ROW(EM$10:EM$199),FILTER(ROW(EM$10:EM$199),EM$10:EM$199&lt;&gt;EM$9:EM$198))=LOOKUP(ROW(EM87),FILTER(ROW(EM$10:EM$199),EM$10:EM$199&lt;&gt;EM$9:EM$198)))),ET87,)"),"")</f>
        <v/>
      </c>
      <c s="42"/>
      <c s="63"/>
      <c s="64" t="str">
        <f t="shared" si="36"/>
        <v/>
      </c>
      <c s="65" t="str">
        <f>IFERROR(__xludf.DUMMYFUNCTION("""COMPUTED_VALUE"""),"")</f>
        <v/>
      </c>
      <c s="66">
        <f ca="1"/>
        <v>45285</v>
      </c>
      <c s="93" t="str">
        <f t="shared" si="49"/>
        <v/>
      </c>
      <c s="94" t="str">
        <f t="shared" si="396"/>
        <v/>
      </c>
      <c s="95" t="str">
        <f t="shared" si="424"/>
        <v/>
      </c>
      <c s="98" t="str">
        <f t="shared" si="403"/>
        <v/>
      </c>
      <c s="97" t="str">
        <f t="array" ref="FG87">IFERROR(IF(FA87="ac"+ISNUMBER(SEARCH("'",FF87))+FE87="","",IF(ISNUMBER(SEARCH("lw",FF87)),ES87+SUBSTITUTE(FF87,"lw+",""),MROUND(_xlfn.SWITCH(FA87,"sq",FE$7,"bn",FF$7,"dl",FG$7,"")*IF(FF87&gt;10,FF87/100,VLOOKUP(FF87,_rpe,SUBSTITUTE(FE87,"+","")+1,0)),IF(_xlfn.SWITCH(FA87,"sq",FE$7,"bn",FF$7,"dl",FG$7,"")&lt;IF(_uom="lbs",175,80),1.25,IF(_uom="lbs",5,2.5))))),"")</f>
        <v/>
      </c>
      <c s="70"/>
      <c s="63"/>
      <c s="97"/>
      <c s="44" t="str">
        <f>IFERROR(__xludf.DUMMYFUNCTION("IF(FG87=MAX(FILTER(FG$10:FG$199,LOOKUP(ROW(FA$10:FA$199),FILTER(ROW(FA$10:FA$199),FA$10:FA$199&lt;&gt;FA$9:FA$198))=LOOKUP(ROW(FA87),FILTER(ROW(FA$10:FA$199),FA$10:FA$199&lt;&gt;FA$9:FA$198)))),FH87,)"),"")</f>
        <v/>
      </c>
      <c s="42"/>
      <c s="63"/>
      <c s="64" t="str">
        <f t="shared" si="38"/>
        <v/>
      </c>
      <c s="65" t="str">
        <f>IFERROR(__xludf.DUMMYFUNCTION("""COMPUTED_VALUE"""),"")</f>
        <v/>
      </c>
      <c s="66">
        <f ca="1"/>
        <v>45292</v>
      </c>
      <c s="93" t="str">
        <f t="shared" si="431" ref="FQ87:FR87">IF(ISBLANK(FC87),"",FC87)</f>
        <v/>
      </c>
      <c s="94" t="str">
        <f t="shared" si="431"/>
        <v/>
      </c>
      <c s="95" t="str">
        <f t="shared" si="428"/>
        <v/>
      </c>
      <c s="98" t="str">
        <f t="shared" si="429"/>
        <v/>
      </c>
      <c s="97" t="str">
        <f t="array" ref="FU87">IFERROR(IF(FO87="ac"+ISNUMBER(SEARCH("'",FT87))+FS87="","",IF(ISNUMBER(SEARCH("lw",FT87)),FG87+SUBSTITUTE(FT87,"lw+",""),MROUND(_xlfn.SWITCH(FO87,"sq",FS$7,"bn",FT$7,"dl",FU$7,"")*IF(FT87&gt;10,FT87/100,VLOOKUP(FT87,_rpe,SUBSTITUTE(FS87,"+","")+1,0)),IF(_xlfn.SWITCH(FO87,"sq",FS$7,"bn",FT$7,"dl",FU$7,"")&lt;IF(_uom="lbs",175,80),1.25,IF(_uom="lbs",5,2.5))))),"")</f>
        <v/>
      </c>
      <c s="70"/>
      <c s="63"/>
      <c s="97"/>
      <c s="44" t="str">
        <f>IFERROR(__xludf.DUMMYFUNCTION("IF(FU87=MAX(FILTER(FU$10:FU$199,LOOKUP(ROW(FO$10:FO$199),FILTER(ROW(FO$10:FO$199),FO$10:FO$199&lt;&gt;FO$9:FO$198))=LOOKUP(ROW(FO87),FILTER(ROW(FO$10:FO$199),FO$10:FO$199&lt;&gt;FO$9:FO$198)))),FV87,)"),"")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88" spans="1:259" ht="15.75">
      <c r="A88" s="63"/>
      <c s="107"/>
      <c s="65" t="str">
        <f>IFERROR(__xludf.DUMMYFUNCTION("""COMPUTED_VALUE"""),"")</f>
        <v/>
      </c>
      <c s="66">
        <f ca="1"/>
        <v>45208</v>
      </c>
      <c s="93"/>
      <c s="94"/>
      <c s="95"/>
      <c s="96"/>
      <c s="97" t="str">
        <f t="array" ref="I88">IFERROR(IF(C88="ac"+ISNUMBER(SEARCH("'",H88))+G88="","",MROUND(_xlfn.SWITCH(C88,"sq",'Personal Info'!$O$15,"bn",'Personal Info'!$S$15,"dl",'Personal Info'!$W$15,"")*IF(H88&gt;10,H88/100,VLOOKUP(H88,_rpe,SUBSTITUTE(G88,"+","")+1,0)),IF(_xlfn.SWITCH(C88:C210,"sq",'Personal Info'!$O$15,"bn",'Personal Info'!$S$15,"dl",'Personal Info'!$W$15,"")&lt;IF(_uom="lbs",175,80),1.25,IF(_uom="lbs",5,2.5)))),"")</f>
        <v/>
      </c>
      <c s="70"/>
      <c s="63"/>
      <c s="97"/>
      <c s="44" t="str">
        <f>IFERROR(__xludf.DUMMYFUNCTION("IF(I88=MAX(FILTER(I$10:I$199,LOOKUP(ROW(C$10:C$199),FILTER(ROW(C$10:C$199),C$10:C$199&lt;&gt;C$9:C$198))=LOOKUP(ROW(C88),FILTER(ROW(C$10:C$199),C$10:C$199&lt;&gt;C$9:C$198)))),J88,)"),"")</f>
        <v/>
      </c>
      <c s="42"/>
      <c s="63"/>
      <c s="64" t="str">
        <f t="shared" si="11"/>
        <v/>
      </c>
      <c s="65" t="str">
        <f>IFERROR(__xludf.DUMMYFUNCTION("""COMPUTED_VALUE"""),"")</f>
        <v/>
      </c>
      <c s="66">
        <f ca="1"/>
        <v>45215</v>
      </c>
      <c s="93" t="str">
        <f t="shared" si="12"/>
        <v/>
      </c>
      <c s="94" t="str">
        <f t="shared" si="404"/>
        <v/>
      </c>
      <c s="95" t="str">
        <f t="shared" si="406"/>
        <v/>
      </c>
      <c s="98" t="str">
        <f t="shared" si="407"/>
        <v/>
      </c>
      <c s="97" t="str">
        <f t="array" ref="W88">IFERROR(IF(Q88="ac"+ISNUMBER(SEARCH("'",V88))+U88="","",IF(ISNUMBER(SEARCH("lw",V88)),I88+SUBSTITUTE(V88,"lw+",""),MROUND(_xlfn.SWITCH(Q88,"sq",U$7,"bn",V$7,"dl",W$7,"")*IF(V88&gt;10,V88/100,VLOOKUP(V88,_rpe,SUBSTITUTE(U88,"+","")+1,0)),IF(_xlfn.SWITCH(Q88,"sq",U$7,"bn",V$7,"dl",W$7,"")&lt;IF(_uom="lbs",175,80),1.25,IF(_uom="lbs",5,2.5))))),"")</f>
        <v/>
      </c>
      <c s="70"/>
      <c s="63"/>
      <c s="97"/>
      <c s="44" t="str">
        <f>IFERROR(__xludf.DUMMYFUNCTION("IF(W88=MAX(FILTER(W$10:W$199,LOOKUP(ROW(Q$10:Q$199),FILTER(ROW(Q$10:Q$199),Q$10:Q$199&lt;&gt;Q$9:Q$198))=LOOKUP(ROW(Q88),FILTER(ROW(Q$10:Q$199),Q$10:Q$199&lt;&gt;Q$9:Q$198)))),X88,)"),"")</f>
        <v/>
      </c>
      <c s="42"/>
      <c s="63"/>
      <c s="64" t="str">
        <f t="shared" si="14"/>
        <v/>
      </c>
      <c s="65" t="str">
        <f>IFERROR(__xludf.DUMMYFUNCTION("""COMPUTED_VALUE"""),"")</f>
        <v/>
      </c>
      <c s="66">
        <f ca="1"/>
        <v>45222</v>
      </c>
      <c s="93" t="str">
        <f t="shared" si="156"/>
        <v/>
      </c>
      <c s="94" t="str">
        <f t="shared" si="397"/>
        <v/>
      </c>
      <c s="95" t="str">
        <f t="shared" si="408"/>
        <v/>
      </c>
      <c s="98" t="str">
        <f t="shared" si="398"/>
        <v/>
      </c>
      <c s="97" t="str">
        <f t="array" ref="AK88">IFERROR(IF(AE88="ac"+ISNUMBER(SEARCH("'",AJ88))+AI88="","",IF(ISNUMBER(SEARCH("lw",AJ88)),W88+SUBSTITUTE(AJ88,"lw+",""),MROUND(_xlfn.SWITCH(AE88,"sq",AI$7,"bn",AJ$7,"dl",AK$7,"")*IF(AJ88&gt;10,AJ88/100,VLOOKUP(AJ88,_rpe,SUBSTITUTE(AI88,"+","")+1,0)),IF(_xlfn.SWITCH(AE88,"sq",AI$7,"bn",AJ$7,"dl",AK$7,"")&lt;IF(_uom="lbs",175,80),1.25,IF(_uom="lbs",5,2.5))))),"")</f>
        <v/>
      </c>
      <c s="70"/>
      <c s="63"/>
      <c s="97"/>
      <c s="44" t="str">
        <f>IFERROR(__xludf.DUMMYFUNCTION("IF(AK88=MAX(FILTER(AK$10:AK$199,LOOKUP(ROW(AE$10:AE$199),FILTER(ROW(AE$10:AE$199),AE$10:AE$199&lt;&gt;AE$9:AE$198))=LOOKUP(ROW(AE88),FILTER(ROW(AE$10:AE$199),AE$10:AE$199&lt;&gt;AE$9:AE$198)))),AL88,)"),"")</f>
        <v/>
      </c>
      <c s="42"/>
      <c s="63"/>
      <c s="64" t="str">
        <f t="shared" si="17"/>
        <v/>
      </c>
      <c s="65" t="str">
        <f>IFERROR(__xludf.DUMMYFUNCTION("""COMPUTED_VALUE"""),"")</f>
        <v/>
      </c>
      <c s="66">
        <f ca="1"/>
        <v>45229</v>
      </c>
      <c s="93" t="str">
        <f t="shared" si="157"/>
        <v/>
      </c>
      <c s="94" t="str">
        <f t="shared" si="399"/>
        <v/>
      </c>
      <c s="95" t="str">
        <f t="shared" si="409"/>
        <v/>
      </c>
      <c s="98" t="str">
        <f t="shared" si="400"/>
        <v/>
      </c>
      <c s="97" t="str">
        <f t="array" ref="AY88">IFERROR(IF(AS88="ac"+ISNUMBER(SEARCH("'",AX88))+AW88="","",IF(ISNUMBER(SEARCH("lw",AX88)),AK88+SUBSTITUTE(AX88,"lw+",""),MROUND(_xlfn.SWITCH(AS88,"sq",AW$7,"bn",AX$7,"dl",AY$7,"")*IF(AX88&gt;10,AX88/100,VLOOKUP(AX88,_rpe,SUBSTITUTE(AW88,"+","")+1,0)),IF(_xlfn.SWITCH(AS88,"sq",AW$7,"bn",AX$7,"dl",AY$7,"")&lt;IF(_uom="lbs",175,80),1.25,IF(_uom="lbs",5,2.5))))),"")</f>
        <v/>
      </c>
      <c s="70"/>
      <c s="63"/>
      <c s="97"/>
      <c s="44" t="str">
        <f>IFERROR(__xludf.DUMMYFUNCTION("IF(AY88=MAX(FILTER(AY$10:AY$199,LOOKUP(ROW(AS$10:AS$199),FILTER(ROW(AS$10:AS$199),AS$10:AS$199&lt;&gt;AS$9:AS$198))=LOOKUP(ROW(AS88),FILTER(ROW(AS$10:AS$199),AS$10:AS$199&lt;&gt;AS$9:AS$198)))),AZ88,)"),"")</f>
        <v/>
      </c>
      <c s="42"/>
      <c s="63"/>
      <c s="64" t="str">
        <f t="shared" si="19"/>
        <v/>
      </c>
      <c s="65" t="str">
        <f>IFERROR(__xludf.DUMMYFUNCTION("""COMPUTED_VALUE"""),"")</f>
        <v/>
      </c>
      <c s="66">
        <f ca="1"/>
        <v>45236</v>
      </c>
      <c s="93" t="str">
        <f t="shared" si="20"/>
        <v/>
      </c>
      <c s="94" t="str">
        <f t="shared" si="425"/>
        <v/>
      </c>
      <c s="95" t="str">
        <f t="shared" si="411"/>
        <v/>
      </c>
      <c s="98" t="str">
        <f t="shared" si="412"/>
        <v/>
      </c>
      <c s="97" t="str">
        <f t="array" ref="BM88">IFERROR(IF(BG88="ac"+ISNUMBER(SEARCH("'",BL88))+BK88="","",IF(ISNUMBER(SEARCH("lw",BL88)),AY88+SUBSTITUTE(BL88,"lw+",""),MROUND(_xlfn.SWITCH(BG88,"sq",BK$7,"bn",BL$7,"dl",BM$7,"")*IF(BL88&gt;10,BL88/100,VLOOKUP(BL88,_rpe,SUBSTITUTE(BK88,"+","")+1,0)),IF(_xlfn.SWITCH(BG88,"sq",BK$7,"bn",BL$7,"dl",BM$7,"")&lt;IF(_uom="lbs",175,80),1.25,IF(_uom="lbs",5,2.5))))),"")</f>
        <v/>
      </c>
      <c s="70"/>
      <c s="63"/>
      <c s="97"/>
      <c s="44" t="str">
        <f>IFERROR(__xludf.DUMMYFUNCTION("IF(BM88=MAX(FILTER(BM$10:BM$199,LOOKUP(ROW(BG$10:BG$199),FILTER(ROW(BG$10:BG$199),BG$10:BG$199&lt;&gt;BG$9:BG$198))=LOOKUP(ROW(BG88),FILTER(ROW(BG$10:BG$199),BG$10:BG$199&lt;&gt;BG$9:BG$198)))),BN88,)"),"")</f>
        <v/>
      </c>
      <c s="42"/>
      <c s="63"/>
      <c s="64" t="str">
        <f t="shared" si="21"/>
        <v/>
      </c>
      <c s="65" t="str">
        <f>IFERROR(__xludf.DUMMYFUNCTION("""COMPUTED_VALUE"""),"")</f>
        <v/>
      </c>
      <c s="66">
        <f ca="1"/>
        <v>45243</v>
      </c>
      <c s="93" t="str">
        <f t="shared" si="22"/>
        <v/>
      </c>
      <c s="94" t="str">
        <f t="shared" si="426"/>
        <v/>
      </c>
      <c s="95" t="str">
        <f t="shared" si="414"/>
        <v/>
      </c>
      <c s="98" t="str">
        <f t="shared" si="415"/>
        <v/>
      </c>
      <c s="97" t="str">
        <f t="array" ref="CA88">IFERROR(IF(BU88="ac"+ISNUMBER(SEARCH("'",BZ88))+BY88="","",IF(ISNUMBER(SEARCH("lw",BZ88)),BM88+SUBSTITUTE(BZ88,"lw+",""),MROUND(_xlfn.SWITCH(BU88,"sq",BY$7,"bn",BZ$7,"dl",CA$7,"")*IF(BZ88&gt;10,BZ88/100,VLOOKUP(BZ88,_rpe,SUBSTITUTE(BY88,"+","")+1,0)),IF(_xlfn.SWITCH(BU88,"sq",BY$7,"bn",BZ$7,"dl",CA$7,"")&lt;IF(_uom="lbs",175,80),1.25,IF(_uom="lbs",5,2.5))))),"")</f>
        <v/>
      </c>
      <c s="70"/>
      <c s="63"/>
      <c s="97"/>
      <c s="44" t="str">
        <f>IFERROR(__xludf.DUMMYFUNCTION("IF(CA88=MAX(FILTER(CA$10:CA$199,LOOKUP(ROW(BU$10:BU$199),FILTER(ROW(BU$10:BU$199),BU$10:BU$199&lt;&gt;BU$9:BU$198))=LOOKUP(ROW(BU88),FILTER(ROW(BU$10:BU$199),BU$10:BU$199&lt;&gt;BU$9:BU$198)))),CB88,)"),"")</f>
        <v/>
      </c>
      <c s="42"/>
      <c s="63"/>
      <c s="64" t="str">
        <f t="shared" si="24"/>
        <v/>
      </c>
      <c s="65" t="str">
        <f>IFERROR(__xludf.DUMMYFUNCTION("""COMPUTED_VALUE"""),"")</f>
        <v/>
      </c>
      <c s="66">
        <f ca="1"/>
        <v>45250</v>
      </c>
      <c s="93" t="str">
        <f t="shared" si="44"/>
        <v/>
      </c>
      <c s="94" t="str">
        <f t="shared" si="392"/>
        <v/>
      </c>
      <c s="95" t="str">
        <f t="shared" si="416"/>
        <v/>
      </c>
      <c s="98" t="str">
        <f t="shared" si="417"/>
        <v/>
      </c>
      <c s="97" t="str">
        <f t="array" ref="CO88">IFERROR(IF(CI88="ac"+ISNUMBER(SEARCH("'",CN88))+CM88="","",IF(ISNUMBER(SEARCH("lw",CN88)),CA88+SUBSTITUTE(CN88,"lw+",""),MROUND(_xlfn.SWITCH(CI88,"sq",CM$7,"bn",CN$7,"dl",CO$7,"")*IF(CN88&gt;10,CN88/100,VLOOKUP(CN88,_rpe,SUBSTITUTE(CM88,"+","")+1,0)),IF(_xlfn.SWITCH(CI88,"sq",CM$7,"bn",CN$7,"dl",CO$7,"")&lt;IF(_uom="lbs",175,80),1.25,IF(_uom="lbs",5,2.5))))),"")</f>
        <v/>
      </c>
      <c s="70"/>
      <c s="63"/>
      <c s="97"/>
      <c s="44" t="str">
        <f>IFERROR(__xludf.DUMMYFUNCTION("IF(CO88=MAX(FILTER(CO$10:CO$199,LOOKUP(ROW(CI$10:CI$199),FILTER(ROW(CI$10:CI$199),CI$10:CI$199&lt;&gt;CI$9:CI$198))=LOOKUP(ROW(CI88),FILTER(ROW(CI$10:CI$199),CI$10:CI$199&lt;&gt;CI$9:CI$198)))),CP88,)"),"")</f>
        <v/>
      </c>
      <c s="42"/>
      <c s="63"/>
      <c s="64" t="str">
        <f t="shared" si="27"/>
        <v/>
      </c>
      <c s="65" t="str">
        <f>IFERROR(__xludf.DUMMYFUNCTION("""COMPUTED_VALUE"""),"")</f>
        <v/>
      </c>
      <c s="66">
        <f ca="1"/>
        <v>45257</v>
      </c>
      <c s="93" t="str">
        <f t="shared" si="45"/>
        <v/>
      </c>
      <c s="94" t="str">
        <f t="shared" si="393"/>
        <v/>
      </c>
      <c s="95" t="str">
        <f t="shared" si="418"/>
        <v/>
      </c>
      <c s="98" t="str">
        <f t="shared" si="401"/>
        <v/>
      </c>
      <c s="97" t="str">
        <f t="array" ref="DC88">IFERROR(IF(CW88="ac"+ISNUMBER(SEARCH("'",DB88))+DA88="","",IF(ISNUMBER(SEARCH("lw",DB88)),CO88+SUBSTITUTE(DB88,"lw+",""),MROUND(_xlfn.SWITCH(CW88,"sq",DA$7,"bn",DB$7,"dl",DC$7,"")*IF(DB88&gt;10,DB88/100,VLOOKUP(DB88,_rpe,SUBSTITUTE(DA88,"+","")+1,0)),IF(_xlfn.SWITCH(CW88,"sq",DA$7,"bn",DB$7,"dl",DC$7,"")&lt;IF(_uom="lbs",175,80),1.25,IF(_uom="lbs",5,2.5))))),"")</f>
        <v/>
      </c>
      <c s="70"/>
      <c s="63"/>
      <c s="97"/>
      <c s="44" t="str">
        <f>IFERROR(__xludf.DUMMYFUNCTION("IF(DC88=MAX(FILTER(DC$10:DC$199,LOOKUP(ROW(CW$10:CW$199),FILTER(ROW(CW$10:CW$199),CW$10:CW$199&lt;&gt;CW$9:CW$198))=LOOKUP(ROW(CW88),FILTER(ROW(CW$10:CW$199),CW$10:CW$199&lt;&gt;CW$9:CW$198)))),DD88,)"),"")</f>
        <v/>
      </c>
      <c s="42"/>
      <c s="63"/>
      <c s="64" t="str">
        <f t="shared" si="30"/>
        <v/>
      </c>
      <c s="65" t="str">
        <f>IFERROR(__xludf.DUMMYFUNCTION("""COMPUTED_VALUE"""),"")</f>
        <v/>
      </c>
      <c s="66">
        <f ca="1"/>
        <v>45264</v>
      </c>
      <c s="93" t="str">
        <f t="shared" si="46"/>
        <v/>
      </c>
      <c s="94" t="str">
        <f t="shared" si="394"/>
        <v/>
      </c>
      <c s="95" t="str">
        <f t="shared" si="419"/>
        <v/>
      </c>
      <c s="98" t="str">
        <f t="shared" si="420"/>
        <v/>
      </c>
      <c s="97" t="str">
        <f t="array" ref="DQ88">IFERROR(IF(DK88="ac"+ISNUMBER(SEARCH("'",DP88))+DO88="","",IF(ISNUMBER(SEARCH("lw",DP88)),DC88+SUBSTITUTE(DP88,"lw+",""),MROUND(_xlfn.SWITCH(DK88,"sq",DO$7,"bn",DP$7,"dl",DQ$7,"")*IF(DP88&gt;10,DP88/100,VLOOKUP(DP88,_rpe,SUBSTITUTE(DO88,"+","")+1,0)),IF(_xlfn.SWITCH(DK88,"sq",DO$7,"bn",DP$7,"dl",DQ$7,"")&lt;IF(_uom="lbs",175,80),1.25,IF(_uom="lbs",5,2.5))))),"")</f>
        <v/>
      </c>
      <c s="70"/>
      <c s="63"/>
      <c s="97"/>
      <c s="44" t="str">
        <f>IFERROR(__xludf.DUMMYFUNCTION("IF(DQ88=MAX(FILTER(DQ$10:DQ$199,LOOKUP(ROW(DK$10:DK$199),FILTER(ROW(DK$10:DK$199),DK$10:DK$199&lt;&gt;DK$9:DK$198))=LOOKUP(ROW(DK88),FILTER(ROW(DK$10:DK$199),DK$10:DK$199&lt;&gt;DK$9:DK$198)))),DR88,)"),"")</f>
        <v/>
      </c>
      <c s="42"/>
      <c s="63"/>
      <c s="64" t="str">
        <f t="shared" si="32"/>
        <v/>
      </c>
      <c s="65" t="str">
        <f>IFERROR(__xludf.DUMMYFUNCTION("""COMPUTED_VALUE"""),"")</f>
        <v/>
      </c>
      <c s="66">
        <f ca="1"/>
        <v>45271</v>
      </c>
      <c s="93" t="str">
        <f t="shared" si="47"/>
        <v/>
      </c>
      <c s="94" t="str">
        <f t="shared" si="405"/>
        <v/>
      </c>
      <c s="95" t="str">
        <f t="shared" si="421"/>
        <v/>
      </c>
      <c s="98" t="str">
        <f t="shared" si="422"/>
        <v/>
      </c>
      <c s="97" t="str">
        <f t="array" ref="EE88">IFERROR(IF(DY88="ac"+ISNUMBER(SEARCH("'",ED88))+EC88="","",IF(ISNUMBER(SEARCH("lw",ED88)),DQ88+SUBSTITUTE(ED88,"lw+",""),MROUND(_xlfn.SWITCH(DY88,"sq",EC$7,"bn",ED$7,"dl",EE$7,"")*IF(ED88&gt;10,ED88/100,VLOOKUP(ED88,_rpe,SUBSTITUTE(EC88,"+","")+1,0)),IF(_xlfn.SWITCH(DY88,"sq",EC$7,"bn",ED$7,"dl",EE$7,"")&lt;IF(_uom="lbs",175,80),1.25,IF(_uom="lbs",5,2.5))))),"")</f>
        <v/>
      </c>
      <c s="70"/>
      <c s="63"/>
      <c s="97"/>
      <c s="44" t="str">
        <f>IFERROR(__xludf.DUMMYFUNCTION("IF(EE88=MAX(FILTER(EE$10:EE$199,LOOKUP(ROW(DY$10:DY$199),FILTER(ROW(DY$10:DY$199),DY$10:DY$199&lt;&gt;DY$9:DY$198))=LOOKUP(ROW(DY88),FILTER(ROW(DY$10:DY$199),DY$10:DY$199&lt;&gt;DY$9:DY$198)))),EF88,)"),"")</f>
        <v/>
      </c>
      <c s="42"/>
      <c s="63"/>
      <c s="64" t="str">
        <f t="shared" si="34"/>
        <v/>
      </c>
      <c s="65" t="str">
        <f>IFERROR(__xludf.DUMMYFUNCTION("""COMPUTED_VALUE"""),"")</f>
        <v/>
      </c>
      <c s="66">
        <f ca="1"/>
        <v>45278</v>
      </c>
      <c s="93" t="str">
        <f t="shared" si="48"/>
        <v/>
      </c>
      <c s="94" t="str">
        <f t="shared" si="395"/>
        <v/>
      </c>
      <c s="95" t="str">
        <f t="shared" si="423"/>
        <v/>
      </c>
      <c s="98" t="str">
        <f t="shared" si="402"/>
        <v/>
      </c>
      <c s="97" t="str">
        <f t="array" ref="ES88">IFERROR(IF(EM88="ac"+ISNUMBER(SEARCH("'",ER88))+EQ88="","",IF(ISNUMBER(SEARCH("lw",ER88)),EE88+SUBSTITUTE(ER88,"lw+",""),MROUND(_xlfn.SWITCH(EM88,"sq",EQ$7,"bn",ER$7,"dl",ES$7,"")*IF(ER88&gt;10,ER88/100,VLOOKUP(ER88,_rpe,SUBSTITUTE(EQ88,"+","")+1,0)),IF(_xlfn.SWITCH(EM88,"sq",EQ$7,"bn",ER$7,"dl",ES$7,"")&lt;IF(_uom="lbs",175,80),1.25,IF(_uom="lbs",5,2.5))))),"")</f>
        <v/>
      </c>
      <c s="70"/>
      <c s="63"/>
      <c s="97"/>
      <c s="44" t="str">
        <f>IFERROR(__xludf.DUMMYFUNCTION("IF(ES88=MAX(FILTER(ES$10:ES$199,LOOKUP(ROW(EM$10:EM$199),FILTER(ROW(EM$10:EM$199),EM$10:EM$199&lt;&gt;EM$9:EM$198))=LOOKUP(ROW(EM88),FILTER(ROW(EM$10:EM$199),EM$10:EM$199&lt;&gt;EM$9:EM$198)))),ET88,)"),"")</f>
        <v/>
      </c>
      <c s="42"/>
      <c s="63"/>
      <c s="64" t="str">
        <f t="shared" si="36"/>
        <v/>
      </c>
      <c s="65" t="str">
        <f>IFERROR(__xludf.DUMMYFUNCTION("""COMPUTED_VALUE"""),"")</f>
        <v/>
      </c>
      <c s="66">
        <f ca="1"/>
        <v>45285</v>
      </c>
      <c s="93" t="str">
        <f t="shared" si="49"/>
        <v/>
      </c>
      <c s="94" t="str">
        <f t="shared" si="396"/>
        <v/>
      </c>
      <c s="95" t="str">
        <f t="shared" si="424"/>
        <v/>
      </c>
      <c s="98" t="str">
        <f t="shared" si="403"/>
        <v/>
      </c>
      <c s="97" t="str">
        <f t="array" ref="FG88">IFERROR(IF(FA88="ac"+ISNUMBER(SEARCH("'",FF88))+FE88="","",IF(ISNUMBER(SEARCH("lw",FF88)),ES88+SUBSTITUTE(FF88,"lw+",""),MROUND(_xlfn.SWITCH(FA88,"sq",FE$7,"bn",FF$7,"dl",FG$7,"")*IF(FF88&gt;10,FF88/100,VLOOKUP(FF88,_rpe,SUBSTITUTE(FE88,"+","")+1,0)),IF(_xlfn.SWITCH(FA88,"sq",FE$7,"bn",FF$7,"dl",FG$7,"")&lt;IF(_uom="lbs",175,80),1.25,IF(_uom="lbs",5,2.5))))),"")</f>
        <v/>
      </c>
      <c s="70"/>
      <c s="63"/>
      <c s="97"/>
      <c s="44" t="str">
        <f>IFERROR(__xludf.DUMMYFUNCTION("IF(FG88=MAX(FILTER(FG$10:FG$199,LOOKUP(ROW(FA$10:FA$199),FILTER(ROW(FA$10:FA$199),FA$10:FA$199&lt;&gt;FA$9:FA$198))=LOOKUP(ROW(FA88),FILTER(ROW(FA$10:FA$199),FA$10:FA$199&lt;&gt;FA$9:FA$198)))),FH88,)"),"")</f>
        <v/>
      </c>
      <c s="42"/>
      <c s="63"/>
      <c s="64" t="str">
        <f t="shared" si="38"/>
        <v/>
      </c>
      <c s="65" t="str">
        <f>IFERROR(__xludf.DUMMYFUNCTION("""COMPUTED_VALUE"""),"")</f>
        <v/>
      </c>
      <c s="66">
        <f ca="1"/>
        <v>45292</v>
      </c>
      <c s="93" t="str">
        <f t="shared" si="432" ref="FQ88:FR88">IF(ISBLANK(FC88),"",FC88)</f>
        <v/>
      </c>
      <c s="94" t="str">
        <f t="shared" si="432"/>
        <v/>
      </c>
      <c s="95" t="str">
        <f t="shared" si="428"/>
        <v/>
      </c>
      <c s="98" t="str">
        <f t="shared" si="429"/>
        <v/>
      </c>
      <c s="97" t="str">
        <f t="array" ref="FU88">IFERROR(IF(FO88="ac"+ISNUMBER(SEARCH("'",FT88))+FS88="","",IF(ISNUMBER(SEARCH("lw",FT88)),FG88+SUBSTITUTE(FT88,"lw+",""),MROUND(_xlfn.SWITCH(FO88,"sq",FS$7,"bn",FT$7,"dl",FU$7,"")*IF(FT88&gt;10,FT88/100,VLOOKUP(FT88,_rpe,SUBSTITUTE(FS88,"+","")+1,0)),IF(_xlfn.SWITCH(FO88,"sq",FS$7,"bn",FT$7,"dl",FU$7,"")&lt;IF(_uom="lbs",175,80),1.25,IF(_uom="lbs",5,2.5))))),"")</f>
        <v/>
      </c>
      <c s="70"/>
      <c s="63"/>
      <c s="97"/>
      <c s="44" t="str">
        <f>IFERROR(__xludf.DUMMYFUNCTION("IF(FU88=MAX(FILTER(FU$10:FU$199,LOOKUP(ROW(FO$10:FO$199),FILTER(ROW(FO$10:FO$199),FO$10:FO$199&lt;&gt;FO$9:FO$198))=LOOKUP(ROW(FO88),FILTER(ROW(FO$10:FO$199),FO$10:FO$199&lt;&gt;FO$9:FO$198)))),FV88,)"),"")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t="str">
        <f t="shared" si="41"/>
        <v>#REF!</v>
      </c>
      <c s="65"/>
      <c s="66" t="e">
        <f ca="1"/>
        <v>#REF!</v>
      </c>
    </row>
    <row r="89" spans="1:259" ht="15.75">
      <c r="A89" s="63"/>
      <c s="107"/>
      <c s="65" t="str">
        <f>IFERROR(__xludf.DUMMYFUNCTION("""COMPUTED_VALUE"""),"")</f>
        <v/>
      </c>
      <c s="66">
        <f ca="1"/>
        <v>45208</v>
      </c>
      <c s="93"/>
      <c s="94"/>
      <c s="95"/>
      <c s="96"/>
      <c s="97" t="str">
        <f t="array" ref="I89">IFERROR(IF(C89="ac"+ISNUMBER(SEARCH("'",H89))+G89="","",MROUND(_xlfn.SWITCH(C89,"sq",'Personal Info'!$O$15,"bn",'Personal Info'!$S$15,"dl",'Personal Info'!$W$15,"")*IF(H89&gt;10,H89/100,VLOOKUP(H89,_rpe,SUBSTITUTE(G89,"+","")+1,0)),IF(_xlfn.SWITCH(C89:C210,"sq",'Personal Info'!$O$15,"bn",'Personal Info'!$S$15,"dl",'Personal Info'!$W$15,"")&lt;IF(_uom="lbs",175,80),1.25,IF(_uom="lbs",5,2.5)))),"")</f>
        <v/>
      </c>
      <c s="70"/>
      <c s="63"/>
      <c s="97"/>
      <c s="44" t="str">
        <f>IFERROR(__xludf.DUMMYFUNCTION("IF(I89=MAX(FILTER(I$10:I$199,LOOKUP(ROW(C$10:C$199),FILTER(ROW(C$10:C$199),C$10:C$199&lt;&gt;C$9:C$198))=LOOKUP(ROW(C89),FILTER(ROW(C$10:C$199),C$10:C$199&lt;&gt;C$9:C$198)))),J89,)"),"")</f>
        <v/>
      </c>
      <c s="42"/>
      <c s="63"/>
      <c s="64" t="str">
        <f t="shared" si="11"/>
        <v/>
      </c>
      <c s="65" t="str">
        <f>IFERROR(__xludf.DUMMYFUNCTION("""COMPUTED_VALUE"""),"")</f>
        <v/>
      </c>
      <c s="66">
        <f ca="1"/>
        <v>45215</v>
      </c>
      <c s="93" t="str">
        <f t="shared" si="12"/>
        <v/>
      </c>
      <c s="94" t="str">
        <f t="shared" si="404"/>
        <v/>
      </c>
      <c s="95" t="str">
        <f t="shared" si="406"/>
        <v/>
      </c>
      <c s="98" t="str">
        <f t="shared" si="407"/>
        <v/>
      </c>
      <c s="97" t="str">
        <f t="array" ref="W89">IFERROR(IF(Q89="ac"+ISNUMBER(SEARCH("'",V89))+U89="","",IF(ISNUMBER(SEARCH("lw",V89)),I89+SUBSTITUTE(V89,"lw+",""),MROUND(_xlfn.SWITCH(Q89,"sq",U$7,"bn",V$7,"dl",W$7,"")*IF(V89&gt;10,V89/100,VLOOKUP(V89,_rpe,SUBSTITUTE(U89,"+","")+1,0)),IF(_xlfn.SWITCH(Q89,"sq",U$7,"bn",V$7,"dl",W$7,"")&lt;IF(_uom="lbs",175,80),1.25,IF(_uom="lbs",5,2.5))))),"")</f>
        <v/>
      </c>
      <c s="70"/>
      <c s="63"/>
      <c s="97"/>
      <c s="44" t="str">
        <f>IFERROR(__xludf.DUMMYFUNCTION("IF(W89=MAX(FILTER(W$10:W$199,LOOKUP(ROW(Q$10:Q$199),FILTER(ROW(Q$10:Q$199),Q$10:Q$199&lt;&gt;Q$9:Q$198))=LOOKUP(ROW(Q89),FILTER(ROW(Q$10:Q$199),Q$10:Q$199&lt;&gt;Q$9:Q$198)))),X89,)"),"")</f>
        <v/>
      </c>
      <c s="42"/>
      <c s="63"/>
      <c s="64" t="str">
        <f t="shared" si="14"/>
        <v/>
      </c>
      <c s="65" t="str">
        <f>IFERROR(__xludf.DUMMYFUNCTION("""COMPUTED_VALUE"""),"")</f>
        <v/>
      </c>
      <c s="66">
        <f ca="1"/>
        <v>45222</v>
      </c>
      <c s="93" t="str">
        <f t="shared" si="156"/>
        <v/>
      </c>
      <c s="94" t="str">
        <f t="shared" si="397"/>
        <v/>
      </c>
      <c s="95" t="str">
        <f t="shared" si="408"/>
        <v/>
      </c>
      <c s="98" t="str">
        <f t="shared" si="398"/>
        <v/>
      </c>
      <c s="97" t="str">
        <f t="array" ref="AK89">IFERROR(IF(AE89="ac"+ISNUMBER(SEARCH("'",AJ89))+AI89="","",IF(ISNUMBER(SEARCH("lw",AJ89)),W89+SUBSTITUTE(AJ89,"lw+",""),MROUND(_xlfn.SWITCH(AE89,"sq",AI$7,"bn",AJ$7,"dl",AK$7,"")*IF(AJ89&gt;10,AJ89/100,VLOOKUP(AJ89,_rpe,SUBSTITUTE(AI89,"+","")+1,0)),IF(_xlfn.SWITCH(AE89,"sq",AI$7,"bn",AJ$7,"dl",AK$7,"")&lt;IF(_uom="lbs",175,80),1.25,IF(_uom="lbs",5,2.5))))),"")</f>
        <v/>
      </c>
      <c s="70"/>
      <c s="63"/>
      <c s="97"/>
      <c s="44" t="str">
        <f>IFERROR(__xludf.DUMMYFUNCTION("IF(AK89=MAX(FILTER(AK$10:AK$199,LOOKUP(ROW(AE$10:AE$199),FILTER(ROW(AE$10:AE$199),AE$10:AE$199&lt;&gt;AE$9:AE$198))=LOOKUP(ROW(AE89),FILTER(ROW(AE$10:AE$199),AE$10:AE$199&lt;&gt;AE$9:AE$198)))),AL89,)"),"")</f>
        <v/>
      </c>
      <c s="42"/>
      <c s="63"/>
      <c s="64" t="str">
        <f t="shared" si="17"/>
        <v/>
      </c>
      <c s="65" t="str">
        <f>IFERROR(__xludf.DUMMYFUNCTION("""COMPUTED_VALUE"""),"")</f>
        <v/>
      </c>
      <c s="66">
        <f ca="1"/>
        <v>45229</v>
      </c>
      <c s="93" t="str">
        <f t="shared" si="157"/>
        <v/>
      </c>
      <c s="94" t="str">
        <f t="shared" si="399"/>
        <v/>
      </c>
      <c s="95" t="str">
        <f t="shared" si="409"/>
        <v/>
      </c>
      <c s="98" t="str">
        <f t="shared" si="400"/>
        <v/>
      </c>
      <c s="97" t="str">
        <f t="array" ref="AY89">IFERROR(IF(AS89="ac"+ISNUMBER(SEARCH("'",AX89))+AW89="","",IF(ISNUMBER(SEARCH("lw",AX89)),AK89+SUBSTITUTE(AX89,"lw+",""),MROUND(_xlfn.SWITCH(AS89,"sq",AW$7,"bn",AX$7,"dl",AY$7,"")*IF(AX89&gt;10,AX89/100,VLOOKUP(AX89,_rpe,SUBSTITUTE(AW89,"+","")+1,0)),IF(_xlfn.SWITCH(AS89,"sq",AW$7,"bn",AX$7,"dl",AY$7,"")&lt;IF(_uom="lbs",175,80),1.25,IF(_uom="lbs",5,2.5))))),"")</f>
        <v/>
      </c>
      <c s="70"/>
      <c s="63"/>
      <c s="97"/>
      <c s="44" t="str">
        <f>IFERROR(__xludf.DUMMYFUNCTION("IF(AY89=MAX(FILTER(AY$10:AY$199,LOOKUP(ROW(AS$10:AS$199),FILTER(ROW(AS$10:AS$199),AS$10:AS$199&lt;&gt;AS$9:AS$198))=LOOKUP(ROW(AS89),FILTER(ROW(AS$10:AS$199),AS$10:AS$199&lt;&gt;AS$9:AS$198)))),AZ89,)"),"")</f>
        <v/>
      </c>
      <c s="42"/>
      <c s="63"/>
      <c s="64" t="str">
        <f t="shared" si="19"/>
        <v/>
      </c>
      <c s="65" t="str">
        <f>IFERROR(__xludf.DUMMYFUNCTION("""COMPUTED_VALUE"""),"")</f>
        <v/>
      </c>
      <c s="66">
        <f ca="1"/>
        <v>45236</v>
      </c>
      <c s="93" t="str">
        <f t="shared" si="20"/>
        <v/>
      </c>
      <c s="94" t="str">
        <f t="shared" si="425"/>
        <v/>
      </c>
      <c s="95" t="str">
        <f t="shared" si="411"/>
        <v/>
      </c>
      <c s="98" t="str">
        <f t="shared" si="412"/>
        <v/>
      </c>
      <c s="97" t="str">
        <f t="array" ref="BM89">IFERROR(IF(BG89="ac"+ISNUMBER(SEARCH("'",BL89))+BK89="","",IF(ISNUMBER(SEARCH("lw",BL89)),AY89+SUBSTITUTE(BL89,"lw+",""),MROUND(_xlfn.SWITCH(BG89,"sq",BK$7,"bn",BL$7,"dl",BM$7,"")*IF(BL89&gt;10,BL89/100,VLOOKUP(BL89,_rpe,SUBSTITUTE(BK89,"+","")+1,0)),IF(_xlfn.SWITCH(BG89,"sq",BK$7,"bn",BL$7,"dl",BM$7,"")&lt;IF(_uom="lbs",175,80),1.25,IF(_uom="lbs",5,2.5))))),"")</f>
        <v/>
      </c>
      <c s="70"/>
      <c s="63"/>
      <c s="97"/>
      <c s="44" t="str">
        <f>IFERROR(__xludf.DUMMYFUNCTION("IF(BM89=MAX(FILTER(BM$10:BM$199,LOOKUP(ROW(BG$10:BG$199),FILTER(ROW(BG$10:BG$199),BG$10:BG$199&lt;&gt;BG$9:BG$198))=LOOKUP(ROW(BG89),FILTER(ROW(BG$10:BG$199),BG$10:BG$199&lt;&gt;BG$9:BG$198)))),BN89,)"),"")</f>
        <v/>
      </c>
      <c s="42"/>
      <c s="63"/>
      <c s="64" t="str">
        <f t="shared" si="21"/>
        <v/>
      </c>
      <c s="65" t="str">
        <f>IFERROR(__xludf.DUMMYFUNCTION("""COMPUTED_VALUE"""),"")</f>
        <v/>
      </c>
      <c s="66">
        <f ca="1"/>
        <v>45243</v>
      </c>
      <c s="93" t="str">
        <f t="shared" si="22"/>
        <v/>
      </c>
      <c s="94" t="str">
        <f t="shared" si="426"/>
        <v/>
      </c>
      <c s="95" t="str">
        <f t="shared" si="414"/>
        <v/>
      </c>
      <c s="98" t="str">
        <f t="shared" si="415"/>
        <v/>
      </c>
      <c s="97" t="str">
        <f t="array" ref="CA89">IFERROR(IF(BU89="ac"+ISNUMBER(SEARCH("'",BZ89))+BY89="","",IF(ISNUMBER(SEARCH("lw",BZ89)),BM89+SUBSTITUTE(BZ89,"lw+",""),MROUND(_xlfn.SWITCH(BU89,"sq",BY$7,"bn",BZ$7,"dl",CA$7,"")*IF(BZ89&gt;10,BZ89/100,VLOOKUP(BZ89,_rpe,SUBSTITUTE(BY89,"+","")+1,0)),IF(_xlfn.SWITCH(BU89,"sq",BY$7,"bn",BZ$7,"dl",CA$7,"")&lt;IF(_uom="lbs",175,80),1.25,IF(_uom="lbs",5,2.5))))),"")</f>
        <v/>
      </c>
      <c s="70"/>
      <c s="63"/>
      <c s="97"/>
      <c s="44" t="str">
        <f>IFERROR(__xludf.DUMMYFUNCTION("IF(CA89=MAX(FILTER(CA$10:CA$199,LOOKUP(ROW(BU$10:BU$199),FILTER(ROW(BU$10:BU$199),BU$10:BU$199&lt;&gt;BU$9:BU$198))=LOOKUP(ROW(BU89),FILTER(ROW(BU$10:BU$199),BU$10:BU$199&lt;&gt;BU$9:BU$198)))),CB89,)"),"")</f>
        <v/>
      </c>
      <c s="42"/>
      <c s="63"/>
      <c s="64" t="str">
        <f t="shared" si="24"/>
        <v/>
      </c>
      <c s="65" t="str">
        <f>IFERROR(__xludf.DUMMYFUNCTION("""COMPUTED_VALUE"""),"")</f>
        <v/>
      </c>
      <c s="66">
        <f ca="1"/>
        <v>45250</v>
      </c>
      <c s="93" t="str">
        <f t="shared" si="44"/>
        <v/>
      </c>
      <c s="94" t="str">
        <f t="shared" si="392"/>
        <v/>
      </c>
      <c s="95" t="str">
        <f t="shared" si="416"/>
        <v/>
      </c>
      <c s="98" t="str">
        <f t="shared" si="417"/>
        <v/>
      </c>
      <c s="97" t="str">
        <f t="array" ref="CO89">IFERROR(IF(CI89="ac"+ISNUMBER(SEARCH("'",CN89))+CM89="","",IF(ISNUMBER(SEARCH("lw",CN89)),CA89+SUBSTITUTE(CN89,"lw+",""),MROUND(_xlfn.SWITCH(CI89,"sq",CM$7,"bn",CN$7,"dl",CO$7,"")*IF(CN89&gt;10,CN89/100,VLOOKUP(CN89,_rpe,SUBSTITUTE(CM89,"+","")+1,0)),IF(_xlfn.SWITCH(CI89,"sq",CM$7,"bn",CN$7,"dl",CO$7,"")&lt;IF(_uom="lbs",175,80),1.25,IF(_uom="lbs",5,2.5))))),"")</f>
        <v/>
      </c>
      <c s="70"/>
      <c s="63"/>
      <c s="97"/>
      <c s="44" t="str">
        <f>IFERROR(__xludf.DUMMYFUNCTION("IF(CO89=MAX(FILTER(CO$10:CO$199,LOOKUP(ROW(CI$10:CI$199),FILTER(ROW(CI$10:CI$199),CI$10:CI$199&lt;&gt;CI$9:CI$198))=LOOKUP(ROW(CI89),FILTER(ROW(CI$10:CI$199),CI$10:CI$199&lt;&gt;CI$9:CI$198)))),CP89,)"),"")</f>
        <v/>
      </c>
      <c s="42"/>
      <c s="63"/>
      <c s="64" t="str">
        <f t="shared" si="27"/>
        <v/>
      </c>
      <c s="65" t="str">
        <f>IFERROR(__xludf.DUMMYFUNCTION("""COMPUTED_VALUE"""),"")</f>
        <v/>
      </c>
      <c s="66">
        <f ca="1"/>
        <v>45257</v>
      </c>
      <c s="93" t="str">
        <f t="shared" si="45"/>
        <v/>
      </c>
      <c s="94" t="str">
        <f t="shared" si="393"/>
        <v/>
      </c>
      <c s="95" t="str">
        <f t="shared" si="418"/>
        <v/>
      </c>
      <c s="98" t="str">
        <f t="shared" si="401"/>
        <v/>
      </c>
      <c s="97" t="str">
        <f t="array" ref="DC89">IFERROR(IF(CW89="ac"+ISNUMBER(SEARCH("'",DB89))+DA89="","",IF(ISNUMBER(SEARCH("lw",DB89)),CO89+SUBSTITUTE(DB89,"lw+",""),MROUND(_xlfn.SWITCH(CW89,"sq",DA$7,"bn",DB$7,"dl",DC$7,"")*IF(DB89&gt;10,DB89/100,VLOOKUP(DB89,_rpe,SUBSTITUTE(DA89,"+","")+1,0)),IF(_xlfn.SWITCH(CW89,"sq",DA$7,"bn",DB$7,"dl",DC$7,"")&lt;IF(_uom="lbs",175,80),1.25,IF(_uom="lbs",5,2.5))))),"")</f>
        <v/>
      </c>
      <c s="70"/>
      <c s="63"/>
      <c s="97"/>
      <c s="44" t="str">
        <f>IFERROR(__xludf.DUMMYFUNCTION("IF(DC89=MAX(FILTER(DC$10:DC$199,LOOKUP(ROW(CW$10:CW$199),FILTER(ROW(CW$10:CW$199),CW$10:CW$199&lt;&gt;CW$9:CW$198))=LOOKUP(ROW(CW89),FILTER(ROW(CW$10:CW$199),CW$10:CW$199&lt;&gt;CW$9:CW$198)))),DD89,)"),"")</f>
        <v/>
      </c>
      <c s="42"/>
      <c s="63"/>
      <c s="64" t="str">
        <f t="shared" si="30"/>
        <v/>
      </c>
      <c s="65" t="str">
        <f>IFERROR(__xludf.DUMMYFUNCTION("""COMPUTED_VALUE"""),"")</f>
        <v/>
      </c>
      <c s="66">
        <f ca="1"/>
        <v>45264</v>
      </c>
      <c s="93" t="str">
        <f t="shared" si="46"/>
        <v/>
      </c>
      <c s="94" t="str">
        <f t="shared" si="394"/>
        <v/>
      </c>
      <c s="95" t="str">
        <f t="shared" si="419"/>
        <v/>
      </c>
      <c s="98" t="str">
        <f t="shared" si="420"/>
        <v/>
      </c>
      <c s="97" t="str">
        <f t="array" ref="DQ89">IFERROR(IF(DK89="ac"+ISNUMBER(SEARCH("'",DP89))+DO89="","",IF(ISNUMBER(SEARCH("lw",DP89)),DC89+SUBSTITUTE(DP89,"lw+",""),MROUND(_xlfn.SWITCH(DK89,"sq",DO$7,"bn",DP$7,"dl",DQ$7,"")*IF(DP89&gt;10,DP89/100,VLOOKUP(DP89,_rpe,SUBSTITUTE(DO89,"+","")+1,0)),IF(_xlfn.SWITCH(DK89,"sq",DO$7,"bn",DP$7,"dl",DQ$7,"")&lt;IF(_uom="lbs",175,80),1.25,IF(_uom="lbs",5,2.5))))),"")</f>
        <v/>
      </c>
      <c s="70"/>
      <c s="63"/>
      <c s="97"/>
      <c s="44" t="str">
        <f>IFERROR(__xludf.DUMMYFUNCTION("IF(DQ89=MAX(FILTER(DQ$10:DQ$199,LOOKUP(ROW(DK$10:DK$199),FILTER(ROW(DK$10:DK$199),DK$10:DK$199&lt;&gt;DK$9:DK$198))=LOOKUP(ROW(DK89),FILTER(ROW(DK$10:DK$199),DK$10:DK$199&lt;&gt;DK$9:DK$198)))),DR89,)"),"")</f>
        <v/>
      </c>
      <c s="42"/>
      <c s="63"/>
      <c s="64" t="str">
        <f t="shared" si="32"/>
        <v/>
      </c>
      <c s="65" t="str">
        <f>IFERROR(__xludf.DUMMYFUNCTION("""COMPUTED_VALUE"""),"")</f>
        <v/>
      </c>
      <c s="66">
        <f ca="1"/>
        <v>45271</v>
      </c>
      <c s="93" t="str">
        <f t="shared" si="47"/>
        <v/>
      </c>
      <c s="94" t="str">
        <f t="shared" si="405"/>
        <v/>
      </c>
      <c s="95" t="str">
        <f t="shared" si="421"/>
        <v/>
      </c>
      <c s="98" t="str">
        <f t="shared" si="422"/>
        <v/>
      </c>
      <c s="97" t="str">
        <f t="array" ref="EE89">IFERROR(IF(DY89="ac"+ISNUMBER(SEARCH("'",ED89))+EC89="","",IF(ISNUMBER(SEARCH("lw",ED89)),DQ89+SUBSTITUTE(ED89,"lw+",""),MROUND(_xlfn.SWITCH(DY89,"sq",EC$7,"bn",ED$7,"dl",EE$7,"")*IF(ED89&gt;10,ED89/100,VLOOKUP(ED89,_rpe,SUBSTITUTE(EC89,"+","")+1,0)),IF(_xlfn.SWITCH(DY89,"sq",EC$7,"bn",ED$7,"dl",EE$7,"")&lt;IF(_uom="lbs",175,80),1.25,IF(_uom="lbs",5,2.5))))),"")</f>
        <v/>
      </c>
      <c s="70"/>
      <c s="63"/>
      <c s="97"/>
      <c s="44" t="str">
        <f>IFERROR(__xludf.DUMMYFUNCTION("IF(EE89=MAX(FILTER(EE$10:EE$199,LOOKUP(ROW(DY$10:DY$199),FILTER(ROW(DY$10:DY$199),DY$10:DY$199&lt;&gt;DY$9:DY$198))=LOOKUP(ROW(DY89),FILTER(ROW(DY$10:DY$199),DY$10:DY$199&lt;&gt;DY$9:DY$198)))),EF89,)"),"")</f>
        <v/>
      </c>
      <c s="42"/>
      <c s="63"/>
      <c s="64" t="str">
        <f t="shared" si="34"/>
        <v/>
      </c>
      <c s="65" t="str">
        <f>IFERROR(__xludf.DUMMYFUNCTION("""COMPUTED_VALUE"""),"")</f>
        <v/>
      </c>
      <c s="66">
        <f ca="1"/>
        <v>45278</v>
      </c>
      <c s="93" t="str">
        <f t="shared" si="48"/>
        <v/>
      </c>
      <c s="94" t="str">
        <f t="shared" si="395"/>
        <v/>
      </c>
      <c s="95" t="str">
        <f t="shared" si="423"/>
        <v/>
      </c>
      <c s="98" t="str">
        <f t="shared" si="402"/>
        <v/>
      </c>
      <c s="97" t="str">
        <f t="array" ref="ES89">IFERROR(IF(EM89="ac"+ISNUMBER(SEARCH("'",ER89))+EQ89="","",IF(ISNUMBER(SEARCH("lw",ER89)),EE89+SUBSTITUTE(ER89,"lw+",""),MROUND(_xlfn.SWITCH(EM89,"sq",EQ$7,"bn",ER$7,"dl",ES$7,"")*IF(ER89&gt;10,ER89/100,VLOOKUP(ER89,_rpe,SUBSTITUTE(EQ89,"+","")+1,0)),IF(_xlfn.SWITCH(EM89,"sq",EQ$7,"bn",ER$7,"dl",ES$7,"")&lt;IF(_uom="lbs",175,80),1.25,IF(_uom="lbs",5,2.5))))),"")</f>
        <v/>
      </c>
      <c s="70"/>
      <c s="63"/>
      <c s="97"/>
      <c s="44" t="str">
        <f>IFERROR(__xludf.DUMMYFUNCTION("IF(ES89=MAX(FILTER(ES$10:ES$199,LOOKUP(ROW(EM$10:EM$199),FILTER(ROW(EM$10:EM$199),EM$10:EM$199&lt;&gt;EM$9:EM$198))=LOOKUP(ROW(EM89),FILTER(ROW(EM$10:EM$199),EM$10:EM$199&lt;&gt;EM$9:EM$198)))),ET89,)"),"")</f>
        <v/>
      </c>
      <c s="42"/>
      <c s="63"/>
      <c s="64" t="str">
        <f t="shared" si="36"/>
        <v/>
      </c>
      <c s="65" t="str">
        <f>IFERROR(__xludf.DUMMYFUNCTION("""COMPUTED_VALUE"""),"")</f>
        <v/>
      </c>
      <c s="66">
        <f ca="1"/>
        <v>45285</v>
      </c>
      <c s="93" t="str">
        <f t="shared" si="49"/>
        <v/>
      </c>
      <c s="94" t="str">
        <f t="shared" si="396"/>
        <v/>
      </c>
      <c s="95" t="str">
        <f t="shared" si="424"/>
        <v/>
      </c>
      <c s="98" t="str">
        <f t="shared" si="403"/>
        <v/>
      </c>
      <c s="97" t="str">
        <f t="array" ref="FG89">IFERROR(IF(FA89="ac"+ISNUMBER(SEARCH("'",FF89))+FE89="","",IF(ISNUMBER(SEARCH("lw",FF89)),ES89+SUBSTITUTE(FF89,"lw+",""),MROUND(_xlfn.SWITCH(FA89,"sq",FE$7,"bn",FF$7,"dl",FG$7,"")*IF(FF89&gt;10,FF89/100,VLOOKUP(FF89,_rpe,SUBSTITUTE(FE89,"+","")+1,0)),IF(_xlfn.SWITCH(FA89,"sq",FE$7,"bn",FF$7,"dl",FG$7,"")&lt;IF(_uom="lbs",175,80),1.25,IF(_uom="lbs",5,2.5))))),"")</f>
        <v/>
      </c>
      <c s="70"/>
      <c s="63"/>
      <c s="97"/>
      <c s="44" t="str">
        <f>IFERROR(__xludf.DUMMYFUNCTION("IF(FG89=MAX(FILTER(FG$10:FG$199,LOOKUP(ROW(FA$10:FA$199),FILTER(ROW(FA$10:FA$199),FA$10:FA$199&lt;&gt;FA$9:FA$198))=LOOKUP(ROW(FA89),FILTER(ROW(FA$10:FA$199),FA$10:FA$199&lt;&gt;FA$9:FA$198)))),FH89,)"),"")</f>
        <v/>
      </c>
      <c s="42"/>
      <c s="63"/>
      <c s="64" t="str">
        <f t="shared" si="38"/>
        <v/>
      </c>
      <c s="65" t="str">
        <f>IFERROR(__xludf.DUMMYFUNCTION("""COMPUTED_VALUE"""),"")</f>
        <v/>
      </c>
      <c s="66">
        <f ca="1"/>
        <v>45292</v>
      </c>
      <c s="93" t="str">
        <f t="shared" si="433" ref="FQ89:FR89">IF(ISBLANK(FC89),"",FC89)</f>
        <v/>
      </c>
      <c s="94" t="str">
        <f t="shared" si="433"/>
        <v/>
      </c>
      <c s="95" t="str">
        <f t="shared" si="428"/>
        <v/>
      </c>
      <c s="98" t="str">
        <f t="shared" si="429"/>
        <v/>
      </c>
      <c s="97" t="str">
        <f t="array" ref="FU89">IFERROR(IF(FO89="ac"+ISNUMBER(SEARCH("'",FT89))+FS89="","",IF(ISNUMBER(SEARCH("lw",FT89)),FG89+SUBSTITUTE(FT89,"lw+",""),MROUND(_xlfn.SWITCH(FO89,"sq",FS$7,"bn",FT$7,"dl",FU$7,"")*IF(FT89&gt;10,FT89/100,VLOOKUP(FT89,_rpe,SUBSTITUTE(FS89,"+","")+1,0)),IF(_xlfn.SWITCH(FO89,"sq",FS$7,"bn",FT$7,"dl",FU$7,"")&lt;IF(_uom="lbs",175,80),1.25,IF(_uom="lbs",5,2.5))))),"")</f>
        <v/>
      </c>
      <c s="70"/>
      <c s="63"/>
      <c s="97"/>
      <c s="44" t="str">
        <f>IFERROR(__xludf.DUMMYFUNCTION("IF(FU89=MAX(FILTER(FU$10:FU$199,LOOKUP(ROW(FO$10:FO$199),FILTER(ROW(FO$10:FO$199),FO$10:FO$199&lt;&gt;FO$9:FO$198))=LOOKUP(ROW(FO89),FILTER(ROW(FO$10:FO$199),FO$10:FO$199&lt;&gt;FO$9:FO$198)))),FV89,)"),"")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90" spans="1:259" ht="15.75">
      <c r="A90" s="63"/>
      <c s="107"/>
      <c s="65" t="str">
        <f>IFERROR(__xludf.DUMMYFUNCTION("""COMPUTED_VALUE"""),"")</f>
        <v/>
      </c>
      <c s="66">
        <f ca="1"/>
        <v>45208</v>
      </c>
      <c s="93"/>
      <c s="94"/>
      <c s="95"/>
      <c s="96"/>
      <c s="97" t="str">
        <f t="array" ref="I90">IFERROR(IF(C90="ac"+ISNUMBER(SEARCH("'",H90))+G90="","",MROUND(_xlfn.SWITCH(C90,"sq",'Personal Info'!$O$15,"bn",'Personal Info'!$S$15,"dl",'Personal Info'!$W$15,"")*IF(H90&gt;10,H90/100,VLOOKUP(H90,_rpe,SUBSTITUTE(G90,"+","")+1,0)),IF(_xlfn.SWITCH(C90:C210,"sq",'Personal Info'!$O$15,"bn",'Personal Info'!$S$15,"dl",'Personal Info'!$W$15,"")&lt;IF(_uom="lbs",175,80),1.25,IF(_uom="lbs",5,2.5)))),"")</f>
        <v/>
      </c>
      <c s="70"/>
      <c s="63"/>
      <c s="97"/>
      <c s="44" t="str">
        <f>IFERROR(__xludf.DUMMYFUNCTION("IF(I90=MAX(FILTER(I$10:I$199,LOOKUP(ROW(C$10:C$199),FILTER(ROW(C$10:C$199),C$10:C$199&lt;&gt;C$9:C$198))=LOOKUP(ROW(C90),FILTER(ROW(C$10:C$199),C$10:C$199&lt;&gt;C$9:C$198)))),J90,)"),"")</f>
        <v/>
      </c>
      <c s="42"/>
      <c s="63"/>
      <c s="64" t="str">
        <f t="shared" si="11"/>
        <v/>
      </c>
      <c s="65" t="str">
        <f>IFERROR(__xludf.DUMMYFUNCTION("""COMPUTED_VALUE"""),"")</f>
        <v/>
      </c>
      <c s="66">
        <f ca="1"/>
        <v>45215</v>
      </c>
      <c s="93" t="str">
        <f t="shared" si="12"/>
        <v/>
      </c>
      <c s="94" t="str">
        <f t="shared" si="404"/>
        <v/>
      </c>
      <c s="95" t="str">
        <f t="shared" si="406"/>
        <v/>
      </c>
      <c s="98" t="str">
        <f t="shared" si="407"/>
        <v/>
      </c>
      <c s="97" t="str">
        <f t="array" ref="W90">IFERROR(IF(Q90="ac"+ISNUMBER(SEARCH("'",V90))+U90="","",IF(ISNUMBER(SEARCH("lw",V90)),I90+SUBSTITUTE(V90,"lw+",""),MROUND(_xlfn.SWITCH(Q90,"sq",U$7,"bn",V$7,"dl",W$7,"")*IF(V90&gt;10,V90/100,VLOOKUP(V90,_rpe,SUBSTITUTE(U90,"+","")+1,0)),IF(_xlfn.SWITCH(Q90,"sq",U$7,"bn",V$7,"dl",W$7,"")&lt;IF(_uom="lbs",175,80),1.25,IF(_uom="lbs",5,2.5))))),"")</f>
        <v/>
      </c>
      <c s="70"/>
      <c s="63"/>
      <c s="97"/>
      <c s="44" t="str">
        <f>IFERROR(__xludf.DUMMYFUNCTION("IF(W90=MAX(FILTER(W$10:W$199,LOOKUP(ROW(Q$10:Q$199),FILTER(ROW(Q$10:Q$199),Q$10:Q$199&lt;&gt;Q$9:Q$198))=LOOKUP(ROW(Q90),FILTER(ROW(Q$10:Q$199),Q$10:Q$199&lt;&gt;Q$9:Q$198)))),X90,)"),"")</f>
        <v/>
      </c>
      <c s="42"/>
      <c s="63"/>
      <c s="64" t="str">
        <f t="shared" si="14"/>
        <v/>
      </c>
      <c s="65" t="str">
        <f>IFERROR(__xludf.DUMMYFUNCTION("""COMPUTED_VALUE"""),"")</f>
        <v/>
      </c>
      <c s="66">
        <f ca="1"/>
        <v>45222</v>
      </c>
      <c s="93" t="str">
        <f t="shared" si="156"/>
        <v/>
      </c>
      <c s="94" t="str">
        <f t="shared" si="397"/>
        <v/>
      </c>
      <c s="95" t="str">
        <f t="shared" si="408"/>
        <v/>
      </c>
      <c s="98" t="str">
        <f t="shared" si="398"/>
        <v/>
      </c>
      <c s="97" t="str">
        <f t="array" ref="AK90">IFERROR(IF(AE90="ac"+ISNUMBER(SEARCH("'",AJ90))+AI90="","",IF(ISNUMBER(SEARCH("lw",AJ90)),W90+SUBSTITUTE(AJ90,"lw+",""),MROUND(_xlfn.SWITCH(AE90,"sq",AI$7,"bn",AJ$7,"dl",AK$7,"")*IF(AJ90&gt;10,AJ90/100,VLOOKUP(AJ90,_rpe,SUBSTITUTE(AI90,"+","")+1,0)),IF(_xlfn.SWITCH(AE90,"sq",AI$7,"bn",AJ$7,"dl",AK$7,"")&lt;IF(_uom="lbs",175,80),1.25,IF(_uom="lbs",5,2.5))))),"")</f>
        <v/>
      </c>
      <c s="70"/>
      <c s="63"/>
      <c s="97"/>
      <c s="44" t="str">
        <f>IFERROR(__xludf.DUMMYFUNCTION("IF(AK90=MAX(FILTER(AK$10:AK$199,LOOKUP(ROW(AE$10:AE$199),FILTER(ROW(AE$10:AE$199),AE$10:AE$199&lt;&gt;AE$9:AE$198))=LOOKUP(ROW(AE90),FILTER(ROW(AE$10:AE$199),AE$10:AE$199&lt;&gt;AE$9:AE$198)))),AL90,)"),"")</f>
        <v/>
      </c>
      <c s="42"/>
      <c s="63"/>
      <c s="64" t="str">
        <f t="shared" si="17"/>
        <v/>
      </c>
      <c s="65" t="str">
        <f>IFERROR(__xludf.DUMMYFUNCTION("""COMPUTED_VALUE"""),"")</f>
        <v/>
      </c>
      <c s="66">
        <f ca="1"/>
        <v>45229</v>
      </c>
      <c s="93" t="str">
        <f t="shared" si="157"/>
        <v/>
      </c>
      <c s="94" t="str">
        <f t="shared" si="399"/>
        <v/>
      </c>
      <c s="95" t="str">
        <f t="shared" si="409"/>
        <v/>
      </c>
      <c s="98" t="str">
        <f t="shared" si="400"/>
        <v/>
      </c>
      <c s="97" t="str">
        <f t="array" ref="AY90">IFERROR(IF(AS90="ac"+ISNUMBER(SEARCH("'",AX90))+AW90="","",IF(ISNUMBER(SEARCH("lw",AX90)),AK90+SUBSTITUTE(AX90,"lw+",""),MROUND(_xlfn.SWITCH(AS90,"sq",AW$7,"bn",AX$7,"dl",AY$7,"")*IF(AX90&gt;10,AX90/100,VLOOKUP(AX90,_rpe,SUBSTITUTE(AW90,"+","")+1,0)),IF(_xlfn.SWITCH(AS90,"sq",AW$7,"bn",AX$7,"dl",AY$7,"")&lt;IF(_uom="lbs",175,80),1.25,IF(_uom="lbs",5,2.5))))),"")</f>
        <v/>
      </c>
      <c s="70"/>
      <c s="63"/>
      <c s="97"/>
      <c s="44" t="str">
        <f>IFERROR(__xludf.DUMMYFUNCTION("IF(AY90=MAX(FILTER(AY$10:AY$199,LOOKUP(ROW(AS$10:AS$199),FILTER(ROW(AS$10:AS$199),AS$10:AS$199&lt;&gt;AS$9:AS$198))=LOOKUP(ROW(AS90),FILTER(ROW(AS$10:AS$199),AS$10:AS$199&lt;&gt;AS$9:AS$198)))),AZ90,)"),"")</f>
        <v/>
      </c>
      <c s="42"/>
      <c s="63"/>
      <c s="64" t="str">
        <f t="shared" si="19"/>
        <v/>
      </c>
      <c s="65" t="str">
        <f>IFERROR(__xludf.DUMMYFUNCTION("""COMPUTED_VALUE"""),"")</f>
        <v/>
      </c>
      <c s="66">
        <f ca="1"/>
        <v>45236</v>
      </c>
      <c s="93" t="str">
        <f t="shared" si="20"/>
        <v/>
      </c>
      <c s="94" t="str">
        <f t="shared" si="425"/>
        <v/>
      </c>
      <c s="95" t="str">
        <f t="shared" si="411"/>
        <v/>
      </c>
      <c s="98" t="str">
        <f t="shared" si="412"/>
        <v/>
      </c>
      <c s="97" t="str">
        <f t="array" ref="BM90">IFERROR(IF(BG90="ac"+ISNUMBER(SEARCH("'",BL90))+BK90="","",IF(ISNUMBER(SEARCH("lw",BL90)),AY90+SUBSTITUTE(BL90,"lw+",""),MROUND(_xlfn.SWITCH(BG90,"sq",BK$7,"bn",BL$7,"dl",BM$7,"")*IF(BL90&gt;10,BL90/100,VLOOKUP(BL90,_rpe,SUBSTITUTE(BK90,"+","")+1,0)),IF(_xlfn.SWITCH(BG90,"sq",BK$7,"bn",BL$7,"dl",BM$7,"")&lt;IF(_uom="lbs",175,80),1.25,IF(_uom="lbs",5,2.5))))),"")</f>
        <v/>
      </c>
      <c s="70"/>
      <c s="63"/>
      <c s="97"/>
      <c s="44" t="str">
        <f>IFERROR(__xludf.DUMMYFUNCTION("IF(BM90=MAX(FILTER(BM$10:BM$199,LOOKUP(ROW(BG$10:BG$199),FILTER(ROW(BG$10:BG$199),BG$10:BG$199&lt;&gt;BG$9:BG$198))=LOOKUP(ROW(BG90),FILTER(ROW(BG$10:BG$199),BG$10:BG$199&lt;&gt;BG$9:BG$198)))),BN90,)"),"")</f>
        <v/>
      </c>
      <c s="42"/>
      <c s="63"/>
      <c s="64" t="str">
        <f t="shared" si="21"/>
        <v/>
      </c>
      <c s="65" t="str">
        <f>IFERROR(__xludf.DUMMYFUNCTION("""COMPUTED_VALUE"""),"")</f>
        <v/>
      </c>
      <c s="66">
        <f ca="1"/>
        <v>45243</v>
      </c>
      <c s="93" t="str">
        <f t="shared" si="22"/>
        <v/>
      </c>
      <c s="94" t="str">
        <f t="shared" si="426"/>
        <v/>
      </c>
      <c s="95" t="str">
        <f t="shared" si="414"/>
        <v/>
      </c>
      <c s="98" t="str">
        <f t="shared" si="415"/>
        <v/>
      </c>
      <c s="97" t="str">
        <f t="array" ref="CA90">IFERROR(IF(BU90="ac"+ISNUMBER(SEARCH("'",BZ90))+BY90="","",IF(ISNUMBER(SEARCH("lw",BZ90)),BM90+SUBSTITUTE(BZ90,"lw+",""),MROUND(_xlfn.SWITCH(BU90,"sq",BY$7,"bn",BZ$7,"dl",CA$7,"")*IF(BZ90&gt;10,BZ90/100,VLOOKUP(BZ90,_rpe,SUBSTITUTE(BY90,"+","")+1,0)),IF(_xlfn.SWITCH(BU90,"sq",BY$7,"bn",BZ$7,"dl",CA$7,"")&lt;IF(_uom="lbs",175,80),1.25,IF(_uom="lbs",5,2.5))))),"")</f>
        <v/>
      </c>
      <c s="70"/>
      <c s="63"/>
      <c s="97"/>
      <c s="44" t="str">
        <f>IFERROR(__xludf.DUMMYFUNCTION("IF(CA90=MAX(FILTER(CA$10:CA$199,LOOKUP(ROW(BU$10:BU$199),FILTER(ROW(BU$10:BU$199),BU$10:BU$199&lt;&gt;BU$9:BU$198))=LOOKUP(ROW(BU90),FILTER(ROW(BU$10:BU$199),BU$10:BU$199&lt;&gt;BU$9:BU$198)))),CB90,)"),"")</f>
        <v/>
      </c>
      <c s="42"/>
      <c s="63"/>
      <c s="64" t="str">
        <f t="shared" si="24"/>
        <v/>
      </c>
      <c s="65" t="str">
        <f>IFERROR(__xludf.DUMMYFUNCTION("""COMPUTED_VALUE"""),"")</f>
        <v/>
      </c>
      <c s="66">
        <f ca="1"/>
        <v>45250</v>
      </c>
      <c s="93" t="str">
        <f t="shared" si="44"/>
        <v/>
      </c>
      <c s="94" t="str">
        <f t="shared" si="392"/>
        <v/>
      </c>
      <c s="95" t="str">
        <f t="shared" si="416"/>
        <v/>
      </c>
      <c s="98" t="str">
        <f t="shared" si="417"/>
        <v/>
      </c>
      <c s="97" t="str">
        <f t="array" ref="CO90">IFERROR(IF(CI90="ac"+ISNUMBER(SEARCH("'",CN90))+CM90="","",IF(ISNUMBER(SEARCH("lw",CN90)),CA90+SUBSTITUTE(CN90,"lw+",""),MROUND(_xlfn.SWITCH(CI90,"sq",CM$7,"bn",CN$7,"dl",CO$7,"")*IF(CN90&gt;10,CN90/100,VLOOKUP(CN90,_rpe,SUBSTITUTE(CM90,"+","")+1,0)),IF(_xlfn.SWITCH(CI90,"sq",CM$7,"bn",CN$7,"dl",CO$7,"")&lt;IF(_uom="lbs",175,80),1.25,IF(_uom="lbs",5,2.5))))),"")</f>
        <v/>
      </c>
      <c s="70"/>
      <c s="63"/>
      <c s="97"/>
      <c s="44" t="str">
        <f>IFERROR(__xludf.DUMMYFUNCTION("IF(CO90=MAX(FILTER(CO$10:CO$199,LOOKUP(ROW(CI$10:CI$199),FILTER(ROW(CI$10:CI$199),CI$10:CI$199&lt;&gt;CI$9:CI$198))=LOOKUP(ROW(CI90),FILTER(ROW(CI$10:CI$199),CI$10:CI$199&lt;&gt;CI$9:CI$198)))),CP90,)"),"")</f>
        <v/>
      </c>
      <c s="42"/>
      <c s="63"/>
      <c s="64" t="str">
        <f t="shared" si="27"/>
        <v/>
      </c>
      <c s="65" t="str">
        <f>IFERROR(__xludf.DUMMYFUNCTION("""COMPUTED_VALUE"""),"")</f>
        <v/>
      </c>
      <c s="66">
        <f ca="1"/>
        <v>45257</v>
      </c>
      <c s="93" t="str">
        <f t="shared" si="45"/>
        <v/>
      </c>
      <c s="94" t="str">
        <f t="shared" si="393"/>
        <v/>
      </c>
      <c s="95" t="str">
        <f t="shared" si="418"/>
        <v/>
      </c>
      <c s="98" t="str">
        <f t="shared" si="401"/>
        <v/>
      </c>
      <c s="97" t="str">
        <f t="array" ref="DC90">IFERROR(IF(CW90="ac"+ISNUMBER(SEARCH("'",DB90))+DA90="","",IF(ISNUMBER(SEARCH("lw",DB90)),CO90+SUBSTITUTE(DB90,"lw+",""),MROUND(_xlfn.SWITCH(CW90,"sq",DA$7,"bn",DB$7,"dl",DC$7,"")*IF(DB90&gt;10,DB90/100,VLOOKUP(DB90,_rpe,SUBSTITUTE(DA90,"+","")+1,0)),IF(_xlfn.SWITCH(CW90,"sq",DA$7,"bn",DB$7,"dl",DC$7,"")&lt;IF(_uom="lbs",175,80),1.25,IF(_uom="lbs",5,2.5))))),"")</f>
        <v/>
      </c>
      <c s="70"/>
      <c s="63"/>
      <c s="97"/>
      <c s="44" t="str">
        <f>IFERROR(__xludf.DUMMYFUNCTION("IF(DC90=MAX(FILTER(DC$10:DC$199,LOOKUP(ROW(CW$10:CW$199),FILTER(ROW(CW$10:CW$199),CW$10:CW$199&lt;&gt;CW$9:CW$198))=LOOKUP(ROW(CW90),FILTER(ROW(CW$10:CW$199),CW$10:CW$199&lt;&gt;CW$9:CW$198)))),DD90,)"),"")</f>
        <v/>
      </c>
      <c s="42"/>
      <c s="63"/>
      <c s="64" t="str">
        <f t="shared" si="30"/>
        <v/>
      </c>
      <c s="65" t="str">
        <f>IFERROR(__xludf.DUMMYFUNCTION("""COMPUTED_VALUE"""),"")</f>
        <v/>
      </c>
      <c s="66">
        <f ca="1"/>
        <v>45264</v>
      </c>
      <c s="93" t="str">
        <f t="shared" si="46"/>
        <v/>
      </c>
      <c s="94" t="str">
        <f t="shared" si="394"/>
        <v/>
      </c>
      <c s="95" t="str">
        <f t="shared" si="419"/>
        <v/>
      </c>
      <c s="98" t="str">
        <f t="shared" si="420"/>
        <v/>
      </c>
      <c s="97" t="str">
        <f t="array" ref="DQ90">IFERROR(IF(DK90="ac"+ISNUMBER(SEARCH("'",DP90))+DO90="","",IF(ISNUMBER(SEARCH("lw",DP90)),DC90+SUBSTITUTE(DP90,"lw+",""),MROUND(_xlfn.SWITCH(DK90,"sq",DO$7,"bn",DP$7,"dl",DQ$7,"")*IF(DP90&gt;10,DP90/100,VLOOKUP(DP90,_rpe,SUBSTITUTE(DO90,"+","")+1,0)),IF(_xlfn.SWITCH(DK90,"sq",DO$7,"bn",DP$7,"dl",DQ$7,"")&lt;IF(_uom="lbs",175,80),1.25,IF(_uom="lbs",5,2.5))))),"")</f>
        <v/>
      </c>
      <c s="70"/>
      <c s="63"/>
      <c s="97"/>
      <c s="44" t="str">
        <f>IFERROR(__xludf.DUMMYFUNCTION("IF(DQ90=MAX(FILTER(DQ$10:DQ$199,LOOKUP(ROW(DK$10:DK$199),FILTER(ROW(DK$10:DK$199),DK$10:DK$199&lt;&gt;DK$9:DK$198))=LOOKUP(ROW(DK90),FILTER(ROW(DK$10:DK$199),DK$10:DK$199&lt;&gt;DK$9:DK$198)))),DR90,)"),"")</f>
        <v/>
      </c>
      <c s="42"/>
      <c s="63"/>
      <c s="64" t="str">
        <f t="shared" si="32"/>
        <v/>
      </c>
      <c s="65" t="str">
        <f>IFERROR(__xludf.DUMMYFUNCTION("""COMPUTED_VALUE"""),"")</f>
        <v/>
      </c>
      <c s="66">
        <f ca="1"/>
        <v>45271</v>
      </c>
      <c s="93" t="str">
        <f t="shared" si="47"/>
        <v/>
      </c>
      <c s="94" t="str">
        <f t="shared" si="405"/>
        <v/>
      </c>
      <c s="95" t="str">
        <f t="shared" si="421"/>
        <v/>
      </c>
      <c s="98" t="str">
        <f t="shared" si="422"/>
        <v/>
      </c>
      <c s="97" t="str">
        <f t="array" ref="EE90">IFERROR(IF(DY90="ac"+ISNUMBER(SEARCH("'",ED90))+EC90="","",IF(ISNUMBER(SEARCH("lw",ED90)),DQ90+SUBSTITUTE(ED90,"lw+",""),MROUND(_xlfn.SWITCH(DY90,"sq",EC$7,"bn",ED$7,"dl",EE$7,"")*IF(ED90&gt;10,ED90/100,VLOOKUP(ED90,_rpe,SUBSTITUTE(EC90,"+","")+1,0)),IF(_xlfn.SWITCH(DY90,"sq",EC$7,"bn",ED$7,"dl",EE$7,"")&lt;IF(_uom="lbs",175,80),1.25,IF(_uom="lbs",5,2.5))))),"")</f>
        <v/>
      </c>
      <c s="70"/>
      <c s="63"/>
      <c s="97"/>
      <c s="44" t="str">
        <f>IFERROR(__xludf.DUMMYFUNCTION("IF(EE90=MAX(FILTER(EE$10:EE$199,LOOKUP(ROW(DY$10:DY$199),FILTER(ROW(DY$10:DY$199),DY$10:DY$199&lt;&gt;DY$9:DY$198))=LOOKUP(ROW(DY90),FILTER(ROW(DY$10:DY$199),DY$10:DY$199&lt;&gt;DY$9:DY$198)))),EF90,)"),"")</f>
        <v/>
      </c>
      <c s="42"/>
      <c s="63"/>
      <c s="64" t="str">
        <f t="shared" si="34"/>
        <v/>
      </c>
      <c s="65" t="str">
        <f>IFERROR(__xludf.DUMMYFUNCTION("""COMPUTED_VALUE"""),"")</f>
        <v/>
      </c>
      <c s="66">
        <f ca="1"/>
        <v>45278</v>
      </c>
      <c s="93" t="str">
        <f t="shared" si="48"/>
        <v/>
      </c>
      <c s="94" t="str">
        <f t="shared" si="395"/>
        <v/>
      </c>
      <c s="95" t="str">
        <f t="shared" si="423"/>
        <v/>
      </c>
      <c s="98" t="str">
        <f t="shared" si="402"/>
        <v/>
      </c>
      <c s="97" t="str">
        <f t="array" ref="ES90">IFERROR(IF(EM90="ac"+ISNUMBER(SEARCH("'",ER90))+EQ90="","",IF(ISNUMBER(SEARCH("lw",ER90)),EE90+SUBSTITUTE(ER90,"lw+",""),MROUND(_xlfn.SWITCH(EM90,"sq",EQ$7,"bn",ER$7,"dl",ES$7,"")*IF(ER90&gt;10,ER90/100,VLOOKUP(ER90,_rpe,SUBSTITUTE(EQ90,"+","")+1,0)),IF(_xlfn.SWITCH(EM90,"sq",EQ$7,"bn",ER$7,"dl",ES$7,"")&lt;IF(_uom="lbs",175,80),1.25,IF(_uom="lbs",5,2.5))))),"")</f>
        <v/>
      </c>
      <c s="70"/>
      <c s="63"/>
      <c s="97"/>
      <c s="44" t="str">
        <f>IFERROR(__xludf.DUMMYFUNCTION("IF(ES90=MAX(FILTER(ES$10:ES$199,LOOKUP(ROW(EM$10:EM$199),FILTER(ROW(EM$10:EM$199),EM$10:EM$199&lt;&gt;EM$9:EM$198))=LOOKUP(ROW(EM90),FILTER(ROW(EM$10:EM$199),EM$10:EM$199&lt;&gt;EM$9:EM$198)))),ET90,)"),"")</f>
        <v/>
      </c>
      <c s="42"/>
      <c s="63"/>
      <c s="64" t="str">
        <f t="shared" si="36"/>
        <v/>
      </c>
      <c s="65" t="str">
        <f>IFERROR(__xludf.DUMMYFUNCTION("""COMPUTED_VALUE"""),"")</f>
        <v/>
      </c>
      <c s="66">
        <f ca="1"/>
        <v>45285</v>
      </c>
      <c s="93" t="str">
        <f t="shared" si="49"/>
        <v/>
      </c>
      <c s="94" t="str">
        <f t="shared" si="396"/>
        <v/>
      </c>
      <c s="95" t="str">
        <f t="shared" si="424"/>
        <v/>
      </c>
      <c s="98" t="str">
        <f t="shared" si="403"/>
        <v/>
      </c>
      <c s="97" t="str">
        <f t="array" ref="FG90">IFERROR(IF(FA90="ac"+ISNUMBER(SEARCH("'",FF90))+FE90="","",IF(ISNUMBER(SEARCH("lw",FF90)),ES90+SUBSTITUTE(FF90,"lw+",""),MROUND(_xlfn.SWITCH(FA90,"sq",FE$7,"bn",FF$7,"dl",FG$7,"")*IF(FF90&gt;10,FF90/100,VLOOKUP(FF90,_rpe,SUBSTITUTE(FE90,"+","")+1,0)),IF(_xlfn.SWITCH(FA90,"sq",FE$7,"bn",FF$7,"dl",FG$7,"")&lt;IF(_uom="lbs",175,80),1.25,IF(_uom="lbs",5,2.5))))),"")</f>
        <v/>
      </c>
      <c s="70"/>
      <c s="63"/>
      <c s="97"/>
      <c s="44" t="str">
        <f>IFERROR(__xludf.DUMMYFUNCTION("IF(FG90=MAX(FILTER(FG$10:FG$199,LOOKUP(ROW(FA$10:FA$199),FILTER(ROW(FA$10:FA$199),FA$10:FA$199&lt;&gt;FA$9:FA$198))=LOOKUP(ROW(FA90),FILTER(ROW(FA$10:FA$199),FA$10:FA$199&lt;&gt;FA$9:FA$198)))),FH90,)"),"")</f>
        <v/>
      </c>
      <c s="42"/>
      <c s="63"/>
      <c s="64" t="str">
        <f t="shared" si="38"/>
        <v/>
      </c>
      <c s="65" t="str">
        <f>IFERROR(__xludf.DUMMYFUNCTION("""COMPUTED_VALUE"""),"")</f>
        <v/>
      </c>
      <c s="66">
        <f ca="1"/>
        <v>45292</v>
      </c>
      <c s="93" t="str">
        <f t="shared" si="434" ref="FQ90:FR90">IF(ISBLANK(FC90),"",FC90)</f>
        <v/>
      </c>
      <c s="94" t="str">
        <f t="shared" si="434"/>
        <v/>
      </c>
      <c s="95" t="str">
        <f t="shared" si="428"/>
        <v/>
      </c>
      <c s="98" t="str">
        <f t="shared" si="429"/>
        <v/>
      </c>
      <c s="97" t="str">
        <f t="array" ref="FU90">IFERROR(IF(FO90="ac"+ISNUMBER(SEARCH("'",FT90))+FS90="","",IF(ISNUMBER(SEARCH("lw",FT90)),FG90+SUBSTITUTE(FT90,"lw+",""),MROUND(_xlfn.SWITCH(FO90,"sq",FS$7,"bn",FT$7,"dl",FU$7,"")*IF(FT90&gt;10,FT90/100,VLOOKUP(FT90,_rpe,SUBSTITUTE(FS90,"+","")+1,0)),IF(_xlfn.SWITCH(FO90,"sq",FS$7,"bn",FT$7,"dl",FU$7,"")&lt;IF(_uom="lbs",175,80),1.25,IF(_uom="lbs",5,2.5))))),"")</f>
        <v/>
      </c>
      <c s="70"/>
      <c s="63"/>
      <c s="97"/>
      <c s="44" t="str">
        <f>IFERROR(__xludf.DUMMYFUNCTION("IF(FU90=MAX(FILTER(FU$10:FU$199,LOOKUP(ROW(FO$10:FO$199),FILTER(ROW(FO$10:FO$199),FO$10:FO$199&lt;&gt;FO$9:FO$198))=LOOKUP(ROW(FO90),FILTER(ROW(FO$10:FO$199),FO$10:FO$199&lt;&gt;FO$9:FO$198)))),FV90,)"),"")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91" spans="1:259" ht="15.75">
      <c r="A91" s="63"/>
      <c s="107"/>
      <c s="65" t="str">
        <f>IFERROR(__xludf.DUMMYFUNCTION("""COMPUTED_VALUE"""),"")</f>
        <v/>
      </c>
      <c s="66">
        <f ca="1"/>
        <v>45208</v>
      </c>
      <c s="93"/>
      <c s="94"/>
      <c s="95"/>
      <c s="96"/>
      <c s="97" t="str">
        <f t="array" ref="I91">IFERROR(IF(C91="ac"+ISNUMBER(SEARCH("'",H91))+G91="","",MROUND(_xlfn.SWITCH(C91,"sq",'Personal Info'!$O$15,"bn",'Personal Info'!$S$15,"dl",'Personal Info'!$W$15,"")*IF(H91&gt;10,H91/100,VLOOKUP(H91,_rpe,SUBSTITUTE(G91,"+","")+1,0)),IF(_xlfn.SWITCH(C91:C210,"sq",'Personal Info'!$O$15,"bn",'Personal Info'!$S$15,"dl",'Personal Info'!$W$15,"")&lt;IF(_uom="lbs",175,80),1.25,IF(_uom="lbs",5,2.5)))),"")</f>
        <v/>
      </c>
      <c s="70"/>
      <c s="63"/>
      <c s="97"/>
      <c s="44" t="str">
        <f>IFERROR(__xludf.DUMMYFUNCTION("IF(I91=MAX(FILTER(I$10:I$199,LOOKUP(ROW(C$10:C$199),FILTER(ROW(C$10:C$199),C$10:C$199&lt;&gt;C$9:C$198))=LOOKUP(ROW(C91),FILTER(ROW(C$10:C$199),C$10:C$199&lt;&gt;C$9:C$198)))),J91,)"),"")</f>
        <v/>
      </c>
      <c s="42"/>
      <c s="63"/>
      <c s="64" t="str">
        <f t="shared" si="11"/>
        <v/>
      </c>
      <c s="65" t="str">
        <f>IFERROR(__xludf.DUMMYFUNCTION("""COMPUTED_VALUE"""),"")</f>
        <v/>
      </c>
      <c s="66">
        <f ca="1"/>
        <v>45215</v>
      </c>
      <c s="93" t="str">
        <f t="shared" si="12"/>
        <v/>
      </c>
      <c s="94" t="str">
        <f t="shared" si="404"/>
        <v/>
      </c>
      <c s="95" t="str">
        <f t="shared" si="406"/>
        <v/>
      </c>
      <c s="98" t="str">
        <f t="shared" si="407"/>
        <v/>
      </c>
      <c s="97" t="str">
        <f t="array" ref="W91">IFERROR(IF(Q91="ac"+ISNUMBER(SEARCH("'",V91))+U91="","",IF(ISNUMBER(SEARCH("lw",V91)),I91+SUBSTITUTE(V91,"lw+",""),MROUND(_xlfn.SWITCH(Q91,"sq",U$7,"bn",V$7,"dl",W$7,"")*IF(V91&gt;10,V91/100,VLOOKUP(V91,_rpe,SUBSTITUTE(U91,"+","")+1,0)),IF(_xlfn.SWITCH(Q91,"sq",U$7,"bn",V$7,"dl",W$7,"")&lt;IF(_uom="lbs",175,80),1.25,IF(_uom="lbs",5,2.5))))),"")</f>
        <v/>
      </c>
      <c s="70"/>
      <c s="63"/>
      <c s="97"/>
      <c s="44" t="str">
        <f>IFERROR(__xludf.DUMMYFUNCTION("IF(W91=MAX(FILTER(W$10:W$199,LOOKUP(ROW(Q$10:Q$199),FILTER(ROW(Q$10:Q$199),Q$10:Q$199&lt;&gt;Q$9:Q$198))=LOOKUP(ROW(Q91),FILTER(ROW(Q$10:Q$199),Q$10:Q$199&lt;&gt;Q$9:Q$198)))),X91,)"),"")</f>
        <v/>
      </c>
      <c s="42"/>
      <c s="63"/>
      <c s="64" t="str">
        <f t="shared" si="14"/>
        <v/>
      </c>
      <c s="65" t="str">
        <f>IFERROR(__xludf.DUMMYFUNCTION("""COMPUTED_VALUE"""),"")</f>
        <v/>
      </c>
      <c s="66">
        <f ca="1"/>
        <v>45222</v>
      </c>
      <c s="93" t="str">
        <f t="shared" si="156"/>
        <v/>
      </c>
      <c s="94" t="str">
        <f t="shared" si="397"/>
        <v/>
      </c>
      <c s="95" t="str">
        <f t="shared" si="408"/>
        <v/>
      </c>
      <c s="98" t="str">
        <f t="shared" si="398"/>
        <v/>
      </c>
      <c s="97" t="str">
        <f t="array" ref="AK91">IFERROR(IF(AE91="ac"+ISNUMBER(SEARCH("'",AJ91))+AI91="","",IF(ISNUMBER(SEARCH("lw",AJ91)),W91+SUBSTITUTE(AJ91,"lw+",""),MROUND(_xlfn.SWITCH(AE91,"sq",AI$7,"bn",AJ$7,"dl",AK$7,"")*IF(AJ91&gt;10,AJ91/100,VLOOKUP(AJ91,_rpe,SUBSTITUTE(AI91,"+","")+1,0)),IF(_xlfn.SWITCH(AE91,"sq",AI$7,"bn",AJ$7,"dl",AK$7,"")&lt;IF(_uom="lbs",175,80),1.25,IF(_uom="lbs",5,2.5))))),"")</f>
        <v/>
      </c>
      <c s="70"/>
      <c s="63"/>
      <c s="97"/>
      <c s="44" t="str">
        <f>IFERROR(__xludf.DUMMYFUNCTION("IF(AK91=MAX(FILTER(AK$10:AK$199,LOOKUP(ROW(AE$10:AE$199),FILTER(ROW(AE$10:AE$199),AE$10:AE$199&lt;&gt;AE$9:AE$198))=LOOKUP(ROW(AE91),FILTER(ROW(AE$10:AE$199),AE$10:AE$199&lt;&gt;AE$9:AE$198)))),AL91,)"),"")</f>
        <v/>
      </c>
      <c s="42"/>
      <c s="63"/>
      <c s="64" t="str">
        <f t="shared" si="17"/>
        <v/>
      </c>
      <c s="65" t="str">
        <f>IFERROR(__xludf.DUMMYFUNCTION("""COMPUTED_VALUE"""),"")</f>
        <v/>
      </c>
      <c s="66">
        <f ca="1"/>
        <v>45229</v>
      </c>
      <c s="93" t="str">
        <f t="shared" si="157"/>
        <v/>
      </c>
      <c s="94" t="str">
        <f t="shared" si="399"/>
        <v/>
      </c>
      <c s="95" t="str">
        <f t="shared" si="409"/>
        <v/>
      </c>
      <c s="98" t="str">
        <f t="shared" si="400"/>
        <v/>
      </c>
      <c s="97" t="str">
        <f t="array" ref="AY91">IFERROR(IF(AS91="ac"+ISNUMBER(SEARCH("'",AX91))+AW91="","",IF(ISNUMBER(SEARCH("lw",AX91)),AK91+SUBSTITUTE(AX91,"lw+",""),MROUND(_xlfn.SWITCH(AS91,"sq",AW$7,"bn",AX$7,"dl",AY$7,"")*IF(AX91&gt;10,AX91/100,VLOOKUP(AX91,_rpe,SUBSTITUTE(AW91,"+","")+1,0)),IF(_xlfn.SWITCH(AS91,"sq",AW$7,"bn",AX$7,"dl",AY$7,"")&lt;IF(_uom="lbs",175,80),1.25,IF(_uom="lbs",5,2.5))))),"")</f>
        <v/>
      </c>
      <c s="70"/>
      <c s="63"/>
      <c s="97"/>
      <c s="44" t="str">
        <f>IFERROR(__xludf.DUMMYFUNCTION("IF(AY91=MAX(FILTER(AY$10:AY$199,LOOKUP(ROW(AS$10:AS$199),FILTER(ROW(AS$10:AS$199),AS$10:AS$199&lt;&gt;AS$9:AS$198))=LOOKUP(ROW(AS91),FILTER(ROW(AS$10:AS$199),AS$10:AS$199&lt;&gt;AS$9:AS$198)))),AZ91,)"),"")</f>
        <v/>
      </c>
      <c s="42"/>
      <c s="63"/>
      <c s="64" t="str">
        <f t="shared" si="19"/>
        <v/>
      </c>
      <c s="65" t="str">
        <f>IFERROR(__xludf.DUMMYFUNCTION("""COMPUTED_VALUE"""),"")</f>
        <v/>
      </c>
      <c s="66">
        <f ca="1"/>
        <v>45236</v>
      </c>
      <c s="93" t="str">
        <f t="shared" si="20"/>
        <v/>
      </c>
      <c s="94" t="str">
        <f t="shared" si="425"/>
        <v/>
      </c>
      <c s="95" t="str">
        <f t="shared" si="411"/>
        <v/>
      </c>
      <c s="98" t="str">
        <f t="shared" si="412"/>
        <v/>
      </c>
      <c s="97" t="str">
        <f t="array" ref="BM91">IFERROR(IF(BG91="ac"+ISNUMBER(SEARCH("'",BL91))+BK91="","",IF(ISNUMBER(SEARCH("lw",BL91)),AY91+SUBSTITUTE(BL91,"lw+",""),MROUND(_xlfn.SWITCH(BG91,"sq",BK$7,"bn",BL$7,"dl",BM$7,"")*IF(BL91&gt;10,BL91/100,VLOOKUP(BL91,_rpe,SUBSTITUTE(BK91,"+","")+1,0)),IF(_xlfn.SWITCH(BG91,"sq",BK$7,"bn",BL$7,"dl",BM$7,"")&lt;IF(_uom="lbs",175,80),1.25,IF(_uom="lbs",5,2.5))))),"")</f>
        <v/>
      </c>
      <c s="70"/>
      <c s="63"/>
      <c s="97"/>
      <c s="44" t="str">
        <f>IFERROR(__xludf.DUMMYFUNCTION("IF(BM91=MAX(FILTER(BM$10:BM$199,LOOKUP(ROW(BG$10:BG$199),FILTER(ROW(BG$10:BG$199),BG$10:BG$199&lt;&gt;BG$9:BG$198))=LOOKUP(ROW(BG91),FILTER(ROW(BG$10:BG$199),BG$10:BG$199&lt;&gt;BG$9:BG$198)))),BN91,)"),"")</f>
        <v/>
      </c>
      <c s="42"/>
      <c s="63"/>
      <c s="64" t="str">
        <f t="shared" si="21"/>
        <v/>
      </c>
      <c s="65" t="str">
        <f>IFERROR(__xludf.DUMMYFUNCTION("""COMPUTED_VALUE"""),"")</f>
        <v/>
      </c>
      <c s="66">
        <f ca="1"/>
        <v>45243</v>
      </c>
      <c s="93" t="str">
        <f t="shared" si="22"/>
        <v/>
      </c>
      <c s="94" t="str">
        <f t="shared" si="426"/>
        <v/>
      </c>
      <c s="95" t="str">
        <f t="shared" si="414"/>
        <v/>
      </c>
      <c s="98" t="str">
        <f t="shared" si="415"/>
        <v/>
      </c>
      <c s="97" t="str">
        <f t="array" ref="CA91">IFERROR(IF(BU91="ac"+ISNUMBER(SEARCH("'",BZ91))+BY91="","",IF(ISNUMBER(SEARCH("lw",BZ91)),BM91+SUBSTITUTE(BZ91,"lw+",""),MROUND(_xlfn.SWITCH(BU91,"sq",BY$7,"bn",BZ$7,"dl",CA$7,"")*IF(BZ91&gt;10,BZ91/100,VLOOKUP(BZ91,_rpe,SUBSTITUTE(BY91,"+","")+1,0)),IF(_xlfn.SWITCH(BU91,"sq",BY$7,"bn",BZ$7,"dl",CA$7,"")&lt;IF(_uom="lbs",175,80),1.25,IF(_uom="lbs",5,2.5))))),"")</f>
        <v/>
      </c>
      <c s="70"/>
      <c s="63"/>
      <c s="97"/>
      <c s="44" t="str">
        <f>IFERROR(__xludf.DUMMYFUNCTION("IF(CA91=MAX(FILTER(CA$10:CA$199,LOOKUP(ROW(BU$10:BU$199),FILTER(ROW(BU$10:BU$199),BU$10:BU$199&lt;&gt;BU$9:BU$198))=LOOKUP(ROW(BU91),FILTER(ROW(BU$10:BU$199),BU$10:BU$199&lt;&gt;BU$9:BU$198)))),CB91,)"),"")</f>
        <v/>
      </c>
      <c s="42"/>
      <c s="63"/>
      <c s="64" t="str">
        <f t="shared" si="24"/>
        <v/>
      </c>
      <c s="65" t="str">
        <f>IFERROR(__xludf.DUMMYFUNCTION("""COMPUTED_VALUE"""),"")</f>
        <v/>
      </c>
      <c s="66">
        <f ca="1"/>
        <v>45250</v>
      </c>
      <c s="93" t="str">
        <f t="shared" si="44"/>
        <v/>
      </c>
      <c s="94" t="str">
        <f t="shared" si="392"/>
        <v/>
      </c>
      <c s="95" t="str">
        <f t="shared" si="416"/>
        <v/>
      </c>
      <c s="98" t="str">
        <f t="shared" si="417"/>
        <v/>
      </c>
      <c s="97" t="str">
        <f t="array" ref="CO91">IFERROR(IF(CI91="ac"+ISNUMBER(SEARCH("'",CN91))+CM91="","",IF(ISNUMBER(SEARCH("lw",CN91)),CA91+SUBSTITUTE(CN91,"lw+",""),MROUND(_xlfn.SWITCH(CI91,"sq",CM$7,"bn",CN$7,"dl",CO$7,"")*IF(CN91&gt;10,CN91/100,VLOOKUP(CN91,_rpe,SUBSTITUTE(CM91,"+","")+1,0)),IF(_xlfn.SWITCH(CI91,"sq",CM$7,"bn",CN$7,"dl",CO$7,"")&lt;IF(_uom="lbs",175,80),1.25,IF(_uom="lbs",5,2.5))))),"")</f>
        <v/>
      </c>
      <c s="70"/>
      <c s="63"/>
      <c s="97"/>
      <c s="44" t="str">
        <f>IFERROR(__xludf.DUMMYFUNCTION("IF(CO91=MAX(FILTER(CO$10:CO$199,LOOKUP(ROW(CI$10:CI$199),FILTER(ROW(CI$10:CI$199),CI$10:CI$199&lt;&gt;CI$9:CI$198))=LOOKUP(ROW(CI91),FILTER(ROW(CI$10:CI$199),CI$10:CI$199&lt;&gt;CI$9:CI$198)))),CP91,)"),"")</f>
        <v/>
      </c>
      <c s="42"/>
      <c s="63"/>
      <c s="64" t="str">
        <f t="shared" si="27"/>
        <v/>
      </c>
      <c s="65" t="str">
        <f>IFERROR(__xludf.DUMMYFUNCTION("""COMPUTED_VALUE"""),"")</f>
        <v/>
      </c>
      <c s="66">
        <f ca="1"/>
        <v>45257</v>
      </c>
      <c s="93" t="str">
        <f t="shared" si="45"/>
        <v/>
      </c>
      <c s="94" t="str">
        <f t="shared" si="393"/>
        <v/>
      </c>
      <c s="95" t="str">
        <f t="shared" si="418"/>
        <v/>
      </c>
      <c s="98" t="str">
        <f t="shared" si="401"/>
        <v/>
      </c>
      <c s="97" t="str">
        <f t="array" ref="DC91">IFERROR(IF(CW91="ac"+ISNUMBER(SEARCH("'",DB91))+DA91="","",IF(ISNUMBER(SEARCH("lw",DB91)),CO91+SUBSTITUTE(DB91,"lw+",""),MROUND(_xlfn.SWITCH(CW91,"sq",DA$7,"bn",DB$7,"dl",DC$7,"")*IF(DB91&gt;10,DB91/100,VLOOKUP(DB91,_rpe,SUBSTITUTE(DA91,"+","")+1,0)),IF(_xlfn.SWITCH(CW91,"sq",DA$7,"bn",DB$7,"dl",DC$7,"")&lt;IF(_uom="lbs",175,80),1.25,IF(_uom="lbs",5,2.5))))),"")</f>
        <v/>
      </c>
      <c s="70"/>
      <c s="63"/>
      <c s="97"/>
      <c s="44" t="str">
        <f>IFERROR(__xludf.DUMMYFUNCTION("IF(DC91=MAX(FILTER(DC$10:DC$199,LOOKUP(ROW(CW$10:CW$199),FILTER(ROW(CW$10:CW$199),CW$10:CW$199&lt;&gt;CW$9:CW$198))=LOOKUP(ROW(CW91),FILTER(ROW(CW$10:CW$199),CW$10:CW$199&lt;&gt;CW$9:CW$198)))),DD91,)"),"")</f>
        <v/>
      </c>
      <c s="42"/>
      <c s="63"/>
      <c s="64" t="str">
        <f t="shared" si="30"/>
        <v/>
      </c>
      <c s="65" t="str">
        <f>IFERROR(__xludf.DUMMYFUNCTION("""COMPUTED_VALUE"""),"")</f>
        <v/>
      </c>
      <c s="66">
        <f ca="1"/>
        <v>45264</v>
      </c>
      <c s="93" t="str">
        <f t="shared" si="46"/>
        <v/>
      </c>
      <c s="94" t="str">
        <f t="shared" si="394"/>
        <v/>
      </c>
      <c s="95" t="str">
        <f t="shared" si="419"/>
        <v/>
      </c>
      <c s="98" t="str">
        <f t="shared" si="420"/>
        <v/>
      </c>
      <c s="97" t="str">
        <f t="array" ref="DQ91">IFERROR(IF(DK91="ac"+ISNUMBER(SEARCH("'",DP91))+DO91="","",IF(ISNUMBER(SEARCH("lw",DP91)),DC91+SUBSTITUTE(DP91,"lw+",""),MROUND(_xlfn.SWITCH(DK91,"sq",DO$7,"bn",DP$7,"dl",DQ$7,"")*IF(DP91&gt;10,DP91/100,VLOOKUP(DP91,_rpe,SUBSTITUTE(DO91,"+","")+1,0)),IF(_xlfn.SWITCH(DK91,"sq",DO$7,"bn",DP$7,"dl",DQ$7,"")&lt;IF(_uom="lbs",175,80),1.25,IF(_uom="lbs",5,2.5))))),"")</f>
        <v/>
      </c>
      <c s="70"/>
      <c s="63"/>
      <c s="97"/>
      <c s="44" t="str">
        <f>IFERROR(__xludf.DUMMYFUNCTION("IF(DQ91=MAX(FILTER(DQ$10:DQ$199,LOOKUP(ROW(DK$10:DK$199),FILTER(ROW(DK$10:DK$199),DK$10:DK$199&lt;&gt;DK$9:DK$198))=LOOKUP(ROW(DK91),FILTER(ROW(DK$10:DK$199),DK$10:DK$199&lt;&gt;DK$9:DK$198)))),DR91,)"),"")</f>
        <v/>
      </c>
      <c s="42"/>
      <c s="63"/>
      <c s="64" t="str">
        <f t="shared" si="32"/>
        <v/>
      </c>
      <c s="65" t="str">
        <f>IFERROR(__xludf.DUMMYFUNCTION("""COMPUTED_VALUE"""),"")</f>
        <v/>
      </c>
      <c s="66">
        <f ca="1"/>
        <v>45271</v>
      </c>
      <c s="93" t="str">
        <f t="shared" si="47"/>
        <v/>
      </c>
      <c s="94" t="str">
        <f t="shared" si="405"/>
        <v/>
      </c>
      <c s="95" t="str">
        <f t="shared" si="421"/>
        <v/>
      </c>
      <c s="98" t="str">
        <f t="shared" si="422"/>
        <v/>
      </c>
      <c s="97" t="str">
        <f t="array" ref="EE91">IFERROR(IF(DY91="ac"+ISNUMBER(SEARCH("'",ED91))+EC91="","",IF(ISNUMBER(SEARCH("lw",ED91)),DQ91+SUBSTITUTE(ED91,"lw+",""),MROUND(_xlfn.SWITCH(DY91,"sq",EC$7,"bn",ED$7,"dl",EE$7,"")*IF(ED91&gt;10,ED91/100,VLOOKUP(ED91,_rpe,SUBSTITUTE(EC91,"+","")+1,0)),IF(_xlfn.SWITCH(DY91,"sq",EC$7,"bn",ED$7,"dl",EE$7,"")&lt;IF(_uom="lbs",175,80),1.25,IF(_uom="lbs",5,2.5))))),"")</f>
        <v/>
      </c>
      <c s="70"/>
      <c s="63"/>
      <c s="97"/>
      <c s="44" t="str">
        <f>IFERROR(__xludf.DUMMYFUNCTION("IF(EE91=MAX(FILTER(EE$10:EE$199,LOOKUP(ROW(DY$10:DY$199),FILTER(ROW(DY$10:DY$199),DY$10:DY$199&lt;&gt;DY$9:DY$198))=LOOKUP(ROW(DY91),FILTER(ROW(DY$10:DY$199),DY$10:DY$199&lt;&gt;DY$9:DY$198)))),EF91,)"),"")</f>
        <v/>
      </c>
      <c s="42"/>
      <c s="63"/>
      <c s="64" t="str">
        <f t="shared" si="34"/>
        <v/>
      </c>
      <c s="65" t="str">
        <f>IFERROR(__xludf.DUMMYFUNCTION("""COMPUTED_VALUE"""),"")</f>
        <v/>
      </c>
      <c s="66">
        <f ca="1"/>
        <v>45278</v>
      </c>
      <c s="93" t="str">
        <f t="shared" si="48"/>
        <v/>
      </c>
      <c s="94" t="str">
        <f t="shared" si="395"/>
        <v/>
      </c>
      <c s="95" t="str">
        <f t="shared" si="423"/>
        <v/>
      </c>
      <c s="98" t="str">
        <f t="shared" si="402"/>
        <v/>
      </c>
      <c s="97" t="str">
        <f t="array" ref="ES91">IFERROR(IF(EM91="ac"+ISNUMBER(SEARCH("'",ER91))+EQ91="","",IF(ISNUMBER(SEARCH("lw",ER91)),EE91+SUBSTITUTE(ER91,"lw+",""),MROUND(_xlfn.SWITCH(EM91,"sq",EQ$7,"bn",ER$7,"dl",ES$7,"")*IF(ER91&gt;10,ER91/100,VLOOKUP(ER91,_rpe,SUBSTITUTE(EQ91,"+","")+1,0)),IF(_xlfn.SWITCH(EM91,"sq",EQ$7,"bn",ER$7,"dl",ES$7,"")&lt;IF(_uom="lbs",175,80),1.25,IF(_uom="lbs",5,2.5))))),"")</f>
        <v/>
      </c>
      <c s="70"/>
      <c s="63"/>
      <c s="97"/>
      <c s="44" t="str">
        <f>IFERROR(__xludf.DUMMYFUNCTION("IF(ES91=MAX(FILTER(ES$10:ES$199,LOOKUP(ROW(EM$10:EM$199),FILTER(ROW(EM$10:EM$199),EM$10:EM$199&lt;&gt;EM$9:EM$198))=LOOKUP(ROW(EM91),FILTER(ROW(EM$10:EM$199),EM$10:EM$199&lt;&gt;EM$9:EM$198)))),ET91,)"),"")</f>
        <v/>
      </c>
      <c s="42"/>
      <c s="63"/>
      <c s="64" t="str">
        <f t="shared" si="36"/>
        <v/>
      </c>
      <c s="65" t="str">
        <f>IFERROR(__xludf.DUMMYFUNCTION("""COMPUTED_VALUE"""),"")</f>
        <v/>
      </c>
      <c s="66">
        <f ca="1"/>
        <v>45285</v>
      </c>
      <c s="93" t="str">
        <f t="shared" si="49"/>
        <v/>
      </c>
      <c s="94" t="str">
        <f t="shared" si="396"/>
        <v/>
      </c>
      <c s="95" t="str">
        <f t="shared" si="424"/>
        <v/>
      </c>
      <c s="98" t="str">
        <f t="shared" si="403"/>
        <v/>
      </c>
      <c s="97" t="str">
        <f t="array" ref="FG91">IFERROR(IF(FA91="ac"+ISNUMBER(SEARCH("'",FF91))+FE91="","",IF(ISNUMBER(SEARCH("lw",FF91)),ES91+SUBSTITUTE(FF91,"lw+",""),MROUND(_xlfn.SWITCH(FA91,"sq",FE$7,"bn",FF$7,"dl",FG$7,"")*IF(FF91&gt;10,FF91/100,VLOOKUP(FF91,_rpe,SUBSTITUTE(FE91,"+","")+1,0)),IF(_xlfn.SWITCH(FA91,"sq",FE$7,"bn",FF$7,"dl",FG$7,"")&lt;IF(_uom="lbs",175,80),1.25,IF(_uom="lbs",5,2.5))))),"")</f>
        <v/>
      </c>
      <c s="70"/>
      <c s="63"/>
      <c s="97"/>
      <c s="44" t="str">
        <f>IFERROR(__xludf.DUMMYFUNCTION("IF(FG91=MAX(FILTER(FG$10:FG$199,LOOKUP(ROW(FA$10:FA$199),FILTER(ROW(FA$10:FA$199),FA$10:FA$199&lt;&gt;FA$9:FA$198))=LOOKUP(ROW(FA91),FILTER(ROW(FA$10:FA$199),FA$10:FA$199&lt;&gt;FA$9:FA$198)))),FH91,)"),"")</f>
        <v/>
      </c>
      <c s="42"/>
      <c s="63"/>
      <c s="64" t="str">
        <f t="shared" si="38"/>
        <v/>
      </c>
      <c s="65" t="str">
        <f>IFERROR(__xludf.DUMMYFUNCTION("""COMPUTED_VALUE"""),"")</f>
        <v/>
      </c>
      <c s="66">
        <f ca="1"/>
        <v>45292</v>
      </c>
      <c s="93" t="str">
        <f t="shared" si="435" ref="FQ91:FR91">IF(ISBLANK(FC91),"",FC91)</f>
        <v/>
      </c>
      <c s="94" t="str">
        <f t="shared" si="435"/>
        <v/>
      </c>
      <c s="95" t="str">
        <f t="shared" si="428"/>
        <v/>
      </c>
      <c s="98" t="str">
        <f t="shared" si="429"/>
        <v/>
      </c>
      <c s="97" t="str">
        <f t="array" ref="FU91">IFERROR(IF(FO91="ac"+ISNUMBER(SEARCH("'",FT91))+FS91="","",IF(ISNUMBER(SEARCH("lw",FT91)),FG91+SUBSTITUTE(FT91,"lw+",""),MROUND(_xlfn.SWITCH(FO91,"sq",FS$7,"bn",FT$7,"dl",FU$7,"")*IF(FT91&gt;10,FT91/100,VLOOKUP(FT91,_rpe,SUBSTITUTE(FS91,"+","")+1,0)),IF(_xlfn.SWITCH(FO91,"sq",FS$7,"bn",FT$7,"dl",FU$7,"")&lt;IF(_uom="lbs",175,80),1.25,IF(_uom="lbs",5,2.5))))),"")</f>
        <v/>
      </c>
      <c s="70"/>
      <c s="63"/>
      <c s="97"/>
      <c s="44" t="str">
        <f>IFERROR(__xludf.DUMMYFUNCTION("IF(FU91=MAX(FILTER(FU$10:FU$199,LOOKUP(ROW(FO$10:FO$199),FILTER(ROW(FO$10:FO$199),FO$10:FO$199&lt;&gt;FO$9:FO$198))=LOOKUP(ROW(FO91),FILTER(ROW(FO$10:FO$199),FO$10:FO$199&lt;&gt;FO$9:FO$198)))),FV91,)"),"")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92" spans="1:259" ht="15.75">
      <c r="A92" s="63"/>
      <c s="107"/>
      <c s="65" t="str">
        <f>IFERROR(__xludf.DUMMYFUNCTION("""COMPUTED_VALUE"""),"")</f>
        <v/>
      </c>
      <c s="66">
        <f ca="1"/>
        <v>45208</v>
      </c>
      <c s="93"/>
      <c s="94"/>
      <c s="95"/>
      <c s="96"/>
      <c s="97" t="str">
        <f t="array" ref="I92">IFERROR(IF(C92="ac"+ISNUMBER(SEARCH("'",H92))+G92="","",MROUND(_xlfn.SWITCH(C92,"sq",'Personal Info'!$O$15,"bn",'Personal Info'!$S$15,"dl",'Personal Info'!$W$15,"")*IF(H92&gt;10,H92/100,VLOOKUP(H92,_rpe,SUBSTITUTE(G92,"+","")+1,0)),IF(_xlfn.SWITCH(C92:C210,"sq",'Personal Info'!$O$15,"bn",'Personal Info'!$S$15,"dl",'Personal Info'!$W$15,"")&lt;IF(_uom="lbs",175,80),1.25,IF(_uom="lbs",5,2.5)))),"")</f>
        <v/>
      </c>
      <c s="70"/>
      <c s="63"/>
      <c s="97"/>
      <c s="44" t="str">
        <f>IFERROR(__xludf.DUMMYFUNCTION("IF(I92=MAX(FILTER(I$10:I$199,LOOKUP(ROW(C$10:C$199),FILTER(ROW(C$10:C$199),C$10:C$199&lt;&gt;C$9:C$198))=LOOKUP(ROW(C92),FILTER(ROW(C$10:C$199),C$10:C$199&lt;&gt;C$9:C$198)))),J92,)"),"")</f>
        <v/>
      </c>
      <c s="42"/>
      <c s="63"/>
      <c s="64" t="str">
        <f t="shared" si="11"/>
        <v/>
      </c>
      <c s="65" t="str">
        <f>IFERROR(__xludf.DUMMYFUNCTION("""COMPUTED_VALUE"""),"")</f>
        <v/>
      </c>
      <c s="66">
        <f ca="1"/>
        <v>45215</v>
      </c>
      <c s="93" t="str">
        <f t="shared" si="12"/>
        <v/>
      </c>
      <c s="94" t="str">
        <f t="shared" si="404"/>
        <v/>
      </c>
      <c s="95" t="str">
        <f t="shared" si="406"/>
        <v/>
      </c>
      <c s="98" t="str">
        <f t="shared" si="407"/>
        <v/>
      </c>
      <c s="97" t="str">
        <f t="array" ref="W92">IFERROR(IF(Q92="ac"+ISNUMBER(SEARCH("'",V92))+U92="","",IF(ISNUMBER(SEARCH("lw",V92)),I92+SUBSTITUTE(V92,"lw+",""),MROUND(_xlfn.SWITCH(Q92,"sq",U$7,"bn",V$7,"dl",W$7,"")*IF(V92&gt;10,V92/100,VLOOKUP(V92,_rpe,SUBSTITUTE(U92,"+","")+1,0)),IF(_xlfn.SWITCH(Q92,"sq",U$7,"bn",V$7,"dl",W$7,"")&lt;IF(_uom="lbs",175,80),1.25,IF(_uom="lbs",5,2.5))))),"")</f>
        <v/>
      </c>
      <c s="70"/>
      <c s="63"/>
      <c s="97"/>
      <c s="44" t="str">
        <f>IFERROR(__xludf.DUMMYFUNCTION("IF(W92=MAX(FILTER(W$10:W$199,LOOKUP(ROW(Q$10:Q$199),FILTER(ROW(Q$10:Q$199),Q$10:Q$199&lt;&gt;Q$9:Q$198))=LOOKUP(ROW(Q92),FILTER(ROW(Q$10:Q$199),Q$10:Q$199&lt;&gt;Q$9:Q$198)))),X92,)"),"")</f>
        <v/>
      </c>
      <c s="42"/>
      <c s="63"/>
      <c s="64" t="str">
        <f t="shared" si="14"/>
        <v/>
      </c>
      <c s="65" t="str">
        <f>IFERROR(__xludf.DUMMYFUNCTION("""COMPUTED_VALUE"""),"")</f>
        <v/>
      </c>
      <c s="66">
        <f ca="1"/>
        <v>45222</v>
      </c>
      <c s="93" t="str">
        <f t="shared" si="156"/>
        <v/>
      </c>
      <c s="94" t="str">
        <f t="shared" si="397"/>
        <v/>
      </c>
      <c s="95" t="str">
        <f t="shared" si="408"/>
        <v/>
      </c>
      <c s="98" t="str">
        <f t="shared" si="398"/>
        <v/>
      </c>
      <c s="97" t="str">
        <f t="array" ref="AK92">IFERROR(IF(AE92="ac"+ISNUMBER(SEARCH("'",AJ92))+AI92="","",IF(ISNUMBER(SEARCH("lw",AJ92)),W92+SUBSTITUTE(AJ92,"lw+",""),MROUND(_xlfn.SWITCH(AE92,"sq",AI$7,"bn",AJ$7,"dl",AK$7,"")*IF(AJ92&gt;10,AJ92/100,VLOOKUP(AJ92,_rpe,SUBSTITUTE(AI92,"+","")+1,0)),IF(_xlfn.SWITCH(AE92,"sq",AI$7,"bn",AJ$7,"dl",AK$7,"")&lt;IF(_uom="lbs",175,80),1.25,IF(_uom="lbs",5,2.5))))),"")</f>
        <v/>
      </c>
      <c s="70"/>
      <c s="63"/>
      <c s="97"/>
      <c s="44" t="str">
        <f>IFERROR(__xludf.DUMMYFUNCTION("IF(AK92=MAX(FILTER(AK$10:AK$199,LOOKUP(ROW(AE$10:AE$199),FILTER(ROW(AE$10:AE$199),AE$10:AE$199&lt;&gt;AE$9:AE$198))=LOOKUP(ROW(AE92),FILTER(ROW(AE$10:AE$199),AE$10:AE$199&lt;&gt;AE$9:AE$198)))),AL92,)"),"")</f>
        <v/>
      </c>
      <c s="42"/>
      <c s="63"/>
      <c s="64" t="str">
        <f t="shared" si="17"/>
        <v/>
      </c>
      <c s="65" t="str">
        <f>IFERROR(__xludf.DUMMYFUNCTION("""COMPUTED_VALUE"""),"")</f>
        <v/>
      </c>
      <c s="66">
        <f ca="1"/>
        <v>45229</v>
      </c>
      <c s="93" t="str">
        <f t="shared" si="157"/>
        <v/>
      </c>
      <c s="94" t="str">
        <f t="shared" si="399"/>
        <v/>
      </c>
      <c s="95" t="str">
        <f t="shared" si="409"/>
        <v/>
      </c>
      <c s="98" t="str">
        <f t="shared" si="400"/>
        <v/>
      </c>
      <c s="97" t="str">
        <f t="array" ref="AY92">IFERROR(IF(AS92="ac"+ISNUMBER(SEARCH("'",AX92))+AW92="","",IF(ISNUMBER(SEARCH("lw",AX92)),AK92+SUBSTITUTE(AX92,"lw+",""),MROUND(_xlfn.SWITCH(AS92,"sq",AW$7,"bn",AX$7,"dl",AY$7,"")*IF(AX92&gt;10,AX92/100,VLOOKUP(AX92,_rpe,SUBSTITUTE(AW92,"+","")+1,0)),IF(_xlfn.SWITCH(AS92,"sq",AW$7,"bn",AX$7,"dl",AY$7,"")&lt;IF(_uom="lbs",175,80),1.25,IF(_uom="lbs",5,2.5))))),"")</f>
        <v/>
      </c>
      <c s="70"/>
      <c s="63"/>
      <c s="97"/>
      <c s="44" t="str">
        <f>IFERROR(__xludf.DUMMYFUNCTION("IF(AY92=MAX(FILTER(AY$10:AY$199,LOOKUP(ROW(AS$10:AS$199),FILTER(ROW(AS$10:AS$199),AS$10:AS$199&lt;&gt;AS$9:AS$198))=LOOKUP(ROW(AS92),FILTER(ROW(AS$10:AS$199),AS$10:AS$199&lt;&gt;AS$9:AS$198)))),AZ92,)"),"")</f>
        <v/>
      </c>
      <c s="42"/>
      <c s="63"/>
      <c s="64" t="str">
        <f t="shared" si="19"/>
        <v/>
      </c>
      <c s="65" t="str">
        <f>IFERROR(__xludf.DUMMYFUNCTION("""COMPUTED_VALUE"""),"")</f>
        <v/>
      </c>
      <c s="66">
        <f ca="1"/>
        <v>45236</v>
      </c>
      <c s="93" t="str">
        <f t="shared" si="20"/>
        <v/>
      </c>
      <c s="94" t="str">
        <f t="shared" si="425"/>
        <v/>
      </c>
      <c s="95" t="str">
        <f t="shared" si="411"/>
        <v/>
      </c>
      <c s="98" t="str">
        <f t="shared" si="412"/>
        <v/>
      </c>
      <c s="97" t="str">
        <f t="array" ref="BM92">IFERROR(IF(BG92="ac"+ISNUMBER(SEARCH("'",BL92))+BK92="","",IF(ISNUMBER(SEARCH("lw",BL92)),AY92+SUBSTITUTE(BL92,"lw+",""),MROUND(_xlfn.SWITCH(BG92,"sq",BK$7,"bn",BL$7,"dl",BM$7,"")*IF(BL92&gt;10,BL92/100,VLOOKUP(BL92,_rpe,SUBSTITUTE(BK92,"+","")+1,0)),IF(_xlfn.SWITCH(BG92,"sq",BK$7,"bn",BL$7,"dl",BM$7,"")&lt;IF(_uom="lbs",175,80),1.25,IF(_uom="lbs",5,2.5))))),"")</f>
        <v/>
      </c>
      <c s="70"/>
      <c s="63"/>
      <c s="97"/>
      <c s="44" t="str">
        <f>IFERROR(__xludf.DUMMYFUNCTION("IF(BM92=MAX(FILTER(BM$10:BM$199,LOOKUP(ROW(BG$10:BG$199),FILTER(ROW(BG$10:BG$199),BG$10:BG$199&lt;&gt;BG$9:BG$198))=LOOKUP(ROW(BG92),FILTER(ROW(BG$10:BG$199),BG$10:BG$199&lt;&gt;BG$9:BG$198)))),BN92,)"),"")</f>
        <v/>
      </c>
      <c s="42"/>
      <c s="63"/>
      <c s="64" t="str">
        <f t="shared" si="21"/>
        <v/>
      </c>
      <c s="65" t="str">
        <f>IFERROR(__xludf.DUMMYFUNCTION("""COMPUTED_VALUE"""),"")</f>
        <v/>
      </c>
      <c s="66">
        <f ca="1"/>
        <v>45243</v>
      </c>
      <c s="93" t="str">
        <f t="shared" si="22"/>
        <v/>
      </c>
      <c s="94" t="str">
        <f t="shared" si="426"/>
        <v/>
      </c>
      <c s="95" t="str">
        <f t="shared" si="414"/>
        <v/>
      </c>
      <c s="98" t="str">
        <f t="shared" si="415"/>
        <v/>
      </c>
      <c s="97" t="str">
        <f t="array" ref="CA92">IFERROR(IF(BU92="ac"+ISNUMBER(SEARCH("'",BZ92))+BY92="","",IF(ISNUMBER(SEARCH("lw",BZ92)),BM92+SUBSTITUTE(BZ92,"lw+",""),MROUND(_xlfn.SWITCH(BU92,"sq",BY$7,"bn",BZ$7,"dl",CA$7,"")*IF(BZ92&gt;10,BZ92/100,VLOOKUP(BZ92,_rpe,SUBSTITUTE(BY92,"+","")+1,0)),IF(_xlfn.SWITCH(BU92,"sq",BY$7,"bn",BZ$7,"dl",CA$7,"")&lt;IF(_uom="lbs",175,80),1.25,IF(_uom="lbs",5,2.5))))),"")</f>
        <v/>
      </c>
      <c s="70"/>
      <c s="63"/>
      <c s="97"/>
      <c s="44" t="str">
        <f>IFERROR(__xludf.DUMMYFUNCTION("IF(CA92=MAX(FILTER(CA$10:CA$199,LOOKUP(ROW(BU$10:BU$199),FILTER(ROW(BU$10:BU$199),BU$10:BU$199&lt;&gt;BU$9:BU$198))=LOOKUP(ROW(BU92),FILTER(ROW(BU$10:BU$199),BU$10:BU$199&lt;&gt;BU$9:BU$198)))),CB92,)"),"")</f>
        <v/>
      </c>
      <c s="42"/>
      <c s="63"/>
      <c s="64" t="str">
        <f t="shared" si="24"/>
        <v/>
      </c>
      <c s="65" t="str">
        <f>IFERROR(__xludf.DUMMYFUNCTION("""COMPUTED_VALUE"""),"")</f>
        <v/>
      </c>
      <c s="66">
        <f ca="1"/>
        <v>45250</v>
      </c>
      <c s="93" t="str">
        <f t="shared" si="44"/>
        <v/>
      </c>
      <c s="94" t="str">
        <f t="shared" si="392"/>
        <v/>
      </c>
      <c s="95" t="str">
        <f t="shared" si="416"/>
        <v/>
      </c>
      <c s="98" t="str">
        <f t="shared" si="417"/>
        <v/>
      </c>
      <c s="97" t="str">
        <f t="array" ref="CO92">IFERROR(IF(CI92="ac"+ISNUMBER(SEARCH("'",CN92))+CM92="","",IF(ISNUMBER(SEARCH("lw",CN92)),CA92+SUBSTITUTE(CN92,"lw+",""),MROUND(_xlfn.SWITCH(CI92,"sq",CM$7,"bn",CN$7,"dl",CO$7,"")*IF(CN92&gt;10,CN92/100,VLOOKUP(CN92,_rpe,SUBSTITUTE(CM92,"+","")+1,0)),IF(_xlfn.SWITCH(CI92,"sq",CM$7,"bn",CN$7,"dl",CO$7,"")&lt;IF(_uom="lbs",175,80),1.25,IF(_uom="lbs",5,2.5))))),"")</f>
        <v/>
      </c>
      <c s="70"/>
      <c s="63"/>
      <c s="97"/>
      <c s="44" t="str">
        <f>IFERROR(__xludf.DUMMYFUNCTION("IF(CO92=MAX(FILTER(CO$10:CO$199,LOOKUP(ROW(CI$10:CI$199),FILTER(ROW(CI$10:CI$199),CI$10:CI$199&lt;&gt;CI$9:CI$198))=LOOKUP(ROW(CI92),FILTER(ROW(CI$10:CI$199),CI$10:CI$199&lt;&gt;CI$9:CI$198)))),CP92,)"),"")</f>
        <v/>
      </c>
      <c s="42"/>
      <c s="63"/>
      <c s="64" t="str">
        <f t="shared" si="27"/>
        <v/>
      </c>
      <c s="65" t="str">
        <f>IFERROR(__xludf.DUMMYFUNCTION("""COMPUTED_VALUE"""),"")</f>
        <v/>
      </c>
      <c s="66">
        <f ca="1"/>
        <v>45257</v>
      </c>
      <c s="93" t="str">
        <f t="shared" si="45"/>
        <v/>
      </c>
      <c s="94" t="str">
        <f t="shared" si="393"/>
        <v/>
      </c>
      <c s="95" t="str">
        <f t="shared" si="418"/>
        <v/>
      </c>
      <c s="98" t="str">
        <f t="shared" si="401"/>
        <v/>
      </c>
      <c s="97" t="str">
        <f t="array" ref="DC92">IFERROR(IF(CW92="ac"+ISNUMBER(SEARCH("'",DB92))+DA92="","",IF(ISNUMBER(SEARCH("lw",DB92)),CO92+SUBSTITUTE(DB92,"lw+",""),MROUND(_xlfn.SWITCH(CW92,"sq",DA$7,"bn",DB$7,"dl",DC$7,"")*IF(DB92&gt;10,DB92/100,VLOOKUP(DB92,_rpe,SUBSTITUTE(DA92,"+","")+1,0)),IF(_xlfn.SWITCH(CW92,"sq",DA$7,"bn",DB$7,"dl",DC$7,"")&lt;IF(_uom="lbs",175,80),1.25,IF(_uom="lbs",5,2.5))))),"")</f>
        <v/>
      </c>
      <c s="70"/>
      <c s="63"/>
      <c s="97"/>
      <c s="44" t="str">
        <f>IFERROR(__xludf.DUMMYFUNCTION("IF(DC92=MAX(FILTER(DC$10:DC$199,LOOKUP(ROW(CW$10:CW$199),FILTER(ROW(CW$10:CW$199),CW$10:CW$199&lt;&gt;CW$9:CW$198))=LOOKUP(ROW(CW92),FILTER(ROW(CW$10:CW$199),CW$10:CW$199&lt;&gt;CW$9:CW$198)))),DD92,)"),"")</f>
        <v/>
      </c>
      <c s="42"/>
      <c s="63"/>
      <c s="64" t="str">
        <f t="shared" si="30"/>
        <v/>
      </c>
      <c s="65" t="str">
        <f>IFERROR(__xludf.DUMMYFUNCTION("""COMPUTED_VALUE"""),"")</f>
        <v/>
      </c>
      <c s="66">
        <f ca="1"/>
        <v>45264</v>
      </c>
      <c s="93" t="str">
        <f t="shared" si="46"/>
        <v/>
      </c>
      <c s="94" t="str">
        <f t="shared" si="394"/>
        <v/>
      </c>
      <c s="95" t="str">
        <f t="shared" si="419"/>
        <v/>
      </c>
      <c s="98" t="str">
        <f t="shared" si="420"/>
        <v/>
      </c>
      <c s="97" t="str">
        <f t="array" ref="DQ92">IFERROR(IF(DK92="ac"+ISNUMBER(SEARCH("'",DP92))+DO92="","",IF(ISNUMBER(SEARCH("lw",DP92)),DC92+SUBSTITUTE(DP92,"lw+",""),MROUND(_xlfn.SWITCH(DK92,"sq",DO$7,"bn",DP$7,"dl",DQ$7,"")*IF(DP92&gt;10,DP92/100,VLOOKUP(DP92,_rpe,SUBSTITUTE(DO92,"+","")+1,0)),IF(_xlfn.SWITCH(DK92,"sq",DO$7,"bn",DP$7,"dl",DQ$7,"")&lt;IF(_uom="lbs",175,80),1.25,IF(_uom="lbs",5,2.5))))),"")</f>
        <v/>
      </c>
      <c s="70"/>
      <c s="63"/>
      <c s="97"/>
      <c s="44" t="str">
        <f>IFERROR(__xludf.DUMMYFUNCTION("IF(DQ92=MAX(FILTER(DQ$10:DQ$199,LOOKUP(ROW(DK$10:DK$199),FILTER(ROW(DK$10:DK$199),DK$10:DK$199&lt;&gt;DK$9:DK$198))=LOOKUP(ROW(DK92),FILTER(ROW(DK$10:DK$199),DK$10:DK$199&lt;&gt;DK$9:DK$198)))),DR92,)"),"")</f>
        <v/>
      </c>
      <c s="42"/>
      <c s="63"/>
      <c s="64" t="str">
        <f t="shared" si="32"/>
        <v/>
      </c>
      <c s="65" t="str">
        <f>IFERROR(__xludf.DUMMYFUNCTION("""COMPUTED_VALUE"""),"")</f>
        <v/>
      </c>
      <c s="66">
        <f ca="1"/>
        <v>45271</v>
      </c>
      <c s="93" t="str">
        <f t="shared" si="47"/>
        <v/>
      </c>
      <c s="94" t="str">
        <f t="shared" si="405"/>
        <v/>
      </c>
      <c s="95" t="str">
        <f t="shared" si="421"/>
        <v/>
      </c>
      <c s="98" t="str">
        <f t="shared" si="422"/>
        <v/>
      </c>
      <c s="97" t="str">
        <f t="array" ref="EE92">IFERROR(IF(DY92="ac"+ISNUMBER(SEARCH("'",ED92))+EC92="","",IF(ISNUMBER(SEARCH("lw",ED92)),DQ92+SUBSTITUTE(ED92,"lw+",""),MROUND(_xlfn.SWITCH(DY92,"sq",EC$7,"bn",ED$7,"dl",EE$7,"")*IF(ED92&gt;10,ED92/100,VLOOKUP(ED92,_rpe,SUBSTITUTE(EC92,"+","")+1,0)),IF(_xlfn.SWITCH(DY92,"sq",EC$7,"bn",ED$7,"dl",EE$7,"")&lt;IF(_uom="lbs",175,80),1.25,IF(_uom="lbs",5,2.5))))),"")</f>
        <v/>
      </c>
      <c s="70"/>
      <c s="63"/>
      <c s="97"/>
      <c s="44" t="str">
        <f>IFERROR(__xludf.DUMMYFUNCTION("IF(EE92=MAX(FILTER(EE$10:EE$199,LOOKUP(ROW(DY$10:DY$199),FILTER(ROW(DY$10:DY$199),DY$10:DY$199&lt;&gt;DY$9:DY$198))=LOOKUP(ROW(DY92),FILTER(ROW(DY$10:DY$199),DY$10:DY$199&lt;&gt;DY$9:DY$198)))),EF92,)"),"")</f>
        <v/>
      </c>
      <c s="42"/>
      <c s="63"/>
      <c s="64" t="str">
        <f t="shared" si="34"/>
        <v/>
      </c>
      <c s="65" t="str">
        <f>IFERROR(__xludf.DUMMYFUNCTION("""COMPUTED_VALUE"""),"")</f>
        <v/>
      </c>
      <c s="66">
        <f ca="1"/>
        <v>45278</v>
      </c>
      <c s="93" t="str">
        <f t="shared" si="48"/>
        <v/>
      </c>
      <c s="94" t="str">
        <f t="shared" si="395"/>
        <v/>
      </c>
      <c s="95" t="str">
        <f t="shared" si="423"/>
        <v/>
      </c>
      <c s="98" t="str">
        <f t="shared" si="402"/>
        <v/>
      </c>
      <c s="97" t="str">
        <f t="array" ref="ES92">IFERROR(IF(EM92="ac"+ISNUMBER(SEARCH("'",ER92))+EQ92="","",IF(ISNUMBER(SEARCH("lw",ER92)),EE92+SUBSTITUTE(ER92,"lw+",""),MROUND(_xlfn.SWITCH(EM92,"sq",EQ$7,"bn",ER$7,"dl",ES$7,"")*IF(ER92&gt;10,ER92/100,VLOOKUP(ER92,_rpe,SUBSTITUTE(EQ92,"+","")+1,0)),IF(_xlfn.SWITCH(EM92,"sq",EQ$7,"bn",ER$7,"dl",ES$7,"")&lt;IF(_uom="lbs",175,80),1.25,IF(_uom="lbs",5,2.5))))),"")</f>
        <v/>
      </c>
      <c s="70"/>
      <c s="63"/>
      <c s="97"/>
      <c s="44" t="str">
        <f>IFERROR(__xludf.DUMMYFUNCTION("IF(ES92=MAX(FILTER(ES$10:ES$199,LOOKUP(ROW(EM$10:EM$199),FILTER(ROW(EM$10:EM$199),EM$10:EM$199&lt;&gt;EM$9:EM$198))=LOOKUP(ROW(EM92),FILTER(ROW(EM$10:EM$199),EM$10:EM$199&lt;&gt;EM$9:EM$198)))),ET92,)"),"")</f>
        <v/>
      </c>
      <c s="42"/>
      <c s="63"/>
      <c s="64" t="str">
        <f t="shared" si="36"/>
        <v/>
      </c>
      <c s="65" t="str">
        <f>IFERROR(__xludf.DUMMYFUNCTION("""COMPUTED_VALUE"""),"")</f>
        <v/>
      </c>
      <c s="66">
        <f ca="1"/>
        <v>45285</v>
      </c>
      <c s="93" t="str">
        <f t="shared" si="49"/>
        <v/>
      </c>
      <c s="94" t="str">
        <f t="shared" si="396"/>
        <v/>
      </c>
      <c s="95" t="str">
        <f t="shared" si="424"/>
        <v/>
      </c>
      <c s="98" t="str">
        <f t="shared" si="403"/>
        <v/>
      </c>
      <c s="97" t="str">
        <f t="array" ref="FG92">IFERROR(IF(FA92="ac"+ISNUMBER(SEARCH("'",FF92))+FE92="","",IF(ISNUMBER(SEARCH("lw",FF92)),ES92+SUBSTITUTE(FF92,"lw+",""),MROUND(_xlfn.SWITCH(FA92,"sq",FE$7,"bn",FF$7,"dl",FG$7,"")*IF(FF92&gt;10,FF92/100,VLOOKUP(FF92,_rpe,SUBSTITUTE(FE92,"+","")+1,0)),IF(_xlfn.SWITCH(FA92,"sq",FE$7,"bn",FF$7,"dl",FG$7,"")&lt;IF(_uom="lbs",175,80),1.25,IF(_uom="lbs",5,2.5))))),"")</f>
        <v/>
      </c>
      <c s="70"/>
      <c s="63"/>
      <c s="97"/>
      <c s="44" t="str">
        <f>IFERROR(__xludf.DUMMYFUNCTION("IF(FG92=MAX(FILTER(FG$10:FG$199,LOOKUP(ROW(FA$10:FA$199),FILTER(ROW(FA$10:FA$199),FA$10:FA$199&lt;&gt;FA$9:FA$198))=LOOKUP(ROW(FA92),FILTER(ROW(FA$10:FA$199),FA$10:FA$199&lt;&gt;FA$9:FA$198)))),FH92,)"),"")</f>
        <v/>
      </c>
      <c s="42"/>
      <c s="63"/>
      <c s="64" t="str">
        <f t="shared" si="38"/>
        <v/>
      </c>
      <c s="65" t="str">
        <f>IFERROR(__xludf.DUMMYFUNCTION("""COMPUTED_VALUE"""),"")</f>
        <v/>
      </c>
      <c s="66">
        <f ca="1"/>
        <v>45292</v>
      </c>
      <c s="93" t="str">
        <f t="shared" si="436" ref="FQ92:FR92">IF(ISBLANK(FC92),"",FC92)</f>
        <v/>
      </c>
      <c s="94" t="str">
        <f t="shared" si="436"/>
        <v/>
      </c>
      <c s="95" t="str">
        <f t="shared" si="428"/>
        <v/>
      </c>
      <c s="98" t="str">
        <f t="shared" si="429"/>
        <v/>
      </c>
      <c s="97" t="str">
        <f t="array" ref="FU92">IFERROR(IF(FO92="ac"+ISNUMBER(SEARCH("'",FT92))+FS92="","",IF(ISNUMBER(SEARCH("lw",FT92)),FG92+SUBSTITUTE(FT92,"lw+",""),MROUND(_xlfn.SWITCH(FO92,"sq",FS$7,"bn",FT$7,"dl",FU$7,"")*IF(FT92&gt;10,FT92/100,VLOOKUP(FT92,_rpe,SUBSTITUTE(FS92,"+","")+1,0)),IF(_xlfn.SWITCH(FO92,"sq",FS$7,"bn",FT$7,"dl",FU$7,"")&lt;IF(_uom="lbs",175,80),1.25,IF(_uom="lbs",5,2.5))))),"")</f>
        <v/>
      </c>
      <c s="70"/>
      <c s="63"/>
      <c s="97"/>
      <c s="44" t="str">
        <f>IFERROR(__xludf.DUMMYFUNCTION("IF(FU92=MAX(FILTER(FU$10:FU$199,LOOKUP(ROW(FO$10:FO$199),FILTER(ROW(FO$10:FO$199),FO$10:FO$199&lt;&gt;FO$9:FO$198))=LOOKUP(ROW(FO92),FILTER(ROW(FO$10:FO$199),FO$10:FO$199&lt;&gt;FO$9:FO$198)))),FV92,)"),"")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93" spans="1:259" ht="15.75">
      <c r="A93" s="63"/>
      <c s="107"/>
      <c s="65" t="str">
        <f>IFERROR(__xludf.DUMMYFUNCTION("""COMPUTED_VALUE"""),"")</f>
        <v/>
      </c>
      <c s="66">
        <f ca="1"/>
        <v>45208</v>
      </c>
      <c s="93"/>
      <c s="94"/>
      <c s="95"/>
      <c s="96"/>
      <c s="97" t="str">
        <f t="array" ref="I93">IFERROR(IF(C93="ac"+ISNUMBER(SEARCH("'",H93))+G93="","",MROUND(_xlfn.SWITCH(C93,"sq",'Personal Info'!$O$15,"bn",'Personal Info'!$S$15,"dl",'Personal Info'!$W$15,"")*IF(H93&gt;10,H93/100,VLOOKUP(H93,_rpe,SUBSTITUTE(G93,"+","")+1,0)),IF(_xlfn.SWITCH(C93:C210,"sq",'Personal Info'!$O$15,"bn",'Personal Info'!$S$15,"dl",'Personal Info'!$W$15,"")&lt;IF(_uom="lbs",175,80),1.25,IF(_uom="lbs",5,2.5)))),"")</f>
        <v/>
      </c>
      <c s="70"/>
      <c s="63"/>
      <c s="97"/>
      <c s="44" t="str">
        <f>IFERROR(__xludf.DUMMYFUNCTION("IF(I93=MAX(FILTER(I$10:I$199,LOOKUP(ROW(C$10:C$199),FILTER(ROW(C$10:C$199),C$10:C$199&lt;&gt;C$9:C$198))=LOOKUP(ROW(C93),FILTER(ROW(C$10:C$199),C$10:C$199&lt;&gt;C$9:C$198)))),J93,)"),"")</f>
        <v/>
      </c>
      <c s="42"/>
      <c s="63"/>
      <c s="64" t="str">
        <f t="shared" si="11"/>
        <v/>
      </c>
      <c s="65" t="str">
        <f>IFERROR(__xludf.DUMMYFUNCTION("""COMPUTED_VALUE"""),"")</f>
        <v/>
      </c>
      <c s="66">
        <f ca="1"/>
        <v>45215</v>
      </c>
      <c s="93" t="str">
        <f t="shared" si="12"/>
        <v/>
      </c>
      <c s="94" t="str">
        <f t="shared" si="404"/>
        <v/>
      </c>
      <c s="95" t="str">
        <f t="shared" si="406"/>
        <v/>
      </c>
      <c s="98" t="str">
        <f t="shared" si="407"/>
        <v/>
      </c>
      <c s="97" t="str">
        <f t="array" ref="W93">IFERROR(IF(Q93="ac"+ISNUMBER(SEARCH("'",V93))+U93="","",IF(ISNUMBER(SEARCH("lw",V93)),I93+SUBSTITUTE(V93,"lw+",""),MROUND(_xlfn.SWITCH(Q93,"sq",U$7,"bn",V$7,"dl",W$7,"")*IF(V93&gt;10,V93/100,VLOOKUP(V93,_rpe,SUBSTITUTE(U93,"+","")+1,0)),IF(_xlfn.SWITCH(Q93,"sq",U$7,"bn",V$7,"dl",W$7,"")&lt;IF(_uom="lbs",175,80),1.25,IF(_uom="lbs",5,2.5))))),"")</f>
        <v/>
      </c>
      <c s="70"/>
      <c s="63"/>
      <c s="97"/>
      <c s="44" t="str">
        <f>IFERROR(__xludf.DUMMYFUNCTION("IF(W93=MAX(FILTER(W$10:W$199,LOOKUP(ROW(Q$10:Q$199),FILTER(ROW(Q$10:Q$199),Q$10:Q$199&lt;&gt;Q$9:Q$198))=LOOKUP(ROW(Q93),FILTER(ROW(Q$10:Q$199),Q$10:Q$199&lt;&gt;Q$9:Q$198)))),X93,)"),"")</f>
        <v/>
      </c>
      <c s="42"/>
      <c s="63"/>
      <c s="64" t="str">
        <f t="shared" si="14"/>
        <v/>
      </c>
      <c s="65" t="str">
        <f>IFERROR(__xludf.DUMMYFUNCTION("""COMPUTED_VALUE"""),"")</f>
        <v/>
      </c>
      <c s="66">
        <f ca="1"/>
        <v>45222</v>
      </c>
      <c s="93" t="str">
        <f t="shared" si="156"/>
        <v/>
      </c>
      <c s="94" t="str">
        <f t="shared" si="397"/>
        <v/>
      </c>
      <c s="95" t="str">
        <f t="shared" si="408"/>
        <v/>
      </c>
      <c s="98" t="str">
        <f t="shared" si="398"/>
        <v/>
      </c>
      <c s="97" t="str">
        <f t="array" ref="AK93">IFERROR(IF(AE93="ac"+ISNUMBER(SEARCH("'",AJ93))+AI93="","",IF(ISNUMBER(SEARCH("lw",AJ93)),W93+SUBSTITUTE(AJ93,"lw+",""),MROUND(_xlfn.SWITCH(AE93,"sq",AI$7,"bn",AJ$7,"dl",AK$7,"")*IF(AJ93&gt;10,AJ93/100,VLOOKUP(AJ93,_rpe,SUBSTITUTE(AI93,"+","")+1,0)),IF(_xlfn.SWITCH(AE93,"sq",AI$7,"bn",AJ$7,"dl",AK$7,"")&lt;IF(_uom="lbs",175,80),1.25,IF(_uom="lbs",5,2.5))))),"")</f>
        <v/>
      </c>
      <c s="70"/>
      <c s="63"/>
      <c s="97"/>
      <c s="44" t="str">
        <f>IFERROR(__xludf.DUMMYFUNCTION("IF(AK93=MAX(FILTER(AK$10:AK$199,LOOKUP(ROW(AE$10:AE$199),FILTER(ROW(AE$10:AE$199),AE$10:AE$199&lt;&gt;AE$9:AE$198))=LOOKUP(ROW(AE93),FILTER(ROW(AE$10:AE$199),AE$10:AE$199&lt;&gt;AE$9:AE$198)))),AL93,)"),"")</f>
        <v/>
      </c>
      <c s="42"/>
      <c s="63"/>
      <c s="64" t="str">
        <f t="shared" si="17"/>
        <v/>
      </c>
      <c s="65" t="str">
        <f>IFERROR(__xludf.DUMMYFUNCTION("""COMPUTED_VALUE"""),"")</f>
        <v/>
      </c>
      <c s="66">
        <f ca="1"/>
        <v>45229</v>
      </c>
      <c s="93" t="str">
        <f t="shared" si="157"/>
        <v/>
      </c>
      <c s="94" t="str">
        <f t="shared" si="399"/>
        <v/>
      </c>
      <c s="95" t="str">
        <f t="shared" si="409"/>
        <v/>
      </c>
      <c s="98" t="str">
        <f t="shared" si="400"/>
        <v/>
      </c>
      <c s="97" t="str">
        <f t="array" ref="AY93">IFERROR(IF(AS93="ac"+ISNUMBER(SEARCH("'",AX93))+AW93="","",IF(ISNUMBER(SEARCH("lw",AX93)),AK93+SUBSTITUTE(AX93,"lw+",""),MROUND(_xlfn.SWITCH(AS93,"sq",AW$7,"bn",AX$7,"dl",AY$7,"")*IF(AX93&gt;10,AX93/100,VLOOKUP(AX93,_rpe,SUBSTITUTE(AW93,"+","")+1,0)),IF(_xlfn.SWITCH(AS93,"sq",AW$7,"bn",AX$7,"dl",AY$7,"")&lt;IF(_uom="lbs",175,80),1.25,IF(_uom="lbs",5,2.5))))),"")</f>
        <v/>
      </c>
      <c s="70"/>
      <c s="63"/>
      <c s="97"/>
      <c s="44" t="str">
        <f>IFERROR(__xludf.DUMMYFUNCTION("IF(AY93=MAX(FILTER(AY$10:AY$199,LOOKUP(ROW(AS$10:AS$199),FILTER(ROW(AS$10:AS$199),AS$10:AS$199&lt;&gt;AS$9:AS$198))=LOOKUP(ROW(AS93),FILTER(ROW(AS$10:AS$199),AS$10:AS$199&lt;&gt;AS$9:AS$198)))),AZ93,)"),"")</f>
        <v/>
      </c>
      <c s="42"/>
      <c s="63"/>
      <c s="64" t="str">
        <f t="shared" si="19"/>
        <v/>
      </c>
      <c s="65" t="str">
        <f>IFERROR(__xludf.DUMMYFUNCTION("""COMPUTED_VALUE"""),"")</f>
        <v/>
      </c>
      <c s="66">
        <f ca="1"/>
        <v>45236</v>
      </c>
      <c s="93" t="str">
        <f t="shared" si="20"/>
        <v/>
      </c>
      <c s="94" t="str">
        <f t="shared" si="425"/>
        <v/>
      </c>
      <c s="95" t="str">
        <f t="shared" si="411"/>
        <v/>
      </c>
      <c s="98" t="str">
        <f t="shared" si="412"/>
        <v/>
      </c>
      <c s="97" t="str">
        <f t="array" ref="BM93">IFERROR(IF(BG93="ac"+ISNUMBER(SEARCH("'",BL93))+BK93="","",IF(ISNUMBER(SEARCH("lw",BL93)),AY93+SUBSTITUTE(BL93,"lw+",""),MROUND(_xlfn.SWITCH(BG93,"sq",BK$7,"bn",BL$7,"dl",BM$7,"")*IF(BL93&gt;10,BL93/100,VLOOKUP(BL93,_rpe,SUBSTITUTE(BK93,"+","")+1,0)),IF(_xlfn.SWITCH(BG93,"sq",BK$7,"bn",BL$7,"dl",BM$7,"")&lt;IF(_uom="lbs",175,80),1.25,IF(_uom="lbs",5,2.5))))),"")</f>
        <v/>
      </c>
      <c s="70"/>
      <c s="63"/>
      <c s="97"/>
      <c s="44" t="str">
        <f>IFERROR(__xludf.DUMMYFUNCTION("IF(BM93=MAX(FILTER(BM$10:BM$199,LOOKUP(ROW(BG$10:BG$199),FILTER(ROW(BG$10:BG$199),BG$10:BG$199&lt;&gt;BG$9:BG$198))=LOOKUP(ROW(BG93),FILTER(ROW(BG$10:BG$199),BG$10:BG$199&lt;&gt;BG$9:BG$198)))),BN93,)"),"")</f>
        <v/>
      </c>
      <c s="42"/>
      <c s="63"/>
      <c s="64" t="str">
        <f t="shared" si="21"/>
        <v/>
      </c>
      <c s="65" t="str">
        <f>IFERROR(__xludf.DUMMYFUNCTION("""COMPUTED_VALUE"""),"")</f>
        <v/>
      </c>
      <c s="66">
        <f ca="1"/>
        <v>45243</v>
      </c>
      <c s="93" t="str">
        <f t="shared" si="22"/>
        <v/>
      </c>
      <c s="94" t="str">
        <f t="shared" si="426"/>
        <v/>
      </c>
      <c s="95" t="str">
        <f t="shared" si="414"/>
        <v/>
      </c>
      <c s="98" t="str">
        <f t="shared" si="415"/>
        <v/>
      </c>
      <c s="97" t="str">
        <f t="array" ref="CA93">IFERROR(IF(BU93="ac"+ISNUMBER(SEARCH("'",BZ93))+BY93="","",IF(ISNUMBER(SEARCH("lw",BZ93)),BM93+SUBSTITUTE(BZ93,"lw+",""),MROUND(_xlfn.SWITCH(BU93,"sq",BY$7,"bn",BZ$7,"dl",CA$7,"")*IF(BZ93&gt;10,BZ93/100,VLOOKUP(BZ93,_rpe,SUBSTITUTE(BY93,"+","")+1,0)),IF(_xlfn.SWITCH(BU93,"sq",BY$7,"bn",BZ$7,"dl",CA$7,"")&lt;IF(_uom="lbs",175,80),1.25,IF(_uom="lbs",5,2.5))))),"")</f>
        <v/>
      </c>
      <c s="70"/>
      <c s="63"/>
      <c s="97"/>
      <c s="44" t="str">
        <f>IFERROR(__xludf.DUMMYFUNCTION("IF(CA93=MAX(FILTER(CA$10:CA$199,LOOKUP(ROW(BU$10:BU$199),FILTER(ROW(BU$10:BU$199),BU$10:BU$199&lt;&gt;BU$9:BU$198))=LOOKUP(ROW(BU93),FILTER(ROW(BU$10:BU$199),BU$10:BU$199&lt;&gt;BU$9:BU$198)))),CB93,)"),"")</f>
        <v/>
      </c>
      <c s="42"/>
      <c s="63"/>
      <c s="64" t="str">
        <f t="shared" si="24"/>
        <v/>
      </c>
      <c s="65" t="str">
        <f>IFERROR(__xludf.DUMMYFUNCTION("""COMPUTED_VALUE"""),"")</f>
        <v/>
      </c>
      <c s="66">
        <f ca="1"/>
        <v>45250</v>
      </c>
      <c s="93" t="str">
        <f t="shared" si="44"/>
        <v/>
      </c>
      <c s="94" t="str">
        <f t="shared" si="392"/>
        <v/>
      </c>
      <c s="95" t="str">
        <f t="shared" si="416"/>
        <v/>
      </c>
      <c s="98" t="str">
        <f t="shared" si="417"/>
        <v/>
      </c>
      <c s="97" t="str">
        <f t="array" ref="CO93">IFERROR(IF(CI93="ac"+ISNUMBER(SEARCH("'",CN93))+CM93="","",IF(ISNUMBER(SEARCH("lw",CN93)),CA93+SUBSTITUTE(CN93,"lw+",""),MROUND(_xlfn.SWITCH(CI93,"sq",CM$7,"bn",CN$7,"dl",CO$7,"")*IF(CN93&gt;10,CN93/100,VLOOKUP(CN93,_rpe,SUBSTITUTE(CM93,"+","")+1,0)),IF(_xlfn.SWITCH(CI93,"sq",CM$7,"bn",CN$7,"dl",CO$7,"")&lt;IF(_uom="lbs",175,80),1.25,IF(_uom="lbs",5,2.5))))),"")</f>
        <v/>
      </c>
      <c s="70"/>
      <c s="63"/>
      <c s="97"/>
      <c s="44" t="str">
        <f>IFERROR(__xludf.DUMMYFUNCTION("IF(CO93=MAX(FILTER(CO$10:CO$199,LOOKUP(ROW(CI$10:CI$199),FILTER(ROW(CI$10:CI$199),CI$10:CI$199&lt;&gt;CI$9:CI$198))=LOOKUP(ROW(CI93),FILTER(ROW(CI$10:CI$199),CI$10:CI$199&lt;&gt;CI$9:CI$198)))),CP93,)"),"")</f>
        <v/>
      </c>
      <c s="42"/>
      <c s="63"/>
      <c s="64" t="str">
        <f t="shared" si="27"/>
        <v/>
      </c>
      <c s="65" t="str">
        <f>IFERROR(__xludf.DUMMYFUNCTION("""COMPUTED_VALUE"""),"")</f>
        <v/>
      </c>
      <c s="66">
        <f ca="1"/>
        <v>45257</v>
      </c>
      <c s="93" t="str">
        <f t="shared" si="45"/>
        <v/>
      </c>
      <c s="94" t="str">
        <f t="shared" si="393"/>
        <v/>
      </c>
      <c s="95" t="str">
        <f t="shared" si="418"/>
        <v/>
      </c>
      <c s="98" t="str">
        <f t="shared" si="401"/>
        <v/>
      </c>
      <c s="97" t="str">
        <f t="array" ref="DC93">IFERROR(IF(CW93="ac"+ISNUMBER(SEARCH("'",DB93))+DA93="","",IF(ISNUMBER(SEARCH("lw",DB93)),CO93+SUBSTITUTE(DB93,"lw+",""),MROUND(_xlfn.SWITCH(CW93,"sq",DA$7,"bn",DB$7,"dl",DC$7,"")*IF(DB93&gt;10,DB93/100,VLOOKUP(DB93,_rpe,SUBSTITUTE(DA93,"+","")+1,0)),IF(_xlfn.SWITCH(CW93,"sq",DA$7,"bn",DB$7,"dl",DC$7,"")&lt;IF(_uom="lbs",175,80),1.25,IF(_uom="lbs",5,2.5))))),"")</f>
        <v/>
      </c>
      <c s="70"/>
      <c s="63"/>
      <c s="97"/>
      <c s="44" t="str">
        <f>IFERROR(__xludf.DUMMYFUNCTION("IF(DC93=MAX(FILTER(DC$10:DC$199,LOOKUP(ROW(CW$10:CW$199),FILTER(ROW(CW$10:CW$199),CW$10:CW$199&lt;&gt;CW$9:CW$198))=LOOKUP(ROW(CW93),FILTER(ROW(CW$10:CW$199),CW$10:CW$199&lt;&gt;CW$9:CW$198)))),DD93,)"),"")</f>
        <v/>
      </c>
      <c s="42"/>
      <c s="63"/>
      <c s="64" t="str">
        <f t="shared" si="30"/>
        <v/>
      </c>
      <c s="65" t="str">
        <f>IFERROR(__xludf.DUMMYFUNCTION("""COMPUTED_VALUE"""),"")</f>
        <v/>
      </c>
      <c s="66">
        <f ca="1"/>
        <v>45264</v>
      </c>
      <c s="93" t="str">
        <f t="shared" si="46"/>
        <v/>
      </c>
      <c s="94" t="str">
        <f t="shared" si="394"/>
        <v/>
      </c>
      <c s="95" t="str">
        <f t="shared" si="419"/>
        <v/>
      </c>
      <c s="98" t="str">
        <f t="shared" si="420"/>
        <v/>
      </c>
      <c s="97" t="str">
        <f t="array" ref="DQ93">IFERROR(IF(DK93="ac"+ISNUMBER(SEARCH("'",DP93))+DO93="","",IF(ISNUMBER(SEARCH("lw",DP93)),DC93+SUBSTITUTE(DP93,"lw+",""),MROUND(_xlfn.SWITCH(DK93,"sq",DO$7,"bn",DP$7,"dl",DQ$7,"")*IF(DP93&gt;10,DP93/100,VLOOKUP(DP93,_rpe,SUBSTITUTE(DO93,"+","")+1,0)),IF(_xlfn.SWITCH(DK93,"sq",DO$7,"bn",DP$7,"dl",DQ$7,"")&lt;IF(_uom="lbs",175,80),1.25,IF(_uom="lbs",5,2.5))))),"")</f>
        <v/>
      </c>
      <c s="70"/>
      <c s="63"/>
      <c s="97"/>
      <c s="44" t="str">
        <f>IFERROR(__xludf.DUMMYFUNCTION("IF(DQ93=MAX(FILTER(DQ$10:DQ$199,LOOKUP(ROW(DK$10:DK$199),FILTER(ROW(DK$10:DK$199),DK$10:DK$199&lt;&gt;DK$9:DK$198))=LOOKUP(ROW(DK93),FILTER(ROW(DK$10:DK$199),DK$10:DK$199&lt;&gt;DK$9:DK$198)))),DR93,)"),"")</f>
        <v/>
      </c>
      <c s="42"/>
      <c s="63"/>
      <c s="64" t="str">
        <f t="shared" si="32"/>
        <v/>
      </c>
      <c s="65" t="str">
        <f>IFERROR(__xludf.DUMMYFUNCTION("""COMPUTED_VALUE"""),"")</f>
        <v/>
      </c>
      <c s="66">
        <f ca="1"/>
        <v>45271</v>
      </c>
      <c s="93" t="str">
        <f t="shared" si="47"/>
        <v/>
      </c>
      <c s="94" t="str">
        <f t="shared" si="405"/>
        <v/>
      </c>
      <c s="95" t="str">
        <f t="shared" si="421"/>
        <v/>
      </c>
      <c s="98" t="str">
        <f t="shared" si="422"/>
        <v/>
      </c>
      <c s="97" t="str">
        <f t="array" ref="EE93">IFERROR(IF(DY93="ac"+ISNUMBER(SEARCH("'",ED93))+EC93="","",IF(ISNUMBER(SEARCH("lw",ED93)),DQ93+SUBSTITUTE(ED93,"lw+",""),MROUND(_xlfn.SWITCH(DY93,"sq",EC$7,"bn",ED$7,"dl",EE$7,"")*IF(ED93&gt;10,ED93/100,VLOOKUP(ED93,_rpe,SUBSTITUTE(EC93,"+","")+1,0)),IF(_xlfn.SWITCH(DY93,"sq",EC$7,"bn",ED$7,"dl",EE$7,"")&lt;IF(_uom="lbs",175,80),1.25,IF(_uom="lbs",5,2.5))))),"")</f>
        <v/>
      </c>
      <c s="70"/>
      <c s="63"/>
      <c s="97"/>
      <c s="44" t="str">
        <f>IFERROR(__xludf.DUMMYFUNCTION("IF(EE93=MAX(FILTER(EE$10:EE$199,LOOKUP(ROW(DY$10:DY$199),FILTER(ROW(DY$10:DY$199),DY$10:DY$199&lt;&gt;DY$9:DY$198))=LOOKUP(ROW(DY93),FILTER(ROW(DY$10:DY$199),DY$10:DY$199&lt;&gt;DY$9:DY$198)))),EF93,)"),"")</f>
        <v/>
      </c>
      <c s="42"/>
      <c s="63"/>
      <c s="64" t="str">
        <f t="shared" si="34"/>
        <v/>
      </c>
      <c s="65" t="str">
        <f>IFERROR(__xludf.DUMMYFUNCTION("""COMPUTED_VALUE"""),"")</f>
        <v/>
      </c>
      <c s="66">
        <f ca="1"/>
        <v>45278</v>
      </c>
      <c s="93" t="str">
        <f t="shared" si="48"/>
        <v/>
      </c>
      <c s="94" t="str">
        <f t="shared" si="395"/>
        <v/>
      </c>
      <c s="95" t="str">
        <f t="shared" si="423"/>
        <v/>
      </c>
      <c s="98" t="str">
        <f t="shared" si="402"/>
        <v/>
      </c>
      <c s="97" t="str">
        <f t="array" ref="ES93">IFERROR(IF(EM93="ac"+ISNUMBER(SEARCH("'",ER93))+EQ93="","",IF(ISNUMBER(SEARCH("lw",ER93)),EE93+SUBSTITUTE(ER93,"lw+",""),MROUND(_xlfn.SWITCH(EM93,"sq",EQ$7,"bn",ER$7,"dl",ES$7,"")*IF(ER93&gt;10,ER93/100,VLOOKUP(ER93,_rpe,SUBSTITUTE(EQ93,"+","")+1,0)),IF(_xlfn.SWITCH(EM93,"sq",EQ$7,"bn",ER$7,"dl",ES$7,"")&lt;IF(_uom="lbs",175,80),1.25,IF(_uom="lbs",5,2.5))))),"")</f>
        <v/>
      </c>
      <c s="70"/>
      <c s="63"/>
      <c s="97"/>
      <c s="44" t="str">
        <f>IFERROR(__xludf.DUMMYFUNCTION("IF(ES93=MAX(FILTER(ES$10:ES$199,LOOKUP(ROW(EM$10:EM$199),FILTER(ROW(EM$10:EM$199),EM$10:EM$199&lt;&gt;EM$9:EM$198))=LOOKUP(ROW(EM93),FILTER(ROW(EM$10:EM$199),EM$10:EM$199&lt;&gt;EM$9:EM$198)))),ET93,)"),"")</f>
        <v/>
      </c>
      <c s="42"/>
      <c s="63"/>
      <c s="64" t="str">
        <f t="shared" si="36"/>
        <v/>
      </c>
      <c s="65" t="str">
        <f>IFERROR(__xludf.DUMMYFUNCTION("""COMPUTED_VALUE"""),"")</f>
        <v/>
      </c>
      <c s="66">
        <f ca="1"/>
        <v>45285</v>
      </c>
      <c s="93" t="str">
        <f t="shared" si="49"/>
        <v/>
      </c>
      <c s="94" t="str">
        <f t="shared" si="396"/>
        <v/>
      </c>
      <c s="95" t="str">
        <f t="shared" si="424"/>
        <v/>
      </c>
      <c s="98" t="str">
        <f t="shared" si="403"/>
        <v/>
      </c>
      <c s="97" t="str">
        <f t="array" ref="FG93">IFERROR(IF(FA93="ac"+ISNUMBER(SEARCH("'",FF93))+FE93="","",IF(ISNUMBER(SEARCH("lw",FF93)),ES93+SUBSTITUTE(FF93,"lw+",""),MROUND(_xlfn.SWITCH(FA93,"sq",FE$7,"bn",FF$7,"dl",FG$7,"")*IF(FF93&gt;10,FF93/100,VLOOKUP(FF93,_rpe,SUBSTITUTE(FE93,"+","")+1,0)),IF(_xlfn.SWITCH(FA93,"sq",FE$7,"bn",FF$7,"dl",FG$7,"")&lt;IF(_uom="lbs",175,80),1.25,IF(_uom="lbs",5,2.5))))),"")</f>
        <v/>
      </c>
      <c s="70"/>
      <c s="63"/>
      <c s="97"/>
      <c s="44" t="str">
        <f>IFERROR(__xludf.DUMMYFUNCTION("IF(FG93=MAX(FILTER(FG$10:FG$199,LOOKUP(ROW(FA$10:FA$199),FILTER(ROW(FA$10:FA$199),FA$10:FA$199&lt;&gt;FA$9:FA$198))=LOOKUP(ROW(FA93),FILTER(ROW(FA$10:FA$199),FA$10:FA$199&lt;&gt;FA$9:FA$198)))),FH93,)"),"")</f>
        <v/>
      </c>
      <c s="42"/>
      <c s="63"/>
      <c s="64" t="str">
        <f t="shared" si="38"/>
        <v/>
      </c>
      <c s="65" t="str">
        <f>IFERROR(__xludf.DUMMYFUNCTION("""COMPUTED_VALUE"""),"")</f>
        <v/>
      </c>
      <c s="66">
        <f ca="1"/>
        <v>45292</v>
      </c>
      <c s="93" t="str">
        <f t="shared" si="437" ref="FQ93:FR93">IF(ISBLANK(FC93),"",FC93)</f>
        <v/>
      </c>
      <c s="94" t="str">
        <f t="shared" si="437"/>
        <v/>
      </c>
      <c s="95" t="str">
        <f t="shared" si="428"/>
        <v/>
      </c>
      <c s="98" t="str">
        <f t="shared" si="429"/>
        <v/>
      </c>
      <c s="97" t="str">
        <f t="array" ref="FU93">IFERROR(IF(FO93="ac"+ISNUMBER(SEARCH("'",FT93))+FS93="","",IF(ISNUMBER(SEARCH("lw",FT93)),FG93+SUBSTITUTE(FT93,"lw+",""),MROUND(_xlfn.SWITCH(FO93,"sq",FS$7,"bn",FT$7,"dl",FU$7,"")*IF(FT93&gt;10,FT93/100,VLOOKUP(FT93,_rpe,SUBSTITUTE(FS93,"+","")+1,0)),IF(_xlfn.SWITCH(FO93,"sq",FS$7,"bn",FT$7,"dl",FU$7,"")&lt;IF(_uom="lbs",175,80),1.25,IF(_uom="lbs",5,2.5))))),"")</f>
        <v/>
      </c>
      <c s="70"/>
      <c s="63"/>
      <c s="97"/>
      <c s="44" t="str">
        <f>IFERROR(__xludf.DUMMYFUNCTION("IF(FU93=MAX(FILTER(FU$10:FU$199,LOOKUP(ROW(FO$10:FO$199),FILTER(ROW(FO$10:FO$199),FO$10:FO$199&lt;&gt;FO$9:FO$198))=LOOKUP(ROW(FO93),FILTER(ROW(FO$10:FO$199),FO$10:FO$199&lt;&gt;FO$9:FO$198)))),FV93,)"),"")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94" spans="1:259" ht="15.75">
      <c r="A94" s="63"/>
      <c s="107"/>
      <c s="65" t="str">
        <f>IFERROR(__xludf.DUMMYFUNCTION("""COMPUTED_VALUE"""),"")</f>
        <v/>
      </c>
      <c s="66">
        <f ca="1"/>
        <v>45208</v>
      </c>
      <c s="93"/>
      <c s="94"/>
      <c s="95"/>
      <c s="96"/>
      <c s="97" t="str">
        <f t="array" ref="I94">IFERROR(IF(C94="ac"+ISNUMBER(SEARCH("'",H94))+G94="","",MROUND(_xlfn.SWITCH(C94,"sq",'Personal Info'!$O$15,"bn",'Personal Info'!$S$15,"dl",'Personal Info'!$W$15,"")*IF(H94&gt;10,H94/100,VLOOKUP(H94,_rpe,SUBSTITUTE(G94,"+","")+1,0)),IF(_xlfn.SWITCH(C94:C210,"sq",'Personal Info'!$O$15,"bn",'Personal Info'!$S$15,"dl",'Personal Info'!$W$15,"")&lt;IF(_uom="lbs",175,80),1.25,IF(_uom="lbs",5,2.5)))),"")</f>
        <v/>
      </c>
      <c s="70"/>
      <c s="63"/>
      <c s="97"/>
      <c s="44" t="str">
        <f>IFERROR(__xludf.DUMMYFUNCTION("IF(I94=MAX(FILTER(I$10:I$199,LOOKUP(ROW(C$10:C$199),FILTER(ROW(C$10:C$199),C$10:C$199&lt;&gt;C$9:C$198))=LOOKUP(ROW(C94),FILTER(ROW(C$10:C$199),C$10:C$199&lt;&gt;C$9:C$198)))),J94,)"),"")</f>
        <v/>
      </c>
      <c s="42"/>
      <c s="63"/>
      <c s="64" t="str">
        <f t="shared" si="11"/>
        <v/>
      </c>
      <c s="65" t="str">
        <f>IFERROR(__xludf.DUMMYFUNCTION("""COMPUTED_VALUE"""),"")</f>
        <v/>
      </c>
      <c s="66">
        <f ca="1"/>
        <v>45215</v>
      </c>
      <c s="93" t="str">
        <f t="shared" si="12"/>
        <v/>
      </c>
      <c s="94" t="str">
        <f t="shared" si="404"/>
        <v/>
      </c>
      <c s="95" t="str">
        <f t="shared" si="406"/>
        <v/>
      </c>
      <c s="98" t="str">
        <f t="shared" si="407"/>
        <v/>
      </c>
      <c s="97" t="str">
        <f t="array" ref="W94">IFERROR(IF(Q94="ac"+ISNUMBER(SEARCH("'",V94))+U94="","",IF(ISNUMBER(SEARCH("lw",V94)),I94+SUBSTITUTE(V94,"lw+",""),MROUND(_xlfn.SWITCH(Q94,"sq",U$7,"bn",V$7,"dl",W$7,"")*IF(V94&gt;10,V94/100,VLOOKUP(V94,_rpe,SUBSTITUTE(U94,"+","")+1,0)),IF(_xlfn.SWITCH(Q94,"sq",U$7,"bn",V$7,"dl",W$7,"")&lt;IF(_uom="lbs",175,80),1.25,IF(_uom="lbs",5,2.5))))),"")</f>
        <v/>
      </c>
      <c s="70"/>
      <c s="63"/>
      <c s="97"/>
      <c s="44" t="str">
        <f>IFERROR(__xludf.DUMMYFUNCTION("IF(W94=MAX(FILTER(W$10:W$199,LOOKUP(ROW(Q$10:Q$199),FILTER(ROW(Q$10:Q$199),Q$10:Q$199&lt;&gt;Q$9:Q$198))=LOOKUP(ROW(Q94),FILTER(ROW(Q$10:Q$199),Q$10:Q$199&lt;&gt;Q$9:Q$198)))),X94,)"),"")</f>
        <v/>
      </c>
      <c s="42"/>
      <c s="63"/>
      <c s="64" t="str">
        <f t="shared" si="14"/>
        <v/>
      </c>
      <c s="65" t="str">
        <f>IFERROR(__xludf.DUMMYFUNCTION("""COMPUTED_VALUE"""),"")</f>
        <v/>
      </c>
      <c s="66">
        <f ca="1"/>
        <v>45222</v>
      </c>
      <c s="93" t="str">
        <f t="shared" si="156"/>
        <v/>
      </c>
      <c s="94" t="str">
        <f t="shared" si="397"/>
        <v/>
      </c>
      <c s="95" t="str">
        <f t="shared" si="408"/>
        <v/>
      </c>
      <c s="98" t="str">
        <f t="shared" si="398"/>
        <v/>
      </c>
      <c s="97" t="str">
        <f t="array" ref="AK94">IFERROR(IF(AE94="ac"+ISNUMBER(SEARCH("'",AJ94))+AI94="","",IF(ISNUMBER(SEARCH("lw",AJ94)),W94+SUBSTITUTE(AJ94,"lw+",""),MROUND(_xlfn.SWITCH(AE94,"sq",AI$7,"bn",AJ$7,"dl",AK$7,"")*IF(AJ94&gt;10,AJ94/100,VLOOKUP(AJ94,_rpe,SUBSTITUTE(AI94,"+","")+1,0)),IF(_xlfn.SWITCH(AE94,"sq",AI$7,"bn",AJ$7,"dl",AK$7,"")&lt;IF(_uom="lbs",175,80),1.25,IF(_uom="lbs",5,2.5))))),"")</f>
        <v/>
      </c>
      <c s="70"/>
      <c s="63"/>
      <c s="97"/>
      <c s="44" t="str">
        <f>IFERROR(__xludf.DUMMYFUNCTION("IF(AK94=MAX(FILTER(AK$10:AK$199,LOOKUP(ROW(AE$10:AE$199),FILTER(ROW(AE$10:AE$199),AE$10:AE$199&lt;&gt;AE$9:AE$198))=LOOKUP(ROW(AE94),FILTER(ROW(AE$10:AE$199),AE$10:AE$199&lt;&gt;AE$9:AE$198)))),AL94,)"),"")</f>
        <v/>
      </c>
      <c s="42"/>
      <c s="63"/>
      <c s="64" t="str">
        <f t="shared" si="17"/>
        <v/>
      </c>
      <c s="65" t="str">
        <f>IFERROR(__xludf.DUMMYFUNCTION("""COMPUTED_VALUE"""),"")</f>
        <v/>
      </c>
      <c s="66">
        <f ca="1"/>
        <v>45229</v>
      </c>
      <c s="93" t="str">
        <f t="shared" si="157"/>
        <v/>
      </c>
      <c s="94" t="str">
        <f t="shared" si="399"/>
        <v/>
      </c>
      <c s="95" t="str">
        <f t="shared" si="409"/>
        <v/>
      </c>
      <c s="98" t="str">
        <f t="shared" si="400"/>
        <v/>
      </c>
      <c s="97" t="str">
        <f t="array" ref="AY94">IFERROR(IF(AS94="ac"+ISNUMBER(SEARCH("'",AX94))+AW94="","",IF(ISNUMBER(SEARCH("lw",AX94)),AK94+SUBSTITUTE(AX94,"lw+",""),MROUND(_xlfn.SWITCH(AS94,"sq",AW$7,"bn",AX$7,"dl",AY$7,"")*IF(AX94&gt;10,AX94/100,VLOOKUP(AX94,_rpe,SUBSTITUTE(AW94,"+","")+1,0)),IF(_xlfn.SWITCH(AS94,"sq",AW$7,"bn",AX$7,"dl",AY$7,"")&lt;IF(_uom="lbs",175,80),1.25,IF(_uom="lbs",5,2.5))))),"")</f>
        <v/>
      </c>
      <c s="70"/>
      <c s="63"/>
      <c s="97"/>
      <c s="44" t="str">
        <f>IFERROR(__xludf.DUMMYFUNCTION("IF(AY94=MAX(FILTER(AY$10:AY$199,LOOKUP(ROW(AS$10:AS$199),FILTER(ROW(AS$10:AS$199),AS$10:AS$199&lt;&gt;AS$9:AS$198))=LOOKUP(ROW(AS94),FILTER(ROW(AS$10:AS$199),AS$10:AS$199&lt;&gt;AS$9:AS$198)))),AZ94,)"),"")</f>
        <v/>
      </c>
      <c s="42"/>
      <c s="63"/>
      <c s="64" t="str">
        <f t="shared" si="19"/>
        <v/>
      </c>
      <c s="65" t="str">
        <f>IFERROR(__xludf.DUMMYFUNCTION("""COMPUTED_VALUE"""),"")</f>
        <v/>
      </c>
      <c s="66">
        <f ca="1"/>
        <v>45236</v>
      </c>
      <c s="93" t="str">
        <f t="shared" si="20"/>
        <v/>
      </c>
      <c s="94" t="str">
        <f t="shared" si="425"/>
        <v/>
      </c>
      <c s="95" t="str">
        <f t="shared" si="411"/>
        <v/>
      </c>
      <c s="98" t="str">
        <f t="shared" si="412"/>
        <v/>
      </c>
      <c s="97" t="str">
        <f t="array" ref="BM94">IFERROR(IF(BG94="ac"+ISNUMBER(SEARCH("'",BL94))+BK94="","",IF(ISNUMBER(SEARCH("lw",BL94)),AY94+SUBSTITUTE(BL94,"lw+",""),MROUND(_xlfn.SWITCH(BG94,"sq",BK$7,"bn",BL$7,"dl",BM$7,"")*IF(BL94&gt;10,BL94/100,VLOOKUP(BL94,_rpe,SUBSTITUTE(BK94,"+","")+1,0)),IF(_xlfn.SWITCH(BG94,"sq",BK$7,"bn",BL$7,"dl",BM$7,"")&lt;IF(_uom="lbs",175,80),1.25,IF(_uom="lbs",5,2.5))))),"")</f>
        <v/>
      </c>
      <c s="70"/>
      <c s="63"/>
      <c s="97"/>
      <c s="44" t="str">
        <f>IFERROR(__xludf.DUMMYFUNCTION("IF(BM94=MAX(FILTER(BM$10:BM$199,LOOKUP(ROW(BG$10:BG$199),FILTER(ROW(BG$10:BG$199),BG$10:BG$199&lt;&gt;BG$9:BG$198))=LOOKUP(ROW(BG94),FILTER(ROW(BG$10:BG$199),BG$10:BG$199&lt;&gt;BG$9:BG$198)))),BN94,)"),"")</f>
        <v/>
      </c>
      <c s="42"/>
      <c s="63"/>
      <c s="64" t="str">
        <f t="shared" si="21"/>
        <v/>
      </c>
      <c s="65" t="str">
        <f>IFERROR(__xludf.DUMMYFUNCTION("""COMPUTED_VALUE"""),"")</f>
        <v/>
      </c>
      <c s="66">
        <f ca="1"/>
        <v>45243</v>
      </c>
      <c s="93" t="str">
        <f t="shared" si="22"/>
        <v/>
      </c>
      <c s="94" t="str">
        <f t="shared" si="426"/>
        <v/>
      </c>
      <c s="95" t="str">
        <f t="shared" si="414"/>
        <v/>
      </c>
      <c s="98" t="str">
        <f t="shared" si="415"/>
        <v/>
      </c>
      <c s="97" t="str">
        <f t="array" ref="CA94">IFERROR(IF(BU94="ac"+ISNUMBER(SEARCH("'",BZ94))+BY94="","",IF(ISNUMBER(SEARCH("lw",BZ94)),BM94+SUBSTITUTE(BZ94,"lw+",""),MROUND(_xlfn.SWITCH(BU94,"sq",BY$7,"bn",BZ$7,"dl",CA$7,"")*IF(BZ94&gt;10,BZ94/100,VLOOKUP(BZ94,_rpe,SUBSTITUTE(BY94,"+","")+1,0)),IF(_xlfn.SWITCH(BU94,"sq",BY$7,"bn",BZ$7,"dl",CA$7,"")&lt;IF(_uom="lbs",175,80),1.25,IF(_uom="lbs",5,2.5))))),"")</f>
        <v/>
      </c>
      <c s="70"/>
      <c s="63"/>
      <c s="97"/>
      <c s="44" t="str">
        <f>IFERROR(__xludf.DUMMYFUNCTION("IF(CA94=MAX(FILTER(CA$10:CA$199,LOOKUP(ROW(BU$10:BU$199),FILTER(ROW(BU$10:BU$199),BU$10:BU$199&lt;&gt;BU$9:BU$198))=LOOKUP(ROW(BU94),FILTER(ROW(BU$10:BU$199),BU$10:BU$199&lt;&gt;BU$9:BU$198)))),CB94,)"),"")</f>
        <v/>
      </c>
      <c s="42"/>
      <c s="63"/>
      <c s="64" t="str">
        <f t="shared" si="24"/>
        <v/>
      </c>
      <c s="65" t="str">
        <f>IFERROR(__xludf.DUMMYFUNCTION("""COMPUTED_VALUE"""),"")</f>
        <v/>
      </c>
      <c s="66">
        <f ca="1"/>
        <v>45250</v>
      </c>
      <c s="93" t="str">
        <f t="shared" si="44"/>
        <v/>
      </c>
      <c s="94" t="str">
        <f t="shared" si="392"/>
        <v/>
      </c>
      <c s="95" t="str">
        <f t="shared" si="416"/>
        <v/>
      </c>
      <c s="98" t="str">
        <f t="shared" si="417"/>
        <v/>
      </c>
      <c s="97" t="str">
        <f t="array" ref="CO94">IFERROR(IF(CI94="ac"+ISNUMBER(SEARCH("'",CN94))+CM94="","",IF(ISNUMBER(SEARCH("lw",CN94)),CA94+SUBSTITUTE(CN94,"lw+",""),MROUND(_xlfn.SWITCH(CI94,"sq",CM$7,"bn",CN$7,"dl",CO$7,"")*IF(CN94&gt;10,CN94/100,VLOOKUP(CN94,_rpe,SUBSTITUTE(CM94,"+","")+1,0)),IF(_xlfn.SWITCH(CI94,"sq",CM$7,"bn",CN$7,"dl",CO$7,"")&lt;IF(_uom="lbs",175,80),1.25,IF(_uom="lbs",5,2.5))))),"")</f>
        <v/>
      </c>
      <c s="70"/>
      <c s="63"/>
      <c s="97"/>
      <c s="44" t="str">
        <f>IFERROR(__xludf.DUMMYFUNCTION("IF(CO94=MAX(FILTER(CO$10:CO$199,LOOKUP(ROW(CI$10:CI$199),FILTER(ROW(CI$10:CI$199),CI$10:CI$199&lt;&gt;CI$9:CI$198))=LOOKUP(ROW(CI94),FILTER(ROW(CI$10:CI$199),CI$10:CI$199&lt;&gt;CI$9:CI$198)))),CP94,)"),"")</f>
        <v/>
      </c>
      <c s="42"/>
      <c s="63"/>
      <c s="64" t="str">
        <f t="shared" si="27"/>
        <v/>
      </c>
      <c s="65" t="str">
        <f>IFERROR(__xludf.DUMMYFUNCTION("""COMPUTED_VALUE"""),"")</f>
        <v/>
      </c>
      <c s="66">
        <f ca="1"/>
        <v>45257</v>
      </c>
      <c s="93" t="str">
        <f t="shared" si="45"/>
        <v/>
      </c>
      <c s="94" t="str">
        <f t="shared" si="393"/>
        <v/>
      </c>
      <c s="95" t="str">
        <f t="shared" si="418"/>
        <v/>
      </c>
      <c s="98" t="str">
        <f t="shared" si="401"/>
        <v/>
      </c>
      <c s="97" t="str">
        <f t="array" ref="DC94">IFERROR(IF(CW94="ac"+ISNUMBER(SEARCH("'",DB94))+DA94="","",IF(ISNUMBER(SEARCH("lw",DB94)),CO94+SUBSTITUTE(DB94,"lw+",""),MROUND(_xlfn.SWITCH(CW94,"sq",DA$7,"bn",DB$7,"dl",DC$7,"")*IF(DB94&gt;10,DB94/100,VLOOKUP(DB94,_rpe,SUBSTITUTE(DA94,"+","")+1,0)),IF(_xlfn.SWITCH(CW94,"sq",DA$7,"bn",DB$7,"dl",DC$7,"")&lt;IF(_uom="lbs",175,80),1.25,IF(_uom="lbs",5,2.5))))),"")</f>
        <v/>
      </c>
      <c s="70"/>
      <c s="63"/>
      <c s="97"/>
      <c s="44" t="str">
        <f>IFERROR(__xludf.DUMMYFUNCTION("IF(DC94=MAX(FILTER(DC$10:DC$199,LOOKUP(ROW(CW$10:CW$199),FILTER(ROW(CW$10:CW$199),CW$10:CW$199&lt;&gt;CW$9:CW$198))=LOOKUP(ROW(CW94),FILTER(ROW(CW$10:CW$199),CW$10:CW$199&lt;&gt;CW$9:CW$198)))),DD94,)"),"")</f>
        <v/>
      </c>
      <c s="42"/>
      <c s="63"/>
      <c s="64" t="str">
        <f t="shared" si="30"/>
        <v/>
      </c>
      <c s="65" t="str">
        <f>IFERROR(__xludf.DUMMYFUNCTION("""COMPUTED_VALUE"""),"")</f>
        <v/>
      </c>
      <c s="66">
        <f ca="1"/>
        <v>45264</v>
      </c>
      <c s="93" t="str">
        <f t="shared" si="46"/>
        <v/>
      </c>
      <c s="94" t="str">
        <f t="shared" si="394"/>
        <v/>
      </c>
      <c s="95" t="str">
        <f t="shared" si="419"/>
        <v/>
      </c>
      <c s="98" t="str">
        <f t="shared" si="420"/>
        <v/>
      </c>
      <c s="97" t="str">
        <f t="array" ref="DQ94">IFERROR(IF(DK94="ac"+ISNUMBER(SEARCH("'",DP94))+DO94="","",IF(ISNUMBER(SEARCH("lw",DP94)),DC94+SUBSTITUTE(DP94,"lw+",""),MROUND(_xlfn.SWITCH(DK94,"sq",DO$7,"bn",DP$7,"dl",DQ$7,"")*IF(DP94&gt;10,DP94/100,VLOOKUP(DP94,_rpe,SUBSTITUTE(DO94,"+","")+1,0)),IF(_xlfn.SWITCH(DK94,"sq",DO$7,"bn",DP$7,"dl",DQ$7,"")&lt;IF(_uom="lbs",175,80),1.25,IF(_uom="lbs",5,2.5))))),"")</f>
        <v/>
      </c>
      <c s="70"/>
      <c s="63"/>
      <c s="97"/>
      <c s="44" t="str">
        <f>IFERROR(__xludf.DUMMYFUNCTION("IF(DQ94=MAX(FILTER(DQ$10:DQ$199,LOOKUP(ROW(DK$10:DK$199),FILTER(ROW(DK$10:DK$199),DK$10:DK$199&lt;&gt;DK$9:DK$198))=LOOKUP(ROW(DK94),FILTER(ROW(DK$10:DK$199),DK$10:DK$199&lt;&gt;DK$9:DK$198)))),DR94,)"),"")</f>
        <v/>
      </c>
      <c s="42"/>
      <c s="63"/>
      <c s="64" t="str">
        <f t="shared" si="32"/>
        <v/>
      </c>
      <c s="65" t="str">
        <f>IFERROR(__xludf.DUMMYFUNCTION("""COMPUTED_VALUE"""),"")</f>
        <v/>
      </c>
      <c s="66">
        <f ca="1"/>
        <v>45271</v>
      </c>
      <c s="93" t="str">
        <f t="shared" si="47"/>
        <v/>
      </c>
      <c s="94" t="str">
        <f t="shared" si="405"/>
        <v/>
      </c>
      <c s="95" t="str">
        <f t="shared" si="421"/>
        <v/>
      </c>
      <c s="98" t="str">
        <f t="shared" si="422"/>
        <v/>
      </c>
      <c s="97" t="str">
        <f t="array" ref="EE94">IFERROR(IF(DY94="ac"+ISNUMBER(SEARCH("'",ED94))+EC94="","",IF(ISNUMBER(SEARCH("lw",ED94)),DQ94+SUBSTITUTE(ED94,"lw+",""),MROUND(_xlfn.SWITCH(DY94,"sq",EC$7,"bn",ED$7,"dl",EE$7,"")*IF(ED94&gt;10,ED94/100,VLOOKUP(ED94,_rpe,SUBSTITUTE(EC94,"+","")+1,0)),IF(_xlfn.SWITCH(DY94,"sq",EC$7,"bn",ED$7,"dl",EE$7,"")&lt;IF(_uom="lbs",175,80),1.25,IF(_uom="lbs",5,2.5))))),"")</f>
        <v/>
      </c>
      <c s="70"/>
      <c s="63"/>
      <c s="97"/>
      <c s="44" t="str">
        <f>IFERROR(__xludf.DUMMYFUNCTION("IF(EE94=MAX(FILTER(EE$10:EE$199,LOOKUP(ROW(DY$10:DY$199),FILTER(ROW(DY$10:DY$199),DY$10:DY$199&lt;&gt;DY$9:DY$198))=LOOKUP(ROW(DY94),FILTER(ROW(DY$10:DY$199),DY$10:DY$199&lt;&gt;DY$9:DY$198)))),EF94,)"),"")</f>
        <v/>
      </c>
      <c s="42"/>
      <c s="63"/>
      <c s="64" t="str">
        <f t="shared" si="34"/>
        <v/>
      </c>
      <c s="65" t="str">
        <f>IFERROR(__xludf.DUMMYFUNCTION("""COMPUTED_VALUE"""),"")</f>
        <v/>
      </c>
      <c s="66">
        <f ca="1"/>
        <v>45278</v>
      </c>
      <c s="93" t="str">
        <f t="shared" si="48"/>
        <v/>
      </c>
      <c s="94" t="str">
        <f t="shared" si="395"/>
        <v/>
      </c>
      <c s="95" t="str">
        <f t="shared" si="423"/>
        <v/>
      </c>
      <c s="98" t="str">
        <f t="shared" si="402"/>
        <v/>
      </c>
      <c s="97" t="str">
        <f t="array" ref="ES94">IFERROR(IF(EM94="ac"+ISNUMBER(SEARCH("'",ER94))+EQ94="","",IF(ISNUMBER(SEARCH("lw",ER94)),EE94+SUBSTITUTE(ER94,"lw+",""),MROUND(_xlfn.SWITCH(EM94,"sq",EQ$7,"bn",ER$7,"dl",ES$7,"")*IF(ER94&gt;10,ER94/100,VLOOKUP(ER94,_rpe,SUBSTITUTE(EQ94,"+","")+1,0)),IF(_xlfn.SWITCH(EM94,"sq",EQ$7,"bn",ER$7,"dl",ES$7,"")&lt;IF(_uom="lbs",175,80),1.25,IF(_uom="lbs",5,2.5))))),"")</f>
        <v/>
      </c>
      <c s="70"/>
      <c s="63"/>
      <c s="97"/>
      <c s="44" t="str">
        <f>IFERROR(__xludf.DUMMYFUNCTION("IF(ES94=MAX(FILTER(ES$10:ES$199,LOOKUP(ROW(EM$10:EM$199),FILTER(ROW(EM$10:EM$199),EM$10:EM$199&lt;&gt;EM$9:EM$198))=LOOKUP(ROW(EM94),FILTER(ROW(EM$10:EM$199),EM$10:EM$199&lt;&gt;EM$9:EM$198)))),ET94,)"),"")</f>
        <v/>
      </c>
      <c s="42"/>
      <c s="63"/>
      <c s="64" t="str">
        <f t="shared" si="36"/>
        <v/>
      </c>
      <c s="65" t="str">
        <f>IFERROR(__xludf.DUMMYFUNCTION("""COMPUTED_VALUE"""),"")</f>
        <v/>
      </c>
      <c s="66">
        <f ca="1"/>
        <v>45285</v>
      </c>
      <c s="93" t="str">
        <f t="shared" si="49"/>
        <v/>
      </c>
      <c s="94" t="str">
        <f t="shared" si="396"/>
        <v/>
      </c>
      <c s="95" t="str">
        <f t="shared" si="424"/>
        <v/>
      </c>
      <c s="98" t="str">
        <f t="shared" si="403"/>
        <v/>
      </c>
      <c s="97" t="str">
        <f t="array" ref="FG94">IFERROR(IF(FA94="ac"+ISNUMBER(SEARCH("'",FF94))+FE94="","",IF(ISNUMBER(SEARCH("lw",FF94)),ES94+SUBSTITUTE(FF94,"lw+",""),MROUND(_xlfn.SWITCH(FA94,"sq",FE$7,"bn",FF$7,"dl",FG$7,"")*IF(FF94&gt;10,FF94/100,VLOOKUP(FF94,_rpe,SUBSTITUTE(FE94,"+","")+1,0)),IF(_xlfn.SWITCH(FA94,"sq",FE$7,"bn",FF$7,"dl",FG$7,"")&lt;IF(_uom="lbs",175,80),1.25,IF(_uom="lbs",5,2.5))))),"")</f>
        <v/>
      </c>
      <c s="70"/>
      <c s="63"/>
      <c s="97"/>
      <c s="44" t="str">
        <f>IFERROR(__xludf.DUMMYFUNCTION("IF(FG94=MAX(FILTER(FG$10:FG$199,LOOKUP(ROW(FA$10:FA$199),FILTER(ROW(FA$10:FA$199),FA$10:FA$199&lt;&gt;FA$9:FA$198))=LOOKUP(ROW(FA94),FILTER(ROW(FA$10:FA$199),FA$10:FA$199&lt;&gt;FA$9:FA$198)))),FH94,)"),"")</f>
        <v/>
      </c>
      <c s="42"/>
      <c s="63"/>
      <c s="64" t="str">
        <f t="shared" si="38"/>
        <v/>
      </c>
      <c s="65" t="str">
        <f>IFERROR(__xludf.DUMMYFUNCTION("""COMPUTED_VALUE"""),"")</f>
        <v/>
      </c>
      <c s="66">
        <f ca="1"/>
        <v>45292</v>
      </c>
      <c s="93" t="str">
        <f t="shared" si="438" ref="FQ94:FR94">IF(ISBLANK(FC94),"",FC94)</f>
        <v/>
      </c>
      <c s="94" t="str">
        <f t="shared" si="438"/>
        <v/>
      </c>
      <c s="95" t="str">
        <f t="shared" si="428"/>
        <v/>
      </c>
      <c s="98" t="str">
        <f t="shared" si="429"/>
        <v/>
      </c>
      <c s="97" t="str">
        <f t="array" ref="FU94">IFERROR(IF(FO94="ac"+ISNUMBER(SEARCH("'",FT94))+FS94="","",IF(ISNUMBER(SEARCH("lw",FT94)),FG94+SUBSTITUTE(FT94,"lw+",""),MROUND(_xlfn.SWITCH(FO94,"sq",FS$7,"bn",FT$7,"dl",FU$7,"")*IF(FT94&gt;10,FT94/100,VLOOKUP(FT94,_rpe,SUBSTITUTE(FS94,"+","")+1,0)),IF(_xlfn.SWITCH(FO94,"sq",FS$7,"bn",FT$7,"dl",FU$7,"")&lt;IF(_uom="lbs",175,80),1.25,IF(_uom="lbs",5,2.5))))),"")</f>
        <v/>
      </c>
      <c s="70"/>
      <c s="63"/>
      <c s="97"/>
      <c s="44" t="str">
        <f>IFERROR(__xludf.DUMMYFUNCTION("IF(FU94=MAX(FILTER(FU$10:FU$199,LOOKUP(ROW(FO$10:FO$199),FILTER(ROW(FO$10:FO$199),FO$10:FO$199&lt;&gt;FO$9:FO$198))=LOOKUP(ROW(FO94),FILTER(ROW(FO$10:FO$199),FO$10:FO$199&lt;&gt;FO$9:FO$198)))),FV94,)"),"")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95" spans="1:259" ht="15.75">
      <c r="A95" s="63"/>
      <c s="107"/>
      <c s="65" t="str">
        <f>IFERROR(__xludf.DUMMYFUNCTION("""COMPUTED_VALUE"""),"")</f>
        <v/>
      </c>
      <c s="66">
        <f ca="1"/>
        <v>45208</v>
      </c>
      <c s="93"/>
      <c s="94"/>
      <c s="95"/>
      <c s="96"/>
      <c s="97" t="str">
        <f t="array" ref="I95">IFERROR(IF(C95="ac"+ISNUMBER(SEARCH("'",H95))+G95="","",MROUND(_xlfn.SWITCH(C95,"sq",'Personal Info'!$O$15,"bn",'Personal Info'!$S$15,"dl",'Personal Info'!$W$15,"")*IF(H95&gt;10,H95/100,VLOOKUP(H95,_rpe,SUBSTITUTE(G95,"+","")+1,0)),IF(_xlfn.SWITCH(C95:C210,"sq",'Personal Info'!$O$15,"bn",'Personal Info'!$S$15,"dl",'Personal Info'!$W$15,"")&lt;IF(_uom="lbs",175,80),1.25,IF(_uom="lbs",5,2.5)))),"")</f>
        <v/>
      </c>
      <c s="70"/>
      <c s="63"/>
      <c s="97"/>
      <c s="44" t="str">
        <f>IFERROR(__xludf.DUMMYFUNCTION("IF(I95=MAX(FILTER(I$10:I$199,LOOKUP(ROW(C$10:C$199),FILTER(ROW(C$10:C$199),C$10:C$199&lt;&gt;C$9:C$198))=LOOKUP(ROW(C95),FILTER(ROW(C$10:C$199),C$10:C$199&lt;&gt;C$9:C$198)))),J95,)"),"")</f>
        <v/>
      </c>
      <c s="42"/>
      <c s="63"/>
      <c s="64" t="str">
        <f t="shared" si="11"/>
        <v/>
      </c>
      <c s="65" t="str">
        <f>IFERROR(__xludf.DUMMYFUNCTION("""COMPUTED_VALUE"""),"")</f>
        <v/>
      </c>
      <c s="66">
        <f ca="1"/>
        <v>45215</v>
      </c>
      <c s="93" t="str">
        <f t="shared" si="12"/>
        <v/>
      </c>
      <c s="94" t="str">
        <f t="shared" si="404"/>
        <v/>
      </c>
      <c s="95" t="str">
        <f t="shared" si="406"/>
        <v/>
      </c>
      <c s="98" t="str">
        <f t="shared" si="407"/>
        <v/>
      </c>
      <c s="97" t="str">
        <f t="array" ref="W95">IFERROR(IF(Q95="ac"+ISNUMBER(SEARCH("'",V95))+U95="","",IF(ISNUMBER(SEARCH("lw",V95)),I95+SUBSTITUTE(V95,"lw+",""),MROUND(_xlfn.SWITCH(Q95,"sq",U$7,"bn",V$7,"dl",W$7,"")*IF(V95&gt;10,V95/100,VLOOKUP(V95,_rpe,SUBSTITUTE(U95,"+","")+1,0)),IF(_xlfn.SWITCH(Q95,"sq",U$7,"bn",V$7,"dl",W$7,"")&lt;IF(_uom="lbs",175,80),1.25,IF(_uom="lbs",5,2.5))))),"")</f>
        <v/>
      </c>
      <c s="70"/>
      <c s="63"/>
      <c s="97"/>
      <c s="44" t="str">
        <f>IFERROR(__xludf.DUMMYFUNCTION("IF(W95=MAX(FILTER(W$10:W$199,LOOKUP(ROW(Q$10:Q$199),FILTER(ROW(Q$10:Q$199),Q$10:Q$199&lt;&gt;Q$9:Q$198))=LOOKUP(ROW(Q95),FILTER(ROW(Q$10:Q$199),Q$10:Q$199&lt;&gt;Q$9:Q$198)))),X95,)"),"")</f>
        <v/>
      </c>
      <c s="42"/>
      <c s="63"/>
      <c s="64" t="str">
        <f t="shared" si="14"/>
        <v/>
      </c>
      <c s="65" t="str">
        <f>IFERROR(__xludf.DUMMYFUNCTION("""COMPUTED_VALUE"""),"")</f>
        <v/>
      </c>
      <c s="66">
        <f ca="1"/>
        <v>45222</v>
      </c>
      <c s="93" t="str">
        <f t="shared" si="156"/>
        <v/>
      </c>
      <c s="94" t="str">
        <f t="shared" si="397"/>
        <v/>
      </c>
      <c s="95" t="str">
        <f t="shared" si="408"/>
        <v/>
      </c>
      <c s="98" t="str">
        <f t="shared" si="398"/>
        <v/>
      </c>
      <c s="97" t="str">
        <f t="array" ref="AK95">IFERROR(IF(AE95="ac"+ISNUMBER(SEARCH("'",AJ95))+AI95="","",IF(ISNUMBER(SEARCH("lw",AJ95)),W95+SUBSTITUTE(AJ95,"lw+",""),MROUND(_xlfn.SWITCH(AE95,"sq",AI$7,"bn",AJ$7,"dl",AK$7,"")*IF(AJ95&gt;10,AJ95/100,VLOOKUP(AJ95,_rpe,SUBSTITUTE(AI95,"+","")+1,0)),IF(_xlfn.SWITCH(AE95,"sq",AI$7,"bn",AJ$7,"dl",AK$7,"")&lt;IF(_uom="lbs",175,80),1.25,IF(_uom="lbs",5,2.5))))),"")</f>
        <v/>
      </c>
      <c s="70"/>
      <c s="63"/>
      <c s="97"/>
      <c s="44" t="str">
        <f>IFERROR(__xludf.DUMMYFUNCTION("IF(AK95=MAX(FILTER(AK$10:AK$199,LOOKUP(ROW(AE$10:AE$199),FILTER(ROW(AE$10:AE$199),AE$10:AE$199&lt;&gt;AE$9:AE$198))=LOOKUP(ROW(AE95),FILTER(ROW(AE$10:AE$199),AE$10:AE$199&lt;&gt;AE$9:AE$198)))),AL95,)"),"")</f>
        <v/>
      </c>
      <c s="42"/>
      <c s="63"/>
      <c s="64" t="str">
        <f t="shared" si="17"/>
        <v/>
      </c>
      <c s="65" t="str">
        <f>IFERROR(__xludf.DUMMYFUNCTION("""COMPUTED_VALUE"""),"")</f>
        <v/>
      </c>
      <c s="66">
        <f ca="1"/>
        <v>45229</v>
      </c>
      <c s="93" t="str">
        <f t="shared" si="157"/>
        <v/>
      </c>
      <c s="94" t="str">
        <f t="shared" si="399"/>
        <v/>
      </c>
      <c s="95" t="str">
        <f t="shared" si="409"/>
        <v/>
      </c>
      <c s="98" t="str">
        <f t="shared" si="400"/>
        <v/>
      </c>
      <c s="97" t="str">
        <f t="array" ref="AY95">IFERROR(IF(AS95="ac"+ISNUMBER(SEARCH("'",AX95))+AW95="","",IF(ISNUMBER(SEARCH("lw",AX95)),AK95+SUBSTITUTE(AX95,"lw+",""),MROUND(_xlfn.SWITCH(AS95,"sq",AW$7,"bn",AX$7,"dl",AY$7,"")*IF(AX95&gt;10,AX95/100,VLOOKUP(AX95,_rpe,SUBSTITUTE(AW95,"+","")+1,0)),IF(_xlfn.SWITCH(AS95,"sq",AW$7,"bn",AX$7,"dl",AY$7,"")&lt;IF(_uom="lbs",175,80),1.25,IF(_uom="lbs",5,2.5))))),"")</f>
        <v/>
      </c>
      <c s="70"/>
      <c s="63"/>
      <c s="97"/>
      <c s="44" t="str">
        <f>IFERROR(__xludf.DUMMYFUNCTION("IF(AY95=MAX(FILTER(AY$10:AY$199,LOOKUP(ROW(AS$10:AS$199),FILTER(ROW(AS$10:AS$199),AS$10:AS$199&lt;&gt;AS$9:AS$198))=LOOKUP(ROW(AS95),FILTER(ROW(AS$10:AS$199),AS$10:AS$199&lt;&gt;AS$9:AS$198)))),AZ95,)"),"")</f>
        <v/>
      </c>
      <c s="42"/>
      <c s="63"/>
      <c s="64" t="str">
        <f t="shared" si="19"/>
        <v/>
      </c>
      <c s="65" t="str">
        <f>IFERROR(__xludf.DUMMYFUNCTION("""COMPUTED_VALUE"""),"")</f>
        <v/>
      </c>
      <c s="66">
        <f ca="1"/>
        <v>45236</v>
      </c>
      <c s="93" t="str">
        <f t="shared" si="20"/>
        <v/>
      </c>
      <c s="94" t="str">
        <f t="shared" si="425"/>
        <v/>
      </c>
      <c s="95" t="str">
        <f t="shared" si="411"/>
        <v/>
      </c>
      <c s="98" t="str">
        <f t="shared" si="412"/>
        <v/>
      </c>
      <c s="97" t="str">
        <f t="array" ref="BM95">IFERROR(IF(BG95="ac"+ISNUMBER(SEARCH("'",BL95))+BK95="","",IF(ISNUMBER(SEARCH("lw",BL95)),AY95+SUBSTITUTE(BL95,"lw+",""),MROUND(_xlfn.SWITCH(BG95,"sq",BK$7,"bn",BL$7,"dl",BM$7,"")*IF(BL95&gt;10,BL95/100,VLOOKUP(BL95,_rpe,SUBSTITUTE(BK95,"+","")+1,0)),IF(_xlfn.SWITCH(BG95,"sq",BK$7,"bn",BL$7,"dl",BM$7,"")&lt;IF(_uom="lbs",175,80),1.25,IF(_uom="lbs",5,2.5))))),"")</f>
        <v/>
      </c>
      <c s="70"/>
      <c s="63"/>
      <c s="97"/>
      <c s="44" t="str">
        <f>IFERROR(__xludf.DUMMYFUNCTION("IF(BM95=MAX(FILTER(BM$10:BM$199,LOOKUP(ROW(BG$10:BG$199),FILTER(ROW(BG$10:BG$199),BG$10:BG$199&lt;&gt;BG$9:BG$198))=LOOKUP(ROW(BG95),FILTER(ROW(BG$10:BG$199),BG$10:BG$199&lt;&gt;BG$9:BG$198)))),BN95,)"),"")</f>
        <v/>
      </c>
      <c s="42"/>
      <c s="63"/>
      <c s="64" t="str">
        <f t="shared" si="21"/>
        <v/>
      </c>
      <c s="65" t="str">
        <f>IFERROR(__xludf.DUMMYFUNCTION("""COMPUTED_VALUE"""),"")</f>
        <v/>
      </c>
      <c s="66">
        <f ca="1"/>
        <v>45243</v>
      </c>
      <c s="93" t="str">
        <f t="shared" si="22"/>
        <v/>
      </c>
      <c s="94" t="str">
        <f t="shared" si="426"/>
        <v/>
      </c>
      <c s="95" t="str">
        <f t="shared" si="414"/>
        <v/>
      </c>
      <c s="98" t="str">
        <f t="shared" si="415"/>
        <v/>
      </c>
      <c s="97" t="str">
        <f t="array" ref="CA95">IFERROR(IF(BU95="ac"+ISNUMBER(SEARCH("'",BZ95))+BY95="","",IF(ISNUMBER(SEARCH("lw",BZ95)),BM95+SUBSTITUTE(BZ95,"lw+",""),MROUND(_xlfn.SWITCH(BU95,"sq",BY$7,"bn",BZ$7,"dl",CA$7,"")*IF(BZ95&gt;10,BZ95/100,VLOOKUP(BZ95,_rpe,SUBSTITUTE(BY95,"+","")+1,0)),IF(_xlfn.SWITCH(BU95,"sq",BY$7,"bn",BZ$7,"dl",CA$7,"")&lt;IF(_uom="lbs",175,80),1.25,IF(_uom="lbs",5,2.5))))),"")</f>
        <v/>
      </c>
      <c s="70"/>
      <c s="63"/>
      <c s="97"/>
      <c s="44" t="str">
        <f>IFERROR(__xludf.DUMMYFUNCTION("IF(CA95=MAX(FILTER(CA$10:CA$199,LOOKUP(ROW(BU$10:BU$199),FILTER(ROW(BU$10:BU$199),BU$10:BU$199&lt;&gt;BU$9:BU$198))=LOOKUP(ROW(BU95),FILTER(ROW(BU$10:BU$199),BU$10:BU$199&lt;&gt;BU$9:BU$198)))),CB95,)"),"")</f>
        <v/>
      </c>
      <c s="42"/>
      <c s="63"/>
      <c s="64" t="str">
        <f t="shared" si="24"/>
        <v/>
      </c>
      <c s="65" t="str">
        <f>IFERROR(__xludf.DUMMYFUNCTION("""COMPUTED_VALUE"""),"")</f>
        <v/>
      </c>
      <c s="66">
        <f ca="1"/>
        <v>45250</v>
      </c>
      <c s="93" t="str">
        <f t="shared" si="44"/>
        <v/>
      </c>
      <c s="94" t="str">
        <f t="shared" si="392"/>
        <v/>
      </c>
      <c s="95" t="str">
        <f t="shared" si="416"/>
        <v/>
      </c>
      <c s="98" t="str">
        <f t="shared" si="417"/>
        <v/>
      </c>
      <c s="97" t="str">
        <f t="array" ref="CO95">IFERROR(IF(CI95="ac"+ISNUMBER(SEARCH("'",CN95))+CM95="","",IF(ISNUMBER(SEARCH("lw",CN95)),CA95+SUBSTITUTE(CN95,"lw+",""),MROUND(_xlfn.SWITCH(CI95,"sq",CM$7,"bn",CN$7,"dl",CO$7,"")*IF(CN95&gt;10,CN95/100,VLOOKUP(CN95,_rpe,SUBSTITUTE(CM95,"+","")+1,0)),IF(_xlfn.SWITCH(CI95,"sq",CM$7,"bn",CN$7,"dl",CO$7,"")&lt;IF(_uom="lbs",175,80),1.25,IF(_uom="lbs",5,2.5))))),"")</f>
        <v/>
      </c>
      <c s="70"/>
      <c s="63"/>
      <c s="97"/>
      <c s="44" t="str">
        <f>IFERROR(__xludf.DUMMYFUNCTION("IF(CO95=MAX(FILTER(CO$10:CO$199,LOOKUP(ROW(CI$10:CI$199),FILTER(ROW(CI$10:CI$199),CI$10:CI$199&lt;&gt;CI$9:CI$198))=LOOKUP(ROW(CI95),FILTER(ROW(CI$10:CI$199),CI$10:CI$199&lt;&gt;CI$9:CI$198)))),CP95,)"),"")</f>
        <v/>
      </c>
      <c s="42"/>
      <c s="63"/>
      <c s="64" t="str">
        <f t="shared" si="27"/>
        <v/>
      </c>
      <c s="65" t="str">
        <f>IFERROR(__xludf.DUMMYFUNCTION("""COMPUTED_VALUE"""),"")</f>
        <v/>
      </c>
      <c s="66">
        <f ca="1"/>
        <v>45257</v>
      </c>
      <c s="93" t="str">
        <f t="shared" si="45"/>
        <v/>
      </c>
      <c s="94" t="str">
        <f t="shared" si="393"/>
        <v/>
      </c>
      <c s="95" t="str">
        <f t="shared" si="418"/>
        <v/>
      </c>
      <c s="98" t="str">
        <f t="shared" si="401"/>
        <v/>
      </c>
      <c s="97" t="str">
        <f t="array" ref="DC95">IFERROR(IF(CW95="ac"+ISNUMBER(SEARCH("'",DB95))+DA95="","",IF(ISNUMBER(SEARCH("lw",DB95)),CO95+SUBSTITUTE(DB95,"lw+",""),MROUND(_xlfn.SWITCH(CW95,"sq",DA$7,"bn",DB$7,"dl",DC$7,"")*IF(DB95&gt;10,DB95/100,VLOOKUP(DB95,_rpe,SUBSTITUTE(DA95,"+","")+1,0)),IF(_xlfn.SWITCH(CW95,"sq",DA$7,"bn",DB$7,"dl",DC$7,"")&lt;IF(_uom="lbs",175,80),1.25,IF(_uom="lbs",5,2.5))))),"")</f>
        <v/>
      </c>
      <c s="70"/>
      <c s="63"/>
      <c s="97"/>
      <c s="44" t="str">
        <f>IFERROR(__xludf.DUMMYFUNCTION("IF(DC95=MAX(FILTER(DC$10:DC$199,LOOKUP(ROW(CW$10:CW$199),FILTER(ROW(CW$10:CW$199),CW$10:CW$199&lt;&gt;CW$9:CW$198))=LOOKUP(ROW(CW95),FILTER(ROW(CW$10:CW$199),CW$10:CW$199&lt;&gt;CW$9:CW$198)))),DD95,)"),"")</f>
        <v/>
      </c>
      <c s="42"/>
      <c s="63"/>
      <c s="64" t="str">
        <f t="shared" si="30"/>
        <v/>
      </c>
      <c s="65" t="str">
        <f>IFERROR(__xludf.DUMMYFUNCTION("""COMPUTED_VALUE"""),"")</f>
        <v/>
      </c>
      <c s="66">
        <f ca="1"/>
        <v>45264</v>
      </c>
      <c s="93" t="str">
        <f t="shared" si="46"/>
        <v/>
      </c>
      <c s="94" t="str">
        <f t="shared" si="394"/>
        <v/>
      </c>
      <c s="95" t="str">
        <f t="shared" si="419"/>
        <v/>
      </c>
      <c s="98" t="str">
        <f t="shared" si="420"/>
        <v/>
      </c>
      <c s="97" t="str">
        <f t="array" ref="DQ95">IFERROR(IF(DK95="ac"+ISNUMBER(SEARCH("'",DP95))+DO95="","",IF(ISNUMBER(SEARCH("lw",DP95)),DC95+SUBSTITUTE(DP95,"lw+",""),MROUND(_xlfn.SWITCH(DK95,"sq",DO$7,"bn",DP$7,"dl",DQ$7,"")*IF(DP95&gt;10,DP95/100,VLOOKUP(DP95,_rpe,SUBSTITUTE(DO95,"+","")+1,0)),IF(_xlfn.SWITCH(DK95,"sq",DO$7,"bn",DP$7,"dl",DQ$7,"")&lt;IF(_uom="lbs",175,80),1.25,IF(_uom="lbs",5,2.5))))),"")</f>
        <v/>
      </c>
      <c s="70"/>
      <c s="63"/>
      <c s="97"/>
      <c s="44" t="str">
        <f>IFERROR(__xludf.DUMMYFUNCTION("IF(DQ95=MAX(FILTER(DQ$10:DQ$199,LOOKUP(ROW(DK$10:DK$199),FILTER(ROW(DK$10:DK$199),DK$10:DK$199&lt;&gt;DK$9:DK$198))=LOOKUP(ROW(DK95),FILTER(ROW(DK$10:DK$199),DK$10:DK$199&lt;&gt;DK$9:DK$198)))),DR95,)"),"")</f>
        <v/>
      </c>
      <c s="42"/>
      <c s="63"/>
      <c s="64" t="str">
        <f t="shared" si="32"/>
        <v/>
      </c>
      <c s="65" t="str">
        <f>IFERROR(__xludf.DUMMYFUNCTION("""COMPUTED_VALUE"""),"")</f>
        <v/>
      </c>
      <c s="66">
        <f ca="1"/>
        <v>45271</v>
      </c>
      <c s="93" t="str">
        <f t="shared" si="47"/>
        <v/>
      </c>
      <c s="94" t="str">
        <f t="shared" si="405"/>
        <v/>
      </c>
      <c s="95" t="str">
        <f t="shared" si="421"/>
        <v/>
      </c>
      <c s="98" t="str">
        <f t="shared" si="422"/>
        <v/>
      </c>
      <c s="97" t="str">
        <f t="array" ref="EE95">IFERROR(IF(DY95="ac"+ISNUMBER(SEARCH("'",ED95))+EC95="","",IF(ISNUMBER(SEARCH("lw",ED95)),DQ95+SUBSTITUTE(ED95,"lw+",""),MROUND(_xlfn.SWITCH(DY95,"sq",EC$7,"bn",ED$7,"dl",EE$7,"")*IF(ED95&gt;10,ED95/100,VLOOKUP(ED95,_rpe,SUBSTITUTE(EC95,"+","")+1,0)),IF(_xlfn.SWITCH(DY95,"sq",EC$7,"bn",ED$7,"dl",EE$7,"")&lt;IF(_uom="lbs",175,80),1.25,IF(_uom="lbs",5,2.5))))),"")</f>
        <v/>
      </c>
      <c s="70"/>
      <c s="63"/>
      <c s="97"/>
      <c s="44" t="str">
        <f>IFERROR(__xludf.DUMMYFUNCTION("IF(EE95=MAX(FILTER(EE$10:EE$199,LOOKUP(ROW(DY$10:DY$199),FILTER(ROW(DY$10:DY$199),DY$10:DY$199&lt;&gt;DY$9:DY$198))=LOOKUP(ROW(DY95),FILTER(ROW(DY$10:DY$199),DY$10:DY$199&lt;&gt;DY$9:DY$198)))),EF95,)"),"")</f>
        <v/>
      </c>
      <c s="42"/>
      <c s="63"/>
      <c s="64" t="str">
        <f t="shared" si="34"/>
        <v/>
      </c>
      <c s="65" t="str">
        <f>IFERROR(__xludf.DUMMYFUNCTION("""COMPUTED_VALUE"""),"")</f>
        <v/>
      </c>
      <c s="66">
        <f ca="1"/>
        <v>45278</v>
      </c>
      <c s="93" t="str">
        <f t="shared" si="48"/>
        <v/>
      </c>
      <c s="94" t="str">
        <f t="shared" si="395"/>
        <v/>
      </c>
      <c s="95" t="str">
        <f t="shared" si="423"/>
        <v/>
      </c>
      <c s="98" t="str">
        <f t="shared" si="402"/>
        <v/>
      </c>
      <c s="97" t="str">
        <f t="array" ref="ES95">IFERROR(IF(EM95="ac"+ISNUMBER(SEARCH("'",ER95))+EQ95="","",IF(ISNUMBER(SEARCH("lw",ER95)),EE95+SUBSTITUTE(ER95,"lw+",""),MROUND(_xlfn.SWITCH(EM95,"sq",EQ$7,"bn",ER$7,"dl",ES$7,"")*IF(ER95&gt;10,ER95/100,VLOOKUP(ER95,_rpe,SUBSTITUTE(EQ95,"+","")+1,0)),IF(_xlfn.SWITCH(EM95,"sq",EQ$7,"bn",ER$7,"dl",ES$7,"")&lt;IF(_uom="lbs",175,80),1.25,IF(_uom="lbs",5,2.5))))),"")</f>
        <v/>
      </c>
      <c s="70"/>
      <c s="63"/>
      <c s="97"/>
      <c s="44" t="str">
        <f>IFERROR(__xludf.DUMMYFUNCTION("IF(ES95=MAX(FILTER(ES$10:ES$199,LOOKUP(ROW(EM$10:EM$199),FILTER(ROW(EM$10:EM$199),EM$10:EM$199&lt;&gt;EM$9:EM$198))=LOOKUP(ROW(EM95),FILTER(ROW(EM$10:EM$199),EM$10:EM$199&lt;&gt;EM$9:EM$198)))),ET95,)"),"")</f>
        <v/>
      </c>
      <c s="42"/>
      <c s="63"/>
      <c s="64" t="str">
        <f t="shared" si="36"/>
        <v/>
      </c>
      <c s="65" t="str">
        <f>IFERROR(__xludf.DUMMYFUNCTION("""COMPUTED_VALUE"""),"")</f>
        <v/>
      </c>
      <c s="66">
        <f ca="1"/>
        <v>45285</v>
      </c>
      <c s="93" t="str">
        <f t="shared" si="49"/>
        <v/>
      </c>
      <c s="94" t="str">
        <f t="shared" si="396"/>
        <v/>
      </c>
      <c s="95" t="str">
        <f t="shared" si="424"/>
        <v/>
      </c>
      <c s="98" t="str">
        <f t="shared" si="403"/>
        <v/>
      </c>
      <c s="97" t="str">
        <f t="array" ref="FG95">IFERROR(IF(FA95="ac"+ISNUMBER(SEARCH("'",FF95))+FE95="","",IF(ISNUMBER(SEARCH("lw",FF95)),ES95+SUBSTITUTE(FF95,"lw+",""),MROUND(_xlfn.SWITCH(FA95,"sq",FE$7,"bn",FF$7,"dl",FG$7,"")*IF(FF95&gt;10,FF95/100,VLOOKUP(FF95,_rpe,SUBSTITUTE(FE95,"+","")+1,0)),IF(_xlfn.SWITCH(FA95,"sq",FE$7,"bn",FF$7,"dl",FG$7,"")&lt;IF(_uom="lbs",175,80),1.25,IF(_uom="lbs",5,2.5))))),"")</f>
        <v/>
      </c>
      <c s="70"/>
      <c s="63"/>
      <c s="97"/>
      <c s="44" t="str">
        <f>IFERROR(__xludf.DUMMYFUNCTION("IF(FG95=MAX(FILTER(FG$10:FG$199,LOOKUP(ROW(FA$10:FA$199),FILTER(ROW(FA$10:FA$199),FA$10:FA$199&lt;&gt;FA$9:FA$198))=LOOKUP(ROW(FA95),FILTER(ROW(FA$10:FA$199),FA$10:FA$199&lt;&gt;FA$9:FA$198)))),FH95,)"),"")</f>
        <v/>
      </c>
      <c s="42"/>
      <c s="63"/>
      <c s="64" t="str">
        <f t="shared" si="38"/>
        <v/>
      </c>
      <c s="65" t="str">
        <f>IFERROR(__xludf.DUMMYFUNCTION("""COMPUTED_VALUE"""),"")</f>
        <v/>
      </c>
      <c s="66">
        <f ca="1"/>
        <v>45292</v>
      </c>
      <c s="93" t="str">
        <f t="shared" si="439" ref="FQ95:FR95">IF(ISBLANK(FC95),"",FC95)</f>
        <v/>
      </c>
      <c s="94" t="str">
        <f t="shared" si="439"/>
        <v/>
      </c>
      <c s="95" t="str">
        <f t="shared" si="428"/>
        <v/>
      </c>
      <c s="98" t="str">
        <f t="shared" si="429"/>
        <v/>
      </c>
      <c s="97" t="str">
        <f t="array" ref="FU95">IFERROR(IF(FO95="ac"+ISNUMBER(SEARCH("'",FT95))+FS95="","",IF(ISNUMBER(SEARCH("lw",FT95)),FG95+SUBSTITUTE(FT95,"lw+",""),MROUND(_xlfn.SWITCH(FO95,"sq",FS$7,"bn",FT$7,"dl",FU$7,"")*IF(FT95&gt;10,FT95/100,VLOOKUP(FT95,_rpe,SUBSTITUTE(FS95,"+","")+1,0)),IF(_xlfn.SWITCH(FO95,"sq",FS$7,"bn",FT$7,"dl",FU$7,"")&lt;IF(_uom="lbs",175,80),1.25,IF(_uom="lbs",5,2.5))))),"")</f>
        <v/>
      </c>
      <c s="70"/>
      <c s="63"/>
      <c s="97"/>
      <c s="44" t="str">
        <f>IFERROR(__xludf.DUMMYFUNCTION("IF(FU95=MAX(FILTER(FU$10:FU$199,LOOKUP(ROW(FO$10:FO$199),FILTER(ROW(FO$10:FO$199),FO$10:FO$199&lt;&gt;FO$9:FO$198))=LOOKUP(ROW(FO95),FILTER(ROW(FO$10:FO$199),FO$10:FO$199&lt;&gt;FO$9:FO$198)))),FV95,)"),"")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96" spans="1:259" ht="15.75">
      <c r="A96" s="63"/>
      <c s="107"/>
      <c s="65" t="str">
        <f>IFERROR(__xludf.DUMMYFUNCTION("""COMPUTED_VALUE"""),"")</f>
        <v/>
      </c>
      <c s="66">
        <f ca="1"/>
        <v>45208</v>
      </c>
      <c s="108"/>
      <c s="94"/>
      <c s="95"/>
      <c s="96"/>
      <c s="97" t="str">
        <f t="array" ref="I96">IFERROR(IF(C96="ac"+ISNUMBER(SEARCH("'",H96))+G96="","",MROUND(_xlfn.SWITCH(C96,"sq",'Personal Info'!$O$15,"bn",'Personal Info'!$S$15,"dl",'Personal Info'!$W$15,"")*IF(H96&gt;10,H96/100,VLOOKUP(H96,_rpe,SUBSTITUTE(G96,"+","")+1,0)),IF(_xlfn.SWITCH(C96:C210,"sq",'Personal Info'!$O$15,"bn",'Personal Info'!$S$15,"dl",'Personal Info'!$W$15,"")&lt;IF(_uom="lbs",175,80),1.25,IF(_uom="lbs",5,2.5)))),"")</f>
        <v/>
      </c>
      <c s="70"/>
      <c s="63"/>
      <c s="97"/>
      <c s="44" t="str">
        <f>IFERROR(__xludf.DUMMYFUNCTION("IF(I96=MAX(FILTER(I$10:I$199,LOOKUP(ROW(C$10:C$199),FILTER(ROW(C$10:C$199),C$10:C$199&lt;&gt;C$9:C$198))=LOOKUP(ROW(C96),FILTER(ROW(C$10:C$199),C$10:C$199&lt;&gt;C$9:C$198)))),J96,)"),"")</f>
        <v/>
      </c>
      <c s="42"/>
      <c s="63"/>
      <c s="64" t="str">
        <f t="shared" si="11"/>
        <v/>
      </c>
      <c s="65" t="str">
        <f>IFERROR(__xludf.DUMMYFUNCTION("""COMPUTED_VALUE"""),"")</f>
        <v/>
      </c>
      <c s="66">
        <f ca="1"/>
        <v>45215</v>
      </c>
      <c s="93" t="str">
        <f t="shared" si="12"/>
        <v/>
      </c>
      <c s="94" t="str">
        <f t="shared" si="404"/>
        <v/>
      </c>
      <c s="95" t="str">
        <f t="shared" si="406"/>
        <v/>
      </c>
      <c s="98" t="str">
        <f t="shared" si="407"/>
        <v/>
      </c>
      <c s="97" t="str">
        <f t="array" ref="W96">IFERROR(IF(Q96="ac"+ISNUMBER(SEARCH("'",V96))+U96="","",IF(ISNUMBER(SEARCH("lw",V96)),I96+SUBSTITUTE(V96,"lw+",""),MROUND(_xlfn.SWITCH(Q96,"sq",U$7,"bn",V$7,"dl",W$7,"")*IF(V96&gt;10,V96/100,VLOOKUP(V96,_rpe,SUBSTITUTE(U96,"+","")+1,0)),IF(_xlfn.SWITCH(Q96,"sq",U$7,"bn",V$7,"dl",W$7,"")&lt;IF(_uom="lbs",175,80),1.25,IF(_uom="lbs",5,2.5))))),"")</f>
        <v/>
      </c>
      <c s="70"/>
      <c s="63"/>
      <c s="97"/>
      <c s="44" t="str">
        <f>IFERROR(__xludf.DUMMYFUNCTION("IF(W96=MAX(FILTER(W$10:W$199,LOOKUP(ROW(Q$10:Q$199),FILTER(ROW(Q$10:Q$199),Q$10:Q$199&lt;&gt;Q$9:Q$198))=LOOKUP(ROW(Q96),FILTER(ROW(Q$10:Q$199),Q$10:Q$199&lt;&gt;Q$9:Q$198)))),X96,)"),"")</f>
        <v/>
      </c>
      <c s="42"/>
      <c s="63"/>
      <c s="64" t="str">
        <f t="shared" si="14"/>
        <v/>
      </c>
      <c s="65" t="str">
        <f>IFERROR(__xludf.DUMMYFUNCTION("""COMPUTED_VALUE"""),"")</f>
        <v/>
      </c>
      <c s="66">
        <f ca="1"/>
        <v>45222</v>
      </c>
      <c s="93" t="str">
        <f t="shared" si="156"/>
        <v/>
      </c>
      <c s="94" t="str">
        <f t="shared" si="397"/>
        <v/>
      </c>
      <c s="95" t="str">
        <f t="shared" si="408"/>
        <v/>
      </c>
      <c s="98" t="str">
        <f t="shared" si="398"/>
        <v/>
      </c>
      <c s="97" t="str">
        <f t="array" ref="AK96">IFERROR(IF(AE96="ac"+ISNUMBER(SEARCH("'",AJ96))+AI96="","",IF(ISNUMBER(SEARCH("lw",AJ96)),W96+SUBSTITUTE(AJ96,"lw+",""),MROUND(_xlfn.SWITCH(AE96,"sq",AI$7,"bn",AJ$7,"dl",AK$7,"")*IF(AJ96&gt;10,AJ96/100,VLOOKUP(AJ96,_rpe,SUBSTITUTE(AI96,"+","")+1,0)),IF(_xlfn.SWITCH(AE96,"sq",AI$7,"bn",AJ$7,"dl",AK$7,"")&lt;IF(_uom="lbs",175,80),1.25,IF(_uom="lbs",5,2.5))))),"")</f>
        <v/>
      </c>
      <c s="70"/>
      <c s="63"/>
      <c s="97"/>
      <c s="44" t="str">
        <f>IFERROR(__xludf.DUMMYFUNCTION("IF(AK96=MAX(FILTER(AK$10:AK$199,LOOKUP(ROW(AE$10:AE$199),FILTER(ROW(AE$10:AE$199),AE$10:AE$199&lt;&gt;AE$9:AE$198))=LOOKUP(ROW(AE96),FILTER(ROW(AE$10:AE$199),AE$10:AE$199&lt;&gt;AE$9:AE$198)))),AL96,)"),"")</f>
        <v/>
      </c>
      <c s="42"/>
      <c s="63"/>
      <c s="64" t="str">
        <f t="shared" si="17"/>
        <v/>
      </c>
      <c s="65" t="str">
        <f>IFERROR(__xludf.DUMMYFUNCTION("""COMPUTED_VALUE"""),"")</f>
        <v/>
      </c>
      <c s="66">
        <f ca="1"/>
        <v>45229</v>
      </c>
      <c s="93" t="str">
        <f t="shared" si="157"/>
        <v/>
      </c>
      <c s="94" t="str">
        <f t="shared" si="399"/>
        <v/>
      </c>
      <c s="95" t="str">
        <f t="shared" si="409"/>
        <v/>
      </c>
      <c s="98" t="str">
        <f t="shared" si="400"/>
        <v/>
      </c>
      <c s="97" t="str">
        <f t="array" ref="AY96">IFERROR(IF(AS96="ac"+ISNUMBER(SEARCH("'",AX96))+AW96="","",IF(ISNUMBER(SEARCH("lw",AX96)),AK96+SUBSTITUTE(AX96,"lw+",""),MROUND(_xlfn.SWITCH(AS96,"sq",AW$7,"bn",AX$7,"dl",AY$7,"")*IF(AX96&gt;10,AX96/100,VLOOKUP(AX96,_rpe,SUBSTITUTE(AW96,"+","")+1,0)),IF(_xlfn.SWITCH(AS96,"sq",AW$7,"bn",AX$7,"dl",AY$7,"")&lt;IF(_uom="lbs",175,80),1.25,IF(_uom="lbs",5,2.5))))),"")</f>
        <v/>
      </c>
      <c s="70"/>
      <c s="63"/>
      <c s="97"/>
      <c s="44" t="str">
        <f>IFERROR(__xludf.DUMMYFUNCTION("IF(AY96=MAX(FILTER(AY$10:AY$199,LOOKUP(ROW(AS$10:AS$199),FILTER(ROW(AS$10:AS$199),AS$10:AS$199&lt;&gt;AS$9:AS$198))=LOOKUP(ROW(AS96),FILTER(ROW(AS$10:AS$199),AS$10:AS$199&lt;&gt;AS$9:AS$198)))),AZ96,)"),"")</f>
        <v/>
      </c>
      <c s="42"/>
      <c s="63"/>
      <c s="64" t="str">
        <f t="shared" si="19"/>
        <v/>
      </c>
      <c s="65" t="str">
        <f>IFERROR(__xludf.DUMMYFUNCTION("""COMPUTED_VALUE"""),"")</f>
        <v/>
      </c>
      <c s="66">
        <f ca="1"/>
        <v>45236</v>
      </c>
      <c s="93" t="str">
        <f t="shared" si="20"/>
        <v/>
      </c>
      <c s="94" t="str">
        <f t="shared" si="425"/>
        <v/>
      </c>
      <c s="95" t="str">
        <f t="shared" si="411"/>
        <v/>
      </c>
      <c s="98" t="str">
        <f t="shared" si="412"/>
        <v/>
      </c>
      <c s="97" t="str">
        <f t="array" ref="BM96">IFERROR(IF(BG96="ac"+ISNUMBER(SEARCH("'",BL96))+BK96="","",IF(ISNUMBER(SEARCH("lw",BL96)),AY96+SUBSTITUTE(BL96,"lw+",""),MROUND(_xlfn.SWITCH(BG96,"sq",BK$7,"bn",BL$7,"dl",BM$7,"")*IF(BL96&gt;10,BL96/100,VLOOKUP(BL96,_rpe,SUBSTITUTE(BK96,"+","")+1,0)),IF(_xlfn.SWITCH(BG96,"sq",BK$7,"bn",BL$7,"dl",BM$7,"")&lt;IF(_uom="lbs",175,80),1.25,IF(_uom="lbs",5,2.5))))),"")</f>
        <v/>
      </c>
      <c s="70"/>
      <c s="63"/>
      <c s="97"/>
      <c s="44" t="str">
        <f>IFERROR(__xludf.DUMMYFUNCTION("IF(BM96=MAX(FILTER(BM$10:BM$199,LOOKUP(ROW(BG$10:BG$199),FILTER(ROW(BG$10:BG$199),BG$10:BG$199&lt;&gt;BG$9:BG$198))=LOOKUP(ROW(BG96),FILTER(ROW(BG$10:BG$199),BG$10:BG$199&lt;&gt;BG$9:BG$198)))),BN96,)"),"")</f>
        <v/>
      </c>
      <c s="42"/>
      <c s="63"/>
      <c s="64" t="str">
        <f t="shared" si="21"/>
        <v/>
      </c>
      <c s="65" t="str">
        <f>IFERROR(__xludf.DUMMYFUNCTION("""COMPUTED_VALUE"""),"")</f>
        <v/>
      </c>
      <c s="66">
        <f ca="1"/>
        <v>45243</v>
      </c>
      <c s="93" t="str">
        <f t="shared" si="22"/>
        <v/>
      </c>
      <c s="94" t="str">
        <f t="shared" si="426"/>
        <v/>
      </c>
      <c s="95" t="str">
        <f t="shared" si="414"/>
        <v/>
      </c>
      <c s="98" t="str">
        <f t="shared" si="415"/>
        <v/>
      </c>
      <c s="97" t="str">
        <f t="array" ref="CA96">IFERROR(IF(BU96="ac"+ISNUMBER(SEARCH("'",BZ96))+BY96="","",IF(ISNUMBER(SEARCH("lw",BZ96)),BM96+SUBSTITUTE(BZ96,"lw+",""),MROUND(_xlfn.SWITCH(BU96,"sq",BY$7,"bn",BZ$7,"dl",CA$7,"")*IF(BZ96&gt;10,BZ96/100,VLOOKUP(BZ96,_rpe,SUBSTITUTE(BY96,"+","")+1,0)),IF(_xlfn.SWITCH(BU96,"sq",BY$7,"bn",BZ$7,"dl",CA$7,"")&lt;IF(_uom="lbs",175,80),1.25,IF(_uom="lbs",5,2.5))))),"")</f>
        <v/>
      </c>
      <c s="70"/>
      <c s="63"/>
      <c s="97"/>
      <c s="44" t="str">
        <f>IFERROR(__xludf.DUMMYFUNCTION("IF(CA96=MAX(FILTER(CA$10:CA$199,LOOKUP(ROW(BU$10:BU$199),FILTER(ROW(BU$10:BU$199),BU$10:BU$199&lt;&gt;BU$9:BU$198))=LOOKUP(ROW(BU96),FILTER(ROW(BU$10:BU$199),BU$10:BU$199&lt;&gt;BU$9:BU$198)))),CB96,)"),"")</f>
        <v/>
      </c>
      <c s="42"/>
      <c s="63"/>
      <c s="64" t="str">
        <f t="shared" si="24"/>
        <v/>
      </c>
      <c s="65" t="str">
        <f>IFERROR(__xludf.DUMMYFUNCTION("""COMPUTED_VALUE"""),"")</f>
        <v/>
      </c>
      <c s="66">
        <f ca="1"/>
        <v>45250</v>
      </c>
      <c s="93" t="str">
        <f t="shared" si="44"/>
        <v/>
      </c>
      <c s="94" t="str">
        <f t="shared" si="392"/>
        <v/>
      </c>
      <c s="95" t="str">
        <f t="shared" si="416"/>
        <v/>
      </c>
      <c s="98" t="str">
        <f t="shared" si="417"/>
        <v/>
      </c>
      <c s="97" t="str">
        <f t="array" ref="CO96">IFERROR(IF(CI96="ac"+ISNUMBER(SEARCH("'",CN96))+CM96="","",IF(ISNUMBER(SEARCH("lw",CN96)),CA96+SUBSTITUTE(CN96,"lw+",""),MROUND(_xlfn.SWITCH(CI96,"sq",CM$7,"bn",CN$7,"dl",CO$7,"")*IF(CN96&gt;10,CN96/100,VLOOKUP(CN96,_rpe,SUBSTITUTE(CM96,"+","")+1,0)),IF(_xlfn.SWITCH(CI96,"sq",CM$7,"bn",CN$7,"dl",CO$7,"")&lt;IF(_uom="lbs",175,80),1.25,IF(_uom="lbs",5,2.5))))),"")</f>
        <v/>
      </c>
      <c s="70"/>
      <c s="63"/>
      <c s="97"/>
      <c s="44" t="str">
        <f>IFERROR(__xludf.DUMMYFUNCTION("IF(CO96=MAX(FILTER(CO$10:CO$199,LOOKUP(ROW(CI$10:CI$199),FILTER(ROW(CI$10:CI$199),CI$10:CI$199&lt;&gt;CI$9:CI$198))=LOOKUP(ROW(CI96),FILTER(ROW(CI$10:CI$199),CI$10:CI$199&lt;&gt;CI$9:CI$198)))),CP96,)"),"")</f>
        <v/>
      </c>
      <c s="42"/>
      <c s="63"/>
      <c s="64" t="str">
        <f t="shared" si="27"/>
        <v/>
      </c>
      <c s="65" t="str">
        <f>IFERROR(__xludf.DUMMYFUNCTION("""COMPUTED_VALUE"""),"")</f>
        <v/>
      </c>
      <c s="66">
        <f ca="1"/>
        <v>45257</v>
      </c>
      <c s="93" t="str">
        <f t="shared" si="45"/>
        <v/>
      </c>
      <c s="94" t="str">
        <f t="shared" si="393"/>
        <v/>
      </c>
      <c s="95" t="str">
        <f t="shared" si="418"/>
        <v/>
      </c>
      <c s="98" t="str">
        <f t="shared" si="401"/>
        <v/>
      </c>
      <c s="97" t="str">
        <f t="array" ref="DC96">IFERROR(IF(CW96="ac"+ISNUMBER(SEARCH("'",DB96))+DA96="","",IF(ISNUMBER(SEARCH("lw",DB96)),CO96+SUBSTITUTE(DB96,"lw+",""),MROUND(_xlfn.SWITCH(CW96,"sq",DA$7,"bn",DB$7,"dl",DC$7,"")*IF(DB96&gt;10,DB96/100,VLOOKUP(DB96,_rpe,SUBSTITUTE(DA96,"+","")+1,0)),IF(_xlfn.SWITCH(CW96,"sq",DA$7,"bn",DB$7,"dl",DC$7,"")&lt;IF(_uom="lbs",175,80),1.25,IF(_uom="lbs",5,2.5))))),"")</f>
        <v/>
      </c>
      <c s="70"/>
      <c s="63"/>
      <c s="97"/>
      <c s="44" t="str">
        <f>IFERROR(__xludf.DUMMYFUNCTION("IF(DC96=MAX(FILTER(DC$10:DC$199,LOOKUP(ROW(CW$10:CW$199),FILTER(ROW(CW$10:CW$199),CW$10:CW$199&lt;&gt;CW$9:CW$198))=LOOKUP(ROW(CW96),FILTER(ROW(CW$10:CW$199),CW$10:CW$199&lt;&gt;CW$9:CW$198)))),DD96,)"),"")</f>
        <v/>
      </c>
      <c s="42"/>
      <c s="63"/>
      <c s="64" t="str">
        <f t="shared" si="30"/>
        <v/>
      </c>
      <c s="65" t="str">
        <f>IFERROR(__xludf.DUMMYFUNCTION("""COMPUTED_VALUE"""),"")</f>
        <v/>
      </c>
      <c s="66">
        <f ca="1"/>
        <v>45264</v>
      </c>
      <c s="93" t="str">
        <f t="shared" si="46"/>
        <v/>
      </c>
      <c s="94" t="str">
        <f t="shared" si="394"/>
        <v/>
      </c>
      <c s="95" t="str">
        <f t="shared" si="419"/>
        <v/>
      </c>
      <c s="98" t="str">
        <f t="shared" si="420"/>
        <v/>
      </c>
      <c s="97" t="str">
        <f t="array" ref="DQ96">IFERROR(IF(DK96="ac"+ISNUMBER(SEARCH("'",DP96))+DO96="","",IF(ISNUMBER(SEARCH("lw",DP96)),DC96+SUBSTITUTE(DP96,"lw+",""),MROUND(_xlfn.SWITCH(DK96,"sq",DO$7,"bn",DP$7,"dl",DQ$7,"")*IF(DP96&gt;10,DP96/100,VLOOKUP(DP96,_rpe,SUBSTITUTE(DO96,"+","")+1,0)),IF(_xlfn.SWITCH(DK96,"sq",DO$7,"bn",DP$7,"dl",DQ$7,"")&lt;IF(_uom="lbs",175,80),1.25,IF(_uom="lbs",5,2.5))))),"")</f>
        <v/>
      </c>
      <c s="70"/>
      <c s="63"/>
      <c s="97"/>
      <c s="44" t="str">
        <f>IFERROR(__xludf.DUMMYFUNCTION("IF(DQ96=MAX(FILTER(DQ$10:DQ$199,LOOKUP(ROW(DK$10:DK$199),FILTER(ROW(DK$10:DK$199),DK$10:DK$199&lt;&gt;DK$9:DK$198))=LOOKUP(ROW(DK96),FILTER(ROW(DK$10:DK$199),DK$10:DK$199&lt;&gt;DK$9:DK$198)))),DR96,)"),"")</f>
        <v/>
      </c>
      <c s="42"/>
      <c s="63"/>
      <c s="64" t="str">
        <f t="shared" si="32"/>
        <v/>
      </c>
      <c s="65" t="str">
        <f>IFERROR(__xludf.DUMMYFUNCTION("""COMPUTED_VALUE"""),"")</f>
        <v/>
      </c>
      <c s="66">
        <f ca="1"/>
        <v>45271</v>
      </c>
      <c s="93" t="str">
        <f t="shared" si="47"/>
        <v/>
      </c>
      <c s="94" t="str">
        <f t="shared" si="405"/>
        <v/>
      </c>
      <c s="95" t="str">
        <f t="shared" si="421"/>
        <v/>
      </c>
      <c s="98" t="str">
        <f t="shared" si="422"/>
        <v/>
      </c>
      <c s="97" t="str">
        <f t="array" ref="EE96">IFERROR(IF(DY96="ac"+ISNUMBER(SEARCH("'",ED96))+EC96="","",IF(ISNUMBER(SEARCH("lw",ED96)),DQ96+SUBSTITUTE(ED96,"lw+",""),MROUND(_xlfn.SWITCH(DY96,"sq",EC$7,"bn",ED$7,"dl",EE$7,"")*IF(ED96&gt;10,ED96/100,VLOOKUP(ED96,_rpe,SUBSTITUTE(EC96,"+","")+1,0)),IF(_xlfn.SWITCH(DY96,"sq",EC$7,"bn",ED$7,"dl",EE$7,"")&lt;IF(_uom="lbs",175,80),1.25,IF(_uom="lbs",5,2.5))))),"")</f>
        <v/>
      </c>
      <c s="70"/>
      <c s="63"/>
      <c s="97"/>
      <c s="44" t="str">
        <f>IFERROR(__xludf.DUMMYFUNCTION("IF(EE96=MAX(FILTER(EE$10:EE$199,LOOKUP(ROW(DY$10:DY$199),FILTER(ROW(DY$10:DY$199),DY$10:DY$199&lt;&gt;DY$9:DY$198))=LOOKUP(ROW(DY96),FILTER(ROW(DY$10:DY$199),DY$10:DY$199&lt;&gt;DY$9:DY$198)))),EF96,)"),"")</f>
        <v/>
      </c>
      <c s="42"/>
      <c s="63"/>
      <c s="64" t="str">
        <f t="shared" si="34"/>
        <v/>
      </c>
      <c s="65" t="str">
        <f>IFERROR(__xludf.DUMMYFUNCTION("""COMPUTED_VALUE"""),"")</f>
        <v/>
      </c>
      <c s="66">
        <f ca="1"/>
        <v>45278</v>
      </c>
      <c s="93" t="str">
        <f t="shared" si="48"/>
        <v/>
      </c>
      <c s="94" t="str">
        <f t="shared" si="395"/>
        <v/>
      </c>
      <c s="95" t="str">
        <f t="shared" si="423"/>
        <v/>
      </c>
      <c s="98" t="str">
        <f t="shared" si="402"/>
        <v/>
      </c>
      <c s="97" t="str">
        <f t="array" ref="ES96">IFERROR(IF(EM96="ac"+ISNUMBER(SEARCH("'",ER96))+EQ96="","",IF(ISNUMBER(SEARCH("lw",ER96)),EE96+SUBSTITUTE(ER96,"lw+",""),MROUND(_xlfn.SWITCH(EM96,"sq",EQ$7,"bn",ER$7,"dl",ES$7,"")*IF(ER96&gt;10,ER96/100,VLOOKUP(ER96,_rpe,SUBSTITUTE(EQ96,"+","")+1,0)),IF(_xlfn.SWITCH(EM96,"sq",EQ$7,"bn",ER$7,"dl",ES$7,"")&lt;IF(_uom="lbs",175,80),1.25,IF(_uom="lbs",5,2.5))))),"")</f>
        <v/>
      </c>
      <c s="70"/>
      <c s="63"/>
      <c s="97"/>
      <c s="44" t="str">
        <f>IFERROR(__xludf.DUMMYFUNCTION("IF(ES96=MAX(FILTER(ES$10:ES$199,LOOKUP(ROW(EM$10:EM$199),FILTER(ROW(EM$10:EM$199),EM$10:EM$199&lt;&gt;EM$9:EM$198))=LOOKUP(ROW(EM96),FILTER(ROW(EM$10:EM$199),EM$10:EM$199&lt;&gt;EM$9:EM$198)))),ET96,)"),"")</f>
        <v/>
      </c>
      <c s="42"/>
      <c s="63"/>
      <c s="64" t="str">
        <f t="shared" si="36"/>
        <v/>
      </c>
      <c s="65" t="str">
        <f>IFERROR(__xludf.DUMMYFUNCTION("""COMPUTED_VALUE"""),"")</f>
        <v/>
      </c>
      <c s="66">
        <f ca="1"/>
        <v>45285</v>
      </c>
      <c s="93" t="str">
        <f t="shared" si="49"/>
        <v/>
      </c>
      <c s="94" t="str">
        <f t="shared" si="396"/>
        <v/>
      </c>
      <c s="95" t="str">
        <f t="shared" si="424"/>
        <v/>
      </c>
      <c s="98" t="str">
        <f t="shared" si="403"/>
        <v/>
      </c>
      <c s="97" t="str">
        <f t="array" ref="FG96">IFERROR(IF(FA96="ac"+ISNUMBER(SEARCH("'",FF96))+FE96="","",IF(ISNUMBER(SEARCH("lw",FF96)),ES96+SUBSTITUTE(FF96,"lw+",""),MROUND(_xlfn.SWITCH(FA96,"sq",FE$7,"bn",FF$7,"dl",FG$7,"")*IF(FF96&gt;10,FF96/100,VLOOKUP(FF96,_rpe,SUBSTITUTE(FE96,"+","")+1,0)),IF(_xlfn.SWITCH(FA96,"sq",FE$7,"bn",FF$7,"dl",FG$7,"")&lt;IF(_uom="lbs",175,80),1.25,IF(_uom="lbs",5,2.5))))),"")</f>
        <v/>
      </c>
      <c s="70"/>
      <c s="63"/>
      <c s="97"/>
      <c s="44" t="str">
        <f>IFERROR(__xludf.DUMMYFUNCTION("IF(FG96=MAX(FILTER(FG$10:FG$199,LOOKUP(ROW(FA$10:FA$199),FILTER(ROW(FA$10:FA$199),FA$10:FA$199&lt;&gt;FA$9:FA$198))=LOOKUP(ROW(FA96),FILTER(ROW(FA$10:FA$199),FA$10:FA$199&lt;&gt;FA$9:FA$198)))),FH96,)"),"")</f>
        <v/>
      </c>
      <c s="42"/>
      <c s="63"/>
      <c s="64" t="str">
        <f t="shared" si="38"/>
        <v/>
      </c>
      <c s="65" t="str">
        <f>IFERROR(__xludf.DUMMYFUNCTION("""COMPUTED_VALUE"""),"")</f>
        <v/>
      </c>
      <c s="66">
        <f ca="1"/>
        <v>45292</v>
      </c>
      <c s="93" t="str">
        <f t="shared" si="440" ref="FQ96:FR96">IF(ISBLANK(FC96),"",FC96)</f>
        <v/>
      </c>
      <c s="94" t="str">
        <f t="shared" si="440"/>
        <v/>
      </c>
      <c s="95" t="str">
        <f t="shared" si="428"/>
        <v/>
      </c>
      <c s="98" t="str">
        <f t="shared" si="429"/>
        <v/>
      </c>
      <c s="97" t="str">
        <f t="array" ref="FU96">IFERROR(IF(FO96="ac"+ISNUMBER(SEARCH("'",FT96))+FS96="","",IF(ISNUMBER(SEARCH("lw",FT96)),FG96+SUBSTITUTE(FT96,"lw+",""),MROUND(_xlfn.SWITCH(FO96,"sq",FS$7,"bn",FT$7,"dl",FU$7,"")*IF(FT96&gt;10,FT96/100,VLOOKUP(FT96,_rpe,SUBSTITUTE(FS96,"+","")+1,0)),IF(_xlfn.SWITCH(FO96,"sq",FS$7,"bn",FT$7,"dl",FU$7,"")&lt;IF(_uom="lbs",175,80),1.25,IF(_uom="lbs",5,2.5))))),"")</f>
        <v/>
      </c>
      <c s="70"/>
      <c s="63"/>
      <c s="97"/>
      <c s="44" t="str">
        <f>IFERROR(__xludf.DUMMYFUNCTION("IF(FU96=MAX(FILTER(FU$10:FU$199,LOOKUP(ROW(FO$10:FO$199),FILTER(ROW(FO$10:FO$199),FO$10:FO$199&lt;&gt;FO$9:FO$198))=LOOKUP(ROW(FO96),FILTER(ROW(FO$10:FO$199),FO$10:FO$199&lt;&gt;FO$9:FO$198)))),FV96,)"),"")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97" spans="1:259" ht="15.75">
      <c r="A97" s="63"/>
      <c s="107"/>
      <c s="65" t="str">
        <f>IFERROR(__xludf.DUMMYFUNCTION("""COMPUTED_VALUE"""),"")</f>
        <v/>
      </c>
      <c s="66">
        <f ca="1"/>
        <v>45208</v>
      </c>
      <c s="93"/>
      <c s="94"/>
      <c s="95"/>
      <c s="96"/>
      <c s="97" t="str">
        <f t="array" ref="I97">IFERROR(IF(C97="ac"+ISNUMBER(SEARCH("'",H97))+G97="","",MROUND(_xlfn.SWITCH(C97,"sq",'Personal Info'!$O$15,"bn",'Personal Info'!$S$15,"dl",'Personal Info'!$W$15,"")*IF(H97&gt;10,H97/100,VLOOKUP(H97,_rpe,SUBSTITUTE(G97,"+","")+1,0)),IF(_xlfn.SWITCH(C97:C210,"sq",'Personal Info'!$O$15,"bn",'Personal Info'!$S$15,"dl",'Personal Info'!$W$15,"")&lt;IF(_uom="lbs",175,80),1.25,IF(_uom="lbs",5,2.5)))),"")</f>
        <v/>
      </c>
      <c s="70"/>
      <c s="63"/>
      <c s="97"/>
      <c s="44" t="str">
        <f>IFERROR(__xludf.DUMMYFUNCTION("IF(I97=MAX(FILTER(I$10:I$199,LOOKUP(ROW(C$10:C$199),FILTER(ROW(C$10:C$199),C$10:C$199&lt;&gt;C$9:C$198))=LOOKUP(ROW(C97),FILTER(ROW(C$10:C$199),C$10:C$199&lt;&gt;C$9:C$198)))),J97,)"),"")</f>
        <v/>
      </c>
      <c s="42"/>
      <c s="63"/>
      <c s="64" t="str">
        <f t="shared" si="11"/>
        <v/>
      </c>
      <c s="65" t="str">
        <f>IFERROR(__xludf.DUMMYFUNCTION("""COMPUTED_VALUE"""),"")</f>
        <v/>
      </c>
      <c s="66">
        <f ca="1"/>
        <v>45215</v>
      </c>
      <c s="93" t="str">
        <f t="shared" si="12"/>
        <v/>
      </c>
      <c s="94" t="str">
        <f t="shared" si="404"/>
        <v/>
      </c>
      <c s="95" t="str">
        <f t="shared" si="406"/>
        <v/>
      </c>
      <c s="98" t="str">
        <f t="shared" si="407"/>
        <v/>
      </c>
      <c s="97" t="str">
        <f t="array" ref="W97">IFERROR(IF(Q97="ac"+ISNUMBER(SEARCH("'",V97))+U97="","",IF(ISNUMBER(SEARCH("lw",V97)),I97+SUBSTITUTE(V97,"lw+",""),MROUND(_xlfn.SWITCH(Q97,"sq",U$7,"bn",V$7,"dl",W$7,"")*IF(V97&gt;10,V97/100,VLOOKUP(V97,_rpe,SUBSTITUTE(U97,"+","")+1,0)),IF(_xlfn.SWITCH(Q97,"sq",U$7,"bn",V$7,"dl",W$7,"")&lt;IF(_uom="lbs",175,80),1.25,IF(_uom="lbs",5,2.5))))),"")</f>
        <v/>
      </c>
      <c s="70"/>
      <c s="63"/>
      <c s="97"/>
      <c s="44" t="str">
        <f>IFERROR(__xludf.DUMMYFUNCTION("IF(W97=MAX(FILTER(W$10:W$199,LOOKUP(ROW(Q$10:Q$199),FILTER(ROW(Q$10:Q$199),Q$10:Q$199&lt;&gt;Q$9:Q$198))=LOOKUP(ROW(Q97),FILTER(ROW(Q$10:Q$199),Q$10:Q$199&lt;&gt;Q$9:Q$198)))),X97,)"),"")</f>
        <v/>
      </c>
      <c s="42"/>
      <c s="63"/>
      <c s="64" t="str">
        <f t="shared" si="14"/>
        <v/>
      </c>
      <c s="65" t="str">
        <f>IFERROR(__xludf.DUMMYFUNCTION("""COMPUTED_VALUE"""),"")</f>
        <v/>
      </c>
      <c s="66">
        <f ca="1"/>
        <v>45222</v>
      </c>
      <c s="93" t="str">
        <f t="shared" si="156"/>
        <v/>
      </c>
      <c s="94" t="str">
        <f t="shared" si="397"/>
        <v/>
      </c>
      <c s="95" t="str">
        <f t="shared" si="408"/>
        <v/>
      </c>
      <c s="98" t="str">
        <f t="shared" si="398"/>
        <v/>
      </c>
      <c s="97" t="str">
        <f t="array" ref="AK97">IFERROR(IF(AE97="ac"+ISNUMBER(SEARCH("'",AJ97))+AI97="","",IF(ISNUMBER(SEARCH("lw",AJ97)),W97+SUBSTITUTE(AJ97,"lw+",""),MROUND(_xlfn.SWITCH(AE97,"sq",AI$7,"bn",AJ$7,"dl",AK$7,"")*IF(AJ97&gt;10,AJ97/100,VLOOKUP(AJ97,_rpe,SUBSTITUTE(AI97,"+","")+1,0)),IF(_xlfn.SWITCH(AE97,"sq",AI$7,"bn",AJ$7,"dl",AK$7,"")&lt;IF(_uom="lbs",175,80),1.25,IF(_uom="lbs",5,2.5))))),"")</f>
        <v/>
      </c>
      <c s="70"/>
      <c s="63"/>
      <c s="97"/>
      <c s="44" t="str">
        <f>IFERROR(__xludf.DUMMYFUNCTION("IF(AK97=MAX(FILTER(AK$10:AK$199,LOOKUP(ROW(AE$10:AE$199),FILTER(ROW(AE$10:AE$199),AE$10:AE$199&lt;&gt;AE$9:AE$198))=LOOKUP(ROW(AE97),FILTER(ROW(AE$10:AE$199),AE$10:AE$199&lt;&gt;AE$9:AE$198)))),AL97,)"),"")</f>
        <v/>
      </c>
      <c s="42"/>
      <c s="63"/>
      <c s="64" t="str">
        <f t="shared" si="17"/>
        <v/>
      </c>
      <c s="65" t="str">
        <f>IFERROR(__xludf.DUMMYFUNCTION("""COMPUTED_VALUE"""),"")</f>
        <v/>
      </c>
      <c s="66">
        <f ca="1"/>
        <v>45229</v>
      </c>
      <c s="93" t="str">
        <f t="shared" si="157"/>
        <v/>
      </c>
      <c s="94" t="str">
        <f t="shared" si="399"/>
        <v/>
      </c>
      <c s="95" t="str">
        <f t="shared" si="409"/>
        <v/>
      </c>
      <c s="98" t="str">
        <f t="shared" si="400"/>
        <v/>
      </c>
      <c s="97" t="str">
        <f t="array" ref="AY97">IFERROR(IF(AS97="ac"+ISNUMBER(SEARCH("'",AX97))+AW97="","",IF(ISNUMBER(SEARCH("lw",AX97)),AK97+SUBSTITUTE(AX97,"lw+",""),MROUND(_xlfn.SWITCH(AS97,"sq",AW$7,"bn",AX$7,"dl",AY$7,"")*IF(AX97&gt;10,AX97/100,VLOOKUP(AX97,_rpe,SUBSTITUTE(AW97,"+","")+1,0)),IF(_xlfn.SWITCH(AS97,"sq",AW$7,"bn",AX$7,"dl",AY$7,"")&lt;IF(_uom="lbs",175,80),1.25,IF(_uom="lbs",5,2.5))))),"")</f>
        <v/>
      </c>
      <c s="70"/>
      <c s="63"/>
      <c s="97"/>
      <c s="44" t="str">
        <f>IFERROR(__xludf.DUMMYFUNCTION("IF(AY97=MAX(FILTER(AY$10:AY$199,LOOKUP(ROW(AS$10:AS$199),FILTER(ROW(AS$10:AS$199),AS$10:AS$199&lt;&gt;AS$9:AS$198))=LOOKUP(ROW(AS97),FILTER(ROW(AS$10:AS$199),AS$10:AS$199&lt;&gt;AS$9:AS$198)))),AZ97,)"),"")</f>
        <v/>
      </c>
      <c s="42"/>
      <c s="63"/>
      <c s="64" t="str">
        <f t="shared" si="19"/>
        <v/>
      </c>
      <c s="65" t="str">
        <f>IFERROR(__xludf.DUMMYFUNCTION("""COMPUTED_VALUE"""),"")</f>
        <v/>
      </c>
      <c s="66">
        <f ca="1"/>
        <v>45236</v>
      </c>
      <c s="93" t="str">
        <f t="shared" si="20"/>
        <v/>
      </c>
      <c s="94" t="str">
        <f t="shared" si="425"/>
        <v/>
      </c>
      <c s="95" t="str">
        <f t="shared" si="411"/>
        <v/>
      </c>
      <c s="98" t="str">
        <f t="shared" si="412"/>
        <v/>
      </c>
      <c s="97" t="str">
        <f t="array" ref="BM97">IFERROR(IF(BG97="ac"+ISNUMBER(SEARCH("'",BL97))+BK97="","",IF(ISNUMBER(SEARCH("lw",BL97)),AY97+SUBSTITUTE(BL97,"lw+",""),MROUND(_xlfn.SWITCH(BG97,"sq",BK$7,"bn",BL$7,"dl",BM$7,"")*IF(BL97&gt;10,BL97/100,VLOOKUP(BL97,_rpe,SUBSTITUTE(BK97,"+","")+1,0)),IF(_xlfn.SWITCH(BG97,"sq",BK$7,"bn",BL$7,"dl",BM$7,"")&lt;IF(_uom="lbs",175,80),1.25,IF(_uom="lbs",5,2.5))))),"")</f>
        <v/>
      </c>
      <c s="70"/>
      <c s="63"/>
      <c s="97"/>
      <c s="44" t="str">
        <f>IFERROR(__xludf.DUMMYFUNCTION("IF(BM97=MAX(FILTER(BM$10:BM$199,LOOKUP(ROW(BG$10:BG$199),FILTER(ROW(BG$10:BG$199),BG$10:BG$199&lt;&gt;BG$9:BG$198))=LOOKUP(ROW(BG97),FILTER(ROW(BG$10:BG$199),BG$10:BG$199&lt;&gt;BG$9:BG$198)))),BN97,)"),"")</f>
        <v/>
      </c>
      <c s="42"/>
      <c s="63"/>
      <c s="64" t="str">
        <f t="shared" si="21"/>
        <v/>
      </c>
      <c s="65" t="str">
        <f>IFERROR(__xludf.DUMMYFUNCTION("""COMPUTED_VALUE"""),"")</f>
        <v/>
      </c>
      <c s="66">
        <f ca="1"/>
        <v>45243</v>
      </c>
      <c s="93" t="str">
        <f t="shared" si="22"/>
        <v/>
      </c>
      <c s="94" t="str">
        <f t="shared" si="426"/>
        <v/>
      </c>
      <c s="95" t="str">
        <f t="shared" si="414"/>
        <v/>
      </c>
      <c s="98" t="str">
        <f t="shared" si="415"/>
        <v/>
      </c>
      <c s="97" t="str">
        <f t="array" ref="CA97">IFERROR(IF(BU97="ac"+ISNUMBER(SEARCH("'",BZ97))+BY97="","",IF(ISNUMBER(SEARCH("lw",BZ97)),BM97+SUBSTITUTE(BZ97,"lw+",""),MROUND(_xlfn.SWITCH(BU97,"sq",BY$7,"bn",BZ$7,"dl",CA$7,"")*IF(BZ97&gt;10,BZ97/100,VLOOKUP(BZ97,_rpe,SUBSTITUTE(BY97,"+","")+1,0)),IF(_xlfn.SWITCH(BU97,"sq",BY$7,"bn",BZ$7,"dl",CA$7,"")&lt;IF(_uom="lbs",175,80),1.25,IF(_uom="lbs",5,2.5))))),"")</f>
        <v/>
      </c>
      <c s="70"/>
      <c s="63"/>
      <c s="97"/>
      <c s="44" t="str">
        <f>IFERROR(__xludf.DUMMYFUNCTION("IF(CA97=MAX(FILTER(CA$10:CA$199,LOOKUP(ROW(BU$10:BU$199),FILTER(ROW(BU$10:BU$199),BU$10:BU$199&lt;&gt;BU$9:BU$198))=LOOKUP(ROW(BU97),FILTER(ROW(BU$10:BU$199),BU$10:BU$199&lt;&gt;BU$9:BU$198)))),CB97,)"),"")</f>
        <v/>
      </c>
      <c s="42"/>
      <c s="63"/>
      <c s="64" t="str">
        <f t="shared" si="24"/>
        <v/>
      </c>
      <c s="65" t="str">
        <f>IFERROR(__xludf.DUMMYFUNCTION("""COMPUTED_VALUE"""),"")</f>
        <v/>
      </c>
      <c s="66">
        <f ca="1"/>
        <v>45250</v>
      </c>
      <c s="93" t="str">
        <f t="shared" si="44"/>
        <v/>
      </c>
      <c s="94" t="str">
        <f t="shared" si="392"/>
        <v/>
      </c>
      <c s="95" t="str">
        <f t="shared" si="416"/>
        <v/>
      </c>
      <c s="98" t="str">
        <f t="shared" si="417"/>
        <v/>
      </c>
      <c s="97" t="str">
        <f t="array" ref="CO97">IFERROR(IF(CI97="ac"+ISNUMBER(SEARCH("'",CN97))+CM97="","",IF(ISNUMBER(SEARCH("lw",CN97)),CA97+SUBSTITUTE(CN97,"lw+",""),MROUND(_xlfn.SWITCH(CI97,"sq",CM$7,"bn",CN$7,"dl",CO$7,"")*IF(CN97&gt;10,CN97/100,VLOOKUP(CN97,_rpe,SUBSTITUTE(CM97,"+","")+1,0)),IF(_xlfn.SWITCH(CI97,"sq",CM$7,"bn",CN$7,"dl",CO$7,"")&lt;IF(_uom="lbs",175,80),1.25,IF(_uom="lbs",5,2.5))))),"")</f>
        <v/>
      </c>
      <c s="70"/>
      <c s="63"/>
      <c s="97"/>
      <c s="44" t="str">
        <f>IFERROR(__xludf.DUMMYFUNCTION("IF(CO97=MAX(FILTER(CO$10:CO$199,LOOKUP(ROW(CI$10:CI$199),FILTER(ROW(CI$10:CI$199),CI$10:CI$199&lt;&gt;CI$9:CI$198))=LOOKUP(ROW(CI97),FILTER(ROW(CI$10:CI$199),CI$10:CI$199&lt;&gt;CI$9:CI$198)))),CP97,)"),"")</f>
        <v/>
      </c>
      <c s="42"/>
      <c s="63"/>
      <c s="64" t="str">
        <f t="shared" si="27"/>
        <v/>
      </c>
      <c s="65" t="str">
        <f>IFERROR(__xludf.DUMMYFUNCTION("""COMPUTED_VALUE"""),"")</f>
        <v/>
      </c>
      <c s="66">
        <f ca="1"/>
        <v>45257</v>
      </c>
      <c s="93" t="str">
        <f t="shared" si="45"/>
        <v/>
      </c>
      <c s="94" t="str">
        <f t="shared" si="393"/>
        <v/>
      </c>
      <c s="95" t="str">
        <f t="shared" si="418"/>
        <v/>
      </c>
      <c s="98" t="str">
        <f t="shared" si="401"/>
        <v/>
      </c>
      <c s="97" t="str">
        <f t="array" ref="DC97">IFERROR(IF(CW97="ac"+ISNUMBER(SEARCH("'",DB97))+DA97="","",IF(ISNUMBER(SEARCH("lw",DB97)),CO97+SUBSTITUTE(DB97,"lw+",""),MROUND(_xlfn.SWITCH(CW97,"sq",DA$7,"bn",DB$7,"dl",DC$7,"")*IF(DB97&gt;10,DB97/100,VLOOKUP(DB97,_rpe,SUBSTITUTE(DA97,"+","")+1,0)),IF(_xlfn.SWITCH(CW97,"sq",DA$7,"bn",DB$7,"dl",DC$7,"")&lt;IF(_uom="lbs",175,80),1.25,IF(_uom="lbs",5,2.5))))),"")</f>
        <v/>
      </c>
      <c s="70"/>
      <c s="63"/>
      <c s="97"/>
      <c s="44" t="str">
        <f>IFERROR(__xludf.DUMMYFUNCTION("IF(DC97=MAX(FILTER(DC$10:DC$199,LOOKUP(ROW(CW$10:CW$199),FILTER(ROW(CW$10:CW$199),CW$10:CW$199&lt;&gt;CW$9:CW$198))=LOOKUP(ROW(CW97),FILTER(ROW(CW$10:CW$199),CW$10:CW$199&lt;&gt;CW$9:CW$198)))),DD97,)"),"")</f>
        <v/>
      </c>
      <c s="42"/>
      <c s="63"/>
      <c s="64" t="str">
        <f t="shared" si="30"/>
        <v/>
      </c>
      <c s="65" t="str">
        <f>IFERROR(__xludf.DUMMYFUNCTION("""COMPUTED_VALUE"""),"")</f>
        <v/>
      </c>
      <c s="66">
        <f ca="1"/>
        <v>45264</v>
      </c>
      <c s="93" t="str">
        <f t="shared" si="46"/>
        <v/>
      </c>
      <c s="94" t="str">
        <f t="shared" si="394"/>
        <v/>
      </c>
      <c s="95" t="str">
        <f t="shared" si="419"/>
        <v/>
      </c>
      <c s="98" t="str">
        <f t="shared" si="420"/>
        <v/>
      </c>
      <c s="97" t="str">
        <f t="array" ref="DQ97">IFERROR(IF(DK97="ac"+ISNUMBER(SEARCH("'",DP97))+DO97="","",IF(ISNUMBER(SEARCH("lw",DP97)),DC97+SUBSTITUTE(DP97,"lw+",""),MROUND(_xlfn.SWITCH(DK97,"sq",DO$7,"bn",DP$7,"dl",DQ$7,"")*IF(DP97&gt;10,DP97/100,VLOOKUP(DP97,_rpe,SUBSTITUTE(DO97,"+","")+1,0)),IF(_xlfn.SWITCH(DK97,"sq",DO$7,"bn",DP$7,"dl",DQ$7,"")&lt;IF(_uom="lbs",175,80),1.25,IF(_uom="lbs",5,2.5))))),"")</f>
        <v/>
      </c>
      <c s="70"/>
      <c s="63"/>
      <c s="97"/>
      <c s="44" t="str">
        <f>IFERROR(__xludf.DUMMYFUNCTION("IF(DQ97=MAX(FILTER(DQ$10:DQ$199,LOOKUP(ROW(DK$10:DK$199),FILTER(ROW(DK$10:DK$199),DK$10:DK$199&lt;&gt;DK$9:DK$198))=LOOKUP(ROW(DK97),FILTER(ROW(DK$10:DK$199),DK$10:DK$199&lt;&gt;DK$9:DK$198)))),DR97,)"),"")</f>
        <v/>
      </c>
      <c s="42"/>
      <c s="63"/>
      <c s="64" t="str">
        <f t="shared" si="32"/>
        <v/>
      </c>
      <c s="65" t="str">
        <f>IFERROR(__xludf.DUMMYFUNCTION("""COMPUTED_VALUE"""),"")</f>
        <v/>
      </c>
      <c s="66">
        <f ca="1"/>
        <v>45271</v>
      </c>
      <c s="93" t="str">
        <f t="shared" si="47"/>
        <v/>
      </c>
      <c s="94" t="str">
        <f t="shared" si="405"/>
        <v/>
      </c>
      <c s="95" t="str">
        <f t="shared" si="421"/>
        <v/>
      </c>
      <c s="98" t="str">
        <f t="shared" si="422"/>
        <v/>
      </c>
      <c s="97" t="str">
        <f t="array" ref="EE97">IFERROR(IF(DY97="ac"+ISNUMBER(SEARCH("'",ED97))+EC97="","",IF(ISNUMBER(SEARCH("lw",ED97)),DQ97+SUBSTITUTE(ED97,"lw+",""),MROUND(_xlfn.SWITCH(DY97,"sq",EC$7,"bn",ED$7,"dl",EE$7,"")*IF(ED97&gt;10,ED97/100,VLOOKUP(ED97,_rpe,SUBSTITUTE(EC97,"+","")+1,0)),IF(_xlfn.SWITCH(DY97,"sq",EC$7,"bn",ED$7,"dl",EE$7,"")&lt;IF(_uom="lbs",175,80),1.25,IF(_uom="lbs",5,2.5))))),"")</f>
        <v/>
      </c>
      <c s="70"/>
      <c s="63"/>
      <c s="97"/>
      <c s="44" t="str">
        <f>IFERROR(__xludf.DUMMYFUNCTION("IF(EE97=MAX(FILTER(EE$10:EE$199,LOOKUP(ROW(DY$10:DY$199),FILTER(ROW(DY$10:DY$199),DY$10:DY$199&lt;&gt;DY$9:DY$198))=LOOKUP(ROW(DY97),FILTER(ROW(DY$10:DY$199),DY$10:DY$199&lt;&gt;DY$9:DY$198)))),EF97,)"),"")</f>
        <v/>
      </c>
      <c s="42"/>
      <c s="63"/>
      <c s="64" t="str">
        <f t="shared" si="34"/>
        <v/>
      </c>
      <c s="65" t="str">
        <f>IFERROR(__xludf.DUMMYFUNCTION("""COMPUTED_VALUE"""),"")</f>
        <v/>
      </c>
      <c s="66">
        <f ca="1"/>
        <v>45278</v>
      </c>
      <c s="93" t="str">
        <f t="shared" si="48"/>
        <v/>
      </c>
      <c s="94" t="str">
        <f t="shared" si="395"/>
        <v/>
      </c>
      <c s="95" t="str">
        <f t="shared" si="423"/>
        <v/>
      </c>
      <c s="98" t="str">
        <f t="shared" si="402"/>
        <v/>
      </c>
      <c s="97" t="str">
        <f t="array" ref="ES97">IFERROR(IF(EM97="ac"+ISNUMBER(SEARCH("'",ER97))+EQ97="","",IF(ISNUMBER(SEARCH("lw",ER97)),EE97+SUBSTITUTE(ER97,"lw+",""),MROUND(_xlfn.SWITCH(EM97,"sq",EQ$7,"bn",ER$7,"dl",ES$7,"")*IF(ER97&gt;10,ER97/100,VLOOKUP(ER97,_rpe,SUBSTITUTE(EQ97,"+","")+1,0)),IF(_xlfn.SWITCH(EM97,"sq",EQ$7,"bn",ER$7,"dl",ES$7,"")&lt;IF(_uom="lbs",175,80),1.25,IF(_uom="lbs",5,2.5))))),"")</f>
        <v/>
      </c>
      <c s="70"/>
      <c s="63"/>
      <c s="97"/>
      <c s="44" t="str">
        <f>IFERROR(__xludf.DUMMYFUNCTION("IF(ES97=MAX(FILTER(ES$10:ES$199,LOOKUP(ROW(EM$10:EM$199),FILTER(ROW(EM$10:EM$199),EM$10:EM$199&lt;&gt;EM$9:EM$198))=LOOKUP(ROW(EM97),FILTER(ROW(EM$10:EM$199),EM$10:EM$199&lt;&gt;EM$9:EM$198)))),ET97,)"),"")</f>
        <v/>
      </c>
      <c s="42"/>
      <c s="63"/>
      <c s="64" t="str">
        <f t="shared" si="36"/>
        <v/>
      </c>
      <c s="65" t="str">
        <f>IFERROR(__xludf.DUMMYFUNCTION("""COMPUTED_VALUE"""),"")</f>
        <v/>
      </c>
      <c s="66">
        <f ca="1"/>
        <v>45285</v>
      </c>
      <c s="93" t="str">
        <f t="shared" si="49"/>
        <v/>
      </c>
      <c s="94" t="str">
        <f t="shared" si="396"/>
        <v/>
      </c>
      <c s="95" t="str">
        <f t="shared" si="424"/>
        <v/>
      </c>
      <c s="98" t="str">
        <f t="shared" si="403"/>
        <v/>
      </c>
      <c s="97" t="str">
        <f t="array" ref="FG97">IFERROR(IF(FA97="ac"+ISNUMBER(SEARCH("'",FF97))+FE97="","",IF(ISNUMBER(SEARCH("lw",FF97)),ES97+SUBSTITUTE(FF97,"lw+",""),MROUND(_xlfn.SWITCH(FA97,"sq",FE$7,"bn",FF$7,"dl",FG$7,"")*IF(FF97&gt;10,FF97/100,VLOOKUP(FF97,_rpe,SUBSTITUTE(FE97,"+","")+1,0)),IF(_xlfn.SWITCH(FA97,"sq",FE$7,"bn",FF$7,"dl",FG$7,"")&lt;IF(_uom="lbs",175,80),1.25,IF(_uom="lbs",5,2.5))))),"")</f>
        <v/>
      </c>
      <c s="70"/>
      <c s="63"/>
      <c s="97"/>
      <c s="44" t="str">
        <f>IFERROR(__xludf.DUMMYFUNCTION("IF(FG97=MAX(FILTER(FG$10:FG$199,LOOKUP(ROW(FA$10:FA$199),FILTER(ROW(FA$10:FA$199),FA$10:FA$199&lt;&gt;FA$9:FA$198))=LOOKUP(ROW(FA97),FILTER(ROW(FA$10:FA$199),FA$10:FA$199&lt;&gt;FA$9:FA$198)))),FH97,)"),"")</f>
        <v/>
      </c>
      <c s="42"/>
      <c s="63"/>
      <c s="64" t="str">
        <f t="shared" si="38"/>
        <v/>
      </c>
      <c s="65" t="str">
        <f>IFERROR(__xludf.DUMMYFUNCTION("""COMPUTED_VALUE"""),"")</f>
        <v/>
      </c>
      <c s="66">
        <f ca="1"/>
        <v>45292</v>
      </c>
      <c s="93" t="str">
        <f t="shared" si="441" ref="FQ97:FR97">IF(ISBLANK(FC97),"",FC97)</f>
        <v/>
      </c>
      <c s="94" t="str">
        <f t="shared" si="441"/>
        <v/>
      </c>
      <c s="95" t="str">
        <f t="shared" si="428"/>
        <v/>
      </c>
      <c s="98" t="str">
        <f t="shared" si="429"/>
        <v/>
      </c>
      <c s="97" t="str">
        <f t="array" ref="FU97">IFERROR(IF(FO97="ac"+ISNUMBER(SEARCH("'",FT97))+FS97="","",IF(ISNUMBER(SEARCH("lw",FT97)),FG97+SUBSTITUTE(FT97,"lw+",""),MROUND(_xlfn.SWITCH(FO97,"sq",FS$7,"bn",FT$7,"dl",FU$7,"")*IF(FT97&gt;10,FT97/100,VLOOKUP(FT97,_rpe,SUBSTITUTE(FS97,"+","")+1,0)),IF(_xlfn.SWITCH(FO97,"sq",FS$7,"bn",FT$7,"dl",FU$7,"")&lt;IF(_uom="lbs",175,80),1.25,IF(_uom="lbs",5,2.5))))),"")</f>
        <v/>
      </c>
      <c s="70"/>
      <c s="63"/>
      <c s="97"/>
      <c s="44" t="str">
        <f>IFERROR(__xludf.DUMMYFUNCTION("IF(FU97=MAX(FILTER(FU$10:FU$199,LOOKUP(ROW(FO$10:FO$199),FILTER(ROW(FO$10:FO$199),FO$10:FO$199&lt;&gt;FO$9:FO$198))=LOOKUP(ROW(FO97),FILTER(ROW(FO$10:FO$199),FO$10:FO$199&lt;&gt;FO$9:FO$198)))),FV97,)"),"")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98" spans="1:259" ht="15.75" collapsed="1">
      <c r="A98" s="63"/>
      <c s="107"/>
      <c s="65" t="str">
        <f>IFERROR(__xludf.DUMMYFUNCTION("""COMPUTED_VALUE"""),"")</f>
        <v/>
      </c>
      <c s="66">
        <f ca="1"/>
        <v>45208</v>
      </c>
      <c s="108"/>
      <c s="94"/>
      <c s="95"/>
      <c s="96"/>
      <c s="97" t="str">
        <f t="array" ref="I98">IFERROR(IF(C98="ac"+ISNUMBER(SEARCH("'",H98))+G98="","",MROUND(_xlfn.SWITCH(C98,"sq",'Personal Info'!$O$15,"bn",'Personal Info'!$S$15,"dl",'Personal Info'!$W$15,"")*IF(H98&gt;10,H98/100,VLOOKUP(H98,_rpe,SUBSTITUTE(G98,"+","")+1,0)),IF(_xlfn.SWITCH(C98:C210,"sq",'Personal Info'!$O$15,"bn",'Personal Info'!$S$15,"dl",'Personal Info'!$W$15,"")&lt;IF(_uom="lbs",175,80),1.25,IF(_uom="lbs",5,2.5)))),"")</f>
        <v/>
      </c>
      <c s="70"/>
      <c s="63"/>
      <c s="97"/>
      <c s="44" t="str">
        <f>IFERROR(__xludf.DUMMYFUNCTION("IF(I98=MAX(FILTER(I$10:I$199,LOOKUP(ROW(C$10:C$199),FILTER(ROW(C$10:C$199),C$10:C$199&lt;&gt;C$9:C$198))=LOOKUP(ROW(C98),FILTER(ROW(C$10:C$199),C$10:C$199&lt;&gt;C$9:C$198)))),J98,)"),"")</f>
        <v/>
      </c>
      <c s="42"/>
      <c s="63"/>
      <c s="64" t="str">
        <f t="shared" si="11"/>
        <v/>
      </c>
      <c s="65" t="str">
        <f>IFERROR(__xludf.DUMMYFUNCTION("""COMPUTED_VALUE"""),"")</f>
        <v/>
      </c>
      <c s="66">
        <f ca="1"/>
        <v>45215</v>
      </c>
      <c s="93" t="str">
        <f t="shared" si="12"/>
        <v/>
      </c>
      <c s="94" t="str">
        <f t="shared" si="404"/>
        <v/>
      </c>
      <c s="95" t="str">
        <f t="shared" si="406"/>
        <v/>
      </c>
      <c s="98" t="str">
        <f t="shared" si="407"/>
        <v/>
      </c>
      <c s="97" t="str">
        <f t="array" ref="W98">IFERROR(IF(Q98="ac"+ISNUMBER(SEARCH("'",V98))+U98="","",IF(ISNUMBER(SEARCH("lw",V98)),I98+SUBSTITUTE(V98,"lw+",""),MROUND(_xlfn.SWITCH(Q98,"sq",U$7,"bn",V$7,"dl",W$7,"")*IF(V98&gt;10,V98/100,VLOOKUP(V98,_rpe,SUBSTITUTE(U98,"+","")+1,0)),IF(_xlfn.SWITCH(Q98,"sq",U$7,"bn",V$7,"dl",W$7,"")&lt;IF(_uom="lbs",175,80),1.25,IF(_uom="lbs",5,2.5))))),"")</f>
        <v/>
      </c>
      <c s="70"/>
      <c s="63"/>
      <c s="97"/>
      <c s="44" t="str">
        <f>IFERROR(__xludf.DUMMYFUNCTION("IF(W98=MAX(FILTER(W$10:W$199,LOOKUP(ROW(Q$10:Q$199),FILTER(ROW(Q$10:Q$199),Q$10:Q$199&lt;&gt;Q$9:Q$198))=LOOKUP(ROW(Q98),FILTER(ROW(Q$10:Q$199),Q$10:Q$199&lt;&gt;Q$9:Q$198)))),X98,)"),"")</f>
        <v/>
      </c>
      <c s="42"/>
      <c s="63"/>
      <c s="64" t="str">
        <f t="shared" si="14"/>
        <v/>
      </c>
      <c s="65" t="str">
        <f>IFERROR(__xludf.DUMMYFUNCTION("""COMPUTED_VALUE"""),"")</f>
        <v/>
      </c>
      <c s="66">
        <f ca="1"/>
        <v>45222</v>
      </c>
      <c s="93" t="str">
        <f t="shared" si="156"/>
        <v/>
      </c>
      <c s="94" t="str">
        <f t="shared" si="397"/>
        <v/>
      </c>
      <c s="95" t="str">
        <f t="shared" si="408"/>
        <v/>
      </c>
      <c s="98" t="str">
        <f t="shared" si="398"/>
        <v/>
      </c>
      <c s="97" t="str">
        <f t="array" ref="AK98">IFERROR(IF(AE98="ac"+ISNUMBER(SEARCH("'",AJ98))+AI98="","",IF(ISNUMBER(SEARCH("lw",AJ98)),W98+SUBSTITUTE(AJ98,"lw+",""),MROUND(_xlfn.SWITCH(AE98,"sq",AI$7,"bn",AJ$7,"dl",AK$7,"")*IF(AJ98&gt;10,AJ98/100,VLOOKUP(AJ98,_rpe,SUBSTITUTE(AI98,"+","")+1,0)),IF(_xlfn.SWITCH(AE98,"sq",AI$7,"bn",AJ$7,"dl",AK$7,"")&lt;IF(_uom="lbs",175,80),1.25,IF(_uom="lbs",5,2.5))))),"")</f>
        <v/>
      </c>
      <c s="70"/>
      <c s="63"/>
      <c s="97"/>
      <c s="44" t="str">
        <f>IFERROR(__xludf.DUMMYFUNCTION("IF(AK98=MAX(FILTER(AK$10:AK$199,LOOKUP(ROW(AE$10:AE$199),FILTER(ROW(AE$10:AE$199),AE$10:AE$199&lt;&gt;AE$9:AE$198))=LOOKUP(ROW(AE98),FILTER(ROW(AE$10:AE$199),AE$10:AE$199&lt;&gt;AE$9:AE$198)))),AL98,)"),"")</f>
        <v/>
      </c>
      <c s="42"/>
      <c s="63"/>
      <c s="64" t="str">
        <f t="shared" si="17"/>
        <v/>
      </c>
      <c s="65" t="str">
        <f>IFERROR(__xludf.DUMMYFUNCTION("""COMPUTED_VALUE"""),"")</f>
        <v/>
      </c>
      <c s="66">
        <f ca="1"/>
        <v>45229</v>
      </c>
      <c s="93" t="str">
        <f t="shared" si="157"/>
        <v/>
      </c>
      <c s="94" t="str">
        <f t="shared" si="399"/>
        <v/>
      </c>
      <c s="95" t="str">
        <f t="shared" si="409"/>
        <v/>
      </c>
      <c s="98" t="str">
        <f t="shared" si="400"/>
        <v/>
      </c>
      <c s="97" t="str">
        <f t="array" ref="AY98">IFERROR(IF(AS98="ac"+ISNUMBER(SEARCH("'",AX98))+AW98="","",IF(ISNUMBER(SEARCH("lw",AX98)),AK98+SUBSTITUTE(AX98,"lw+",""),MROUND(_xlfn.SWITCH(AS98,"sq",AW$7,"bn",AX$7,"dl",AY$7,"")*IF(AX98&gt;10,AX98/100,VLOOKUP(AX98,_rpe,SUBSTITUTE(AW98,"+","")+1,0)),IF(_xlfn.SWITCH(AS98,"sq",AW$7,"bn",AX$7,"dl",AY$7,"")&lt;IF(_uom="lbs",175,80),1.25,IF(_uom="lbs",5,2.5))))),"")</f>
        <v/>
      </c>
      <c s="70"/>
      <c s="63"/>
      <c s="97"/>
      <c s="44" t="str">
        <f>IFERROR(__xludf.DUMMYFUNCTION("IF(AY98=MAX(FILTER(AY$10:AY$199,LOOKUP(ROW(AS$10:AS$199),FILTER(ROW(AS$10:AS$199),AS$10:AS$199&lt;&gt;AS$9:AS$198))=LOOKUP(ROW(AS98),FILTER(ROW(AS$10:AS$199),AS$10:AS$199&lt;&gt;AS$9:AS$198)))),AZ98,)"),"")</f>
        <v/>
      </c>
      <c s="42"/>
      <c s="63"/>
      <c s="64" t="str">
        <f t="shared" si="19"/>
        <v/>
      </c>
      <c s="65" t="str">
        <f>IFERROR(__xludf.DUMMYFUNCTION("""COMPUTED_VALUE"""),"")</f>
        <v/>
      </c>
      <c s="66">
        <f ca="1"/>
        <v>45236</v>
      </c>
      <c s="93" t="str">
        <f t="shared" si="20"/>
        <v/>
      </c>
      <c s="94" t="str">
        <f t="shared" si="425"/>
        <v/>
      </c>
      <c s="95" t="str">
        <f t="shared" si="411"/>
        <v/>
      </c>
      <c s="98" t="str">
        <f t="shared" si="412"/>
        <v/>
      </c>
      <c s="97" t="str">
        <f t="array" ref="BM98">IFERROR(IF(BG98="ac"+ISNUMBER(SEARCH("'",BL98))+BK98="","",IF(ISNUMBER(SEARCH("lw",BL98)),AY98+SUBSTITUTE(BL98,"lw+",""),MROUND(_xlfn.SWITCH(BG98,"sq",BK$7,"bn",BL$7,"dl",BM$7,"")*IF(BL98&gt;10,BL98/100,VLOOKUP(BL98,_rpe,SUBSTITUTE(BK98,"+","")+1,0)),IF(_xlfn.SWITCH(BG98,"sq",BK$7,"bn",BL$7,"dl",BM$7,"")&lt;IF(_uom="lbs",175,80),1.25,IF(_uom="lbs",5,2.5))))),"")</f>
        <v/>
      </c>
      <c s="70"/>
      <c s="63"/>
      <c s="97"/>
      <c s="44" t="str">
        <f>IFERROR(__xludf.DUMMYFUNCTION("IF(BM98=MAX(FILTER(BM$10:BM$199,LOOKUP(ROW(BG$10:BG$199),FILTER(ROW(BG$10:BG$199),BG$10:BG$199&lt;&gt;BG$9:BG$198))=LOOKUP(ROW(BG98),FILTER(ROW(BG$10:BG$199),BG$10:BG$199&lt;&gt;BG$9:BG$198)))),BN98,)"),"")</f>
        <v/>
      </c>
      <c s="42"/>
      <c s="63"/>
      <c s="64" t="str">
        <f t="shared" si="21"/>
        <v/>
      </c>
      <c s="65" t="str">
        <f>IFERROR(__xludf.DUMMYFUNCTION("""COMPUTED_VALUE"""),"")</f>
        <v/>
      </c>
      <c s="66">
        <f ca="1"/>
        <v>45243</v>
      </c>
      <c s="93" t="str">
        <f t="shared" si="22"/>
        <v/>
      </c>
      <c s="94" t="str">
        <f t="shared" si="426"/>
        <v/>
      </c>
      <c s="95" t="str">
        <f t="shared" si="414"/>
        <v/>
      </c>
      <c s="98" t="str">
        <f t="shared" si="415"/>
        <v/>
      </c>
      <c s="97" t="str">
        <f t="array" ref="CA98">IFERROR(IF(BU98="ac"+ISNUMBER(SEARCH("'",BZ98))+BY98="","",IF(ISNUMBER(SEARCH("lw",BZ98)),BM98+SUBSTITUTE(BZ98,"lw+",""),MROUND(_xlfn.SWITCH(BU98,"sq",BY$7,"bn",BZ$7,"dl",CA$7,"")*IF(BZ98&gt;10,BZ98/100,VLOOKUP(BZ98,_rpe,SUBSTITUTE(BY98,"+","")+1,0)),IF(_xlfn.SWITCH(BU98,"sq",BY$7,"bn",BZ$7,"dl",CA$7,"")&lt;IF(_uom="lbs",175,80),1.25,IF(_uom="lbs",5,2.5))))),"")</f>
        <v/>
      </c>
      <c s="70"/>
      <c s="63"/>
      <c s="97"/>
      <c s="44" t="str">
        <f>IFERROR(__xludf.DUMMYFUNCTION("IF(CA98=MAX(FILTER(CA$10:CA$199,LOOKUP(ROW(BU$10:BU$199),FILTER(ROW(BU$10:BU$199),BU$10:BU$199&lt;&gt;BU$9:BU$198))=LOOKUP(ROW(BU98),FILTER(ROW(BU$10:BU$199),BU$10:BU$199&lt;&gt;BU$9:BU$198)))),CB98,)"),"")</f>
        <v/>
      </c>
      <c s="42"/>
      <c s="63"/>
      <c s="64" t="str">
        <f t="shared" si="24"/>
        <v/>
      </c>
      <c s="65" t="str">
        <f>IFERROR(__xludf.DUMMYFUNCTION("""COMPUTED_VALUE"""),"")</f>
        <v/>
      </c>
      <c s="66">
        <f ca="1"/>
        <v>45250</v>
      </c>
      <c s="93" t="str">
        <f t="shared" si="44"/>
        <v/>
      </c>
      <c s="94" t="str">
        <f t="shared" si="392"/>
        <v/>
      </c>
      <c s="95" t="str">
        <f t="shared" si="416"/>
        <v/>
      </c>
      <c s="98" t="str">
        <f t="shared" si="417"/>
        <v/>
      </c>
      <c s="97" t="str">
        <f t="array" ref="CO98">IFERROR(IF(CI98="ac"+ISNUMBER(SEARCH("'",CN98))+CM98="","",IF(ISNUMBER(SEARCH("lw",CN98)),CA98+SUBSTITUTE(CN98,"lw+",""),MROUND(_xlfn.SWITCH(CI98,"sq",CM$7,"bn",CN$7,"dl",CO$7,"")*IF(CN98&gt;10,CN98/100,VLOOKUP(CN98,_rpe,SUBSTITUTE(CM98,"+","")+1,0)),IF(_xlfn.SWITCH(CI98,"sq",CM$7,"bn",CN$7,"dl",CO$7,"")&lt;IF(_uom="lbs",175,80),1.25,IF(_uom="lbs",5,2.5))))),"")</f>
        <v/>
      </c>
      <c s="70"/>
      <c s="63"/>
      <c s="97"/>
      <c s="44" t="str">
        <f>IFERROR(__xludf.DUMMYFUNCTION("IF(CO98=MAX(FILTER(CO$10:CO$199,LOOKUP(ROW(CI$10:CI$199),FILTER(ROW(CI$10:CI$199),CI$10:CI$199&lt;&gt;CI$9:CI$198))=LOOKUP(ROW(CI98),FILTER(ROW(CI$10:CI$199),CI$10:CI$199&lt;&gt;CI$9:CI$198)))),CP98,)"),"")</f>
        <v/>
      </c>
      <c s="42"/>
      <c s="63"/>
      <c s="64" t="str">
        <f t="shared" si="27"/>
        <v/>
      </c>
      <c s="65" t="str">
        <f>IFERROR(__xludf.DUMMYFUNCTION("""COMPUTED_VALUE"""),"")</f>
        <v/>
      </c>
      <c s="66">
        <f ca="1"/>
        <v>45257</v>
      </c>
      <c s="93" t="str">
        <f t="shared" si="45"/>
        <v/>
      </c>
      <c s="94" t="str">
        <f t="shared" si="393"/>
        <v/>
      </c>
      <c s="95" t="str">
        <f t="shared" si="418"/>
        <v/>
      </c>
      <c s="98" t="str">
        <f t="shared" si="401"/>
        <v/>
      </c>
      <c s="97" t="str">
        <f t="array" ref="DC98">IFERROR(IF(CW98="ac"+ISNUMBER(SEARCH("'",DB98))+DA98="","",IF(ISNUMBER(SEARCH("lw",DB98)),CO98+SUBSTITUTE(DB98,"lw+",""),MROUND(_xlfn.SWITCH(CW98,"sq",DA$7,"bn",DB$7,"dl",DC$7,"")*IF(DB98&gt;10,DB98/100,VLOOKUP(DB98,_rpe,SUBSTITUTE(DA98,"+","")+1,0)),IF(_xlfn.SWITCH(CW98,"sq",DA$7,"bn",DB$7,"dl",DC$7,"")&lt;IF(_uom="lbs",175,80),1.25,IF(_uom="lbs",5,2.5))))),"")</f>
        <v/>
      </c>
      <c s="70"/>
      <c s="63"/>
      <c s="97"/>
      <c s="44" t="str">
        <f>IFERROR(__xludf.DUMMYFUNCTION("IF(DC98=MAX(FILTER(DC$10:DC$199,LOOKUP(ROW(CW$10:CW$199),FILTER(ROW(CW$10:CW$199),CW$10:CW$199&lt;&gt;CW$9:CW$198))=LOOKUP(ROW(CW98),FILTER(ROW(CW$10:CW$199),CW$10:CW$199&lt;&gt;CW$9:CW$198)))),DD98,)"),"")</f>
        <v/>
      </c>
      <c s="42"/>
      <c s="63"/>
      <c s="64" t="str">
        <f t="shared" si="30"/>
        <v/>
      </c>
      <c s="65" t="str">
        <f>IFERROR(__xludf.DUMMYFUNCTION("""COMPUTED_VALUE"""),"")</f>
        <v/>
      </c>
      <c s="66">
        <f ca="1"/>
        <v>45264</v>
      </c>
      <c s="93" t="str">
        <f t="shared" si="46"/>
        <v/>
      </c>
      <c s="94" t="str">
        <f t="shared" si="394"/>
        <v/>
      </c>
      <c s="95" t="str">
        <f t="shared" si="419"/>
        <v/>
      </c>
      <c s="98" t="str">
        <f t="shared" si="420"/>
        <v/>
      </c>
      <c s="97" t="str">
        <f t="array" ref="DQ98">IFERROR(IF(DK98="ac"+ISNUMBER(SEARCH("'",DP98))+DO98="","",IF(ISNUMBER(SEARCH("lw",DP98)),DC98+SUBSTITUTE(DP98,"lw+",""),MROUND(_xlfn.SWITCH(DK98,"sq",DO$7,"bn",DP$7,"dl",DQ$7,"")*IF(DP98&gt;10,DP98/100,VLOOKUP(DP98,_rpe,SUBSTITUTE(DO98,"+","")+1,0)),IF(_xlfn.SWITCH(DK98,"sq",DO$7,"bn",DP$7,"dl",DQ$7,"")&lt;IF(_uom="lbs",175,80),1.25,IF(_uom="lbs",5,2.5))))),"")</f>
        <v/>
      </c>
      <c s="70"/>
      <c s="63"/>
      <c s="97"/>
      <c s="44" t="str">
        <f>IFERROR(__xludf.DUMMYFUNCTION("IF(DQ98=MAX(FILTER(DQ$10:DQ$199,LOOKUP(ROW(DK$10:DK$199),FILTER(ROW(DK$10:DK$199),DK$10:DK$199&lt;&gt;DK$9:DK$198))=LOOKUP(ROW(DK98),FILTER(ROW(DK$10:DK$199),DK$10:DK$199&lt;&gt;DK$9:DK$198)))),DR98,)"),"")</f>
        <v/>
      </c>
      <c s="42"/>
      <c s="63"/>
      <c s="64" t="str">
        <f t="shared" si="32"/>
        <v/>
      </c>
      <c s="65" t="str">
        <f>IFERROR(__xludf.DUMMYFUNCTION("""COMPUTED_VALUE"""),"")</f>
        <v/>
      </c>
      <c s="66">
        <f ca="1"/>
        <v>45271</v>
      </c>
      <c s="93" t="str">
        <f t="shared" si="47"/>
        <v/>
      </c>
      <c s="94" t="str">
        <f t="shared" si="405"/>
        <v/>
      </c>
      <c s="95" t="str">
        <f t="shared" si="421"/>
        <v/>
      </c>
      <c s="98" t="str">
        <f t="shared" si="422"/>
        <v/>
      </c>
      <c s="97" t="str">
        <f t="array" ref="EE98">IFERROR(IF(DY98="ac"+ISNUMBER(SEARCH("'",ED98))+EC98="","",IF(ISNUMBER(SEARCH("lw",ED98)),DQ98+SUBSTITUTE(ED98,"lw+",""),MROUND(_xlfn.SWITCH(DY98,"sq",EC$7,"bn",ED$7,"dl",EE$7,"")*IF(ED98&gt;10,ED98/100,VLOOKUP(ED98,_rpe,SUBSTITUTE(EC98,"+","")+1,0)),IF(_xlfn.SWITCH(DY98,"sq",EC$7,"bn",ED$7,"dl",EE$7,"")&lt;IF(_uom="lbs",175,80),1.25,IF(_uom="lbs",5,2.5))))),"")</f>
        <v/>
      </c>
      <c s="70"/>
      <c s="63"/>
      <c s="97"/>
      <c s="44" t="str">
        <f>IFERROR(__xludf.DUMMYFUNCTION("IF(EE98=MAX(FILTER(EE$10:EE$199,LOOKUP(ROW(DY$10:DY$199),FILTER(ROW(DY$10:DY$199),DY$10:DY$199&lt;&gt;DY$9:DY$198))=LOOKUP(ROW(DY98),FILTER(ROW(DY$10:DY$199),DY$10:DY$199&lt;&gt;DY$9:DY$198)))),EF98,)"),"")</f>
        <v/>
      </c>
      <c s="42"/>
      <c s="63"/>
      <c s="64" t="str">
        <f t="shared" si="34"/>
        <v/>
      </c>
      <c s="65" t="str">
        <f>IFERROR(__xludf.DUMMYFUNCTION("""COMPUTED_VALUE"""),"")</f>
        <v/>
      </c>
      <c s="66">
        <f ca="1"/>
        <v>45278</v>
      </c>
      <c s="93" t="str">
        <f t="shared" si="48"/>
        <v/>
      </c>
      <c s="94" t="str">
        <f t="shared" si="395"/>
        <v/>
      </c>
      <c s="95" t="str">
        <f t="shared" si="423"/>
        <v/>
      </c>
      <c s="98" t="str">
        <f t="shared" si="402"/>
        <v/>
      </c>
      <c s="97" t="str">
        <f t="array" ref="ES98">IFERROR(IF(EM98="ac"+ISNUMBER(SEARCH("'",ER98))+EQ98="","",IF(ISNUMBER(SEARCH("lw",ER98)),EE98+SUBSTITUTE(ER98,"lw+",""),MROUND(_xlfn.SWITCH(EM98,"sq",EQ$7,"bn",ER$7,"dl",ES$7,"")*IF(ER98&gt;10,ER98/100,VLOOKUP(ER98,_rpe,SUBSTITUTE(EQ98,"+","")+1,0)),IF(_xlfn.SWITCH(EM98,"sq",EQ$7,"bn",ER$7,"dl",ES$7,"")&lt;IF(_uom="lbs",175,80),1.25,IF(_uom="lbs",5,2.5))))),"")</f>
        <v/>
      </c>
      <c s="70"/>
      <c s="63"/>
      <c s="97"/>
      <c s="44" t="str">
        <f>IFERROR(__xludf.DUMMYFUNCTION("IF(ES98=MAX(FILTER(ES$10:ES$199,LOOKUP(ROW(EM$10:EM$199),FILTER(ROW(EM$10:EM$199),EM$10:EM$199&lt;&gt;EM$9:EM$198))=LOOKUP(ROW(EM98),FILTER(ROW(EM$10:EM$199),EM$10:EM$199&lt;&gt;EM$9:EM$198)))),ET98,)"),"")</f>
        <v/>
      </c>
      <c s="42"/>
      <c s="63"/>
      <c s="64" t="str">
        <f t="shared" si="36"/>
        <v/>
      </c>
      <c s="65" t="str">
        <f>IFERROR(__xludf.DUMMYFUNCTION("""COMPUTED_VALUE"""),"")</f>
        <v/>
      </c>
      <c s="66">
        <f ca="1"/>
        <v>45285</v>
      </c>
      <c s="93" t="str">
        <f t="shared" si="49"/>
        <v/>
      </c>
      <c s="94" t="str">
        <f t="shared" si="396"/>
        <v/>
      </c>
      <c s="95" t="str">
        <f t="shared" si="424"/>
        <v/>
      </c>
      <c s="98" t="str">
        <f t="shared" si="403"/>
        <v/>
      </c>
      <c s="97" t="str">
        <f t="array" ref="FG98">IFERROR(IF(FA98="ac"+ISNUMBER(SEARCH("'",FF98))+FE98="","",IF(ISNUMBER(SEARCH("lw",FF98)),ES98+SUBSTITUTE(FF98,"lw+",""),MROUND(_xlfn.SWITCH(FA98,"sq",FE$7,"bn",FF$7,"dl",FG$7,"")*IF(FF98&gt;10,FF98/100,VLOOKUP(FF98,_rpe,SUBSTITUTE(FE98,"+","")+1,0)),IF(_xlfn.SWITCH(FA98,"sq",FE$7,"bn",FF$7,"dl",FG$7,"")&lt;IF(_uom="lbs",175,80),1.25,IF(_uom="lbs",5,2.5))))),"")</f>
        <v/>
      </c>
      <c s="70"/>
      <c s="63"/>
      <c s="97"/>
      <c s="44" t="str">
        <f>IFERROR(__xludf.DUMMYFUNCTION("IF(FG98=MAX(FILTER(FG$10:FG$199,LOOKUP(ROW(FA$10:FA$199),FILTER(ROW(FA$10:FA$199),FA$10:FA$199&lt;&gt;FA$9:FA$198))=LOOKUP(ROW(FA98),FILTER(ROW(FA$10:FA$199),FA$10:FA$199&lt;&gt;FA$9:FA$198)))),FH98,)"),"")</f>
        <v/>
      </c>
      <c s="42"/>
      <c s="63"/>
      <c s="64" t="str">
        <f t="shared" si="38"/>
        <v/>
      </c>
      <c s="65" t="str">
        <f>IFERROR(__xludf.DUMMYFUNCTION("""COMPUTED_VALUE"""),"")</f>
        <v/>
      </c>
      <c s="66">
        <f ca="1"/>
        <v>45292</v>
      </c>
      <c s="93" t="str">
        <f t="shared" si="442" ref="FQ98:FR98">IF(ISBLANK(FC98),"",FC98)</f>
        <v/>
      </c>
      <c s="94" t="str">
        <f t="shared" si="442"/>
        <v/>
      </c>
      <c s="95" t="str">
        <f t="shared" si="428"/>
        <v/>
      </c>
      <c s="98" t="str">
        <f t="shared" si="429"/>
        <v/>
      </c>
      <c s="97" t="str">
        <f t="array" ref="FU98">IFERROR(IF(FO98="ac"+ISNUMBER(SEARCH("'",FT98))+FS98="","",IF(ISNUMBER(SEARCH("lw",FT98)),FG98+SUBSTITUTE(FT98,"lw+",""),MROUND(_xlfn.SWITCH(FO98,"sq",FS$7,"bn",FT$7,"dl",FU$7,"")*IF(FT98&gt;10,FT98/100,VLOOKUP(FT98,_rpe,SUBSTITUTE(FS98,"+","")+1,0)),IF(_xlfn.SWITCH(FO98,"sq",FS$7,"bn",FT$7,"dl",FU$7,"")&lt;IF(_uom="lbs",175,80),1.25,IF(_uom="lbs",5,2.5))))),"")</f>
        <v/>
      </c>
      <c s="70"/>
      <c s="63"/>
      <c s="97"/>
      <c s="44" t="str">
        <f>IFERROR(__xludf.DUMMYFUNCTION("IF(FU98=MAX(FILTER(FU$10:FU$199,LOOKUP(ROW(FO$10:FO$199),FILTER(ROW(FO$10:FO$199),FO$10:FO$199&lt;&gt;FO$9:FO$198))=LOOKUP(ROW(FO98),FILTER(ROW(FO$10:FO$199),FO$10:FO$199&lt;&gt;FO$9:FO$198)))),FV98,)"),"")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99" spans="1:259" ht="15.75" hidden="1" outlineLevel="1">
      <c r="A99" s="63"/>
      <c s="107"/>
      <c s="65" t="str">
        <f>IFERROR(__xludf.DUMMYFUNCTION("""COMPUTED_VALUE"""),"")</f>
        <v/>
      </c>
      <c s="66">
        <f ca="1"/>
        <v>45208</v>
      </c>
      <c s="108"/>
      <c s="94"/>
      <c s="95"/>
      <c s="96"/>
      <c s="97" t="str">
        <f t="array" ref="I99">IFERROR(IF(C99="ac"+ISNUMBER(SEARCH("'",H99))+G99="","",MROUND(_xlfn.SWITCH(C99,"sq",'Personal Info'!$O$15,"bn",'Personal Info'!$S$15,"dl",'Personal Info'!$W$15,"")*IF(H99&gt;10,H99/100,VLOOKUP(H99,_rpe,SUBSTITUTE(G99,"+","")+1,0)),IF(_xlfn.SWITCH(C99:C210,"sq",'Personal Info'!$O$15,"bn",'Personal Info'!$S$15,"dl",'Personal Info'!$W$15,"")&lt;IF(_uom="lbs",175,80),1.25,IF(_uom="lbs",5,2.5)))),"")</f>
        <v/>
      </c>
      <c s="70"/>
      <c s="63"/>
      <c s="97"/>
      <c s="44" t="str">
        <f>IFERROR(__xludf.DUMMYFUNCTION("IF(I99=MAX(FILTER(I$10:I$199,LOOKUP(ROW(C$10:C$199),FILTER(ROW(C$10:C$199),C$10:C$199&lt;&gt;C$9:C$198))=LOOKUP(ROW(C99),FILTER(ROW(C$10:C$199),C$10:C$199&lt;&gt;C$9:C$198)))),J99,)"),"")</f>
        <v/>
      </c>
      <c s="42"/>
      <c s="63"/>
      <c s="64" t="str">
        <f t="shared" si="11"/>
        <v/>
      </c>
      <c s="65" t="str">
        <f>IFERROR(__xludf.DUMMYFUNCTION("""COMPUTED_VALUE"""),"")</f>
        <v/>
      </c>
      <c s="66">
        <f ca="1"/>
        <v>45215</v>
      </c>
      <c s="93" t="str">
        <f t="shared" si="12"/>
        <v/>
      </c>
      <c s="94" t="str">
        <f t="shared" si="404"/>
        <v/>
      </c>
      <c s="95" t="str">
        <f t="shared" si="406"/>
        <v/>
      </c>
      <c s="98" t="str">
        <f t="shared" si="407"/>
        <v/>
      </c>
      <c s="97" t="str">
        <f t="array" ref="W99">IFERROR(IF(Q99="ac"+ISNUMBER(SEARCH("'",V99))+U99="","",IF(ISNUMBER(SEARCH("lw",V99)),I99+SUBSTITUTE(V99,"lw+",""),MROUND(_xlfn.SWITCH(Q99,"sq",U$7,"bn",V$7,"dl",W$7,"")*IF(V99&gt;10,V99/100,VLOOKUP(V99,_rpe,SUBSTITUTE(U99,"+","")+1,0)),IF(_xlfn.SWITCH(Q99,"sq",U$7,"bn",V$7,"dl",W$7,"")&lt;IF(_uom="lbs",175,80),1.25,IF(_uom="lbs",5,2.5))))),"")</f>
        <v/>
      </c>
      <c s="70"/>
      <c s="63"/>
      <c s="97"/>
      <c s="44" t="str">
        <f>IFERROR(__xludf.DUMMYFUNCTION("IF(W99=MAX(FILTER(W$10:W$199,LOOKUP(ROW(Q$10:Q$199),FILTER(ROW(Q$10:Q$199),Q$10:Q$199&lt;&gt;Q$9:Q$198))=LOOKUP(ROW(Q99),FILTER(ROW(Q$10:Q$199),Q$10:Q$199&lt;&gt;Q$9:Q$198)))),X99,)"),"")</f>
        <v/>
      </c>
      <c s="42"/>
      <c s="63"/>
      <c s="64" t="str">
        <f t="shared" si="14"/>
        <v/>
      </c>
      <c s="65" t="str">
        <f>IFERROR(__xludf.DUMMYFUNCTION("""COMPUTED_VALUE"""),"")</f>
        <v/>
      </c>
      <c s="66">
        <f ca="1"/>
        <v>45222</v>
      </c>
      <c s="93" t="str">
        <f t="shared" si="156"/>
        <v/>
      </c>
      <c s="94" t="str">
        <f t="shared" si="397"/>
        <v/>
      </c>
      <c s="95" t="str">
        <f t="shared" si="408"/>
        <v/>
      </c>
      <c s="98" t="str">
        <f t="shared" si="398"/>
        <v/>
      </c>
      <c s="97" t="str">
        <f t="array" ref="AK99">IFERROR(IF(AE99="ac"+ISNUMBER(SEARCH("'",AJ99))+AI99="","",IF(ISNUMBER(SEARCH("lw",AJ99)),W99+SUBSTITUTE(AJ99,"lw+",""),MROUND(_xlfn.SWITCH(AE99,"sq",AI$7,"bn",AJ$7,"dl",AK$7,"")*IF(AJ99&gt;10,AJ99/100,VLOOKUP(AJ99,_rpe,SUBSTITUTE(AI99,"+","")+1,0)),IF(_xlfn.SWITCH(AE99,"sq",AI$7,"bn",AJ$7,"dl",AK$7,"")&lt;IF(_uom="lbs",175,80),1.25,IF(_uom="lbs",5,2.5))))),"")</f>
        <v/>
      </c>
      <c s="70"/>
      <c s="63"/>
      <c s="97"/>
      <c s="44" t="str">
        <f>IFERROR(__xludf.DUMMYFUNCTION("IF(AK99=MAX(FILTER(AK$10:AK$199,LOOKUP(ROW(AE$10:AE$199),FILTER(ROW(AE$10:AE$199),AE$10:AE$199&lt;&gt;AE$9:AE$198))=LOOKUP(ROW(AE99),FILTER(ROW(AE$10:AE$199),AE$10:AE$199&lt;&gt;AE$9:AE$198)))),AL99,)"),"")</f>
        <v/>
      </c>
      <c s="42"/>
      <c s="63"/>
      <c s="64" t="str">
        <f t="shared" si="17"/>
        <v/>
      </c>
      <c s="65" t="str">
        <f>IFERROR(__xludf.DUMMYFUNCTION("""COMPUTED_VALUE"""),"")</f>
        <v/>
      </c>
      <c s="66">
        <f ca="1"/>
        <v>45229</v>
      </c>
      <c s="93" t="str">
        <f t="shared" si="157"/>
        <v/>
      </c>
      <c s="94" t="str">
        <f t="shared" si="399"/>
        <v/>
      </c>
      <c s="95" t="str">
        <f t="shared" si="409"/>
        <v/>
      </c>
      <c s="98" t="str">
        <f t="shared" si="400"/>
        <v/>
      </c>
      <c s="97" t="str">
        <f t="array" ref="AY99">IFERROR(IF(AS99="ac"+ISNUMBER(SEARCH("'",AX99))+AW99="","",IF(ISNUMBER(SEARCH("lw",AX99)),AK99+SUBSTITUTE(AX99,"lw+",""),MROUND(_xlfn.SWITCH(AS99,"sq",AW$7,"bn",AX$7,"dl",AY$7,"")*IF(AX99&gt;10,AX99/100,VLOOKUP(AX99,_rpe,SUBSTITUTE(AW99,"+","")+1,0)),IF(_xlfn.SWITCH(AS99,"sq",AW$7,"bn",AX$7,"dl",AY$7,"")&lt;IF(_uom="lbs",175,80),1.25,IF(_uom="lbs",5,2.5))))),"")</f>
        <v/>
      </c>
      <c s="70"/>
      <c s="63"/>
      <c s="97"/>
      <c s="44" t="str">
        <f>IFERROR(__xludf.DUMMYFUNCTION("IF(AY99=MAX(FILTER(AY$10:AY$199,LOOKUP(ROW(AS$10:AS$199),FILTER(ROW(AS$10:AS$199),AS$10:AS$199&lt;&gt;AS$9:AS$198))=LOOKUP(ROW(AS99),FILTER(ROW(AS$10:AS$199),AS$10:AS$199&lt;&gt;AS$9:AS$198)))),AZ99,)"),"")</f>
        <v/>
      </c>
      <c s="42"/>
      <c s="63"/>
      <c s="64" t="str">
        <f t="shared" si="19"/>
        <v/>
      </c>
      <c s="65" t="str">
        <f>IFERROR(__xludf.DUMMYFUNCTION("""COMPUTED_VALUE"""),"")</f>
        <v/>
      </c>
      <c s="66">
        <f ca="1"/>
        <v>45236</v>
      </c>
      <c s="93" t="str">
        <f t="shared" si="20"/>
        <v/>
      </c>
      <c s="94" t="str">
        <f t="shared" si="425"/>
        <v/>
      </c>
      <c s="95" t="str">
        <f t="shared" si="411"/>
        <v/>
      </c>
      <c s="98" t="str">
        <f t="shared" si="412"/>
        <v/>
      </c>
      <c s="97" t="str">
        <f t="array" ref="BM99">IFERROR(IF(BG99="ac"+ISNUMBER(SEARCH("'",BL99))+BK99="","",IF(ISNUMBER(SEARCH("lw",BL99)),AY99+SUBSTITUTE(BL99,"lw+",""),MROUND(_xlfn.SWITCH(BG99,"sq",BK$7,"bn",BL$7,"dl",BM$7,"")*IF(BL99&gt;10,BL99/100,VLOOKUP(BL99,_rpe,SUBSTITUTE(BK99,"+","")+1,0)),IF(_xlfn.SWITCH(BG99,"sq",BK$7,"bn",BL$7,"dl",BM$7,"")&lt;IF(_uom="lbs",175,80),1.25,IF(_uom="lbs",5,2.5))))),"")</f>
        <v/>
      </c>
      <c s="70"/>
      <c s="63"/>
      <c s="97"/>
      <c s="44" t="str">
        <f>IFERROR(__xludf.DUMMYFUNCTION("IF(BM99=MAX(FILTER(BM$10:BM$199,LOOKUP(ROW(BG$10:BG$199),FILTER(ROW(BG$10:BG$199),BG$10:BG$199&lt;&gt;BG$9:BG$198))=LOOKUP(ROW(BG99),FILTER(ROW(BG$10:BG$199),BG$10:BG$199&lt;&gt;BG$9:BG$198)))),BN99,)"),"")</f>
        <v/>
      </c>
      <c s="42"/>
      <c s="63"/>
      <c s="64" t="str">
        <f t="shared" si="21"/>
        <v/>
      </c>
      <c s="65" t="str">
        <f>IFERROR(__xludf.DUMMYFUNCTION("""COMPUTED_VALUE"""),"")</f>
        <v/>
      </c>
      <c s="66">
        <f ca="1"/>
        <v>45243</v>
      </c>
      <c s="93" t="str">
        <f t="shared" si="22"/>
        <v/>
      </c>
      <c s="94" t="str">
        <f t="shared" si="426"/>
        <v/>
      </c>
      <c s="95" t="str">
        <f t="shared" si="414"/>
        <v/>
      </c>
      <c s="98" t="str">
        <f t="shared" si="415"/>
        <v/>
      </c>
      <c s="97" t="str">
        <f t="array" ref="CA99">IFERROR(IF(BU99="ac"+ISNUMBER(SEARCH("'",BZ99))+BY99="","",IF(ISNUMBER(SEARCH("lw",BZ99)),BM99+SUBSTITUTE(BZ99,"lw+",""),MROUND(_xlfn.SWITCH(BU99,"sq",BY$7,"bn",BZ$7,"dl",CA$7,"")*IF(BZ99&gt;10,BZ99/100,VLOOKUP(BZ99,_rpe,SUBSTITUTE(BY99,"+","")+1,0)),IF(_xlfn.SWITCH(BU99,"sq",BY$7,"bn",BZ$7,"dl",CA$7,"")&lt;IF(_uom="lbs",175,80),1.25,IF(_uom="lbs",5,2.5))))),"")</f>
        <v/>
      </c>
      <c s="70"/>
      <c s="63"/>
      <c s="97"/>
      <c s="44" t="str">
        <f>IFERROR(__xludf.DUMMYFUNCTION("IF(CA99=MAX(FILTER(CA$10:CA$199,LOOKUP(ROW(BU$10:BU$199),FILTER(ROW(BU$10:BU$199),BU$10:BU$199&lt;&gt;BU$9:BU$198))=LOOKUP(ROW(BU99),FILTER(ROW(BU$10:BU$199),BU$10:BU$199&lt;&gt;BU$9:BU$198)))),CB99,)"),"")</f>
        <v/>
      </c>
      <c s="42"/>
      <c s="63"/>
      <c s="64" t="str">
        <f t="shared" si="24"/>
        <v/>
      </c>
      <c s="65" t="str">
        <f>IFERROR(__xludf.DUMMYFUNCTION("""COMPUTED_VALUE"""),"")</f>
        <v/>
      </c>
      <c s="66">
        <f ca="1"/>
        <v>45250</v>
      </c>
      <c s="93" t="str">
        <f t="shared" si="44"/>
        <v/>
      </c>
      <c s="94" t="str">
        <f t="shared" si="392"/>
        <v/>
      </c>
      <c s="95" t="str">
        <f t="shared" si="416"/>
        <v/>
      </c>
      <c s="98" t="str">
        <f t="shared" si="417"/>
        <v/>
      </c>
      <c s="97" t="str">
        <f t="array" ref="CO99">IFERROR(IF(CI99="ac"+ISNUMBER(SEARCH("'",CN99))+CM99="","",IF(ISNUMBER(SEARCH("lw",CN99)),CA99+SUBSTITUTE(CN99,"lw+",""),MROUND(_xlfn.SWITCH(CI99,"sq",CM$7,"bn",CN$7,"dl",CO$7,"")*IF(CN99&gt;10,CN99/100,VLOOKUP(CN99,_rpe,SUBSTITUTE(CM99,"+","")+1,0)),IF(_xlfn.SWITCH(CI99,"sq",CM$7,"bn",CN$7,"dl",CO$7,"")&lt;IF(_uom="lbs",175,80),1.25,IF(_uom="lbs",5,2.5))))),"")</f>
        <v/>
      </c>
      <c s="70"/>
      <c s="63"/>
      <c s="97"/>
      <c s="44" t="str">
        <f>IFERROR(__xludf.DUMMYFUNCTION("IF(CO99=MAX(FILTER(CO$10:CO$199,LOOKUP(ROW(CI$10:CI$199),FILTER(ROW(CI$10:CI$199),CI$10:CI$199&lt;&gt;CI$9:CI$198))=LOOKUP(ROW(CI99),FILTER(ROW(CI$10:CI$199),CI$10:CI$199&lt;&gt;CI$9:CI$198)))),CP99,)"),"")</f>
        <v/>
      </c>
      <c s="42"/>
      <c s="63"/>
      <c s="64" t="str">
        <f t="shared" si="27"/>
        <v/>
      </c>
      <c s="65" t="str">
        <f>IFERROR(__xludf.DUMMYFUNCTION("""COMPUTED_VALUE"""),"")</f>
        <v/>
      </c>
      <c s="66">
        <f ca="1"/>
        <v>45257</v>
      </c>
      <c s="93" t="str">
        <f t="shared" si="45"/>
        <v/>
      </c>
      <c s="94" t="str">
        <f t="shared" si="393"/>
        <v/>
      </c>
      <c s="95" t="str">
        <f t="shared" si="418"/>
        <v/>
      </c>
      <c s="98" t="str">
        <f t="shared" si="401"/>
        <v/>
      </c>
      <c s="97" t="str">
        <f t="array" ref="DC99">IFERROR(IF(CW99="ac"+ISNUMBER(SEARCH("'",DB99))+DA99="","",IF(ISNUMBER(SEARCH("lw",DB99)),CO99+SUBSTITUTE(DB99,"lw+",""),MROUND(_xlfn.SWITCH(CW99,"sq",DA$7,"bn",DB$7,"dl",DC$7,"")*IF(DB99&gt;10,DB99/100,VLOOKUP(DB99,_rpe,SUBSTITUTE(DA99,"+","")+1,0)),IF(_xlfn.SWITCH(CW99,"sq",DA$7,"bn",DB$7,"dl",DC$7,"")&lt;IF(_uom="lbs",175,80),1.25,IF(_uom="lbs",5,2.5))))),"")</f>
        <v/>
      </c>
      <c s="70"/>
      <c s="63"/>
      <c s="97"/>
      <c s="44" t="str">
        <f>IFERROR(__xludf.DUMMYFUNCTION("IF(DC99=MAX(FILTER(DC$10:DC$199,LOOKUP(ROW(CW$10:CW$199),FILTER(ROW(CW$10:CW$199),CW$10:CW$199&lt;&gt;CW$9:CW$198))=LOOKUP(ROW(CW99),FILTER(ROW(CW$10:CW$199),CW$10:CW$199&lt;&gt;CW$9:CW$198)))),DD99,)"),"")</f>
        <v/>
      </c>
      <c s="42"/>
      <c s="63"/>
      <c s="64" t="str">
        <f t="shared" si="30"/>
        <v/>
      </c>
      <c s="65" t="str">
        <f>IFERROR(__xludf.DUMMYFUNCTION("""COMPUTED_VALUE"""),"")</f>
        <v/>
      </c>
      <c s="66">
        <f ca="1"/>
        <v>45264</v>
      </c>
      <c s="93" t="str">
        <f t="shared" si="46"/>
        <v/>
      </c>
      <c s="94" t="str">
        <f t="shared" si="394"/>
        <v/>
      </c>
      <c s="95" t="str">
        <f t="shared" si="419"/>
        <v/>
      </c>
      <c s="98" t="str">
        <f t="shared" si="420"/>
        <v/>
      </c>
      <c s="97" t="str">
        <f t="array" ref="DQ99">IFERROR(IF(DK99="ac"+ISNUMBER(SEARCH("'",DP99))+DO99="","",IF(ISNUMBER(SEARCH("lw",DP99)),DC99+SUBSTITUTE(DP99,"lw+",""),MROUND(_xlfn.SWITCH(DK99,"sq",DO$7,"bn",DP$7,"dl",DQ$7,"")*IF(DP99&gt;10,DP99/100,VLOOKUP(DP99,_rpe,SUBSTITUTE(DO99,"+","")+1,0)),IF(_xlfn.SWITCH(DK99,"sq",DO$7,"bn",DP$7,"dl",DQ$7,"")&lt;IF(_uom="lbs",175,80),1.25,IF(_uom="lbs",5,2.5))))),"")</f>
        <v/>
      </c>
      <c s="70"/>
      <c s="63"/>
      <c s="97"/>
      <c s="44" t="str">
        <f>IFERROR(__xludf.DUMMYFUNCTION("IF(DQ99=MAX(FILTER(DQ$10:DQ$199,LOOKUP(ROW(DK$10:DK$199),FILTER(ROW(DK$10:DK$199),DK$10:DK$199&lt;&gt;DK$9:DK$198))=LOOKUP(ROW(DK99),FILTER(ROW(DK$10:DK$199),DK$10:DK$199&lt;&gt;DK$9:DK$198)))),DR99,)"),"")</f>
        <v/>
      </c>
      <c s="42"/>
      <c s="63"/>
      <c s="64" t="str">
        <f t="shared" si="32"/>
        <v/>
      </c>
      <c s="65" t="str">
        <f>IFERROR(__xludf.DUMMYFUNCTION("""COMPUTED_VALUE"""),"")</f>
        <v/>
      </c>
      <c s="66">
        <f ca="1"/>
        <v>45271</v>
      </c>
      <c s="93" t="str">
        <f t="shared" si="47"/>
        <v/>
      </c>
      <c s="94" t="str">
        <f t="shared" si="405"/>
        <v/>
      </c>
      <c s="95" t="str">
        <f t="shared" si="421"/>
        <v/>
      </c>
      <c s="98" t="str">
        <f t="shared" si="422"/>
        <v/>
      </c>
      <c s="97" t="str">
        <f t="array" ref="EE99">IFERROR(IF(DY99="ac"+ISNUMBER(SEARCH("'",ED99))+EC99="","",IF(ISNUMBER(SEARCH("lw",ED99)),DQ99+SUBSTITUTE(ED99,"lw+",""),MROUND(_xlfn.SWITCH(DY99,"sq",EC$7,"bn",ED$7,"dl",EE$7,"")*IF(ED99&gt;10,ED99/100,VLOOKUP(ED99,_rpe,SUBSTITUTE(EC99,"+","")+1,0)),IF(_xlfn.SWITCH(DY99,"sq",EC$7,"bn",ED$7,"dl",EE$7,"")&lt;IF(_uom="lbs",175,80),1.25,IF(_uom="lbs",5,2.5))))),"")</f>
        <v/>
      </c>
      <c s="70"/>
      <c s="63"/>
      <c s="97"/>
      <c s="44" t="str">
        <f>IFERROR(__xludf.DUMMYFUNCTION("IF(EE99=MAX(FILTER(EE$10:EE$199,LOOKUP(ROW(DY$10:DY$199),FILTER(ROW(DY$10:DY$199),DY$10:DY$199&lt;&gt;DY$9:DY$198))=LOOKUP(ROW(DY99),FILTER(ROW(DY$10:DY$199),DY$10:DY$199&lt;&gt;DY$9:DY$198)))),EF99,)"),"")</f>
        <v/>
      </c>
      <c s="42"/>
      <c s="63"/>
      <c s="64" t="str">
        <f t="shared" si="34"/>
        <v/>
      </c>
      <c s="65" t="str">
        <f>IFERROR(__xludf.DUMMYFUNCTION("""COMPUTED_VALUE"""),"")</f>
        <v/>
      </c>
      <c s="66">
        <f ca="1"/>
        <v>45278</v>
      </c>
      <c s="93" t="str">
        <f t="shared" si="48"/>
        <v/>
      </c>
      <c s="94" t="str">
        <f t="shared" si="395"/>
        <v/>
      </c>
      <c s="95" t="str">
        <f t="shared" si="423"/>
        <v/>
      </c>
      <c s="98" t="str">
        <f t="shared" si="402"/>
        <v/>
      </c>
      <c s="97" t="str">
        <f t="array" ref="ES99">IFERROR(IF(EM99="ac"+ISNUMBER(SEARCH("'",ER99))+EQ99="","",IF(ISNUMBER(SEARCH("lw",ER99)),EE99+SUBSTITUTE(ER99,"lw+",""),MROUND(_xlfn.SWITCH(EM99,"sq",EQ$7,"bn",ER$7,"dl",ES$7,"")*IF(ER99&gt;10,ER99/100,VLOOKUP(ER99,_rpe,SUBSTITUTE(EQ99,"+","")+1,0)),IF(_xlfn.SWITCH(EM99,"sq",EQ$7,"bn",ER$7,"dl",ES$7,"")&lt;IF(_uom="lbs",175,80),1.25,IF(_uom="lbs",5,2.5))))),"")</f>
        <v/>
      </c>
      <c s="70"/>
      <c s="63"/>
      <c s="97"/>
      <c s="44" t="str">
        <f>IFERROR(__xludf.DUMMYFUNCTION("IF(ES99=MAX(FILTER(ES$10:ES$199,LOOKUP(ROW(EM$10:EM$199),FILTER(ROW(EM$10:EM$199),EM$10:EM$199&lt;&gt;EM$9:EM$198))=LOOKUP(ROW(EM99),FILTER(ROW(EM$10:EM$199),EM$10:EM$199&lt;&gt;EM$9:EM$198)))),ET99,)"),"")</f>
        <v/>
      </c>
      <c s="42"/>
      <c s="63"/>
      <c s="64" t="str">
        <f t="shared" si="36"/>
        <v/>
      </c>
      <c s="65" t="str">
        <f>IFERROR(__xludf.DUMMYFUNCTION("""COMPUTED_VALUE"""),"")</f>
        <v/>
      </c>
      <c s="66">
        <f ca="1"/>
        <v>45285</v>
      </c>
      <c s="93" t="str">
        <f t="shared" si="49"/>
        <v/>
      </c>
      <c s="94" t="str">
        <f t="shared" si="396"/>
        <v/>
      </c>
      <c s="95" t="str">
        <f t="shared" si="424"/>
        <v/>
      </c>
      <c s="98" t="str">
        <f t="shared" si="403"/>
        <v/>
      </c>
      <c s="97" t="str">
        <f t="array" ref="FG99">IFERROR(IF(FA99="ac"+ISNUMBER(SEARCH("'",FF99))+FE99="","",IF(ISNUMBER(SEARCH("lw",FF99)),ES99+SUBSTITUTE(FF99,"lw+",""),MROUND(_xlfn.SWITCH(FA99,"sq",FE$7,"bn",FF$7,"dl",FG$7,"")*IF(FF99&gt;10,FF99/100,VLOOKUP(FF99,_rpe,SUBSTITUTE(FE99,"+","")+1,0)),IF(_xlfn.SWITCH(FA99,"sq",FE$7,"bn",FF$7,"dl",FG$7,"")&lt;IF(_uom="lbs",175,80),1.25,IF(_uom="lbs",5,2.5))))),"")</f>
        <v/>
      </c>
      <c s="70"/>
      <c s="63"/>
      <c s="97"/>
      <c s="44" t="str">
        <f>IFERROR(__xludf.DUMMYFUNCTION("IF(FG99=MAX(FILTER(FG$10:FG$199,LOOKUP(ROW(FA$10:FA$199),FILTER(ROW(FA$10:FA$199),FA$10:FA$199&lt;&gt;FA$9:FA$198))=LOOKUP(ROW(FA99),FILTER(ROW(FA$10:FA$199),FA$10:FA$199&lt;&gt;FA$9:FA$198)))),FH99,)"),"")</f>
        <v/>
      </c>
      <c s="42"/>
      <c s="63"/>
      <c s="64" t="str">
        <f t="shared" si="38"/>
        <v/>
      </c>
      <c s="65" t="str">
        <f>IFERROR(__xludf.DUMMYFUNCTION("""COMPUTED_VALUE"""),"")</f>
        <v/>
      </c>
      <c s="66">
        <f ca="1"/>
        <v>45292</v>
      </c>
      <c s="93" t="str">
        <f t="shared" si="443" ref="FQ99:FR99">IF(ISBLANK(FC99),"",FC99)</f>
        <v/>
      </c>
      <c s="94" t="str">
        <f t="shared" si="443"/>
        <v/>
      </c>
      <c s="95" t="str">
        <f t="shared" si="428"/>
        <v/>
      </c>
      <c s="98" t="str">
        <f t="shared" si="429"/>
        <v/>
      </c>
      <c s="97" t="str">
        <f t="array" ref="FU99">IFERROR(IF(FO99="ac"+ISNUMBER(SEARCH("'",FT99))+FS99="","",IF(ISNUMBER(SEARCH("lw",FT99)),FG99+SUBSTITUTE(FT99,"lw+",""),MROUND(_xlfn.SWITCH(FO99,"sq",FS$7,"bn",FT$7,"dl",FU$7,"")*IF(FT99&gt;10,FT99/100,VLOOKUP(FT99,_rpe,SUBSTITUTE(FS99,"+","")+1,0)),IF(_xlfn.SWITCH(FO99,"sq",FS$7,"bn",FT$7,"dl",FU$7,"")&lt;IF(_uom="lbs",175,80),1.25,IF(_uom="lbs",5,2.5))))),"")</f>
        <v/>
      </c>
      <c s="70"/>
      <c s="63"/>
      <c s="97"/>
      <c s="44" t="str">
        <f>IFERROR(__xludf.DUMMYFUNCTION("IF(FU99=MAX(FILTER(FU$10:FU$199,LOOKUP(ROW(FO$10:FO$199),FILTER(ROW(FO$10:FO$199),FO$10:FO$199&lt;&gt;FO$9:FO$198))=LOOKUP(ROW(FO99),FILTER(ROW(FO$10:FO$199),FO$10:FO$199&lt;&gt;FO$9:FO$198)))),FV99,)"),"")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00" spans="1:259" ht="15.75" hidden="1" outlineLevel="1">
      <c r="A100" s="63"/>
      <c s="107"/>
      <c s="65" t="str">
        <f>IFERROR(__xludf.DUMMYFUNCTION("""COMPUTED_VALUE"""),"")</f>
        <v/>
      </c>
      <c s="66">
        <f ca="1"/>
        <v>45208</v>
      </c>
      <c s="108"/>
      <c s="94"/>
      <c s="95"/>
      <c s="96"/>
      <c s="97" t="str">
        <f t="array" ref="I100">IFERROR(IF(C100="ac"+ISNUMBER(SEARCH("'",H100))+G100="","",MROUND(_xlfn.SWITCH(C100,"sq",'Personal Info'!$O$15,"bn",'Personal Info'!$S$15,"dl",'Personal Info'!$W$15,"")*IF(H100&gt;10,H100/100,VLOOKUP(H100,_rpe,SUBSTITUTE(G100,"+","")+1,0)),IF(_xlfn.SWITCH(C100:C210,"sq",'Personal Info'!$O$15,"bn",'Personal Info'!$S$15,"dl",'Personal Info'!$W$15,"")&lt;IF(_uom="lbs",175,80),1.25,IF(_uom="lbs",5,2.5)))),"")</f>
        <v/>
      </c>
      <c s="70"/>
      <c s="63"/>
      <c s="97"/>
      <c s="44" t="str">
        <f>IFERROR(__xludf.DUMMYFUNCTION("IF(I100=MAX(FILTER(I$10:I$199,LOOKUP(ROW(C$10:C$199),FILTER(ROW(C$10:C$199),C$10:C$199&lt;&gt;C$9:C$198))=LOOKUP(ROW(C100),FILTER(ROW(C$10:C$199),C$10:C$199&lt;&gt;C$9:C$198)))),J100,)"),"")</f>
        <v/>
      </c>
      <c s="42"/>
      <c s="63"/>
      <c s="64" t="str">
        <f t="shared" si="11"/>
        <v/>
      </c>
      <c s="65" t="str">
        <f>IFERROR(__xludf.DUMMYFUNCTION("""COMPUTED_VALUE"""),"")</f>
        <v/>
      </c>
      <c s="66">
        <f ca="1"/>
        <v>45215</v>
      </c>
      <c s="93" t="str">
        <f t="shared" si="12"/>
        <v/>
      </c>
      <c s="94" t="str">
        <f t="shared" si="404"/>
        <v/>
      </c>
      <c s="95" t="str">
        <f t="shared" si="406"/>
        <v/>
      </c>
      <c s="98" t="str">
        <f t="shared" si="407"/>
        <v/>
      </c>
      <c s="97" t="str">
        <f t="array" ref="W100">IFERROR(IF(Q100="ac"+ISNUMBER(SEARCH("'",V100))+U100="","",IF(ISNUMBER(SEARCH("lw",V100)),I100+SUBSTITUTE(V100,"lw+",""),MROUND(_xlfn.SWITCH(Q100,"sq",U$7,"bn",V$7,"dl",W$7,"")*IF(V100&gt;10,V100/100,VLOOKUP(V100,_rpe,SUBSTITUTE(U100,"+","")+1,0)),IF(_xlfn.SWITCH(Q100,"sq",U$7,"bn",V$7,"dl",W$7,"")&lt;IF(_uom="lbs",175,80),1.25,IF(_uom="lbs",5,2.5))))),"")</f>
        <v/>
      </c>
      <c s="70"/>
      <c s="63"/>
      <c s="97"/>
      <c s="44" t="str">
        <f>IFERROR(__xludf.DUMMYFUNCTION("IF(W100=MAX(FILTER(W$10:W$199,LOOKUP(ROW(Q$10:Q$199),FILTER(ROW(Q$10:Q$199),Q$10:Q$199&lt;&gt;Q$9:Q$198))=LOOKUP(ROW(Q100),FILTER(ROW(Q$10:Q$199),Q$10:Q$199&lt;&gt;Q$9:Q$198)))),X100,)"),"")</f>
        <v/>
      </c>
      <c s="42"/>
      <c s="63"/>
      <c s="64" t="str">
        <f t="shared" si="14"/>
        <v/>
      </c>
      <c s="65" t="str">
        <f>IFERROR(__xludf.DUMMYFUNCTION("""COMPUTED_VALUE"""),"")</f>
        <v/>
      </c>
      <c s="66">
        <f ca="1"/>
        <v>45222</v>
      </c>
      <c s="93" t="str">
        <f t="shared" si="156"/>
        <v/>
      </c>
      <c s="94" t="str">
        <f t="shared" si="397"/>
        <v/>
      </c>
      <c s="95" t="str">
        <f t="shared" si="408"/>
        <v/>
      </c>
      <c s="98" t="str">
        <f t="shared" si="398"/>
        <v/>
      </c>
      <c s="97" t="str">
        <f t="array" ref="AK100">IFERROR(IF(AE100="ac"+ISNUMBER(SEARCH("'",AJ100))+AI100="","",IF(ISNUMBER(SEARCH("lw",AJ100)),W100+SUBSTITUTE(AJ100,"lw+",""),MROUND(_xlfn.SWITCH(AE100,"sq",AI$7,"bn",AJ$7,"dl",AK$7,"")*IF(AJ100&gt;10,AJ100/100,VLOOKUP(AJ100,_rpe,SUBSTITUTE(AI100,"+","")+1,0)),IF(_xlfn.SWITCH(AE100,"sq",AI$7,"bn",AJ$7,"dl",AK$7,"")&lt;IF(_uom="lbs",175,80),1.25,IF(_uom="lbs",5,2.5))))),"")</f>
        <v/>
      </c>
      <c s="70"/>
      <c s="63"/>
      <c s="97"/>
      <c s="44" t="str">
        <f>IFERROR(__xludf.DUMMYFUNCTION("IF(AK100=MAX(FILTER(AK$10:AK$199,LOOKUP(ROW(AE$10:AE$199),FILTER(ROW(AE$10:AE$199),AE$10:AE$199&lt;&gt;AE$9:AE$198))=LOOKUP(ROW(AE100),FILTER(ROW(AE$10:AE$199),AE$10:AE$199&lt;&gt;AE$9:AE$198)))),AL100,)"),"")</f>
        <v/>
      </c>
      <c s="42"/>
      <c s="63"/>
      <c s="64" t="str">
        <f t="shared" si="17"/>
        <v/>
      </c>
      <c s="65" t="str">
        <f>IFERROR(__xludf.DUMMYFUNCTION("""COMPUTED_VALUE"""),"")</f>
        <v/>
      </c>
      <c s="66">
        <f ca="1"/>
        <v>45229</v>
      </c>
      <c s="93" t="str">
        <f t="shared" si="157"/>
        <v/>
      </c>
      <c s="94" t="str">
        <f t="shared" si="399"/>
        <v/>
      </c>
      <c s="95" t="str">
        <f t="shared" si="409"/>
        <v/>
      </c>
      <c s="98" t="str">
        <f t="shared" si="400"/>
        <v/>
      </c>
      <c s="97" t="str">
        <f t="array" ref="AY100">IFERROR(IF(AS100="ac"+ISNUMBER(SEARCH("'",AX100))+AW100="","",IF(ISNUMBER(SEARCH("lw",AX100)),AK100+SUBSTITUTE(AX100,"lw+",""),MROUND(_xlfn.SWITCH(AS100,"sq",AW$7,"bn",AX$7,"dl",AY$7,"")*IF(AX100&gt;10,AX100/100,VLOOKUP(AX100,_rpe,SUBSTITUTE(AW100,"+","")+1,0)),IF(_xlfn.SWITCH(AS100,"sq",AW$7,"bn",AX$7,"dl",AY$7,"")&lt;IF(_uom="lbs",175,80),1.25,IF(_uom="lbs",5,2.5))))),"")</f>
        <v/>
      </c>
      <c s="70"/>
      <c s="63"/>
      <c s="97"/>
      <c s="44" t="str">
        <f>IFERROR(__xludf.DUMMYFUNCTION("IF(AY100=MAX(FILTER(AY$10:AY$199,LOOKUP(ROW(AS$10:AS$199),FILTER(ROW(AS$10:AS$199),AS$10:AS$199&lt;&gt;AS$9:AS$198))=LOOKUP(ROW(AS100),FILTER(ROW(AS$10:AS$199),AS$10:AS$199&lt;&gt;AS$9:AS$198)))),AZ100,)"),"")</f>
        <v/>
      </c>
      <c s="42"/>
      <c s="63"/>
      <c s="64" t="str">
        <f t="shared" si="19"/>
        <v/>
      </c>
      <c s="65" t="str">
        <f>IFERROR(__xludf.DUMMYFUNCTION("""COMPUTED_VALUE"""),"")</f>
        <v/>
      </c>
      <c s="66">
        <f ca="1"/>
        <v>45236</v>
      </c>
      <c s="93" t="str">
        <f t="shared" si="20"/>
        <v/>
      </c>
      <c s="94" t="str">
        <f t="shared" si="425"/>
        <v/>
      </c>
      <c s="95" t="str">
        <f t="shared" si="411"/>
        <v/>
      </c>
      <c s="98" t="str">
        <f t="shared" si="412"/>
        <v/>
      </c>
      <c s="97" t="str">
        <f t="array" ref="BM100">IFERROR(IF(BG100="ac"+ISNUMBER(SEARCH("'",BL100))+BK100="","",IF(ISNUMBER(SEARCH("lw",BL100)),AY100+SUBSTITUTE(BL100,"lw+",""),MROUND(_xlfn.SWITCH(BG100,"sq",BK$7,"bn",BL$7,"dl",BM$7,"")*IF(BL100&gt;10,BL100/100,VLOOKUP(BL100,_rpe,SUBSTITUTE(BK100,"+","")+1,0)),IF(_xlfn.SWITCH(BG100,"sq",BK$7,"bn",BL$7,"dl",BM$7,"")&lt;IF(_uom="lbs",175,80),1.25,IF(_uom="lbs",5,2.5))))),"")</f>
        <v/>
      </c>
      <c s="70"/>
      <c s="63"/>
      <c s="97"/>
      <c s="44" t="str">
        <f>IFERROR(__xludf.DUMMYFUNCTION("IF(BM100=MAX(FILTER(BM$10:BM$199,LOOKUP(ROW(BG$10:BG$199),FILTER(ROW(BG$10:BG$199),BG$10:BG$199&lt;&gt;BG$9:BG$198))=LOOKUP(ROW(BG100),FILTER(ROW(BG$10:BG$199),BG$10:BG$199&lt;&gt;BG$9:BG$198)))),BN100,)"),"")</f>
        <v/>
      </c>
      <c s="42"/>
      <c s="63"/>
      <c s="64" t="str">
        <f t="shared" si="21"/>
        <v/>
      </c>
      <c s="65" t="str">
        <f>IFERROR(__xludf.DUMMYFUNCTION("""COMPUTED_VALUE"""),"")</f>
        <v/>
      </c>
      <c s="66">
        <f ca="1"/>
        <v>45243</v>
      </c>
      <c s="93" t="str">
        <f t="shared" si="22"/>
        <v/>
      </c>
      <c s="94" t="str">
        <f t="shared" si="426"/>
        <v/>
      </c>
      <c s="95" t="str">
        <f t="shared" si="414"/>
        <v/>
      </c>
      <c s="98" t="str">
        <f t="shared" si="415"/>
        <v/>
      </c>
      <c s="97" t="str">
        <f t="array" ref="CA100">IFERROR(IF(BU100="ac"+ISNUMBER(SEARCH("'",BZ100))+BY100="","",IF(ISNUMBER(SEARCH("lw",BZ100)),BM100+SUBSTITUTE(BZ100,"lw+",""),MROUND(_xlfn.SWITCH(BU100,"sq",BY$7,"bn",BZ$7,"dl",CA$7,"")*IF(BZ100&gt;10,BZ100/100,VLOOKUP(BZ100,_rpe,SUBSTITUTE(BY100,"+","")+1,0)),IF(_xlfn.SWITCH(BU100,"sq",BY$7,"bn",BZ$7,"dl",CA$7,"")&lt;IF(_uom="lbs",175,80),1.25,IF(_uom="lbs",5,2.5))))),"")</f>
        <v/>
      </c>
      <c s="70"/>
      <c s="63"/>
      <c s="97"/>
      <c s="44" t="str">
        <f>IFERROR(__xludf.DUMMYFUNCTION("IF(CA100=MAX(FILTER(CA$10:CA$199,LOOKUP(ROW(BU$10:BU$199),FILTER(ROW(BU$10:BU$199),BU$10:BU$199&lt;&gt;BU$9:BU$198))=LOOKUP(ROW(BU100),FILTER(ROW(BU$10:BU$199),BU$10:BU$199&lt;&gt;BU$9:BU$198)))),CB100,)"),"")</f>
        <v/>
      </c>
      <c s="42"/>
      <c s="63"/>
      <c s="64" t="str">
        <f t="shared" si="24"/>
        <v/>
      </c>
      <c s="65" t="str">
        <f>IFERROR(__xludf.DUMMYFUNCTION("""COMPUTED_VALUE"""),"")</f>
        <v/>
      </c>
      <c s="66">
        <f ca="1"/>
        <v>45250</v>
      </c>
      <c s="93" t="str">
        <f t="shared" si="44"/>
        <v/>
      </c>
      <c s="94" t="str">
        <f t="shared" si="392"/>
        <v/>
      </c>
      <c s="95" t="str">
        <f t="shared" si="416"/>
        <v/>
      </c>
      <c s="98" t="str">
        <f t="shared" si="417"/>
        <v/>
      </c>
      <c s="97" t="str">
        <f t="array" ref="CO100">IFERROR(IF(CI100="ac"+ISNUMBER(SEARCH("'",CN100))+CM100="","",IF(ISNUMBER(SEARCH("lw",CN100)),CA100+SUBSTITUTE(CN100,"lw+",""),MROUND(_xlfn.SWITCH(CI100,"sq",CM$7,"bn",CN$7,"dl",CO$7,"")*IF(CN100&gt;10,CN100/100,VLOOKUP(CN100,_rpe,SUBSTITUTE(CM100,"+","")+1,0)),IF(_xlfn.SWITCH(CI100,"sq",CM$7,"bn",CN$7,"dl",CO$7,"")&lt;IF(_uom="lbs",175,80),1.25,IF(_uom="lbs",5,2.5))))),"")</f>
        <v/>
      </c>
      <c s="70"/>
      <c s="63"/>
      <c s="97"/>
      <c s="44" t="str">
        <f>IFERROR(__xludf.DUMMYFUNCTION("IF(CO100=MAX(FILTER(CO$10:CO$199,LOOKUP(ROW(CI$10:CI$199),FILTER(ROW(CI$10:CI$199),CI$10:CI$199&lt;&gt;CI$9:CI$198))=LOOKUP(ROW(CI100),FILTER(ROW(CI$10:CI$199),CI$10:CI$199&lt;&gt;CI$9:CI$198)))),CP100,)"),"")</f>
        <v/>
      </c>
      <c s="42"/>
      <c s="63"/>
      <c s="64" t="str">
        <f t="shared" si="27"/>
        <v/>
      </c>
      <c s="65" t="str">
        <f>IFERROR(__xludf.DUMMYFUNCTION("""COMPUTED_VALUE"""),"")</f>
        <v/>
      </c>
      <c s="66">
        <f ca="1"/>
        <v>45257</v>
      </c>
      <c s="93" t="str">
        <f t="shared" si="45"/>
        <v/>
      </c>
      <c s="94" t="str">
        <f t="shared" si="393"/>
        <v/>
      </c>
      <c s="95" t="str">
        <f t="shared" si="418"/>
        <v/>
      </c>
      <c s="98" t="str">
        <f t="shared" si="401"/>
        <v/>
      </c>
      <c s="97" t="str">
        <f t="array" ref="DC100">IFERROR(IF(CW100="ac"+ISNUMBER(SEARCH("'",DB100))+DA100="","",IF(ISNUMBER(SEARCH("lw",DB100)),CO100+SUBSTITUTE(DB100,"lw+",""),MROUND(_xlfn.SWITCH(CW100,"sq",DA$7,"bn",DB$7,"dl",DC$7,"")*IF(DB100&gt;10,DB100/100,VLOOKUP(DB100,_rpe,SUBSTITUTE(DA100,"+","")+1,0)),IF(_xlfn.SWITCH(CW100,"sq",DA$7,"bn",DB$7,"dl",DC$7,"")&lt;IF(_uom="lbs",175,80),1.25,IF(_uom="lbs",5,2.5))))),"")</f>
        <v/>
      </c>
      <c s="70"/>
      <c s="63"/>
      <c s="97"/>
      <c s="44" t="str">
        <f>IFERROR(__xludf.DUMMYFUNCTION("IF(DC100=MAX(FILTER(DC$10:DC$199,LOOKUP(ROW(CW$10:CW$199),FILTER(ROW(CW$10:CW$199),CW$10:CW$199&lt;&gt;CW$9:CW$198))=LOOKUP(ROW(CW100),FILTER(ROW(CW$10:CW$199),CW$10:CW$199&lt;&gt;CW$9:CW$198)))),DD100,)"),"")</f>
        <v/>
      </c>
      <c s="42"/>
      <c s="63"/>
      <c s="64" t="str">
        <f t="shared" si="30"/>
        <v/>
      </c>
      <c s="65" t="str">
        <f>IFERROR(__xludf.DUMMYFUNCTION("""COMPUTED_VALUE"""),"")</f>
        <v/>
      </c>
      <c s="66">
        <f ca="1"/>
        <v>45264</v>
      </c>
      <c s="93" t="str">
        <f t="shared" si="46"/>
        <v/>
      </c>
      <c s="94" t="str">
        <f t="shared" si="394"/>
        <v/>
      </c>
      <c s="95" t="str">
        <f t="shared" si="419"/>
        <v/>
      </c>
      <c s="98" t="str">
        <f t="shared" si="420"/>
        <v/>
      </c>
      <c s="97" t="str">
        <f t="array" ref="DQ100">IFERROR(IF(DK100="ac"+ISNUMBER(SEARCH("'",DP100))+DO100="","",IF(ISNUMBER(SEARCH("lw",DP100)),DC100+SUBSTITUTE(DP100,"lw+",""),MROUND(_xlfn.SWITCH(DK100,"sq",DO$7,"bn",DP$7,"dl",DQ$7,"")*IF(DP100&gt;10,DP100/100,VLOOKUP(DP100,_rpe,SUBSTITUTE(DO100,"+","")+1,0)),IF(_xlfn.SWITCH(DK100,"sq",DO$7,"bn",DP$7,"dl",DQ$7,"")&lt;IF(_uom="lbs",175,80),1.25,IF(_uom="lbs",5,2.5))))),"")</f>
        <v/>
      </c>
      <c s="70"/>
      <c s="63"/>
      <c s="97"/>
      <c s="44" t="str">
        <f>IFERROR(__xludf.DUMMYFUNCTION("IF(DQ100=MAX(FILTER(DQ$10:DQ$199,LOOKUP(ROW(DK$10:DK$199),FILTER(ROW(DK$10:DK$199),DK$10:DK$199&lt;&gt;DK$9:DK$198))=LOOKUP(ROW(DK100),FILTER(ROW(DK$10:DK$199),DK$10:DK$199&lt;&gt;DK$9:DK$198)))),DR100,)"),"")</f>
        <v/>
      </c>
      <c s="42"/>
      <c s="63"/>
      <c s="64" t="str">
        <f t="shared" si="32"/>
        <v/>
      </c>
      <c s="65" t="str">
        <f>IFERROR(__xludf.DUMMYFUNCTION("""COMPUTED_VALUE"""),"")</f>
        <v/>
      </c>
      <c s="66">
        <f ca="1"/>
        <v>45271</v>
      </c>
      <c s="93" t="str">
        <f t="shared" si="47"/>
        <v/>
      </c>
      <c s="94" t="str">
        <f t="shared" si="405"/>
        <v/>
      </c>
      <c s="95" t="str">
        <f t="shared" si="421"/>
        <v/>
      </c>
      <c s="98" t="str">
        <f t="shared" si="422"/>
        <v/>
      </c>
      <c s="97" t="str">
        <f t="array" ref="EE100">IFERROR(IF(DY100="ac"+ISNUMBER(SEARCH("'",ED100))+EC100="","",IF(ISNUMBER(SEARCH("lw",ED100)),DQ100+SUBSTITUTE(ED100,"lw+",""),MROUND(_xlfn.SWITCH(DY100,"sq",EC$7,"bn",ED$7,"dl",EE$7,"")*IF(ED100&gt;10,ED100/100,VLOOKUP(ED100,_rpe,SUBSTITUTE(EC100,"+","")+1,0)),IF(_xlfn.SWITCH(DY100,"sq",EC$7,"bn",ED$7,"dl",EE$7,"")&lt;IF(_uom="lbs",175,80),1.25,IF(_uom="lbs",5,2.5))))),"")</f>
        <v/>
      </c>
      <c s="70"/>
      <c s="63"/>
      <c s="97"/>
      <c s="44" t="str">
        <f>IFERROR(__xludf.DUMMYFUNCTION("IF(EE100=MAX(FILTER(EE$10:EE$199,LOOKUP(ROW(DY$10:DY$199),FILTER(ROW(DY$10:DY$199),DY$10:DY$199&lt;&gt;DY$9:DY$198))=LOOKUP(ROW(DY100),FILTER(ROW(DY$10:DY$199),DY$10:DY$199&lt;&gt;DY$9:DY$198)))),EF100,)"),"")</f>
        <v/>
      </c>
      <c s="42"/>
      <c s="63"/>
      <c s="64" t="str">
        <f t="shared" si="34"/>
        <v/>
      </c>
      <c s="65" t="str">
        <f>IFERROR(__xludf.DUMMYFUNCTION("""COMPUTED_VALUE"""),"")</f>
        <v/>
      </c>
      <c s="66">
        <f ca="1"/>
        <v>45278</v>
      </c>
      <c s="93" t="str">
        <f t="shared" si="48"/>
        <v/>
      </c>
      <c s="94" t="str">
        <f t="shared" si="395"/>
        <v/>
      </c>
      <c s="95" t="str">
        <f t="shared" si="423"/>
        <v/>
      </c>
      <c s="98" t="str">
        <f t="shared" si="402"/>
        <v/>
      </c>
      <c s="97" t="str">
        <f t="array" ref="ES100">IFERROR(IF(EM100="ac"+ISNUMBER(SEARCH("'",ER100))+EQ100="","",IF(ISNUMBER(SEARCH("lw",ER100)),EE100+SUBSTITUTE(ER100,"lw+",""),MROUND(_xlfn.SWITCH(EM100,"sq",EQ$7,"bn",ER$7,"dl",ES$7,"")*IF(ER100&gt;10,ER100/100,VLOOKUP(ER100,_rpe,SUBSTITUTE(EQ100,"+","")+1,0)),IF(_xlfn.SWITCH(EM100,"sq",EQ$7,"bn",ER$7,"dl",ES$7,"")&lt;IF(_uom="lbs",175,80),1.25,IF(_uom="lbs",5,2.5))))),"")</f>
        <v/>
      </c>
      <c s="70"/>
      <c s="63"/>
      <c s="97"/>
      <c s="44" t="str">
        <f>IFERROR(__xludf.DUMMYFUNCTION("IF(ES100=MAX(FILTER(ES$10:ES$199,LOOKUP(ROW(EM$10:EM$199),FILTER(ROW(EM$10:EM$199),EM$10:EM$199&lt;&gt;EM$9:EM$198))=LOOKUP(ROW(EM100),FILTER(ROW(EM$10:EM$199),EM$10:EM$199&lt;&gt;EM$9:EM$198)))),ET100,)"),"")</f>
        <v/>
      </c>
      <c s="42"/>
      <c s="63"/>
      <c s="64" t="str">
        <f t="shared" si="36"/>
        <v/>
      </c>
      <c s="65" t="str">
        <f>IFERROR(__xludf.DUMMYFUNCTION("""COMPUTED_VALUE"""),"")</f>
        <v/>
      </c>
      <c s="66">
        <f ca="1"/>
        <v>45285</v>
      </c>
      <c s="93" t="str">
        <f t="shared" si="49"/>
        <v/>
      </c>
      <c s="94" t="str">
        <f t="shared" si="396"/>
        <v/>
      </c>
      <c s="95" t="str">
        <f t="shared" si="424"/>
        <v/>
      </c>
      <c s="98" t="str">
        <f t="shared" si="403"/>
        <v/>
      </c>
      <c s="97" t="str">
        <f t="array" ref="FG100">IFERROR(IF(FA100="ac"+ISNUMBER(SEARCH("'",FF100))+FE100="","",IF(ISNUMBER(SEARCH("lw",FF100)),ES100+SUBSTITUTE(FF100,"lw+",""),MROUND(_xlfn.SWITCH(FA100,"sq",FE$7,"bn",FF$7,"dl",FG$7,"")*IF(FF100&gt;10,FF100/100,VLOOKUP(FF100,_rpe,SUBSTITUTE(FE100,"+","")+1,0)),IF(_xlfn.SWITCH(FA100,"sq",FE$7,"bn",FF$7,"dl",FG$7,"")&lt;IF(_uom="lbs",175,80),1.25,IF(_uom="lbs",5,2.5))))),"")</f>
        <v/>
      </c>
      <c s="70"/>
      <c s="63"/>
      <c s="97"/>
      <c s="44" t="str">
        <f>IFERROR(__xludf.DUMMYFUNCTION("IF(FG100=MAX(FILTER(FG$10:FG$199,LOOKUP(ROW(FA$10:FA$199),FILTER(ROW(FA$10:FA$199),FA$10:FA$199&lt;&gt;FA$9:FA$198))=LOOKUP(ROW(FA100),FILTER(ROW(FA$10:FA$199),FA$10:FA$199&lt;&gt;FA$9:FA$198)))),FH100,)"),"")</f>
        <v/>
      </c>
      <c s="42"/>
      <c s="63"/>
      <c s="64" t="str">
        <f t="shared" si="38"/>
        <v/>
      </c>
      <c s="65" t="str">
        <f>IFERROR(__xludf.DUMMYFUNCTION("""COMPUTED_VALUE"""),"")</f>
        <v/>
      </c>
      <c s="66">
        <f ca="1"/>
        <v>45292</v>
      </c>
      <c s="93" t="str">
        <f t="shared" si="444" ref="FQ100:FR100">IF(ISBLANK(FC100),"",FC100)</f>
        <v/>
      </c>
      <c s="94" t="str">
        <f t="shared" si="444"/>
        <v/>
      </c>
      <c s="95" t="str">
        <f t="shared" si="428"/>
        <v/>
      </c>
      <c s="98" t="str">
        <f t="shared" si="429"/>
        <v/>
      </c>
      <c s="97" t="str">
        <f t="array" ref="FU100">IFERROR(IF(FO100="ac"+ISNUMBER(SEARCH("'",FT100))+FS100="","",IF(ISNUMBER(SEARCH("lw",FT100)),FG100+SUBSTITUTE(FT100,"lw+",""),MROUND(_xlfn.SWITCH(FO100,"sq",FS$7,"bn",FT$7,"dl",FU$7,"")*IF(FT100&gt;10,FT100/100,VLOOKUP(FT100,_rpe,SUBSTITUTE(FS100,"+","")+1,0)),IF(_xlfn.SWITCH(FO100,"sq",FS$7,"bn",FT$7,"dl",FU$7,"")&lt;IF(_uom="lbs",175,80),1.25,IF(_uom="lbs",5,2.5))))),"")</f>
        <v/>
      </c>
      <c s="70"/>
      <c s="63"/>
      <c s="97"/>
      <c s="44" t="str">
        <f>IFERROR(__xludf.DUMMYFUNCTION("IF(FU100=MAX(FILTER(FU$10:FU$199,LOOKUP(ROW(FO$10:FO$199),FILTER(ROW(FO$10:FO$199),FO$10:FO$199&lt;&gt;FO$9:FO$198))=LOOKUP(ROW(FO100),FILTER(ROW(FO$10:FO$199),FO$10:FO$199&lt;&gt;FO$9:FO$198)))),FV100,)"),"")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01" spans="1:259" ht="15.75" hidden="1" outlineLevel="1">
      <c r="A101" s="63"/>
      <c s="107"/>
      <c s="65" t="str">
        <f>IFERROR(__xludf.DUMMYFUNCTION("""COMPUTED_VALUE"""),"")</f>
        <v/>
      </c>
      <c s="66">
        <f ca="1"/>
        <v>45208</v>
      </c>
      <c s="108"/>
      <c s="94"/>
      <c s="95"/>
      <c s="96"/>
      <c s="97" t="str">
        <f t="array" ref="I101">IFERROR(IF(C101="ac"+ISNUMBER(SEARCH("'",H101))+G101="","",MROUND(_xlfn.SWITCH(C101,"sq",'Personal Info'!$O$15,"bn",'Personal Info'!$S$15,"dl",'Personal Info'!$W$15,"")*IF(H101&gt;10,H101/100,VLOOKUP(H101,_rpe,SUBSTITUTE(G101,"+","")+1,0)),IF(_xlfn.SWITCH(C101:C210,"sq",'Personal Info'!$O$15,"bn",'Personal Info'!$S$15,"dl",'Personal Info'!$W$15,"")&lt;IF(_uom="lbs",175,80),1.25,IF(_uom="lbs",5,2.5)))),"")</f>
        <v/>
      </c>
      <c s="70"/>
      <c s="63"/>
      <c s="97"/>
      <c s="44" t="str">
        <f>IFERROR(__xludf.DUMMYFUNCTION("IF(I101=MAX(FILTER(I$10:I$199,LOOKUP(ROW(C$10:C$199),FILTER(ROW(C$10:C$199),C$10:C$199&lt;&gt;C$9:C$198))=LOOKUP(ROW(C101),FILTER(ROW(C$10:C$199),C$10:C$199&lt;&gt;C$9:C$198)))),J101,)"),"")</f>
        <v/>
      </c>
      <c s="42"/>
      <c s="63"/>
      <c s="64" t="str">
        <f t="shared" si="11"/>
        <v/>
      </c>
      <c s="65" t="str">
        <f>IFERROR(__xludf.DUMMYFUNCTION("""COMPUTED_VALUE"""),"")</f>
        <v/>
      </c>
      <c s="66">
        <f ca="1"/>
        <v>45215</v>
      </c>
      <c s="93" t="str">
        <f t="shared" si="12"/>
        <v/>
      </c>
      <c s="94" t="str">
        <f t="shared" si="404"/>
        <v/>
      </c>
      <c s="95" t="str">
        <f t="shared" si="406"/>
        <v/>
      </c>
      <c s="98" t="str">
        <f t="shared" si="407"/>
        <v/>
      </c>
      <c s="97" t="str">
        <f t="array" ref="W101">IFERROR(IF(Q101="ac"+ISNUMBER(SEARCH("'",V101))+U101="","",IF(ISNUMBER(SEARCH("lw",V101)),I101+SUBSTITUTE(V101,"lw+",""),MROUND(_xlfn.SWITCH(Q101,"sq",U$7,"bn",V$7,"dl",W$7,"")*IF(V101&gt;10,V101/100,VLOOKUP(V101,_rpe,SUBSTITUTE(U101,"+","")+1,0)),IF(_xlfn.SWITCH(Q101,"sq",U$7,"bn",V$7,"dl",W$7,"")&lt;IF(_uom="lbs",175,80),1.25,IF(_uom="lbs",5,2.5))))),"")</f>
        <v/>
      </c>
      <c s="70"/>
      <c s="63"/>
      <c s="97"/>
      <c s="44" t="str">
        <f>IFERROR(__xludf.DUMMYFUNCTION("IF(W101=MAX(FILTER(W$10:W$199,LOOKUP(ROW(Q$10:Q$199),FILTER(ROW(Q$10:Q$199),Q$10:Q$199&lt;&gt;Q$9:Q$198))=LOOKUP(ROW(Q101),FILTER(ROW(Q$10:Q$199),Q$10:Q$199&lt;&gt;Q$9:Q$198)))),X101,)"),"")</f>
        <v/>
      </c>
      <c s="42"/>
      <c s="63"/>
      <c s="64" t="str">
        <f t="shared" si="14"/>
        <v/>
      </c>
      <c s="65" t="str">
        <f>IFERROR(__xludf.DUMMYFUNCTION("""COMPUTED_VALUE"""),"")</f>
        <v/>
      </c>
      <c s="66">
        <f ca="1"/>
        <v>45222</v>
      </c>
      <c s="93" t="str">
        <f t="shared" si="156"/>
        <v/>
      </c>
      <c s="94" t="str">
        <f t="shared" si="397"/>
        <v/>
      </c>
      <c s="95" t="str">
        <f t="shared" si="408"/>
        <v/>
      </c>
      <c s="98" t="str">
        <f t="shared" si="398"/>
        <v/>
      </c>
      <c s="97" t="str">
        <f t="array" ref="AK101">IFERROR(IF(AE101="ac"+ISNUMBER(SEARCH("'",AJ101))+AI101="","",IF(ISNUMBER(SEARCH("lw",AJ101)),W101+SUBSTITUTE(AJ101,"lw+",""),MROUND(_xlfn.SWITCH(AE101,"sq",AI$7,"bn",AJ$7,"dl",AK$7,"")*IF(AJ101&gt;10,AJ101/100,VLOOKUP(AJ101,_rpe,SUBSTITUTE(AI101,"+","")+1,0)),IF(_xlfn.SWITCH(AE101,"sq",AI$7,"bn",AJ$7,"dl",AK$7,"")&lt;IF(_uom="lbs",175,80),1.25,IF(_uom="lbs",5,2.5))))),"")</f>
        <v/>
      </c>
      <c s="70"/>
      <c s="63"/>
      <c s="97"/>
      <c s="44" t="str">
        <f>IFERROR(__xludf.DUMMYFUNCTION("IF(AK101=MAX(FILTER(AK$10:AK$199,LOOKUP(ROW(AE$10:AE$199),FILTER(ROW(AE$10:AE$199),AE$10:AE$199&lt;&gt;AE$9:AE$198))=LOOKUP(ROW(AE101),FILTER(ROW(AE$10:AE$199),AE$10:AE$199&lt;&gt;AE$9:AE$198)))),AL101,)"),"")</f>
        <v/>
      </c>
      <c s="42"/>
      <c s="63"/>
      <c s="64" t="str">
        <f t="shared" si="17"/>
        <v/>
      </c>
      <c s="65" t="str">
        <f>IFERROR(__xludf.DUMMYFUNCTION("""COMPUTED_VALUE"""),"")</f>
        <v/>
      </c>
      <c s="66">
        <f ca="1"/>
        <v>45229</v>
      </c>
      <c s="93" t="str">
        <f t="shared" si="157"/>
        <v/>
      </c>
      <c s="94" t="str">
        <f t="shared" si="399"/>
        <v/>
      </c>
      <c s="95" t="str">
        <f t="shared" si="409"/>
        <v/>
      </c>
      <c s="98" t="str">
        <f t="shared" si="400"/>
        <v/>
      </c>
      <c s="97" t="str">
        <f t="array" ref="AY101">IFERROR(IF(AS101="ac"+ISNUMBER(SEARCH("'",AX101))+AW101="","",IF(ISNUMBER(SEARCH("lw",AX101)),AK101+SUBSTITUTE(AX101,"lw+",""),MROUND(_xlfn.SWITCH(AS101,"sq",AW$7,"bn",AX$7,"dl",AY$7,"")*IF(AX101&gt;10,AX101/100,VLOOKUP(AX101,_rpe,SUBSTITUTE(AW101,"+","")+1,0)),IF(_xlfn.SWITCH(AS101,"sq",AW$7,"bn",AX$7,"dl",AY$7,"")&lt;IF(_uom="lbs",175,80),1.25,IF(_uom="lbs",5,2.5))))),"")</f>
        <v/>
      </c>
      <c s="70"/>
      <c s="63"/>
      <c s="97"/>
      <c s="44" t="str">
        <f>IFERROR(__xludf.DUMMYFUNCTION("IF(AY101=MAX(FILTER(AY$10:AY$199,LOOKUP(ROW(AS$10:AS$199),FILTER(ROW(AS$10:AS$199),AS$10:AS$199&lt;&gt;AS$9:AS$198))=LOOKUP(ROW(AS101),FILTER(ROW(AS$10:AS$199),AS$10:AS$199&lt;&gt;AS$9:AS$198)))),AZ101,)"),"")</f>
        <v/>
      </c>
      <c s="42"/>
      <c s="63"/>
      <c s="64" t="str">
        <f t="shared" si="19"/>
        <v/>
      </c>
      <c s="65" t="str">
        <f>IFERROR(__xludf.DUMMYFUNCTION("""COMPUTED_VALUE"""),"")</f>
        <v/>
      </c>
      <c s="66">
        <f ca="1"/>
        <v>45236</v>
      </c>
      <c s="93" t="str">
        <f t="shared" si="20"/>
        <v/>
      </c>
      <c s="94" t="str">
        <f t="shared" si="425"/>
        <v/>
      </c>
      <c s="95" t="str">
        <f t="shared" si="411"/>
        <v/>
      </c>
      <c s="98" t="str">
        <f t="shared" si="412"/>
        <v/>
      </c>
      <c s="97" t="str">
        <f t="array" ref="BM101">IFERROR(IF(BG101="ac"+ISNUMBER(SEARCH("'",BL101))+BK101="","",IF(ISNUMBER(SEARCH("lw",BL101)),AY101+SUBSTITUTE(BL101,"lw+",""),MROUND(_xlfn.SWITCH(BG101,"sq",BK$7,"bn",BL$7,"dl",BM$7,"")*IF(BL101&gt;10,BL101/100,VLOOKUP(BL101,_rpe,SUBSTITUTE(BK101,"+","")+1,0)),IF(_xlfn.SWITCH(BG101,"sq",BK$7,"bn",BL$7,"dl",BM$7,"")&lt;IF(_uom="lbs",175,80),1.25,IF(_uom="lbs",5,2.5))))),"")</f>
        <v/>
      </c>
      <c s="70"/>
      <c s="63"/>
      <c s="97"/>
      <c s="44" t="str">
        <f>IFERROR(__xludf.DUMMYFUNCTION("IF(BM101=MAX(FILTER(BM$10:BM$199,LOOKUP(ROW(BG$10:BG$199),FILTER(ROW(BG$10:BG$199),BG$10:BG$199&lt;&gt;BG$9:BG$198))=LOOKUP(ROW(BG101),FILTER(ROW(BG$10:BG$199),BG$10:BG$199&lt;&gt;BG$9:BG$198)))),BN101,)"),"")</f>
        <v/>
      </c>
      <c s="42"/>
      <c s="63"/>
      <c s="64" t="str">
        <f t="shared" si="21"/>
        <v/>
      </c>
      <c s="65" t="str">
        <f>IFERROR(__xludf.DUMMYFUNCTION("""COMPUTED_VALUE"""),"")</f>
        <v/>
      </c>
      <c s="66">
        <f ca="1"/>
        <v>45243</v>
      </c>
      <c s="93" t="str">
        <f t="shared" si="22"/>
        <v/>
      </c>
      <c s="94" t="str">
        <f t="shared" si="426"/>
        <v/>
      </c>
      <c s="95" t="str">
        <f t="shared" si="414"/>
        <v/>
      </c>
      <c s="98" t="str">
        <f t="shared" si="415"/>
        <v/>
      </c>
      <c s="97" t="str">
        <f t="array" ref="CA101">IFERROR(IF(BU101="ac"+ISNUMBER(SEARCH("'",BZ101))+BY101="","",IF(ISNUMBER(SEARCH("lw",BZ101)),BM101+SUBSTITUTE(BZ101,"lw+",""),MROUND(_xlfn.SWITCH(BU101,"sq",BY$7,"bn",BZ$7,"dl",CA$7,"")*IF(BZ101&gt;10,BZ101/100,VLOOKUP(BZ101,_rpe,SUBSTITUTE(BY101,"+","")+1,0)),IF(_xlfn.SWITCH(BU101,"sq",BY$7,"bn",BZ$7,"dl",CA$7,"")&lt;IF(_uom="lbs",175,80),1.25,IF(_uom="lbs",5,2.5))))),"")</f>
        <v/>
      </c>
      <c s="70"/>
      <c s="63"/>
      <c s="97"/>
      <c s="44" t="str">
        <f>IFERROR(__xludf.DUMMYFUNCTION("IF(CA101=MAX(FILTER(CA$10:CA$199,LOOKUP(ROW(BU$10:BU$199),FILTER(ROW(BU$10:BU$199),BU$10:BU$199&lt;&gt;BU$9:BU$198))=LOOKUP(ROW(BU101),FILTER(ROW(BU$10:BU$199),BU$10:BU$199&lt;&gt;BU$9:BU$198)))),CB101,)"),"")</f>
        <v/>
      </c>
      <c s="42"/>
      <c s="63"/>
      <c s="64" t="str">
        <f t="shared" si="24"/>
        <v/>
      </c>
      <c s="65" t="str">
        <f>IFERROR(__xludf.DUMMYFUNCTION("""COMPUTED_VALUE"""),"")</f>
        <v/>
      </c>
      <c s="66">
        <f ca="1"/>
        <v>45250</v>
      </c>
      <c s="93" t="str">
        <f t="shared" si="44"/>
        <v/>
      </c>
      <c s="94" t="str">
        <f t="shared" si="392"/>
        <v/>
      </c>
      <c s="95" t="str">
        <f t="shared" si="416"/>
        <v/>
      </c>
      <c s="98" t="str">
        <f t="shared" si="417"/>
        <v/>
      </c>
      <c s="97" t="str">
        <f t="array" ref="CO101">IFERROR(IF(CI101="ac"+ISNUMBER(SEARCH("'",CN101))+CM101="","",IF(ISNUMBER(SEARCH("lw",CN101)),CA101+SUBSTITUTE(CN101,"lw+",""),MROUND(_xlfn.SWITCH(CI101,"sq",CM$7,"bn",CN$7,"dl",CO$7,"")*IF(CN101&gt;10,CN101/100,VLOOKUP(CN101,_rpe,SUBSTITUTE(CM101,"+","")+1,0)),IF(_xlfn.SWITCH(CI101,"sq",CM$7,"bn",CN$7,"dl",CO$7,"")&lt;IF(_uom="lbs",175,80),1.25,IF(_uom="lbs",5,2.5))))),"")</f>
        <v/>
      </c>
      <c s="70"/>
      <c s="63"/>
      <c s="97"/>
      <c s="44" t="str">
        <f>IFERROR(__xludf.DUMMYFUNCTION("IF(CO101=MAX(FILTER(CO$10:CO$199,LOOKUP(ROW(CI$10:CI$199),FILTER(ROW(CI$10:CI$199),CI$10:CI$199&lt;&gt;CI$9:CI$198))=LOOKUP(ROW(CI101),FILTER(ROW(CI$10:CI$199),CI$10:CI$199&lt;&gt;CI$9:CI$198)))),CP101,)"),"")</f>
        <v/>
      </c>
      <c s="42"/>
      <c s="63"/>
      <c s="64" t="str">
        <f t="shared" si="27"/>
        <v/>
      </c>
      <c s="65" t="str">
        <f>IFERROR(__xludf.DUMMYFUNCTION("""COMPUTED_VALUE"""),"")</f>
        <v/>
      </c>
      <c s="66">
        <f ca="1"/>
        <v>45257</v>
      </c>
      <c s="93" t="str">
        <f t="shared" si="45"/>
        <v/>
      </c>
      <c s="94" t="str">
        <f t="shared" si="393"/>
        <v/>
      </c>
      <c s="95" t="str">
        <f t="shared" si="418"/>
        <v/>
      </c>
      <c s="98" t="str">
        <f t="shared" si="401"/>
        <v/>
      </c>
      <c s="97" t="str">
        <f t="array" ref="DC101">IFERROR(IF(CW101="ac"+ISNUMBER(SEARCH("'",DB101))+DA101="","",IF(ISNUMBER(SEARCH("lw",DB101)),CO101+SUBSTITUTE(DB101,"lw+",""),MROUND(_xlfn.SWITCH(CW101,"sq",DA$7,"bn",DB$7,"dl",DC$7,"")*IF(DB101&gt;10,DB101/100,VLOOKUP(DB101,_rpe,SUBSTITUTE(DA101,"+","")+1,0)),IF(_xlfn.SWITCH(CW101,"sq",DA$7,"bn",DB$7,"dl",DC$7,"")&lt;IF(_uom="lbs",175,80),1.25,IF(_uom="lbs",5,2.5))))),"")</f>
        <v/>
      </c>
      <c s="70"/>
      <c s="63"/>
      <c s="97"/>
      <c s="44" t="str">
        <f>IFERROR(__xludf.DUMMYFUNCTION("IF(DC101=MAX(FILTER(DC$10:DC$199,LOOKUP(ROW(CW$10:CW$199),FILTER(ROW(CW$10:CW$199),CW$10:CW$199&lt;&gt;CW$9:CW$198))=LOOKUP(ROW(CW101),FILTER(ROW(CW$10:CW$199),CW$10:CW$199&lt;&gt;CW$9:CW$198)))),DD101,)"),"")</f>
        <v/>
      </c>
      <c s="42"/>
      <c s="63"/>
      <c s="64" t="str">
        <f t="shared" si="30"/>
        <v/>
      </c>
      <c s="65" t="str">
        <f>IFERROR(__xludf.DUMMYFUNCTION("""COMPUTED_VALUE"""),"")</f>
        <v/>
      </c>
      <c s="66">
        <f ca="1"/>
        <v>45264</v>
      </c>
      <c s="93" t="str">
        <f t="shared" si="46"/>
        <v/>
      </c>
      <c s="94" t="str">
        <f t="shared" si="394"/>
        <v/>
      </c>
      <c s="95" t="str">
        <f t="shared" si="419"/>
        <v/>
      </c>
      <c s="98" t="str">
        <f t="shared" si="420"/>
        <v/>
      </c>
      <c s="97" t="str">
        <f t="array" ref="DQ101">IFERROR(IF(DK101="ac"+ISNUMBER(SEARCH("'",DP101))+DO101="","",IF(ISNUMBER(SEARCH("lw",DP101)),DC101+SUBSTITUTE(DP101,"lw+",""),MROUND(_xlfn.SWITCH(DK101,"sq",DO$7,"bn",DP$7,"dl",DQ$7,"")*IF(DP101&gt;10,DP101/100,VLOOKUP(DP101,_rpe,SUBSTITUTE(DO101,"+","")+1,0)),IF(_xlfn.SWITCH(DK101,"sq",DO$7,"bn",DP$7,"dl",DQ$7,"")&lt;IF(_uom="lbs",175,80),1.25,IF(_uom="lbs",5,2.5))))),"")</f>
        <v/>
      </c>
      <c s="70"/>
      <c s="63"/>
      <c s="97"/>
      <c s="44" t="str">
        <f>IFERROR(__xludf.DUMMYFUNCTION("IF(DQ101=MAX(FILTER(DQ$10:DQ$199,LOOKUP(ROW(DK$10:DK$199),FILTER(ROW(DK$10:DK$199),DK$10:DK$199&lt;&gt;DK$9:DK$198))=LOOKUP(ROW(DK101),FILTER(ROW(DK$10:DK$199),DK$10:DK$199&lt;&gt;DK$9:DK$198)))),DR101,)"),"")</f>
        <v/>
      </c>
      <c s="42"/>
      <c s="63"/>
      <c s="64" t="str">
        <f t="shared" si="32"/>
        <v/>
      </c>
      <c s="65" t="str">
        <f>IFERROR(__xludf.DUMMYFUNCTION("""COMPUTED_VALUE"""),"")</f>
        <v/>
      </c>
      <c s="66">
        <f ca="1"/>
        <v>45271</v>
      </c>
      <c s="93" t="str">
        <f t="shared" si="47"/>
        <v/>
      </c>
      <c s="94" t="str">
        <f t="shared" si="405"/>
        <v/>
      </c>
      <c s="95" t="str">
        <f t="shared" si="421"/>
        <v/>
      </c>
      <c s="98" t="str">
        <f t="shared" si="422"/>
        <v/>
      </c>
      <c s="97" t="str">
        <f t="array" ref="EE101">IFERROR(IF(DY101="ac"+ISNUMBER(SEARCH("'",ED101))+EC101="","",IF(ISNUMBER(SEARCH("lw",ED101)),DQ101+SUBSTITUTE(ED101,"lw+",""),MROUND(_xlfn.SWITCH(DY101,"sq",EC$7,"bn",ED$7,"dl",EE$7,"")*IF(ED101&gt;10,ED101/100,VLOOKUP(ED101,_rpe,SUBSTITUTE(EC101,"+","")+1,0)),IF(_xlfn.SWITCH(DY101,"sq",EC$7,"bn",ED$7,"dl",EE$7,"")&lt;IF(_uom="lbs",175,80),1.25,IF(_uom="lbs",5,2.5))))),"")</f>
        <v/>
      </c>
      <c s="70"/>
      <c s="63"/>
      <c s="97"/>
      <c s="44" t="str">
        <f>IFERROR(__xludf.DUMMYFUNCTION("IF(EE101=MAX(FILTER(EE$10:EE$199,LOOKUP(ROW(DY$10:DY$199),FILTER(ROW(DY$10:DY$199),DY$10:DY$199&lt;&gt;DY$9:DY$198))=LOOKUP(ROW(DY101),FILTER(ROW(DY$10:DY$199),DY$10:DY$199&lt;&gt;DY$9:DY$198)))),EF101,)"),"")</f>
        <v/>
      </c>
      <c s="42"/>
      <c s="63"/>
      <c s="64" t="str">
        <f t="shared" si="34"/>
        <v/>
      </c>
      <c s="65" t="str">
        <f>IFERROR(__xludf.DUMMYFUNCTION("""COMPUTED_VALUE"""),"")</f>
        <v/>
      </c>
      <c s="66">
        <f ca="1"/>
        <v>45278</v>
      </c>
      <c s="93" t="str">
        <f t="shared" si="48"/>
        <v/>
      </c>
      <c s="94" t="str">
        <f t="shared" si="395"/>
        <v/>
      </c>
      <c s="95" t="str">
        <f t="shared" si="423"/>
        <v/>
      </c>
      <c s="98" t="str">
        <f t="shared" si="402"/>
        <v/>
      </c>
      <c s="97" t="str">
        <f t="array" ref="ES101">IFERROR(IF(EM101="ac"+ISNUMBER(SEARCH("'",ER101))+EQ101="","",IF(ISNUMBER(SEARCH("lw",ER101)),EE101+SUBSTITUTE(ER101,"lw+",""),MROUND(_xlfn.SWITCH(EM101,"sq",EQ$7,"bn",ER$7,"dl",ES$7,"")*IF(ER101&gt;10,ER101/100,VLOOKUP(ER101,_rpe,SUBSTITUTE(EQ101,"+","")+1,0)),IF(_xlfn.SWITCH(EM101,"sq",EQ$7,"bn",ER$7,"dl",ES$7,"")&lt;IF(_uom="lbs",175,80),1.25,IF(_uom="lbs",5,2.5))))),"")</f>
        <v/>
      </c>
      <c s="70"/>
      <c s="63"/>
      <c s="97"/>
      <c s="44" t="str">
        <f>IFERROR(__xludf.DUMMYFUNCTION("IF(ES101=MAX(FILTER(ES$10:ES$199,LOOKUP(ROW(EM$10:EM$199),FILTER(ROW(EM$10:EM$199),EM$10:EM$199&lt;&gt;EM$9:EM$198))=LOOKUP(ROW(EM101),FILTER(ROW(EM$10:EM$199),EM$10:EM$199&lt;&gt;EM$9:EM$198)))),ET101,)"),"")</f>
        <v/>
      </c>
      <c s="42"/>
      <c s="63"/>
      <c s="64" t="str">
        <f t="shared" si="36"/>
        <v/>
      </c>
      <c s="65" t="str">
        <f>IFERROR(__xludf.DUMMYFUNCTION("""COMPUTED_VALUE"""),"")</f>
        <v/>
      </c>
      <c s="66">
        <f ca="1"/>
        <v>45285</v>
      </c>
      <c s="93" t="str">
        <f t="shared" si="49"/>
        <v/>
      </c>
      <c s="94" t="str">
        <f t="shared" si="396"/>
        <v/>
      </c>
      <c s="95" t="str">
        <f t="shared" si="424"/>
        <v/>
      </c>
      <c s="98" t="str">
        <f t="shared" si="403"/>
        <v/>
      </c>
      <c s="97" t="str">
        <f t="array" ref="FG101">IFERROR(IF(FA101="ac"+ISNUMBER(SEARCH("'",FF101))+FE101="","",IF(ISNUMBER(SEARCH("lw",FF101)),ES101+SUBSTITUTE(FF101,"lw+",""),MROUND(_xlfn.SWITCH(FA101,"sq",FE$7,"bn",FF$7,"dl",FG$7,"")*IF(FF101&gt;10,FF101/100,VLOOKUP(FF101,_rpe,SUBSTITUTE(FE101,"+","")+1,0)),IF(_xlfn.SWITCH(FA101,"sq",FE$7,"bn",FF$7,"dl",FG$7,"")&lt;IF(_uom="lbs",175,80),1.25,IF(_uom="lbs",5,2.5))))),"")</f>
        <v/>
      </c>
      <c s="70"/>
      <c s="63"/>
      <c s="97"/>
      <c s="44" t="str">
        <f>IFERROR(__xludf.DUMMYFUNCTION("IF(FG101=MAX(FILTER(FG$10:FG$199,LOOKUP(ROW(FA$10:FA$199),FILTER(ROW(FA$10:FA$199),FA$10:FA$199&lt;&gt;FA$9:FA$198))=LOOKUP(ROW(FA101),FILTER(ROW(FA$10:FA$199),FA$10:FA$199&lt;&gt;FA$9:FA$198)))),FH101,)"),"")</f>
        <v/>
      </c>
      <c s="42"/>
      <c s="63"/>
      <c s="64" t="str">
        <f t="shared" si="38"/>
        <v/>
      </c>
      <c s="65" t="str">
        <f>IFERROR(__xludf.DUMMYFUNCTION("""COMPUTED_VALUE"""),"")</f>
        <v/>
      </c>
      <c s="66">
        <f ca="1"/>
        <v>45292</v>
      </c>
      <c s="93" t="str">
        <f t="shared" si="445" ref="FQ101:FR101">IF(ISBLANK(FC101),"",FC101)</f>
        <v/>
      </c>
      <c s="94" t="str">
        <f t="shared" si="445"/>
        <v/>
      </c>
      <c s="95" t="str">
        <f t="shared" si="428"/>
        <v/>
      </c>
      <c s="98" t="str">
        <f t="shared" si="429"/>
        <v/>
      </c>
      <c s="97" t="str">
        <f t="array" ref="FU101">IFERROR(IF(FO101="ac"+ISNUMBER(SEARCH("'",FT101))+FS101="","",IF(ISNUMBER(SEARCH("lw",FT101)),FG101+SUBSTITUTE(FT101,"lw+",""),MROUND(_xlfn.SWITCH(FO101,"sq",FS$7,"bn",FT$7,"dl",FU$7,"")*IF(FT101&gt;10,FT101/100,VLOOKUP(FT101,_rpe,SUBSTITUTE(FS101,"+","")+1,0)),IF(_xlfn.SWITCH(FO101,"sq",FS$7,"bn",FT$7,"dl",FU$7,"")&lt;IF(_uom="lbs",175,80),1.25,IF(_uom="lbs",5,2.5))))),"")</f>
        <v/>
      </c>
      <c s="70"/>
      <c s="63"/>
      <c s="97"/>
      <c s="44" t="str">
        <f>IFERROR(__xludf.DUMMYFUNCTION("IF(FU101=MAX(FILTER(FU$10:FU$199,LOOKUP(ROW(FO$10:FO$199),FILTER(ROW(FO$10:FO$199),FO$10:FO$199&lt;&gt;FO$9:FO$198))=LOOKUP(ROW(FO101),FILTER(ROW(FO$10:FO$199),FO$10:FO$199&lt;&gt;FO$9:FO$198)))),FV101,)"),"")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02" spans="1:259" ht="15.75" collapsed="1">
      <c r="A102" s="63"/>
      <c s="107"/>
      <c s="65" t="str">
        <f>IFERROR(__xludf.DUMMYFUNCTION("""COMPUTED_VALUE"""),"")</f>
        <v/>
      </c>
      <c s="66">
        <f ca="1"/>
        <v>45208</v>
      </c>
      <c s="108"/>
      <c s="94"/>
      <c s="95"/>
      <c s="96"/>
      <c s="97" t="str">
        <f t="array" ref="I102">IFERROR(IF(C102="ac"+ISNUMBER(SEARCH("'",H102))+G102="","",MROUND(_xlfn.SWITCH(C102,"sq",'Personal Info'!$O$15,"bn",'Personal Info'!$S$15,"dl",'Personal Info'!$W$15,"")*IF(H102&gt;10,H102/100,VLOOKUP(H102,_rpe,SUBSTITUTE(G102,"+","")+1,0)),IF(_xlfn.SWITCH(C102:C210,"sq",'Personal Info'!$O$15,"bn",'Personal Info'!$S$15,"dl",'Personal Info'!$W$15,"")&lt;IF(_uom="lbs",175,80),1.25,IF(_uom="lbs",5,2.5)))),"")</f>
        <v/>
      </c>
      <c s="70"/>
      <c s="63"/>
      <c s="97"/>
      <c s="44" t="str">
        <f>IFERROR(__xludf.DUMMYFUNCTION("IF(I102=MAX(FILTER(I$10:I$199,LOOKUP(ROW(C$10:C$199),FILTER(ROW(C$10:C$199),C$10:C$199&lt;&gt;C$9:C$198))=LOOKUP(ROW(C102),FILTER(ROW(C$10:C$199),C$10:C$199&lt;&gt;C$9:C$198)))),J102,)"),"")</f>
        <v/>
      </c>
      <c s="42"/>
      <c s="63"/>
      <c s="64" t="str">
        <f t="shared" si="11"/>
        <v/>
      </c>
      <c s="65" t="str">
        <f>IFERROR(__xludf.DUMMYFUNCTION("""COMPUTED_VALUE"""),"")</f>
        <v/>
      </c>
      <c s="66">
        <f ca="1"/>
        <v>45215</v>
      </c>
      <c s="93" t="str">
        <f t="shared" si="12"/>
        <v/>
      </c>
      <c s="94" t="str">
        <f t="shared" si="404"/>
        <v/>
      </c>
      <c s="95" t="str">
        <f t="shared" si="406"/>
        <v/>
      </c>
      <c s="98" t="str">
        <f t="shared" si="407"/>
        <v/>
      </c>
      <c s="97" t="str">
        <f t="array" ref="W102">IFERROR(IF(Q102="ac"+ISNUMBER(SEARCH("'",V102))+U102="","",IF(ISNUMBER(SEARCH("lw",V102)),I102+SUBSTITUTE(V102,"lw+",""),MROUND(_xlfn.SWITCH(Q102,"sq",U$7,"bn",V$7,"dl",W$7,"")*IF(V102&gt;10,V102/100,VLOOKUP(V102,_rpe,SUBSTITUTE(U102,"+","")+1,0)),IF(_xlfn.SWITCH(Q102,"sq",U$7,"bn",V$7,"dl",W$7,"")&lt;IF(_uom="lbs",175,80),1.25,IF(_uom="lbs",5,2.5))))),"")</f>
        <v/>
      </c>
      <c s="70"/>
      <c s="63"/>
      <c s="97"/>
      <c s="44" t="str">
        <f>IFERROR(__xludf.DUMMYFUNCTION("IF(W102=MAX(FILTER(W$10:W$199,LOOKUP(ROW(Q$10:Q$199),FILTER(ROW(Q$10:Q$199),Q$10:Q$199&lt;&gt;Q$9:Q$198))=LOOKUP(ROW(Q102),FILTER(ROW(Q$10:Q$199),Q$10:Q$199&lt;&gt;Q$9:Q$198)))),X102,)"),"")</f>
        <v/>
      </c>
      <c s="42"/>
      <c s="63"/>
      <c s="64" t="str">
        <f t="shared" si="14"/>
        <v/>
      </c>
      <c s="65" t="str">
        <f>IFERROR(__xludf.DUMMYFUNCTION("""COMPUTED_VALUE"""),"")</f>
        <v/>
      </c>
      <c s="66">
        <f ca="1"/>
        <v>45222</v>
      </c>
      <c s="93" t="str">
        <f t="shared" si="156"/>
        <v/>
      </c>
      <c s="94" t="str">
        <f t="shared" si="397"/>
        <v/>
      </c>
      <c s="95" t="str">
        <f t="shared" si="408"/>
        <v/>
      </c>
      <c s="98" t="str">
        <f t="shared" si="398"/>
        <v/>
      </c>
      <c s="97" t="str">
        <f t="array" ref="AK102">IFERROR(IF(AE102="ac"+ISNUMBER(SEARCH("'",AJ102))+AI102="","",IF(ISNUMBER(SEARCH("lw",AJ102)),W102+SUBSTITUTE(AJ102,"lw+",""),MROUND(_xlfn.SWITCH(AE102,"sq",AI$7,"bn",AJ$7,"dl",AK$7,"")*IF(AJ102&gt;10,AJ102/100,VLOOKUP(AJ102,_rpe,SUBSTITUTE(AI102,"+","")+1,0)),IF(_xlfn.SWITCH(AE102,"sq",AI$7,"bn",AJ$7,"dl",AK$7,"")&lt;IF(_uom="lbs",175,80),1.25,IF(_uom="lbs",5,2.5))))),"")</f>
        <v/>
      </c>
      <c s="70"/>
      <c s="63"/>
      <c s="97"/>
      <c s="44" t="str">
        <f>IFERROR(__xludf.DUMMYFUNCTION("IF(AK102=MAX(FILTER(AK$10:AK$199,LOOKUP(ROW(AE$10:AE$199),FILTER(ROW(AE$10:AE$199),AE$10:AE$199&lt;&gt;AE$9:AE$198))=LOOKUP(ROW(AE102),FILTER(ROW(AE$10:AE$199),AE$10:AE$199&lt;&gt;AE$9:AE$198)))),AL102,)"),"")</f>
        <v/>
      </c>
      <c s="42"/>
      <c s="63"/>
      <c s="64" t="str">
        <f t="shared" si="17"/>
        <v/>
      </c>
      <c s="65" t="str">
        <f>IFERROR(__xludf.DUMMYFUNCTION("""COMPUTED_VALUE"""),"")</f>
        <v/>
      </c>
      <c s="66">
        <f ca="1"/>
        <v>45229</v>
      </c>
      <c s="93" t="str">
        <f t="shared" si="157"/>
        <v/>
      </c>
      <c s="94" t="str">
        <f t="shared" si="399"/>
        <v/>
      </c>
      <c s="95" t="str">
        <f t="shared" si="409"/>
        <v/>
      </c>
      <c s="98" t="str">
        <f t="shared" si="400"/>
        <v/>
      </c>
      <c s="97" t="str">
        <f t="array" ref="AY102">IFERROR(IF(AS102="ac"+ISNUMBER(SEARCH("'",AX102))+AW102="","",IF(ISNUMBER(SEARCH("lw",AX102)),AK102+SUBSTITUTE(AX102,"lw+",""),MROUND(_xlfn.SWITCH(AS102,"sq",AW$7,"bn",AX$7,"dl",AY$7,"")*IF(AX102&gt;10,AX102/100,VLOOKUP(AX102,_rpe,SUBSTITUTE(AW102,"+","")+1,0)),IF(_xlfn.SWITCH(AS102,"sq",AW$7,"bn",AX$7,"dl",AY$7,"")&lt;IF(_uom="lbs",175,80),1.25,IF(_uom="lbs",5,2.5))))),"")</f>
        <v/>
      </c>
      <c s="70"/>
      <c s="63"/>
      <c s="97"/>
      <c s="44" t="str">
        <f>IFERROR(__xludf.DUMMYFUNCTION("IF(AY102=MAX(FILTER(AY$10:AY$199,LOOKUP(ROW(AS$10:AS$199),FILTER(ROW(AS$10:AS$199),AS$10:AS$199&lt;&gt;AS$9:AS$198))=LOOKUP(ROW(AS102),FILTER(ROW(AS$10:AS$199),AS$10:AS$199&lt;&gt;AS$9:AS$198)))),AZ102,)"),"")</f>
        <v/>
      </c>
      <c s="42"/>
      <c s="63"/>
      <c s="64" t="str">
        <f t="shared" si="19"/>
        <v/>
      </c>
      <c s="65" t="str">
        <f>IFERROR(__xludf.DUMMYFUNCTION("""COMPUTED_VALUE"""),"")</f>
        <v/>
      </c>
      <c s="66">
        <f ca="1"/>
        <v>45236</v>
      </c>
      <c s="93" t="str">
        <f t="shared" si="20"/>
        <v/>
      </c>
      <c s="94" t="str">
        <f t="shared" si="425"/>
        <v/>
      </c>
      <c s="95" t="str">
        <f t="shared" si="411"/>
        <v/>
      </c>
      <c s="98" t="str">
        <f t="shared" si="412"/>
        <v/>
      </c>
      <c s="97" t="str">
        <f t="array" ref="BM102">IFERROR(IF(BG102="ac"+ISNUMBER(SEARCH("'",BL102))+BK102="","",IF(ISNUMBER(SEARCH("lw",BL102)),AY102+SUBSTITUTE(BL102,"lw+",""),MROUND(_xlfn.SWITCH(BG102,"sq",BK$7,"bn",BL$7,"dl",BM$7,"")*IF(BL102&gt;10,BL102/100,VLOOKUP(BL102,_rpe,SUBSTITUTE(BK102,"+","")+1,0)),IF(_xlfn.SWITCH(BG102,"sq",BK$7,"bn",BL$7,"dl",BM$7,"")&lt;IF(_uom="lbs",175,80),1.25,IF(_uom="lbs",5,2.5))))),"")</f>
        <v/>
      </c>
      <c s="70"/>
      <c s="63"/>
      <c s="97"/>
      <c s="44" t="str">
        <f>IFERROR(__xludf.DUMMYFUNCTION("IF(BM102=MAX(FILTER(BM$10:BM$199,LOOKUP(ROW(BG$10:BG$199),FILTER(ROW(BG$10:BG$199),BG$10:BG$199&lt;&gt;BG$9:BG$198))=LOOKUP(ROW(BG102),FILTER(ROW(BG$10:BG$199),BG$10:BG$199&lt;&gt;BG$9:BG$198)))),BN102,)"),"")</f>
        <v/>
      </c>
      <c s="42"/>
      <c s="63"/>
      <c s="64" t="str">
        <f t="shared" si="21"/>
        <v/>
      </c>
      <c s="65" t="str">
        <f>IFERROR(__xludf.DUMMYFUNCTION("""COMPUTED_VALUE"""),"")</f>
        <v/>
      </c>
      <c s="66">
        <f ca="1"/>
        <v>45243</v>
      </c>
      <c s="93" t="str">
        <f t="shared" si="22"/>
        <v/>
      </c>
      <c s="94" t="str">
        <f t="shared" si="426"/>
        <v/>
      </c>
      <c s="95" t="str">
        <f t="shared" si="414"/>
        <v/>
      </c>
      <c s="98" t="str">
        <f t="shared" si="415"/>
        <v/>
      </c>
      <c s="97" t="str">
        <f t="array" ref="CA102">IFERROR(IF(BU102="ac"+ISNUMBER(SEARCH("'",BZ102))+BY102="","",IF(ISNUMBER(SEARCH("lw",BZ102)),BM102+SUBSTITUTE(BZ102,"lw+",""),MROUND(_xlfn.SWITCH(BU102,"sq",BY$7,"bn",BZ$7,"dl",CA$7,"")*IF(BZ102&gt;10,BZ102/100,VLOOKUP(BZ102,_rpe,SUBSTITUTE(BY102,"+","")+1,0)),IF(_xlfn.SWITCH(BU102,"sq",BY$7,"bn",BZ$7,"dl",CA$7,"")&lt;IF(_uom="lbs",175,80),1.25,IF(_uom="lbs",5,2.5))))),"")</f>
        <v/>
      </c>
      <c s="70"/>
      <c s="63"/>
      <c s="97"/>
      <c s="44" t="str">
        <f>IFERROR(__xludf.DUMMYFUNCTION("IF(CA102=MAX(FILTER(CA$10:CA$199,LOOKUP(ROW(BU$10:BU$199),FILTER(ROW(BU$10:BU$199),BU$10:BU$199&lt;&gt;BU$9:BU$198))=LOOKUP(ROW(BU102),FILTER(ROW(BU$10:BU$199),BU$10:BU$199&lt;&gt;BU$9:BU$198)))),CB102,)"),"")</f>
        <v/>
      </c>
      <c s="42"/>
      <c s="63"/>
      <c s="64" t="str">
        <f t="shared" si="24"/>
        <v/>
      </c>
      <c s="65" t="str">
        <f>IFERROR(__xludf.DUMMYFUNCTION("""COMPUTED_VALUE"""),"")</f>
        <v/>
      </c>
      <c s="66">
        <f ca="1"/>
        <v>45250</v>
      </c>
      <c s="93" t="str">
        <f t="shared" si="44"/>
        <v/>
      </c>
      <c s="94" t="str">
        <f t="shared" si="392"/>
        <v/>
      </c>
      <c s="95" t="str">
        <f t="shared" si="416"/>
        <v/>
      </c>
      <c s="98" t="str">
        <f t="shared" si="417"/>
        <v/>
      </c>
      <c s="97" t="str">
        <f t="array" ref="CO102">IFERROR(IF(CI102="ac"+ISNUMBER(SEARCH("'",CN102))+CM102="","",IF(ISNUMBER(SEARCH("lw",CN102)),CA102+SUBSTITUTE(CN102,"lw+",""),MROUND(_xlfn.SWITCH(CI102,"sq",CM$7,"bn",CN$7,"dl",CO$7,"")*IF(CN102&gt;10,CN102/100,VLOOKUP(CN102,_rpe,SUBSTITUTE(CM102,"+","")+1,0)),IF(_xlfn.SWITCH(CI102,"sq",CM$7,"bn",CN$7,"dl",CO$7,"")&lt;IF(_uom="lbs",175,80),1.25,IF(_uom="lbs",5,2.5))))),"")</f>
        <v/>
      </c>
      <c s="70"/>
      <c s="63"/>
      <c s="97"/>
      <c s="44" t="str">
        <f>IFERROR(__xludf.DUMMYFUNCTION("IF(CO102=MAX(FILTER(CO$10:CO$199,LOOKUP(ROW(CI$10:CI$199),FILTER(ROW(CI$10:CI$199),CI$10:CI$199&lt;&gt;CI$9:CI$198))=LOOKUP(ROW(CI102),FILTER(ROW(CI$10:CI$199),CI$10:CI$199&lt;&gt;CI$9:CI$198)))),CP102,)"),"")</f>
        <v/>
      </c>
      <c s="42"/>
      <c s="63"/>
      <c s="64" t="str">
        <f t="shared" si="27"/>
        <v/>
      </c>
      <c s="65" t="str">
        <f>IFERROR(__xludf.DUMMYFUNCTION("""COMPUTED_VALUE"""),"")</f>
        <v/>
      </c>
      <c s="66">
        <f ca="1"/>
        <v>45257</v>
      </c>
      <c s="93" t="str">
        <f t="shared" si="45"/>
        <v/>
      </c>
      <c s="94" t="str">
        <f t="shared" si="393"/>
        <v/>
      </c>
      <c s="95" t="str">
        <f t="shared" si="418"/>
        <v/>
      </c>
      <c s="98" t="str">
        <f t="shared" si="401"/>
        <v/>
      </c>
      <c s="97" t="str">
        <f t="array" ref="DC102">IFERROR(IF(CW102="ac"+ISNUMBER(SEARCH("'",DB102))+DA102="","",IF(ISNUMBER(SEARCH("lw",DB102)),CO102+SUBSTITUTE(DB102,"lw+",""),MROUND(_xlfn.SWITCH(CW102,"sq",DA$7,"bn",DB$7,"dl",DC$7,"")*IF(DB102&gt;10,DB102/100,VLOOKUP(DB102,_rpe,SUBSTITUTE(DA102,"+","")+1,0)),IF(_xlfn.SWITCH(CW102,"sq",DA$7,"bn",DB$7,"dl",DC$7,"")&lt;IF(_uom="lbs",175,80),1.25,IF(_uom="lbs",5,2.5))))),"")</f>
        <v/>
      </c>
      <c s="70"/>
      <c s="63"/>
      <c s="97"/>
      <c s="44" t="str">
        <f>IFERROR(__xludf.DUMMYFUNCTION("IF(DC102=MAX(FILTER(DC$10:DC$199,LOOKUP(ROW(CW$10:CW$199),FILTER(ROW(CW$10:CW$199),CW$10:CW$199&lt;&gt;CW$9:CW$198))=LOOKUP(ROW(CW102),FILTER(ROW(CW$10:CW$199),CW$10:CW$199&lt;&gt;CW$9:CW$198)))),DD102,)"),"")</f>
        <v/>
      </c>
      <c s="42"/>
      <c s="63"/>
      <c s="64" t="str">
        <f t="shared" si="30"/>
        <v/>
      </c>
      <c s="65" t="str">
        <f>IFERROR(__xludf.DUMMYFUNCTION("""COMPUTED_VALUE"""),"")</f>
        <v/>
      </c>
      <c s="66">
        <f ca="1"/>
        <v>45264</v>
      </c>
      <c s="93" t="str">
        <f t="shared" si="46"/>
        <v/>
      </c>
      <c s="94" t="str">
        <f t="shared" si="394"/>
        <v/>
      </c>
      <c s="95" t="str">
        <f t="shared" si="419"/>
        <v/>
      </c>
      <c s="98" t="str">
        <f t="shared" si="420"/>
        <v/>
      </c>
      <c s="97" t="str">
        <f t="array" ref="DQ102">IFERROR(IF(DK102="ac"+ISNUMBER(SEARCH("'",DP102))+DO102="","",IF(ISNUMBER(SEARCH("lw",DP102)),DC102+SUBSTITUTE(DP102,"lw+",""),MROUND(_xlfn.SWITCH(DK102,"sq",DO$7,"bn",DP$7,"dl",DQ$7,"")*IF(DP102&gt;10,DP102/100,VLOOKUP(DP102,_rpe,SUBSTITUTE(DO102,"+","")+1,0)),IF(_xlfn.SWITCH(DK102,"sq",DO$7,"bn",DP$7,"dl",DQ$7,"")&lt;IF(_uom="lbs",175,80),1.25,IF(_uom="lbs",5,2.5))))),"")</f>
        <v/>
      </c>
      <c s="70"/>
      <c s="63"/>
      <c s="97"/>
      <c s="44" t="str">
        <f>IFERROR(__xludf.DUMMYFUNCTION("IF(DQ102=MAX(FILTER(DQ$10:DQ$199,LOOKUP(ROW(DK$10:DK$199),FILTER(ROW(DK$10:DK$199),DK$10:DK$199&lt;&gt;DK$9:DK$198))=LOOKUP(ROW(DK102),FILTER(ROW(DK$10:DK$199),DK$10:DK$199&lt;&gt;DK$9:DK$198)))),DR102,)"),"")</f>
        <v/>
      </c>
      <c s="42"/>
      <c s="63"/>
      <c s="64" t="str">
        <f t="shared" si="32"/>
        <v/>
      </c>
      <c s="65" t="str">
        <f>IFERROR(__xludf.DUMMYFUNCTION("""COMPUTED_VALUE"""),"")</f>
        <v/>
      </c>
      <c s="66">
        <f ca="1"/>
        <v>45271</v>
      </c>
      <c s="93" t="str">
        <f t="shared" si="47"/>
        <v/>
      </c>
      <c s="94" t="str">
        <f t="shared" si="405"/>
        <v/>
      </c>
      <c s="95" t="str">
        <f t="shared" si="421"/>
        <v/>
      </c>
      <c s="98" t="str">
        <f t="shared" si="422"/>
        <v/>
      </c>
      <c s="97" t="str">
        <f t="array" ref="EE102">IFERROR(IF(DY102="ac"+ISNUMBER(SEARCH("'",ED102))+EC102="","",IF(ISNUMBER(SEARCH("lw",ED102)),DQ102+SUBSTITUTE(ED102,"lw+",""),MROUND(_xlfn.SWITCH(DY102,"sq",EC$7,"bn",ED$7,"dl",EE$7,"")*IF(ED102&gt;10,ED102/100,VLOOKUP(ED102,_rpe,SUBSTITUTE(EC102,"+","")+1,0)),IF(_xlfn.SWITCH(DY102,"sq",EC$7,"bn",ED$7,"dl",EE$7,"")&lt;IF(_uom="lbs",175,80),1.25,IF(_uom="lbs",5,2.5))))),"")</f>
        <v/>
      </c>
      <c s="70"/>
      <c s="63"/>
      <c s="97"/>
      <c s="44" t="str">
        <f>IFERROR(__xludf.DUMMYFUNCTION("IF(EE102=MAX(FILTER(EE$10:EE$199,LOOKUP(ROW(DY$10:DY$199),FILTER(ROW(DY$10:DY$199),DY$10:DY$199&lt;&gt;DY$9:DY$198))=LOOKUP(ROW(DY102),FILTER(ROW(DY$10:DY$199),DY$10:DY$199&lt;&gt;DY$9:DY$198)))),EF102,)"),"")</f>
        <v/>
      </c>
      <c s="42"/>
      <c s="63"/>
      <c s="64" t="str">
        <f t="shared" si="34"/>
        <v/>
      </c>
      <c s="65" t="str">
        <f>IFERROR(__xludf.DUMMYFUNCTION("""COMPUTED_VALUE"""),"")</f>
        <v/>
      </c>
      <c s="66">
        <f ca="1"/>
        <v>45278</v>
      </c>
      <c s="93" t="str">
        <f t="shared" si="48"/>
        <v/>
      </c>
      <c s="94" t="str">
        <f t="shared" si="395"/>
        <v/>
      </c>
      <c s="95" t="str">
        <f t="shared" si="423"/>
        <v/>
      </c>
      <c s="98" t="str">
        <f t="shared" si="402"/>
        <v/>
      </c>
      <c s="97" t="str">
        <f t="array" ref="ES102">IFERROR(IF(EM102="ac"+ISNUMBER(SEARCH("'",ER102))+EQ102="","",IF(ISNUMBER(SEARCH("lw",ER102)),EE102+SUBSTITUTE(ER102,"lw+",""),MROUND(_xlfn.SWITCH(EM102,"sq",EQ$7,"bn",ER$7,"dl",ES$7,"")*IF(ER102&gt;10,ER102/100,VLOOKUP(ER102,_rpe,SUBSTITUTE(EQ102,"+","")+1,0)),IF(_xlfn.SWITCH(EM102,"sq",EQ$7,"bn",ER$7,"dl",ES$7,"")&lt;IF(_uom="lbs",175,80),1.25,IF(_uom="lbs",5,2.5))))),"")</f>
        <v/>
      </c>
      <c s="70"/>
      <c s="63"/>
      <c s="97"/>
      <c s="44" t="str">
        <f>IFERROR(__xludf.DUMMYFUNCTION("IF(ES102=MAX(FILTER(ES$10:ES$199,LOOKUP(ROW(EM$10:EM$199),FILTER(ROW(EM$10:EM$199),EM$10:EM$199&lt;&gt;EM$9:EM$198))=LOOKUP(ROW(EM102),FILTER(ROW(EM$10:EM$199),EM$10:EM$199&lt;&gt;EM$9:EM$198)))),ET102,)"),"")</f>
        <v/>
      </c>
      <c s="42"/>
      <c s="63"/>
      <c s="64" t="str">
        <f t="shared" si="36"/>
        <v/>
      </c>
      <c s="65" t="str">
        <f>IFERROR(__xludf.DUMMYFUNCTION("""COMPUTED_VALUE"""),"")</f>
        <v/>
      </c>
      <c s="66">
        <f ca="1"/>
        <v>45285</v>
      </c>
      <c s="93" t="str">
        <f t="shared" si="49"/>
        <v/>
      </c>
      <c s="94" t="str">
        <f t="shared" si="396"/>
        <v/>
      </c>
      <c s="95" t="str">
        <f t="shared" si="424"/>
        <v/>
      </c>
      <c s="98" t="str">
        <f t="shared" si="403"/>
        <v/>
      </c>
      <c s="97" t="str">
        <f t="array" ref="FG102">IFERROR(IF(FA102="ac"+ISNUMBER(SEARCH("'",FF102))+FE102="","",IF(ISNUMBER(SEARCH("lw",FF102)),ES102+SUBSTITUTE(FF102,"lw+",""),MROUND(_xlfn.SWITCH(FA102,"sq",FE$7,"bn",FF$7,"dl",FG$7,"")*IF(FF102&gt;10,FF102/100,VLOOKUP(FF102,_rpe,SUBSTITUTE(FE102,"+","")+1,0)),IF(_xlfn.SWITCH(FA102,"sq",FE$7,"bn",FF$7,"dl",FG$7,"")&lt;IF(_uom="lbs",175,80),1.25,IF(_uom="lbs",5,2.5))))),"")</f>
        <v/>
      </c>
      <c s="70"/>
      <c s="63"/>
      <c s="97"/>
      <c s="44" t="str">
        <f>IFERROR(__xludf.DUMMYFUNCTION("IF(FG102=MAX(FILTER(FG$10:FG$199,LOOKUP(ROW(FA$10:FA$199),FILTER(ROW(FA$10:FA$199),FA$10:FA$199&lt;&gt;FA$9:FA$198))=LOOKUP(ROW(FA102),FILTER(ROW(FA$10:FA$199),FA$10:FA$199&lt;&gt;FA$9:FA$198)))),FH102,)"),"")</f>
        <v/>
      </c>
      <c s="42"/>
      <c s="63"/>
      <c s="64" t="str">
        <f t="shared" si="38"/>
        <v/>
      </c>
      <c s="65" t="str">
        <f>IFERROR(__xludf.DUMMYFUNCTION("""COMPUTED_VALUE"""),"")</f>
        <v/>
      </c>
      <c s="66">
        <f ca="1"/>
        <v>45292</v>
      </c>
      <c s="93" t="str">
        <f t="shared" si="446" ref="FQ102:FR102">IF(ISBLANK(FC102),"",FC102)</f>
        <v/>
      </c>
      <c s="94" t="str">
        <f t="shared" si="446"/>
        <v/>
      </c>
      <c s="95" t="str">
        <f t="shared" si="428"/>
        <v/>
      </c>
      <c s="98" t="str">
        <f t="shared" si="429"/>
        <v/>
      </c>
      <c s="97" t="str">
        <f t="array" ref="FU102">IFERROR(IF(FO102="ac"+ISNUMBER(SEARCH("'",FT102))+FS102="","",IF(ISNUMBER(SEARCH("lw",FT102)),FG102+SUBSTITUTE(FT102,"lw+",""),MROUND(_xlfn.SWITCH(FO102,"sq",FS$7,"bn",FT$7,"dl",FU$7,"")*IF(FT102&gt;10,FT102/100,VLOOKUP(FT102,_rpe,SUBSTITUTE(FS102,"+","")+1,0)),IF(_xlfn.SWITCH(FO102,"sq",FS$7,"bn",FT$7,"dl",FU$7,"")&lt;IF(_uom="lbs",175,80),1.25,IF(_uom="lbs",5,2.5))))),"")</f>
        <v/>
      </c>
      <c s="70"/>
      <c s="63"/>
      <c s="97"/>
      <c s="44" t="str">
        <f>IFERROR(__xludf.DUMMYFUNCTION("IF(FU102=MAX(FILTER(FU$10:FU$199,LOOKUP(ROW(FO$10:FO$199),FILTER(ROW(FO$10:FO$199),FO$10:FO$199&lt;&gt;FO$9:FO$198))=LOOKUP(ROW(FO102),FILTER(ROW(FO$10:FO$199),FO$10:FO$199&lt;&gt;FO$9:FO$198)))),FV102,)"),"")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03" spans="1:259" ht="15.75" hidden="1" outlineLevel="1">
      <c r="A103" s="63"/>
      <c s="107"/>
      <c s="65" t="str">
        <f>IFERROR(__xludf.DUMMYFUNCTION("""COMPUTED_VALUE"""),"")</f>
        <v/>
      </c>
      <c s="66">
        <f ca="1"/>
        <v>45208</v>
      </c>
      <c s="108"/>
      <c s="94"/>
      <c s="95"/>
      <c s="96"/>
      <c s="97" t="str">
        <f t="array" ref="I103">IFERROR(IF(C103="ac"+ISNUMBER(SEARCH("'",H103))+G103="","",MROUND(_xlfn.SWITCH(C103,"sq",'Personal Info'!$O$15,"bn",'Personal Info'!$S$15,"dl",'Personal Info'!$W$15,"")*IF(H103&gt;10,H103/100,VLOOKUP(H103,_rpe,SUBSTITUTE(G103,"+","")+1,0)),IF(_xlfn.SWITCH(C103:C210,"sq",'Personal Info'!$O$15,"bn",'Personal Info'!$S$15,"dl",'Personal Info'!$W$15,"")&lt;IF(_uom="lbs",175,80),1.25,IF(_uom="lbs",5,2.5)))),"")</f>
        <v/>
      </c>
      <c s="70"/>
      <c s="63"/>
      <c s="97"/>
      <c s="44" t="str">
        <f>IFERROR(__xludf.DUMMYFUNCTION("IF(I103=MAX(FILTER(I$10:I$199,LOOKUP(ROW(C$10:C$199),FILTER(ROW(C$10:C$199),C$10:C$199&lt;&gt;C$9:C$198))=LOOKUP(ROW(C103),FILTER(ROW(C$10:C$199),C$10:C$199&lt;&gt;C$9:C$198)))),J103,)"),"")</f>
        <v/>
      </c>
      <c s="42"/>
      <c s="63"/>
      <c s="64" t="str">
        <f t="shared" si="11"/>
        <v/>
      </c>
      <c s="65" t="str">
        <f>IFERROR(__xludf.DUMMYFUNCTION("""COMPUTED_VALUE"""),"")</f>
        <v/>
      </c>
      <c s="66">
        <f ca="1"/>
        <v>45215</v>
      </c>
      <c s="93" t="str">
        <f t="shared" si="12"/>
        <v/>
      </c>
      <c s="94" t="str">
        <f t="shared" si="404"/>
        <v/>
      </c>
      <c s="95" t="str">
        <f t="shared" si="406"/>
        <v/>
      </c>
      <c s="98" t="str">
        <f t="shared" si="407"/>
        <v/>
      </c>
      <c s="97" t="str">
        <f t="array" ref="W103">IFERROR(IF(Q103="ac"+ISNUMBER(SEARCH("'",V103))+U103="","",IF(ISNUMBER(SEARCH("lw",V103)),I103+SUBSTITUTE(V103,"lw+",""),MROUND(_xlfn.SWITCH(Q103,"sq",U$7,"bn",V$7,"dl",W$7,"")*IF(V103&gt;10,V103/100,VLOOKUP(V103,_rpe,SUBSTITUTE(U103,"+","")+1,0)),IF(_xlfn.SWITCH(Q103,"sq",U$7,"bn",V$7,"dl",W$7,"")&lt;IF(_uom="lbs",175,80),1.25,IF(_uom="lbs",5,2.5))))),"")</f>
        <v/>
      </c>
      <c s="70"/>
      <c s="63"/>
      <c s="97"/>
      <c s="44" t="str">
        <f>IFERROR(__xludf.DUMMYFUNCTION("IF(W103=MAX(FILTER(W$10:W$199,LOOKUP(ROW(Q$10:Q$199),FILTER(ROW(Q$10:Q$199),Q$10:Q$199&lt;&gt;Q$9:Q$198))=LOOKUP(ROW(Q103),FILTER(ROW(Q$10:Q$199),Q$10:Q$199&lt;&gt;Q$9:Q$198)))),X103,)"),"")</f>
        <v/>
      </c>
      <c s="42"/>
      <c s="63"/>
      <c s="64" t="str">
        <f t="shared" si="14"/>
        <v/>
      </c>
      <c s="65" t="str">
        <f>IFERROR(__xludf.DUMMYFUNCTION("""COMPUTED_VALUE"""),"")</f>
        <v/>
      </c>
      <c s="66">
        <f ca="1"/>
        <v>45222</v>
      </c>
      <c s="93" t="str">
        <f t="shared" si="156"/>
        <v/>
      </c>
      <c s="94" t="str">
        <f t="shared" si="397"/>
        <v/>
      </c>
      <c s="95" t="str">
        <f t="shared" si="408"/>
        <v/>
      </c>
      <c s="98" t="str">
        <f t="shared" si="398"/>
        <v/>
      </c>
      <c s="97" t="str">
        <f t="array" ref="AK103">IFERROR(IF(AE103="ac"+ISNUMBER(SEARCH("'",AJ103))+AI103="","",IF(ISNUMBER(SEARCH("lw",AJ103)),W103+SUBSTITUTE(AJ103,"lw+",""),MROUND(_xlfn.SWITCH(AE103,"sq",AI$7,"bn",AJ$7,"dl",AK$7,"")*IF(AJ103&gt;10,AJ103/100,VLOOKUP(AJ103,_rpe,SUBSTITUTE(AI103,"+","")+1,0)),IF(_xlfn.SWITCH(AE103,"sq",AI$7,"bn",AJ$7,"dl",AK$7,"")&lt;IF(_uom="lbs",175,80),1.25,IF(_uom="lbs",5,2.5))))),"")</f>
        <v/>
      </c>
      <c s="70"/>
      <c s="63"/>
      <c s="97"/>
      <c s="44" t="str">
        <f>IFERROR(__xludf.DUMMYFUNCTION("IF(AK103=MAX(FILTER(AK$10:AK$199,LOOKUP(ROW(AE$10:AE$199),FILTER(ROW(AE$10:AE$199),AE$10:AE$199&lt;&gt;AE$9:AE$198))=LOOKUP(ROW(AE103),FILTER(ROW(AE$10:AE$199),AE$10:AE$199&lt;&gt;AE$9:AE$198)))),AL103,)"),"")</f>
        <v/>
      </c>
      <c s="42"/>
      <c s="63"/>
      <c s="64" t="str">
        <f t="shared" si="17"/>
        <v/>
      </c>
      <c s="65" t="str">
        <f>IFERROR(__xludf.DUMMYFUNCTION("""COMPUTED_VALUE"""),"")</f>
        <v/>
      </c>
      <c s="66">
        <f ca="1"/>
        <v>45229</v>
      </c>
      <c s="93" t="str">
        <f t="shared" si="157"/>
        <v/>
      </c>
      <c s="94" t="str">
        <f t="shared" si="399"/>
        <v/>
      </c>
      <c s="95" t="str">
        <f t="shared" si="409"/>
        <v/>
      </c>
      <c s="98" t="str">
        <f t="shared" si="400"/>
        <v/>
      </c>
      <c s="97" t="str">
        <f t="array" ref="AY103">IFERROR(IF(AS103="ac"+ISNUMBER(SEARCH("'",AX103))+AW103="","",IF(ISNUMBER(SEARCH("lw",AX103)),AK103+SUBSTITUTE(AX103,"lw+",""),MROUND(_xlfn.SWITCH(AS103,"sq",AW$7,"bn",AX$7,"dl",AY$7,"")*IF(AX103&gt;10,AX103/100,VLOOKUP(AX103,_rpe,SUBSTITUTE(AW103,"+","")+1,0)),IF(_xlfn.SWITCH(AS103,"sq",AW$7,"bn",AX$7,"dl",AY$7,"")&lt;IF(_uom="lbs",175,80),1.25,IF(_uom="lbs",5,2.5))))),"")</f>
        <v/>
      </c>
      <c s="70"/>
      <c s="63"/>
      <c s="97"/>
      <c s="44" t="str">
        <f>IFERROR(__xludf.DUMMYFUNCTION("IF(AY103=MAX(FILTER(AY$10:AY$199,LOOKUP(ROW(AS$10:AS$199),FILTER(ROW(AS$10:AS$199),AS$10:AS$199&lt;&gt;AS$9:AS$198))=LOOKUP(ROW(AS103),FILTER(ROW(AS$10:AS$199),AS$10:AS$199&lt;&gt;AS$9:AS$198)))),AZ103,)"),"")</f>
        <v/>
      </c>
      <c s="42"/>
      <c s="63"/>
      <c s="64" t="str">
        <f t="shared" si="19"/>
        <v/>
      </c>
      <c s="65" t="str">
        <f>IFERROR(__xludf.DUMMYFUNCTION("""COMPUTED_VALUE"""),"")</f>
        <v/>
      </c>
      <c s="66">
        <f ca="1"/>
        <v>45236</v>
      </c>
      <c s="93" t="str">
        <f t="shared" si="20"/>
        <v/>
      </c>
      <c s="94" t="str">
        <f t="shared" si="425"/>
        <v/>
      </c>
      <c s="95" t="str">
        <f t="shared" si="411"/>
        <v/>
      </c>
      <c s="98" t="str">
        <f t="shared" si="412"/>
        <v/>
      </c>
      <c s="97" t="str">
        <f t="array" ref="BM103">IFERROR(IF(BG103="ac"+ISNUMBER(SEARCH("'",BL103))+BK103="","",IF(ISNUMBER(SEARCH("lw",BL103)),AY103+SUBSTITUTE(BL103,"lw+",""),MROUND(_xlfn.SWITCH(BG103,"sq",BK$7,"bn",BL$7,"dl",BM$7,"")*IF(BL103&gt;10,BL103/100,VLOOKUP(BL103,_rpe,SUBSTITUTE(BK103,"+","")+1,0)),IF(_xlfn.SWITCH(BG103,"sq",BK$7,"bn",BL$7,"dl",BM$7,"")&lt;IF(_uom="lbs",175,80),1.25,IF(_uom="lbs",5,2.5))))),"")</f>
        <v/>
      </c>
      <c s="70"/>
      <c s="63"/>
      <c s="97"/>
      <c s="44" t="str">
        <f>IFERROR(__xludf.DUMMYFUNCTION("IF(BM103=MAX(FILTER(BM$10:BM$199,LOOKUP(ROW(BG$10:BG$199),FILTER(ROW(BG$10:BG$199),BG$10:BG$199&lt;&gt;BG$9:BG$198))=LOOKUP(ROW(BG103),FILTER(ROW(BG$10:BG$199),BG$10:BG$199&lt;&gt;BG$9:BG$198)))),BN103,)"),"")</f>
        <v/>
      </c>
      <c s="42"/>
      <c s="63"/>
      <c s="64" t="str">
        <f t="shared" si="21"/>
        <v/>
      </c>
      <c s="65" t="str">
        <f>IFERROR(__xludf.DUMMYFUNCTION("""COMPUTED_VALUE"""),"")</f>
        <v/>
      </c>
      <c s="66">
        <f ca="1"/>
        <v>45243</v>
      </c>
      <c s="93" t="str">
        <f t="shared" si="22"/>
        <v/>
      </c>
      <c s="94" t="str">
        <f t="shared" si="426"/>
        <v/>
      </c>
      <c s="95" t="str">
        <f t="shared" si="414"/>
        <v/>
      </c>
      <c s="98" t="str">
        <f t="shared" si="415"/>
        <v/>
      </c>
      <c s="97" t="str">
        <f t="array" ref="CA103">IFERROR(IF(BU103="ac"+ISNUMBER(SEARCH("'",BZ103))+BY103="","",IF(ISNUMBER(SEARCH("lw",BZ103)),BM103+SUBSTITUTE(BZ103,"lw+",""),MROUND(_xlfn.SWITCH(BU103,"sq",BY$7,"bn",BZ$7,"dl",CA$7,"")*IF(BZ103&gt;10,BZ103/100,VLOOKUP(BZ103,_rpe,SUBSTITUTE(BY103,"+","")+1,0)),IF(_xlfn.SWITCH(BU103,"sq",BY$7,"bn",BZ$7,"dl",CA$7,"")&lt;IF(_uom="lbs",175,80),1.25,IF(_uom="lbs",5,2.5))))),"")</f>
        <v/>
      </c>
      <c s="70"/>
      <c s="63"/>
      <c s="97"/>
      <c s="44" t="str">
        <f>IFERROR(__xludf.DUMMYFUNCTION("IF(CA103=MAX(FILTER(CA$10:CA$199,LOOKUP(ROW(BU$10:BU$199),FILTER(ROW(BU$10:BU$199),BU$10:BU$199&lt;&gt;BU$9:BU$198))=LOOKUP(ROW(BU103),FILTER(ROW(BU$10:BU$199),BU$10:BU$199&lt;&gt;BU$9:BU$198)))),CB103,)"),"")</f>
        <v/>
      </c>
      <c s="42"/>
      <c s="63"/>
      <c s="64" t="str">
        <f t="shared" si="24"/>
        <v/>
      </c>
      <c s="65" t="str">
        <f>IFERROR(__xludf.DUMMYFUNCTION("""COMPUTED_VALUE"""),"")</f>
        <v/>
      </c>
      <c s="66">
        <f ca="1"/>
        <v>45250</v>
      </c>
      <c s="93" t="str">
        <f t="shared" si="44"/>
        <v/>
      </c>
      <c s="94" t="str">
        <f t="shared" si="392"/>
        <v/>
      </c>
      <c s="95" t="str">
        <f t="shared" si="416"/>
        <v/>
      </c>
      <c s="98" t="str">
        <f t="shared" si="417"/>
        <v/>
      </c>
      <c s="97" t="str">
        <f t="array" ref="CO103">IFERROR(IF(CI103="ac"+ISNUMBER(SEARCH("'",CN103))+CM103="","",IF(ISNUMBER(SEARCH("lw",CN103)),CA103+SUBSTITUTE(CN103,"lw+",""),MROUND(_xlfn.SWITCH(CI103,"sq",CM$7,"bn",CN$7,"dl",CO$7,"")*IF(CN103&gt;10,CN103/100,VLOOKUP(CN103,_rpe,SUBSTITUTE(CM103,"+","")+1,0)),IF(_xlfn.SWITCH(CI103,"sq",CM$7,"bn",CN$7,"dl",CO$7,"")&lt;IF(_uom="lbs",175,80),1.25,IF(_uom="lbs",5,2.5))))),"")</f>
        <v/>
      </c>
      <c s="70"/>
      <c s="63"/>
      <c s="97"/>
      <c s="44" t="str">
        <f>IFERROR(__xludf.DUMMYFUNCTION("IF(CO103=MAX(FILTER(CO$10:CO$199,LOOKUP(ROW(CI$10:CI$199),FILTER(ROW(CI$10:CI$199),CI$10:CI$199&lt;&gt;CI$9:CI$198))=LOOKUP(ROW(CI103),FILTER(ROW(CI$10:CI$199),CI$10:CI$199&lt;&gt;CI$9:CI$198)))),CP103,)"),"")</f>
        <v/>
      </c>
      <c s="42"/>
      <c s="63"/>
      <c s="64" t="str">
        <f t="shared" si="27"/>
        <v/>
      </c>
      <c s="65" t="str">
        <f>IFERROR(__xludf.DUMMYFUNCTION("""COMPUTED_VALUE"""),"")</f>
        <v/>
      </c>
      <c s="66">
        <f ca="1"/>
        <v>45257</v>
      </c>
      <c s="93" t="str">
        <f t="shared" si="45"/>
        <v/>
      </c>
      <c s="94" t="str">
        <f t="shared" si="393"/>
        <v/>
      </c>
      <c s="95" t="str">
        <f t="shared" si="418"/>
        <v/>
      </c>
      <c s="98" t="str">
        <f t="shared" si="401"/>
        <v/>
      </c>
      <c s="97" t="str">
        <f t="array" ref="DC103">IFERROR(IF(CW103="ac"+ISNUMBER(SEARCH("'",DB103))+DA103="","",IF(ISNUMBER(SEARCH("lw",DB103)),CO103+SUBSTITUTE(DB103,"lw+",""),MROUND(_xlfn.SWITCH(CW103,"sq",DA$7,"bn",DB$7,"dl",DC$7,"")*IF(DB103&gt;10,DB103/100,VLOOKUP(DB103,_rpe,SUBSTITUTE(DA103,"+","")+1,0)),IF(_xlfn.SWITCH(CW103,"sq",DA$7,"bn",DB$7,"dl",DC$7,"")&lt;IF(_uom="lbs",175,80),1.25,IF(_uom="lbs",5,2.5))))),"")</f>
        <v/>
      </c>
      <c s="70"/>
      <c s="63"/>
      <c s="97"/>
      <c s="44" t="str">
        <f>IFERROR(__xludf.DUMMYFUNCTION("IF(DC103=MAX(FILTER(DC$10:DC$199,LOOKUP(ROW(CW$10:CW$199),FILTER(ROW(CW$10:CW$199),CW$10:CW$199&lt;&gt;CW$9:CW$198))=LOOKUP(ROW(CW103),FILTER(ROW(CW$10:CW$199),CW$10:CW$199&lt;&gt;CW$9:CW$198)))),DD103,)"),"")</f>
        <v/>
      </c>
      <c s="42"/>
      <c s="63"/>
      <c s="64" t="str">
        <f t="shared" si="30"/>
        <v/>
      </c>
      <c s="65" t="str">
        <f>IFERROR(__xludf.DUMMYFUNCTION("""COMPUTED_VALUE"""),"")</f>
        <v/>
      </c>
      <c s="66">
        <f ca="1"/>
        <v>45264</v>
      </c>
      <c s="93" t="str">
        <f t="shared" si="46"/>
        <v/>
      </c>
      <c s="94" t="str">
        <f t="shared" si="394"/>
        <v/>
      </c>
      <c s="95" t="str">
        <f t="shared" si="419"/>
        <v/>
      </c>
      <c s="98" t="str">
        <f t="shared" si="420"/>
        <v/>
      </c>
      <c s="97" t="str">
        <f t="array" ref="DQ103">IFERROR(IF(DK103="ac"+ISNUMBER(SEARCH("'",DP103))+DO103="","",IF(ISNUMBER(SEARCH("lw",DP103)),DC103+SUBSTITUTE(DP103,"lw+",""),MROUND(_xlfn.SWITCH(DK103,"sq",DO$7,"bn",DP$7,"dl",DQ$7,"")*IF(DP103&gt;10,DP103/100,VLOOKUP(DP103,_rpe,SUBSTITUTE(DO103,"+","")+1,0)),IF(_xlfn.SWITCH(DK103,"sq",DO$7,"bn",DP$7,"dl",DQ$7,"")&lt;IF(_uom="lbs",175,80),1.25,IF(_uom="lbs",5,2.5))))),"")</f>
        <v/>
      </c>
      <c s="70"/>
      <c s="63"/>
      <c s="97"/>
      <c s="44" t="str">
        <f>IFERROR(__xludf.DUMMYFUNCTION("IF(DQ103=MAX(FILTER(DQ$10:DQ$199,LOOKUP(ROW(DK$10:DK$199),FILTER(ROW(DK$10:DK$199),DK$10:DK$199&lt;&gt;DK$9:DK$198))=LOOKUP(ROW(DK103),FILTER(ROW(DK$10:DK$199),DK$10:DK$199&lt;&gt;DK$9:DK$198)))),DR103,)"),"")</f>
        <v/>
      </c>
      <c s="42"/>
      <c s="63"/>
      <c s="64" t="str">
        <f t="shared" si="32"/>
        <v/>
      </c>
      <c s="65" t="str">
        <f>IFERROR(__xludf.DUMMYFUNCTION("""COMPUTED_VALUE"""),"")</f>
        <v/>
      </c>
      <c s="66">
        <f ca="1"/>
        <v>45271</v>
      </c>
      <c s="93" t="str">
        <f t="shared" si="47"/>
        <v/>
      </c>
      <c s="94" t="str">
        <f t="shared" si="405"/>
        <v/>
      </c>
      <c s="95" t="str">
        <f t="shared" si="421"/>
        <v/>
      </c>
      <c s="98" t="str">
        <f t="shared" si="422"/>
        <v/>
      </c>
      <c s="97" t="str">
        <f t="array" ref="EE103">IFERROR(IF(DY103="ac"+ISNUMBER(SEARCH("'",ED103))+EC103="","",IF(ISNUMBER(SEARCH("lw",ED103)),DQ103+SUBSTITUTE(ED103,"lw+",""),MROUND(_xlfn.SWITCH(DY103,"sq",EC$7,"bn",ED$7,"dl",EE$7,"")*IF(ED103&gt;10,ED103/100,VLOOKUP(ED103,_rpe,SUBSTITUTE(EC103,"+","")+1,0)),IF(_xlfn.SWITCH(DY103,"sq",EC$7,"bn",ED$7,"dl",EE$7,"")&lt;IF(_uom="lbs",175,80),1.25,IF(_uom="lbs",5,2.5))))),"")</f>
        <v/>
      </c>
      <c s="70"/>
      <c s="63"/>
      <c s="97"/>
      <c s="44" t="str">
        <f>IFERROR(__xludf.DUMMYFUNCTION("IF(EE103=MAX(FILTER(EE$10:EE$199,LOOKUP(ROW(DY$10:DY$199),FILTER(ROW(DY$10:DY$199),DY$10:DY$199&lt;&gt;DY$9:DY$198))=LOOKUP(ROW(DY103),FILTER(ROW(DY$10:DY$199),DY$10:DY$199&lt;&gt;DY$9:DY$198)))),EF103,)"),"")</f>
        <v/>
      </c>
      <c s="42"/>
      <c s="63"/>
      <c s="64" t="str">
        <f t="shared" si="34"/>
        <v/>
      </c>
      <c s="65" t="str">
        <f>IFERROR(__xludf.DUMMYFUNCTION("""COMPUTED_VALUE"""),"")</f>
        <v/>
      </c>
      <c s="66">
        <f ca="1"/>
        <v>45278</v>
      </c>
      <c s="93" t="str">
        <f t="shared" si="48"/>
        <v/>
      </c>
      <c s="94" t="str">
        <f t="shared" si="395"/>
        <v/>
      </c>
      <c s="95" t="str">
        <f t="shared" si="423"/>
        <v/>
      </c>
      <c s="98" t="str">
        <f t="shared" si="402"/>
        <v/>
      </c>
      <c s="97" t="str">
        <f t="array" ref="ES103">IFERROR(IF(EM103="ac"+ISNUMBER(SEARCH("'",ER103))+EQ103="","",IF(ISNUMBER(SEARCH("lw",ER103)),EE103+SUBSTITUTE(ER103,"lw+",""),MROUND(_xlfn.SWITCH(EM103,"sq",EQ$7,"bn",ER$7,"dl",ES$7,"")*IF(ER103&gt;10,ER103/100,VLOOKUP(ER103,_rpe,SUBSTITUTE(EQ103,"+","")+1,0)),IF(_xlfn.SWITCH(EM103,"sq",EQ$7,"bn",ER$7,"dl",ES$7,"")&lt;IF(_uom="lbs",175,80),1.25,IF(_uom="lbs",5,2.5))))),"")</f>
        <v/>
      </c>
      <c s="70"/>
      <c s="63"/>
      <c s="97"/>
      <c s="44" t="str">
        <f>IFERROR(__xludf.DUMMYFUNCTION("IF(ES103=MAX(FILTER(ES$10:ES$199,LOOKUP(ROW(EM$10:EM$199),FILTER(ROW(EM$10:EM$199),EM$10:EM$199&lt;&gt;EM$9:EM$198))=LOOKUP(ROW(EM103),FILTER(ROW(EM$10:EM$199),EM$10:EM$199&lt;&gt;EM$9:EM$198)))),ET103,)"),"")</f>
        <v/>
      </c>
      <c s="42"/>
      <c s="63"/>
      <c s="64" t="str">
        <f t="shared" si="36"/>
        <v/>
      </c>
      <c s="65" t="str">
        <f>IFERROR(__xludf.DUMMYFUNCTION("""COMPUTED_VALUE"""),"")</f>
        <v/>
      </c>
      <c s="66">
        <f ca="1"/>
        <v>45285</v>
      </c>
      <c s="93" t="str">
        <f t="shared" si="49"/>
        <v/>
      </c>
      <c s="94" t="str">
        <f t="shared" si="396"/>
        <v/>
      </c>
      <c s="95" t="str">
        <f t="shared" si="424"/>
        <v/>
      </c>
      <c s="98" t="str">
        <f t="shared" si="403"/>
        <v/>
      </c>
      <c s="97" t="str">
        <f t="array" ref="FG103">IFERROR(IF(FA103="ac"+ISNUMBER(SEARCH("'",FF103))+FE103="","",IF(ISNUMBER(SEARCH("lw",FF103)),ES103+SUBSTITUTE(FF103,"lw+",""),MROUND(_xlfn.SWITCH(FA103,"sq",FE$7,"bn",FF$7,"dl",FG$7,"")*IF(FF103&gt;10,FF103/100,VLOOKUP(FF103,_rpe,SUBSTITUTE(FE103,"+","")+1,0)),IF(_xlfn.SWITCH(FA103,"sq",FE$7,"bn",FF$7,"dl",FG$7,"")&lt;IF(_uom="lbs",175,80),1.25,IF(_uom="lbs",5,2.5))))),"")</f>
        <v/>
      </c>
      <c s="70"/>
      <c s="63"/>
      <c s="97"/>
      <c s="44" t="str">
        <f>IFERROR(__xludf.DUMMYFUNCTION("IF(FG103=MAX(FILTER(FG$10:FG$199,LOOKUP(ROW(FA$10:FA$199),FILTER(ROW(FA$10:FA$199),FA$10:FA$199&lt;&gt;FA$9:FA$198))=LOOKUP(ROW(FA103),FILTER(ROW(FA$10:FA$199),FA$10:FA$199&lt;&gt;FA$9:FA$198)))),FH103,)"),"")</f>
        <v/>
      </c>
      <c s="42"/>
      <c s="63"/>
      <c s="64" t="str">
        <f t="shared" si="38"/>
        <v/>
      </c>
      <c s="65" t="str">
        <f>IFERROR(__xludf.DUMMYFUNCTION("""COMPUTED_VALUE"""),"")</f>
        <v/>
      </c>
      <c s="66">
        <f ca="1"/>
        <v>45292</v>
      </c>
      <c s="93" t="str">
        <f t="shared" si="447" ref="FQ103:FR103">IF(ISBLANK(FC103),"",FC103)</f>
        <v/>
      </c>
      <c s="94" t="str">
        <f t="shared" si="447"/>
        <v/>
      </c>
      <c s="95" t="str">
        <f t="shared" si="428"/>
        <v/>
      </c>
      <c s="98" t="str">
        <f t="shared" si="429"/>
        <v/>
      </c>
      <c s="97" t="str">
        <f t="array" ref="FU103">IFERROR(IF(FO103="ac"+ISNUMBER(SEARCH("'",FT103))+FS103="","",IF(ISNUMBER(SEARCH("lw",FT103)),FG103+SUBSTITUTE(FT103,"lw+",""),MROUND(_xlfn.SWITCH(FO103,"sq",FS$7,"bn",FT$7,"dl",FU$7,"")*IF(FT103&gt;10,FT103/100,VLOOKUP(FT103,_rpe,SUBSTITUTE(FS103,"+","")+1,0)),IF(_xlfn.SWITCH(FO103,"sq",FS$7,"bn",FT$7,"dl",FU$7,"")&lt;IF(_uom="lbs",175,80),1.25,IF(_uom="lbs",5,2.5))))),"")</f>
        <v/>
      </c>
      <c s="70"/>
      <c s="63"/>
      <c s="97"/>
      <c s="44" t="str">
        <f>IFERROR(__xludf.DUMMYFUNCTION("IF(FU103=MAX(FILTER(FU$10:FU$199,LOOKUP(ROW(FO$10:FO$199),FILTER(ROW(FO$10:FO$199),FO$10:FO$199&lt;&gt;FO$9:FO$198))=LOOKUP(ROW(FO103),FILTER(ROW(FO$10:FO$199),FO$10:FO$199&lt;&gt;FO$9:FO$198)))),FV103,)"),"")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04" spans="1:259" ht="15.75" hidden="1" outlineLevel="1">
      <c r="A104" s="63"/>
      <c s="107"/>
      <c s="65" t="str">
        <f>IFERROR(__xludf.DUMMYFUNCTION("""COMPUTED_VALUE"""),"")</f>
        <v/>
      </c>
      <c s="66">
        <f ca="1"/>
        <v>45208</v>
      </c>
      <c s="108"/>
      <c s="94"/>
      <c s="95"/>
      <c s="96"/>
      <c s="97" t="str">
        <f t="array" ref="I104">IFERROR(IF(C104="ac"+ISNUMBER(SEARCH("'",H104))+G104="","",MROUND(_xlfn.SWITCH(C104,"sq",'Personal Info'!$O$15,"bn",'Personal Info'!$S$15,"dl",'Personal Info'!$W$15,"")*IF(H104&gt;10,H104/100,VLOOKUP(H104,_rpe,SUBSTITUTE(G104,"+","")+1,0)),IF(_xlfn.SWITCH(C104:C210,"sq",'Personal Info'!$O$15,"bn",'Personal Info'!$S$15,"dl",'Personal Info'!$W$15,"")&lt;IF(_uom="lbs",175,80),1.25,IF(_uom="lbs",5,2.5)))),"")</f>
        <v/>
      </c>
      <c s="70"/>
      <c s="63"/>
      <c s="97"/>
      <c s="44" t="str">
        <f>IFERROR(__xludf.DUMMYFUNCTION("IF(I104=MAX(FILTER(I$10:I$199,LOOKUP(ROW(C$10:C$199),FILTER(ROW(C$10:C$199),C$10:C$199&lt;&gt;C$9:C$198))=LOOKUP(ROW(C104),FILTER(ROW(C$10:C$199),C$10:C$199&lt;&gt;C$9:C$198)))),J104,)"),"")</f>
        <v/>
      </c>
      <c s="42"/>
      <c s="63"/>
      <c s="64" t="str">
        <f t="shared" si="11"/>
        <v/>
      </c>
      <c s="65" t="str">
        <f>IFERROR(__xludf.DUMMYFUNCTION("""COMPUTED_VALUE"""),"")</f>
        <v/>
      </c>
      <c s="66">
        <f ca="1"/>
        <v>45215</v>
      </c>
      <c s="93" t="str">
        <f t="shared" si="12"/>
        <v/>
      </c>
      <c s="94" t="str">
        <f t="shared" si="404"/>
        <v/>
      </c>
      <c s="95" t="str">
        <f t="shared" si="406"/>
        <v/>
      </c>
      <c s="98" t="str">
        <f t="shared" si="407"/>
        <v/>
      </c>
      <c s="97" t="str">
        <f t="array" ref="W104">IFERROR(IF(Q104="ac"+ISNUMBER(SEARCH("'",V104))+U104="","",IF(ISNUMBER(SEARCH("lw",V104)),I104+SUBSTITUTE(V104,"lw+",""),MROUND(_xlfn.SWITCH(Q104,"sq",U$7,"bn",V$7,"dl",W$7,"")*IF(V104&gt;10,V104/100,VLOOKUP(V104,_rpe,SUBSTITUTE(U104,"+","")+1,0)),IF(_xlfn.SWITCH(Q104,"sq",U$7,"bn",V$7,"dl",W$7,"")&lt;IF(_uom="lbs",175,80),1.25,IF(_uom="lbs",5,2.5))))),"")</f>
        <v/>
      </c>
      <c s="70"/>
      <c s="63"/>
      <c s="97"/>
      <c s="44" t="str">
        <f>IFERROR(__xludf.DUMMYFUNCTION("IF(W104=MAX(FILTER(W$10:W$199,LOOKUP(ROW(Q$10:Q$199),FILTER(ROW(Q$10:Q$199),Q$10:Q$199&lt;&gt;Q$9:Q$198))=LOOKUP(ROW(Q104),FILTER(ROW(Q$10:Q$199),Q$10:Q$199&lt;&gt;Q$9:Q$198)))),X104,)"),"")</f>
        <v/>
      </c>
      <c s="42"/>
      <c s="63"/>
      <c s="64" t="str">
        <f t="shared" si="14"/>
        <v/>
      </c>
      <c s="65" t="str">
        <f>IFERROR(__xludf.DUMMYFUNCTION("""COMPUTED_VALUE"""),"")</f>
        <v/>
      </c>
      <c s="66">
        <f ca="1"/>
        <v>45222</v>
      </c>
      <c s="93" t="str">
        <f t="shared" si="156"/>
        <v/>
      </c>
      <c s="94" t="str">
        <f t="shared" si="397"/>
        <v/>
      </c>
      <c s="95" t="str">
        <f t="shared" si="408"/>
        <v/>
      </c>
      <c s="98" t="str">
        <f t="shared" si="398"/>
        <v/>
      </c>
      <c s="97" t="str">
        <f t="array" ref="AK104">IFERROR(IF(AE104="ac"+ISNUMBER(SEARCH("'",AJ104))+AI104="","",IF(ISNUMBER(SEARCH("lw",AJ104)),W104+SUBSTITUTE(AJ104,"lw+",""),MROUND(_xlfn.SWITCH(AE104,"sq",AI$7,"bn",AJ$7,"dl",AK$7,"")*IF(AJ104&gt;10,AJ104/100,VLOOKUP(AJ104,_rpe,SUBSTITUTE(AI104,"+","")+1,0)),IF(_xlfn.SWITCH(AE104,"sq",AI$7,"bn",AJ$7,"dl",AK$7,"")&lt;IF(_uom="lbs",175,80),1.25,IF(_uom="lbs",5,2.5))))),"")</f>
        <v/>
      </c>
      <c s="70"/>
      <c s="63"/>
      <c s="97"/>
      <c s="44" t="str">
        <f>IFERROR(__xludf.DUMMYFUNCTION("IF(AK104=MAX(FILTER(AK$10:AK$199,LOOKUP(ROW(AE$10:AE$199),FILTER(ROW(AE$10:AE$199),AE$10:AE$199&lt;&gt;AE$9:AE$198))=LOOKUP(ROW(AE104),FILTER(ROW(AE$10:AE$199),AE$10:AE$199&lt;&gt;AE$9:AE$198)))),AL104,)"),"")</f>
        <v/>
      </c>
      <c s="42"/>
      <c s="63"/>
      <c s="64" t="str">
        <f t="shared" si="17"/>
        <v/>
      </c>
      <c s="65" t="str">
        <f>IFERROR(__xludf.DUMMYFUNCTION("""COMPUTED_VALUE"""),"")</f>
        <v/>
      </c>
      <c s="66">
        <f ca="1"/>
        <v>45229</v>
      </c>
      <c s="93" t="str">
        <f t="shared" si="157"/>
        <v/>
      </c>
      <c s="94" t="str">
        <f t="shared" si="399"/>
        <v/>
      </c>
      <c s="95" t="str">
        <f t="shared" si="409"/>
        <v/>
      </c>
      <c s="98" t="str">
        <f t="shared" si="400"/>
        <v/>
      </c>
      <c s="97" t="str">
        <f t="array" ref="AY104">IFERROR(IF(AS104="ac"+ISNUMBER(SEARCH("'",AX104))+AW104="","",IF(ISNUMBER(SEARCH("lw",AX104)),AK104+SUBSTITUTE(AX104,"lw+",""),MROUND(_xlfn.SWITCH(AS104,"sq",AW$7,"bn",AX$7,"dl",AY$7,"")*IF(AX104&gt;10,AX104/100,VLOOKUP(AX104,_rpe,SUBSTITUTE(AW104,"+","")+1,0)),IF(_xlfn.SWITCH(AS104,"sq",AW$7,"bn",AX$7,"dl",AY$7,"")&lt;IF(_uom="lbs",175,80),1.25,IF(_uom="lbs",5,2.5))))),"")</f>
        <v/>
      </c>
      <c s="70"/>
      <c s="63"/>
      <c s="97"/>
      <c s="44" t="str">
        <f>IFERROR(__xludf.DUMMYFUNCTION("IF(AY104=MAX(FILTER(AY$10:AY$199,LOOKUP(ROW(AS$10:AS$199),FILTER(ROW(AS$10:AS$199),AS$10:AS$199&lt;&gt;AS$9:AS$198))=LOOKUP(ROW(AS104),FILTER(ROW(AS$10:AS$199),AS$10:AS$199&lt;&gt;AS$9:AS$198)))),AZ104,)"),"")</f>
        <v/>
      </c>
      <c s="42"/>
      <c s="63"/>
      <c s="64" t="str">
        <f t="shared" si="19"/>
        <v/>
      </c>
      <c s="65" t="str">
        <f>IFERROR(__xludf.DUMMYFUNCTION("""COMPUTED_VALUE"""),"")</f>
        <v/>
      </c>
      <c s="66">
        <f ca="1"/>
        <v>45236</v>
      </c>
      <c s="93" t="str">
        <f t="shared" si="20"/>
        <v/>
      </c>
      <c s="94" t="str">
        <f t="shared" si="425"/>
        <v/>
      </c>
      <c s="95" t="str">
        <f t="shared" si="411"/>
        <v/>
      </c>
      <c s="98" t="str">
        <f t="shared" si="412"/>
        <v/>
      </c>
      <c s="97" t="str">
        <f t="array" ref="BM104">IFERROR(IF(BG104="ac"+ISNUMBER(SEARCH("'",BL104))+BK104="","",IF(ISNUMBER(SEARCH("lw",BL104)),AY104+SUBSTITUTE(BL104,"lw+",""),MROUND(_xlfn.SWITCH(BG104,"sq",BK$7,"bn",BL$7,"dl",BM$7,"")*IF(BL104&gt;10,BL104/100,VLOOKUP(BL104,_rpe,SUBSTITUTE(BK104,"+","")+1,0)),IF(_xlfn.SWITCH(BG104,"sq",BK$7,"bn",BL$7,"dl",BM$7,"")&lt;IF(_uom="lbs",175,80),1.25,IF(_uom="lbs",5,2.5))))),"")</f>
        <v/>
      </c>
      <c s="70"/>
      <c s="63"/>
      <c s="97"/>
      <c s="44" t="str">
        <f>IFERROR(__xludf.DUMMYFUNCTION("IF(BM104=MAX(FILTER(BM$10:BM$199,LOOKUP(ROW(BG$10:BG$199),FILTER(ROW(BG$10:BG$199),BG$10:BG$199&lt;&gt;BG$9:BG$198))=LOOKUP(ROW(BG104),FILTER(ROW(BG$10:BG$199),BG$10:BG$199&lt;&gt;BG$9:BG$198)))),BN104,)"),"")</f>
        <v/>
      </c>
      <c s="42"/>
      <c s="63"/>
      <c s="64" t="str">
        <f t="shared" si="21"/>
        <v/>
      </c>
      <c s="65" t="str">
        <f>IFERROR(__xludf.DUMMYFUNCTION("""COMPUTED_VALUE"""),"")</f>
        <v/>
      </c>
      <c s="66">
        <f ca="1"/>
        <v>45243</v>
      </c>
      <c s="93" t="str">
        <f t="shared" si="22"/>
        <v/>
      </c>
      <c s="94" t="str">
        <f t="shared" si="426"/>
        <v/>
      </c>
      <c s="95" t="str">
        <f t="shared" si="414"/>
        <v/>
      </c>
      <c s="98" t="str">
        <f t="shared" si="415"/>
        <v/>
      </c>
      <c s="97" t="str">
        <f t="array" ref="CA104">IFERROR(IF(BU104="ac"+ISNUMBER(SEARCH("'",BZ104))+BY104="","",IF(ISNUMBER(SEARCH("lw",BZ104)),BM104+SUBSTITUTE(BZ104,"lw+",""),MROUND(_xlfn.SWITCH(BU104,"sq",BY$7,"bn",BZ$7,"dl",CA$7,"")*IF(BZ104&gt;10,BZ104/100,VLOOKUP(BZ104,_rpe,SUBSTITUTE(BY104,"+","")+1,0)),IF(_xlfn.SWITCH(BU104,"sq",BY$7,"bn",BZ$7,"dl",CA$7,"")&lt;IF(_uom="lbs",175,80),1.25,IF(_uom="lbs",5,2.5))))),"")</f>
        <v/>
      </c>
      <c s="70"/>
      <c s="63"/>
      <c s="97"/>
      <c s="44" t="str">
        <f>IFERROR(__xludf.DUMMYFUNCTION("IF(CA104=MAX(FILTER(CA$10:CA$199,LOOKUP(ROW(BU$10:BU$199),FILTER(ROW(BU$10:BU$199),BU$10:BU$199&lt;&gt;BU$9:BU$198))=LOOKUP(ROW(BU104),FILTER(ROW(BU$10:BU$199),BU$10:BU$199&lt;&gt;BU$9:BU$198)))),CB104,)"),"")</f>
        <v/>
      </c>
      <c s="42"/>
      <c s="63"/>
      <c s="64" t="str">
        <f t="shared" si="24"/>
        <v/>
      </c>
      <c s="65" t="str">
        <f>IFERROR(__xludf.DUMMYFUNCTION("""COMPUTED_VALUE"""),"")</f>
        <v/>
      </c>
      <c s="66">
        <f ca="1"/>
        <v>45250</v>
      </c>
      <c s="93" t="str">
        <f t="shared" si="44"/>
        <v/>
      </c>
      <c s="94" t="str">
        <f t="shared" si="392"/>
        <v/>
      </c>
      <c s="95" t="str">
        <f t="shared" si="416"/>
        <v/>
      </c>
      <c s="98" t="str">
        <f t="shared" si="417"/>
        <v/>
      </c>
      <c s="97" t="str">
        <f t="array" ref="CO104">IFERROR(IF(CI104="ac"+ISNUMBER(SEARCH("'",CN104))+CM104="","",IF(ISNUMBER(SEARCH("lw",CN104)),CA104+SUBSTITUTE(CN104,"lw+",""),MROUND(_xlfn.SWITCH(CI104,"sq",CM$7,"bn",CN$7,"dl",CO$7,"")*IF(CN104&gt;10,CN104/100,VLOOKUP(CN104,_rpe,SUBSTITUTE(CM104,"+","")+1,0)),IF(_xlfn.SWITCH(CI104,"sq",CM$7,"bn",CN$7,"dl",CO$7,"")&lt;IF(_uom="lbs",175,80),1.25,IF(_uom="lbs",5,2.5))))),"")</f>
        <v/>
      </c>
      <c s="70"/>
      <c s="63"/>
      <c s="97"/>
      <c s="44" t="str">
        <f>IFERROR(__xludf.DUMMYFUNCTION("IF(CO104=MAX(FILTER(CO$10:CO$199,LOOKUP(ROW(CI$10:CI$199),FILTER(ROW(CI$10:CI$199),CI$10:CI$199&lt;&gt;CI$9:CI$198))=LOOKUP(ROW(CI104),FILTER(ROW(CI$10:CI$199),CI$10:CI$199&lt;&gt;CI$9:CI$198)))),CP104,)"),"")</f>
        <v/>
      </c>
      <c s="42"/>
      <c s="63"/>
      <c s="64" t="str">
        <f t="shared" si="27"/>
        <v/>
      </c>
      <c s="65" t="str">
        <f>IFERROR(__xludf.DUMMYFUNCTION("""COMPUTED_VALUE"""),"")</f>
        <v/>
      </c>
      <c s="66">
        <f ca="1"/>
        <v>45257</v>
      </c>
      <c s="93" t="str">
        <f t="shared" si="45"/>
        <v/>
      </c>
      <c s="94" t="str">
        <f t="shared" si="393"/>
        <v/>
      </c>
      <c s="95" t="str">
        <f t="shared" si="418"/>
        <v/>
      </c>
      <c s="98" t="str">
        <f t="shared" si="401"/>
        <v/>
      </c>
      <c s="97" t="str">
        <f t="array" ref="DC104">IFERROR(IF(CW104="ac"+ISNUMBER(SEARCH("'",DB104))+DA104="","",IF(ISNUMBER(SEARCH("lw",DB104)),CO104+SUBSTITUTE(DB104,"lw+",""),MROUND(_xlfn.SWITCH(CW104,"sq",DA$7,"bn",DB$7,"dl",DC$7,"")*IF(DB104&gt;10,DB104/100,VLOOKUP(DB104,_rpe,SUBSTITUTE(DA104,"+","")+1,0)),IF(_xlfn.SWITCH(CW104,"sq",DA$7,"bn",DB$7,"dl",DC$7,"")&lt;IF(_uom="lbs",175,80),1.25,IF(_uom="lbs",5,2.5))))),"")</f>
        <v/>
      </c>
      <c s="70"/>
      <c s="63"/>
      <c s="97"/>
      <c s="44" t="str">
        <f>IFERROR(__xludf.DUMMYFUNCTION("IF(DC104=MAX(FILTER(DC$10:DC$199,LOOKUP(ROW(CW$10:CW$199),FILTER(ROW(CW$10:CW$199),CW$10:CW$199&lt;&gt;CW$9:CW$198))=LOOKUP(ROW(CW104),FILTER(ROW(CW$10:CW$199),CW$10:CW$199&lt;&gt;CW$9:CW$198)))),DD104,)"),"")</f>
        <v/>
      </c>
      <c s="42"/>
      <c s="63"/>
      <c s="64" t="str">
        <f t="shared" si="30"/>
        <v/>
      </c>
      <c s="65" t="str">
        <f>IFERROR(__xludf.DUMMYFUNCTION("""COMPUTED_VALUE"""),"")</f>
        <v/>
      </c>
      <c s="66">
        <f ca="1"/>
        <v>45264</v>
      </c>
      <c s="93" t="str">
        <f t="shared" si="46"/>
        <v/>
      </c>
      <c s="94" t="str">
        <f t="shared" si="394"/>
        <v/>
      </c>
      <c s="95" t="str">
        <f t="shared" si="419"/>
        <v/>
      </c>
      <c s="98" t="str">
        <f t="shared" si="420"/>
        <v/>
      </c>
      <c s="97" t="str">
        <f t="array" ref="DQ104">IFERROR(IF(DK104="ac"+ISNUMBER(SEARCH("'",DP104))+DO104="","",IF(ISNUMBER(SEARCH("lw",DP104)),DC104+SUBSTITUTE(DP104,"lw+",""),MROUND(_xlfn.SWITCH(DK104,"sq",DO$7,"bn",DP$7,"dl",DQ$7,"")*IF(DP104&gt;10,DP104/100,VLOOKUP(DP104,_rpe,SUBSTITUTE(DO104,"+","")+1,0)),IF(_xlfn.SWITCH(DK104,"sq",DO$7,"bn",DP$7,"dl",DQ$7,"")&lt;IF(_uom="lbs",175,80),1.25,IF(_uom="lbs",5,2.5))))),"")</f>
        <v/>
      </c>
      <c s="70"/>
      <c s="63"/>
      <c s="97"/>
      <c s="44" t="str">
        <f>IFERROR(__xludf.DUMMYFUNCTION("IF(DQ104=MAX(FILTER(DQ$10:DQ$199,LOOKUP(ROW(DK$10:DK$199),FILTER(ROW(DK$10:DK$199),DK$10:DK$199&lt;&gt;DK$9:DK$198))=LOOKUP(ROW(DK104),FILTER(ROW(DK$10:DK$199),DK$10:DK$199&lt;&gt;DK$9:DK$198)))),DR104,)"),"")</f>
        <v/>
      </c>
      <c s="42"/>
      <c s="63"/>
      <c s="64" t="str">
        <f t="shared" si="32"/>
        <v/>
      </c>
      <c s="65" t="str">
        <f>IFERROR(__xludf.DUMMYFUNCTION("""COMPUTED_VALUE"""),"")</f>
        <v/>
      </c>
      <c s="66">
        <f ca="1"/>
        <v>45271</v>
      </c>
      <c s="93" t="str">
        <f t="shared" si="47"/>
        <v/>
      </c>
      <c s="94" t="str">
        <f t="shared" si="405"/>
        <v/>
      </c>
      <c s="95" t="str">
        <f t="shared" si="421"/>
        <v/>
      </c>
      <c s="98" t="str">
        <f t="shared" si="422"/>
        <v/>
      </c>
      <c s="97" t="str">
        <f t="array" ref="EE104">IFERROR(IF(DY104="ac"+ISNUMBER(SEARCH("'",ED104))+EC104="","",IF(ISNUMBER(SEARCH("lw",ED104)),DQ104+SUBSTITUTE(ED104,"lw+",""),MROUND(_xlfn.SWITCH(DY104,"sq",EC$7,"bn",ED$7,"dl",EE$7,"")*IF(ED104&gt;10,ED104/100,VLOOKUP(ED104,_rpe,SUBSTITUTE(EC104,"+","")+1,0)),IF(_xlfn.SWITCH(DY104,"sq",EC$7,"bn",ED$7,"dl",EE$7,"")&lt;IF(_uom="lbs",175,80),1.25,IF(_uom="lbs",5,2.5))))),"")</f>
        <v/>
      </c>
      <c s="70"/>
      <c s="63"/>
      <c s="97"/>
      <c s="44" t="str">
        <f>IFERROR(__xludf.DUMMYFUNCTION("IF(EE104=MAX(FILTER(EE$10:EE$199,LOOKUP(ROW(DY$10:DY$199),FILTER(ROW(DY$10:DY$199),DY$10:DY$199&lt;&gt;DY$9:DY$198))=LOOKUP(ROW(DY104),FILTER(ROW(DY$10:DY$199),DY$10:DY$199&lt;&gt;DY$9:DY$198)))),EF104,)"),"")</f>
        <v/>
      </c>
      <c s="42"/>
      <c s="63"/>
      <c s="64" t="str">
        <f t="shared" si="34"/>
        <v/>
      </c>
      <c s="65" t="str">
        <f>IFERROR(__xludf.DUMMYFUNCTION("""COMPUTED_VALUE"""),"")</f>
        <v/>
      </c>
      <c s="66">
        <f ca="1"/>
        <v>45278</v>
      </c>
      <c s="93" t="str">
        <f t="shared" si="48"/>
        <v/>
      </c>
      <c s="94" t="str">
        <f t="shared" si="395"/>
        <v/>
      </c>
      <c s="95" t="str">
        <f t="shared" si="423"/>
        <v/>
      </c>
      <c s="98" t="str">
        <f t="shared" si="402"/>
        <v/>
      </c>
      <c s="97" t="str">
        <f t="array" ref="ES104">IFERROR(IF(EM104="ac"+ISNUMBER(SEARCH("'",ER104))+EQ104="","",IF(ISNUMBER(SEARCH("lw",ER104)),EE104+SUBSTITUTE(ER104,"lw+",""),MROUND(_xlfn.SWITCH(EM104,"sq",EQ$7,"bn",ER$7,"dl",ES$7,"")*IF(ER104&gt;10,ER104/100,VLOOKUP(ER104,_rpe,SUBSTITUTE(EQ104,"+","")+1,0)),IF(_xlfn.SWITCH(EM104,"sq",EQ$7,"bn",ER$7,"dl",ES$7,"")&lt;IF(_uom="lbs",175,80),1.25,IF(_uom="lbs",5,2.5))))),"")</f>
        <v/>
      </c>
      <c s="70"/>
      <c s="63"/>
      <c s="97"/>
      <c s="44" t="str">
        <f>IFERROR(__xludf.DUMMYFUNCTION("IF(ES104=MAX(FILTER(ES$10:ES$199,LOOKUP(ROW(EM$10:EM$199),FILTER(ROW(EM$10:EM$199),EM$10:EM$199&lt;&gt;EM$9:EM$198))=LOOKUP(ROW(EM104),FILTER(ROW(EM$10:EM$199),EM$10:EM$199&lt;&gt;EM$9:EM$198)))),ET104,)"),"")</f>
        <v/>
      </c>
      <c s="42"/>
      <c s="63"/>
      <c s="64" t="str">
        <f t="shared" si="36"/>
        <v/>
      </c>
      <c s="65" t="str">
        <f>IFERROR(__xludf.DUMMYFUNCTION("""COMPUTED_VALUE"""),"")</f>
        <v/>
      </c>
      <c s="66">
        <f ca="1"/>
        <v>45285</v>
      </c>
      <c s="93" t="str">
        <f t="shared" si="49"/>
        <v/>
      </c>
      <c s="94" t="str">
        <f t="shared" si="396"/>
        <v/>
      </c>
      <c s="95" t="str">
        <f t="shared" si="424"/>
        <v/>
      </c>
      <c s="98" t="str">
        <f t="shared" si="403"/>
        <v/>
      </c>
      <c s="97" t="str">
        <f t="array" ref="FG104">IFERROR(IF(FA104="ac"+ISNUMBER(SEARCH("'",FF104))+FE104="","",IF(ISNUMBER(SEARCH("lw",FF104)),ES104+SUBSTITUTE(FF104,"lw+",""),MROUND(_xlfn.SWITCH(FA104,"sq",FE$7,"bn",FF$7,"dl",FG$7,"")*IF(FF104&gt;10,FF104/100,VLOOKUP(FF104,_rpe,SUBSTITUTE(FE104,"+","")+1,0)),IF(_xlfn.SWITCH(FA104,"sq",FE$7,"bn",FF$7,"dl",FG$7,"")&lt;IF(_uom="lbs",175,80),1.25,IF(_uom="lbs",5,2.5))))),"")</f>
        <v/>
      </c>
      <c s="70"/>
      <c s="63"/>
      <c s="97"/>
      <c s="44" t="str">
        <f>IFERROR(__xludf.DUMMYFUNCTION("IF(FG104=MAX(FILTER(FG$10:FG$199,LOOKUP(ROW(FA$10:FA$199),FILTER(ROW(FA$10:FA$199),FA$10:FA$199&lt;&gt;FA$9:FA$198))=LOOKUP(ROW(FA104),FILTER(ROW(FA$10:FA$199),FA$10:FA$199&lt;&gt;FA$9:FA$198)))),FH104,)"),"")</f>
        <v/>
      </c>
      <c s="42"/>
      <c s="63"/>
      <c s="64" t="str">
        <f t="shared" si="38"/>
        <v/>
      </c>
      <c s="65" t="str">
        <f>IFERROR(__xludf.DUMMYFUNCTION("""COMPUTED_VALUE"""),"")</f>
        <v/>
      </c>
      <c s="66">
        <f ca="1"/>
        <v>45292</v>
      </c>
      <c s="93" t="str">
        <f t="shared" si="448" ref="FQ104:FR104">IF(ISBLANK(FC104),"",FC104)</f>
        <v/>
      </c>
      <c s="94" t="str">
        <f t="shared" si="448"/>
        <v/>
      </c>
      <c s="95" t="str">
        <f t="shared" si="428"/>
        <v/>
      </c>
      <c s="98" t="str">
        <f t="shared" si="429"/>
        <v/>
      </c>
      <c s="97" t="str">
        <f t="array" ref="FU104">IFERROR(IF(FO104="ac"+ISNUMBER(SEARCH("'",FT104))+FS104="","",IF(ISNUMBER(SEARCH("lw",FT104)),FG104+SUBSTITUTE(FT104,"lw+",""),MROUND(_xlfn.SWITCH(FO104,"sq",FS$7,"bn",FT$7,"dl",FU$7,"")*IF(FT104&gt;10,FT104/100,VLOOKUP(FT104,_rpe,SUBSTITUTE(FS104,"+","")+1,0)),IF(_xlfn.SWITCH(FO104,"sq",FS$7,"bn",FT$7,"dl",FU$7,"")&lt;IF(_uom="lbs",175,80),1.25,IF(_uom="lbs",5,2.5))))),"")</f>
        <v/>
      </c>
      <c s="70"/>
      <c s="63"/>
      <c s="97"/>
      <c s="44" t="str">
        <f>IFERROR(__xludf.DUMMYFUNCTION("IF(FU104=MAX(FILTER(FU$10:FU$199,LOOKUP(ROW(FO$10:FO$199),FILTER(ROW(FO$10:FO$199),FO$10:FO$199&lt;&gt;FO$9:FO$198))=LOOKUP(ROW(FO104),FILTER(ROW(FO$10:FO$199),FO$10:FO$199&lt;&gt;FO$9:FO$198)))),FV104,)"),"")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05" spans="1:259" ht="15.75" hidden="1" outlineLevel="1">
      <c r="A105" s="63"/>
      <c s="107"/>
      <c s="65" t="str">
        <f>IFERROR(__xludf.DUMMYFUNCTION("""COMPUTED_VALUE"""),"")</f>
        <v/>
      </c>
      <c s="66">
        <f ca="1"/>
        <v>45208</v>
      </c>
      <c s="108"/>
      <c s="94"/>
      <c s="95"/>
      <c s="96"/>
      <c s="97" t="str">
        <f t="array" ref="I105">IFERROR(IF(C105="ac"+ISNUMBER(SEARCH("'",H105))+G105="","",MROUND(_xlfn.SWITCH(C105,"sq",'Personal Info'!$O$15,"bn",'Personal Info'!$S$15,"dl",'Personal Info'!$W$15,"")*IF(H105&gt;10,H105/100,VLOOKUP(H105,_rpe,SUBSTITUTE(G105,"+","")+1,0)),IF(_xlfn.SWITCH(C105:C210,"sq",'Personal Info'!$O$15,"bn",'Personal Info'!$S$15,"dl",'Personal Info'!$W$15,"")&lt;IF(_uom="lbs",175,80),1.25,IF(_uom="lbs",5,2.5)))),"")</f>
        <v/>
      </c>
      <c s="70"/>
      <c s="63"/>
      <c s="97"/>
      <c s="44" t="str">
        <f>IFERROR(__xludf.DUMMYFUNCTION("IF(I105=MAX(FILTER(I$10:I$199,LOOKUP(ROW(C$10:C$199),FILTER(ROW(C$10:C$199),C$10:C$199&lt;&gt;C$9:C$198))=LOOKUP(ROW(C105),FILTER(ROW(C$10:C$199),C$10:C$199&lt;&gt;C$9:C$198)))),J105,)"),"")</f>
        <v/>
      </c>
      <c s="42"/>
      <c s="63"/>
      <c s="64" t="str">
        <f t="shared" si="11"/>
        <v/>
      </c>
      <c s="65" t="str">
        <f>IFERROR(__xludf.DUMMYFUNCTION("""COMPUTED_VALUE"""),"")</f>
        <v/>
      </c>
      <c s="66">
        <f ca="1"/>
        <v>45215</v>
      </c>
      <c s="93" t="str">
        <f t="shared" si="12"/>
        <v/>
      </c>
      <c s="94" t="str">
        <f t="shared" si="404"/>
        <v/>
      </c>
      <c s="95" t="str">
        <f t="shared" si="406"/>
        <v/>
      </c>
      <c s="98" t="str">
        <f t="shared" si="407"/>
        <v/>
      </c>
      <c s="97" t="str">
        <f t="array" ref="W105">IFERROR(IF(Q105="ac"+ISNUMBER(SEARCH("'",V105))+U105="","",IF(ISNUMBER(SEARCH("lw",V105)),I105+SUBSTITUTE(V105,"lw+",""),MROUND(_xlfn.SWITCH(Q105,"sq",U$7,"bn",V$7,"dl",W$7,"")*IF(V105&gt;10,V105/100,VLOOKUP(V105,_rpe,SUBSTITUTE(U105,"+","")+1,0)),IF(_xlfn.SWITCH(Q105,"sq",U$7,"bn",V$7,"dl",W$7,"")&lt;IF(_uom="lbs",175,80),1.25,IF(_uom="lbs",5,2.5))))),"")</f>
        <v/>
      </c>
      <c s="70"/>
      <c s="63"/>
      <c s="97"/>
      <c s="44" t="str">
        <f>IFERROR(__xludf.DUMMYFUNCTION("IF(W105=MAX(FILTER(W$10:W$199,LOOKUP(ROW(Q$10:Q$199),FILTER(ROW(Q$10:Q$199),Q$10:Q$199&lt;&gt;Q$9:Q$198))=LOOKUP(ROW(Q105),FILTER(ROW(Q$10:Q$199),Q$10:Q$199&lt;&gt;Q$9:Q$198)))),X105,)"),"")</f>
        <v/>
      </c>
      <c s="42"/>
      <c s="63"/>
      <c s="64" t="str">
        <f t="shared" si="14"/>
        <v/>
      </c>
      <c s="65" t="str">
        <f>IFERROR(__xludf.DUMMYFUNCTION("""COMPUTED_VALUE"""),"")</f>
        <v/>
      </c>
      <c s="66">
        <f ca="1"/>
        <v>45222</v>
      </c>
      <c s="93" t="str">
        <f t="shared" si="156"/>
        <v/>
      </c>
      <c s="94" t="str">
        <f t="shared" si="397"/>
        <v/>
      </c>
      <c s="95" t="str">
        <f t="shared" si="408"/>
        <v/>
      </c>
      <c s="98" t="str">
        <f t="shared" si="398"/>
        <v/>
      </c>
      <c s="97" t="str">
        <f t="array" ref="AK105">IFERROR(IF(AE105="ac"+ISNUMBER(SEARCH("'",AJ105))+AI105="","",IF(ISNUMBER(SEARCH("lw",AJ105)),W105+SUBSTITUTE(AJ105,"lw+",""),MROUND(_xlfn.SWITCH(AE105,"sq",AI$7,"bn",AJ$7,"dl",AK$7,"")*IF(AJ105&gt;10,AJ105/100,VLOOKUP(AJ105,_rpe,SUBSTITUTE(AI105,"+","")+1,0)),IF(_xlfn.SWITCH(AE105,"sq",AI$7,"bn",AJ$7,"dl",AK$7,"")&lt;IF(_uom="lbs",175,80),1.25,IF(_uom="lbs",5,2.5))))),"")</f>
        <v/>
      </c>
      <c s="70"/>
      <c s="63"/>
      <c s="97"/>
      <c s="44" t="str">
        <f>IFERROR(__xludf.DUMMYFUNCTION("IF(AK105=MAX(FILTER(AK$10:AK$199,LOOKUP(ROW(AE$10:AE$199),FILTER(ROW(AE$10:AE$199),AE$10:AE$199&lt;&gt;AE$9:AE$198))=LOOKUP(ROW(AE105),FILTER(ROW(AE$10:AE$199),AE$10:AE$199&lt;&gt;AE$9:AE$198)))),AL105,)"),"")</f>
        <v/>
      </c>
      <c s="42"/>
      <c s="63"/>
      <c s="64" t="str">
        <f t="shared" si="17"/>
        <v/>
      </c>
      <c s="65" t="str">
        <f>IFERROR(__xludf.DUMMYFUNCTION("""COMPUTED_VALUE"""),"")</f>
        <v/>
      </c>
      <c s="66">
        <f ca="1"/>
        <v>45229</v>
      </c>
      <c s="93" t="str">
        <f t="shared" si="157"/>
        <v/>
      </c>
      <c s="94" t="str">
        <f t="shared" si="399"/>
        <v/>
      </c>
      <c s="95" t="str">
        <f t="shared" si="409"/>
        <v/>
      </c>
      <c s="98" t="str">
        <f t="shared" si="400"/>
        <v/>
      </c>
      <c s="97" t="str">
        <f t="array" ref="AY105">IFERROR(IF(AS105="ac"+ISNUMBER(SEARCH("'",AX105))+AW105="","",IF(ISNUMBER(SEARCH("lw",AX105)),AK105+SUBSTITUTE(AX105,"lw+",""),MROUND(_xlfn.SWITCH(AS105,"sq",AW$7,"bn",AX$7,"dl",AY$7,"")*IF(AX105&gt;10,AX105/100,VLOOKUP(AX105,_rpe,SUBSTITUTE(AW105,"+","")+1,0)),IF(_xlfn.SWITCH(AS105,"sq",AW$7,"bn",AX$7,"dl",AY$7,"")&lt;IF(_uom="lbs",175,80),1.25,IF(_uom="lbs",5,2.5))))),"")</f>
        <v/>
      </c>
      <c s="70"/>
      <c s="63"/>
      <c s="97"/>
      <c s="44" t="str">
        <f>IFERROR(__xludf.DUMMYFUNCTION("IF(AY105=MAX(FILTER(AY$10:AY$199,LOOKUP(ROW(AS$10:AS$199),FILTER(ROW(AS$10:AS$199),AS$10:AS$199&lt;&gt;AS$9:AS$198))=LOOKUP(ROW(AS105),FILTER(ROW(AS$10:AS$199),AS$10:AS$199&lt;&gt;AS$9:AS$198)))),AZ105,)"),"")</f>
        <v/>
      </c>
      <c s="42"/>
      <c s="63"/>
      <c s="64" t="str">
        <f t="shared" si="19"/>
        <v/>
      </c>
      <c s="65" t="str">
        <f>IFERROR(__xludf.DUMMYFUNCTION("""COMPUTED_VALUE"""),"")</f>
        <v/>
      </c>
      <c s="66">
        <f ca="1"/>
        <v>45236</v>
      </c>
      <c s="93" t="str">
        <f t="shared" si="20"/>
        <v/>
      </c>
      <c s="94" t="str">
        <f t="shared" si="425"/>
        <v/>
      </c>
      <c s="95" t="str">
        <f t="shared" si="411"/>
        <v/>
      </c>
      <c s="98" t="str">
        <f t="shared" si="412"/>
        <v/>
      </c>
      <c s="97" t="str">
        <f t="array" ref="BM105">IFERROR(IF(BG105="ac"+ISNUMBER(SEARCH("'",BL105))+BK105="","",IF(ISNUMBER(SEARCH("lw",BL105)),AY105+SUBSTITUTE(BL105,"lw+",""),MROUND(_xlfn.SWITCH(BG105,"sq",BK$7,"bn",BL$7,"dl",BM$7,"")*IF(BL105&gt;10,BL105/100,VLOOKUP(BL105,_rpe,SUBSTITUTE(BK105,"+","")+1,0)),IF(_xlfn.SWITCH(BG105,"sq",BK$7,"bn",BL$7,"dl",BM$7,"")&lt;IF(_uom="lbs",175,80),1.25,IF(_uom="lbs",5,2.5))))),"")</f>
        <v/>
      </c>
      <c s="70"/>
      <c s="63"/>
      <c s="97"/>
      <c s="44" t="str">
        <f>IFERROR(__xludf.DUMMYFUNCTION("IF(BM105=MAX(FILTER(BM$10:BM$199,LOOKUP(ROW(BG$10:BG$199),FILTER(ROW(BG$10:BG$199),BG$10:BG$199&lt;&gt;BG$9:BG$198))=LOOKUP(ROW(BG105),FILTER(ROW(BG$10:BG$199),BG$10:BG$199&lt;&gt;BG$9:BG$198)))),BN105,)"),"")</f>
        <v/>
      </c>
      <c s="42"/>
      <c s="63"/>
      <c s="64" t="str">
        <f t="shared" si="21"/>
        <v/>
      </c>
      <c s="65" t="str">
        <f>IFERROR(__xludf.DUMMYFUNCTION("""COMPUTED_VALUE"""),"")</f>
        <v/>
      </c>
      <c s="66">
        <f ca="1"/>
        <v>45243</v>
      </c>
      <c s="93" t="str">
        <f t="shared" si="22"/>
        <v/>
      </c>
      <c s="94" t="str">
        <f t="shared" si="426"/>
        <v/>
      </c>
      <c s="95" t="str">
        <f t="shared" si="414"/>
        <v/>
      </c>
      <c s="98" t="str">
        <f t="shared" si="415"/>
        <v/>
      </c>
      <c s="97" t="str">
        <f t="array" ref="CA105">IFERROR(IF(BU105="ac"+ISNUMBER(SEARCH("'",BZ105))+BY105="","",IF(ISNUMBER(SEARCH("lw",BZ105)),BM105+SUBSTITUTE(BZ105,"lw+",""),MROUND(_xlfn.SWITCH(BU105,"sq",BY$7,"bn",BZ$7,"dl",CA$7,"")*IF(BZ105&gt;10,BZ105/100,VLOOKUP(BZ105,_rpe,SUBSTITUTE(BY105,"+","")+1,0)),IF(_xlfn.SWITCH(BU105,"sq",BY$7,"bn",BZ$7,"dl",CA$7,"")&lt;IF(_uom="lbs",175,80),1.25,IF(_uom="lbs",5,2.5))))),"")</f>
        <v/>
      </c>
      <c s="70"/>
      <c s="63"/>
      <c s="97"/>
      <c s="44" t="str">
        <f>IFERROR(__xludf.DUMMYFUNCTION("IF(CA105=MAX(FILTER(CA$10:CA$199,LOOKUP(ROW(BU$10:BU$199),FILTER(ROW(BU$10:BU$199),BU$10:BU$199&lt;&gt;BU$9:BU$198))=LOOKUP(ROW(BU105),FILTER(ROW(BU$10:BU$199),BU$10:BU$199&lt;&gt;BU$9:BU$198)))),CB105,)"),"")</f>
        <v/>
      </c>
      <c s="42"/>
      <c s="63"/>
      <c s="64" t="str">
        <f t="shared" si="24"/>
        <v/>
      </c>
      <c s="65" t="str">
        <f>IFERROR(__xludf.DUMMYFUNCTION("""COMPUTED_VALUE"""),"")</f>
        <v/>
      </c>
      <c s="66">
        <f ca="1"/>
        <v>45250</v>
      </c>
      <c s="93" t="str">
        <f t="shared" si="44"/>
        <v/>
      </c>
      <c s="94" t="str">
        <f t="shared" si="392"/>
        <v/>
      </c>
      <c s="95" t="str">
        <f t="shared" si="416"/>
        <v/>
      </c>
      <c s="98" t="str">
        <f t="shared" si="417"/>
        <v/>
      </c>
      <c s="97" t="str">
        <f t="array" ref="CO105">IFERROR(IF(CI105="ac"+ISNUMBER(SEARCH("'",CN105))+CM105="","",IF(ISNUMBER(SEARCH("lw",CN105)),CA105+SUBSTITUTE(CN105,"lw+",""),MROUND(_xlfn.SWITCH(CI105,"sq",CM$7,"bn",CN$7,"dl",CO$7,"")*IF(CN105&gt;10,CN105/100,VLOOKUP(CN105,_rpe,SUBSTITUTE(CM105,"+","")+1,0)),IF(_xlfn.SWITCH(CI105,"sq",CM$7,"bn",CN$7,"dl",CO$7,"")&lt;IF(_uom="lbs",175,80),1.25,IF(_uom="lbs",5,2.5))))),"")</f>
        <v/>
      </c>
      <c s="70"/>
      <c s="63"/>
      <c s="97"/>
      <c s="44" t="str">
        <f>IFERROR(__xludf.DUMMYFUNCTION("IF(CO105=MAX(FILTER(CO$10:CO$199,LOOKUP(ROW(CI$10:CI$199),FILTER(ROW(CI$10:CI$199),CI$10:CI$199&lt;&gt;CI$9:CI$198))=LOOKUP(ROW(CI105),FILTER(ROW(CI$10:CI$199),CI$10:CI$199&lt;&gt;CI$9:CI$198)))),CP105,)"),"")</f>
        <v/>
      </c>
      <c s="42"/>
      <c s="63"/>
      <c s="64" t="str">
        <f t="shared" si="27"/>
        <v/>
      </c>
      <c s="65" t="str">
        <f>IFERROR(__xludf.DUMMYFUNCTION("""COMPUTED_VALUE"""),"")</f>
        <v/>
      </c>
      <c s="66">
        <f ca="1"/>
        <v>45257</v>
      </c>
      <c s="93" t="str">
        <f t="shared" si="45"/>
        <v/>
      </c>
      <c s="94" t="str">
        <f t="shared" si="393"/>
        <v/>
      </c>
      <c s="95" t="str">
        <f t="shared" si="418"/>
        <v/>
      </c>
      <c s="98" t="str">
        <f t="shared" si="401"/>
        <v/>
      </c>
      <c s="97" t="str">
        <f t="array" ref="DC105">IFERROR(IF(CW105="ac"+ISNUMBER(SEARCH("'",DB105))+DA105="","",IF(ISNUMBER(SEARCH("lw",DB105)),CO105+SUBSTITUTE(DB105,"lw+",""),MROUND(_xlfn.SWITCH(CW105,"sq",DA$7,"bn",DB$7,"dl",DC$7,"")*IF(DB105&gt;10,DB105/100,VLOOKUP(DB105,_rpe,SUBSTITUTE(DA105,"+","")+1,0)),IF(_xlfn.SWITCH(CW105,"sq",DA$7,"bn",DB$7,"dl",DC$7,"")&lt;IF(_uom="lbs",175,80),1.25,IF(_uom="lbs",5,2.5))))),"")</f>
        <v/>
      </c>
      <c s="70"/>
      <c s="63"/>
      <c s="97"/>
      <c s="44" t="str">
        <f>IFERROR(__xludf.DUMMYFUNCTION("IF(DC105=MAX(FILTER(DC$10:DC$199,LOOKUP(ROW(CW$10:CW$199),FILTER(ROW(CW$10:CW$199),CW$10:CW$199&lt;&gt;CW$9:CW$198))=LOOKUP(ROW(CW105),FILTER(ROW(CW$10:CW$199),CW$10:CW$199&lt;&gt;CW$9:CW$198)))),DD105,)"),"")</f>
        <v/>
      </c>
      <c s="42"/>
      <c s="63"/>
      <c s="64" t="str">
        <f t="shared" si="30"/>
        <v/>
      </c>
      <c s="65" t="str">
        <f>IFERROR(__xludf.DUMMYFUNCTION("""COMPUTED_VALUE"""),"")</f>
        <v/>
      </c>
      <c s="66">
        <f ca="1"/>
        <v>45264</v>
      </c>
      <c s="93" t="str">
        <f t="shared" si="46"/>
        <v/>
      </c>
      <c s="94" t="str">
        <f t="shared" si="394"/>
        <v/>
      </c>
      <c s="95" t="str">
        <f t="shared" si="419"/>
        <v/>
      </c>
      <c s="98" t="str">
        <f t="shared" si="420"/>
        <v/>
      </c>
      <c s="97" t="str">
        <f t="array" ref="DQ105">IFERROR(IF(DK105="ac"+ISNUMBER(SEARCH("'",DP105))+DO105="","",IF(ISNUMBER(SEARCH("lw",DP105)),DC105+SUBSTITUTE(DP105,"lw+",""),MROUND(_xlfn.SWITCH(DK105,"sq",DO$7,"bn",DP$7,"dl",DQ$7,"")*IF(DP105&gt;10,DP105/100,VLOOKUP(DP105,_rpe,SUBSTITUTE(DO105,"+","")+1,0)),IF(_xlfn.SWITCH(DK105,"sq",DO$7,"bn",DP$7,"dl",DQ$7,"")&lt;IF(_uom="lbs",175,80),1.25,IF(_uom="lbs",5,2.5))))),"")</f>
        <v/>
      </c>
      <c s="70"/>
      <c s="63"/>
      <c s="97"/>
      <c s="44" t="str">
        <f>IFERROR(__xludf.DUMMYFUNCTION("IF(DQ105=MAX(FILTER(DQ$10:DQ$199,LOOKUP(ROW(DK$10:DK$199),FILTER(ROW(DK$10:DK$199),DK$10:DK$199&lt;&gt;DK$9:DK$198))=LOOKUP(ROW(DK105),FILTER(ROW(DK$10:DK$199),DK$10:DK$199&lt;&gt;DK$9:DK$198)))),DR105,)"),"")</f>
        <v/>
      </c>
      <c s="42"/>
      <c s="63"/>
      <c s="64" t="str">
        <f t="shared" si="32"/>
        <v/>
      </c>
      <c s="65" t="str">
        <f>IFERROR(__xludf.DUMMYFUNCTION("""COMPUTED_VALUE"""),"")</f>
        <v/>
      </c>
      <c s="66">
        <f ca="1"/>
        <v>45271</v>
      </c>
      <c s="93" t="str">
        <f t="shared" si="47"/>
        <v/>
      </c>
      <c s="94" t="str">
        <f t="shared" si="405"/>
        <v/>
      </c>
      <c s="95" t="str">
        <f t="shared" si="421"/>
        <v/>
      </c>
      <c s="98" t="str">
        <f t="shared" si="422"/>
        <v/>
      </c>
      <c s="97" t="str">
        <f t="array" ref="EE105">IFERROR(IF(DY105="ac"+ISNUMBER(SEARCH("'",ED105))+EC105="","",IF(ISNUMBER(SEARCH("lw",ED105)),DQ105+SUBSTITUTE(ED105,"lw+",""),MROUND(_xlfn.SWITCH(DY105,"sq",EC$7,"bn",ED$7,"dl",EE$7,"")*IF(ED105&gt;10,ED105/100,VLOOKUP(ED105,_rpe,SUBSTITUTE(EC105,"+","")+1,0)),IF(_xlfn.SWITCH(DY105,"sq",EC$7,"bn",ED$7,"dl",EE$7,"")&lt;IF(_uom="lbs",175,80),1.25,IF(_uom="lbs",5,2.5))))),"")</f>
        <v/>
      </c>
      <c s="70"/>
      <c s="63"/>
      <c s="97"/>
      <c s="44" t="str">
        <f>IFERROR(__xludf.DUMMYFUNCTION("IF(EE105=MAX(FILTER(EE$10:EE$199,LOOKUP(ROW(DY$10:DY$199),FILTER(ROW(DY$10:DY$199),DY$10:DY$199&lt;&gt;DY$9:DY$198))=LOOKUP(ROW(DY105),FILTER(ROW(DY$10:DY$199),DY$10:DY$199&lt;&gt;DY$9:DY$198)))),EF105,)"),"")</f>
        <v/>
      </c>
      <c s="42"/>
      <c s="63"/>
      <c s="64" t="str">
        <f t="shared" si="34"/>
        <v/>
      </c>
      <c s="65" t="str">
        <f>IFERROR(__xludf.DUMMYFUNCTION("""COMPUTED_VALUE"""),"")</f>
        <v/>
      </c>
      <c s="66">
        <f ca="1"/>
        <v>45278</v>
      </c>
      <c s="93" t="str">
        <f t="shared" si="48"/>
        <v/>
      </c>
      <c s="94" t="str">
        <f t="shared" si="395"/>
        <v/>
      </c>
      <c s="95" t="str">
        <f t="shared" si="423"/>
        <v/>
      </c>
      <c s="98" t="str">
        <f t="shared" si="402"/>
        <v/>
      </c>
      <c s="97" t="str">
        <f t="array" ref="ES105">IFERROR(IF(EM105="ac"+ISNUMBER(SEARCH("'",ER105))+EQ105="","",IF(ISNUMBER(SEARCH("lw",ER105)),EE105+SUBSTITUTE(ER105,"lw+",""),MROUND(_xlfn.SWITCH(EM105,"sq",EQ$7,"bn",ER$7,"dl",ES$7,"")*IF(ER105&gt;10,ER105/100,VLOOKUP(ER105,_rpe,SUBSTITUTE(EQ105,"+","")+1,0)),IF(_xlfn.SWITCH(EM105,"sq",EQ$7,"bn",ER$7,"dl",ES$7,"")&lt;IF(_uom="lbs",175,80),1.25,IF(_uom="lbs",5,2.5))))),"")</f>
        <v/>
      </c>
      <c s="70"/>
      <c s="63"/>
      <c s="97"/>
      <c s="44" t="str">
        <f>IFERROR(__xludf.DUMMYFUNCTION("IF(ES105=MAX(FILTER(ES$10:ES$199,LOOKUP(ROW(EM$10:EM$199),FILTER(ROW(EM$10:EM$199),EM$10:EM$199&lt;&gt;EM$9:EM$198))=LOOKUP(ROW(EM105),FILTER(ROW(EM$10:EM$199),EM$10:EM$199&lt;&gt;EM$9:EM$198)))),ET105,)"),"")</f>
        <v/>
      </c>
      <c s="42"/>
      <c s="63"/>
      <c s="64" t="str">
        <f t="shared" si="36"/>
        <v/>
      </c>
      <c s="65" t="str">
        <f>IFERROR(__xludf.DUMMYFUNCTION("""COMPUTED_VALUE"""),"")</f>
        <v/>
      </c>
      <c s="66">
        <f ca="1"/>
        <v>45285</v>
      </c>
      <c s="93" t="str">
        <f t="shared" si="49"/>
        <v/>
      </c>
      <c s="94" t="str">
        <f t="shared" si="396"/>
        <v/>
      </c>
      <c s="95" t="str">
        <f t="shared" si="424"/>
        <v/>
      </c>
      <c s="98" t="str">
        <f t="shared" si="403"/>
        <v/>
      </c>
      <c s="97" t="str">
        <f t="array" ref="FG105">IFERROR(IF(FA105="ac"+ISNUMBER(SEARCH("'",FF105))+FE105="","",IF(ISNUMBER(SEARCH("lw",FF105)),ES105+SUBSTITUTE(FF105,"lw+",""),MROUND(_xlfn.SWITCH(FA105,"sq",FE$7,"bn",FF$7,"dl",FG$7,"")*IF(FF105&gt;10,FF105/100,VLOOKUP(FF105,_rpe,SUBSTITUTE(FE105,"+","")+1,0)),IF(_xlfn.SWITCH(FA105,"sq",FE$7,"bn",FF$7,"dl",FG$7,"")&lt;IF(_uom="lbs",175,80),1.25,IF(_uom="lbs",5,2.5))))),"")</f>
        <v/>
      </c>
      <c s="70"/>
      <c s="63"/>
      <c s="97"/>
      <c s="44" t="str">
        <f>IFERROR(__xludf.DUMMYFUNCTION("IF(FG105=MAX(FILTER(FG$10:FG$199,LOOKUP(ROW(FA$10:FA$199),FILTER(ROW(FA$10:FA$199),FA$10:FA$199&lt;&gt;FA$9:FA$198))=LOOKUP(ROW(FA105),FILTER(ROW(FA$10:FA$199),FA$10:FA$199&lt;&gt;FA$9:FA$198)))),FH105,)"),"")</f>
        <v/>
      </c>
      <c s="42"/>
      <c s="63"/>
      <c s="64" t="str">
        <f t="shared" si="38"/>
        <v/>
      </c>
      <c s="65" t="str">
        <f>IFERROR(__xludf.DUMMYFUNCTION("""COMPUTED_VALUE"""),"")</f>
        <v/>
      </c>
      <c s="66">
        <f ca="1"/>
        <v>45292</v>
      </c>
      <c s="93" t="str">
        <f t="shared" si="449" ref="FQ105:FR105">IF(ISBLANK(FC105),"",FC105)</f>
        <v/>
      </c>
      <c s="94" t="str">
        <f t="shared" si="449"/>
        <v/>
      </c>
      <c s="95" t="str">
        <f t="shared" si="428"/>
        <v/>
      </c>
      <c s="98" t="str">
        <f t="shared" si="429"/>
        <v/>
      </c>
      <c s="97" t="str">
        <f t="array" ref="FU105">IFERROR(IF(FO105="ac"+ISNUMBER(SEARCH("'",FT105))+FS105="","",IF(ISNUMBER(SEARCH("lw",FT105)),FG105+SUBSTITUTE(FT105,"lw+",""),MROUND(_xlfn.SWITCH(FO105,"sq",FS$7,"bn",FT$7,"dl",FU$7,"")*IF(FT105&gt;10,FT105/100,VLOOKUP(FT105,_rpe,SUBSTITUTE(FS105,"+","")+1,0)),IF(_xlfn.SWITCH(FO105,"sq",FS$7,"bn",FT$7,"dl",FU$7,"")&lt;IF(_uom="lbs",175,80),1.25,IF(_uom="lbs",5,2.5))))),"")</f>
        <v/>
      </c>
      <c s="70"/>
      <c s="63"/>
      <c s="97"/>
      <c s="44" t="str">
        <f>IFERROR(__xludf.DUMMYFUNCTION("IF(FU105=MAX(FILTER(FU$10:FU$199,LOOKUP(ROW(FO$10:FO$199),FILTER(ROW(FO$10:FO$199),FO$10:FO$199&lt;&gt;FO$9:FO$198))=LOOKUP(ROW(FO105),FILTER(ROW(FO$10:FO$199),FO$10:FO$199&lt;&gt;FO$9:FO$198)))),FV105,)"),"")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06" spans="1:259" ht="15.75" collapsed="1">
      <c r="A106" s="63"/>
      <c s="107"/>
      <c s="65" t="str">
        <f>IFERROR(__xludf.DUMMYFUNCTION("""COMPUTED_VALUE"""),"")</f>
        <v/>
      </c>
      <c s="66">
        <f ca="1"/>
        <v>45208</v>
      </c>
      <c s="108"/>
      <c s="94"/>
      <c s="95"/>
      <c s="96"/>
      <c s="97" t="str">
        <f t="array" ref="I106">IFERROR(IF(C106="ac"+ISNUMBER(SEARCH("'",H106))+G106="","",MROUND(_xlfn.SWITCH(C106,"sq",'Personal Info'!$O$15,"bn",'Personal Info'!$S$15,"dl",'Personal Info'!$W$15,"")*IF(H106&gt;10,H106/100,VLOOKUP(H106,_rpe,SUBSTITUTE(G106,"+","")+1,0)),IF(_xlfn.SWITCH(C106:C210,"sq",'Personal Info'!$O$15,"bn",'Personal Info'!$S$15,"dl",'Personal Info'!$W$15,"")&lt;IF(_uom="lbs",175,80),1.25,IF(_uom="lbs",5,2.5)))),"")</f>
        <v/>
      </c>
      <c s="70"/>
      <c s="63"/>
      <c s="97"/>
      <c s="44" t="str">
        <f>IFERROR(__xludf.DUMMYFUNCTION("IF(I106=MAX(FILTER(I$10:I$199,LOOKUP(ROW(C$10:C$199),FILTER(ROW(C$10:C$199),C$10:C$199&lt;&gt;C$9:C$198))=LOOKUP(ROW(C106),FILTER(ROW(C$10:C$199),C$10:C$199&lt;&gt;C$9:C$198)))),J106,)"),"")</f>
        <v/>
      </c>
      <c s="42"/>
      <c s="63"/>
      <c s="64" t="str">
        <f t="shared" si="11"/>
        <v/>
      </c>
      <c s="65" t="str">
        <f>IFERROR(__xludf.DUMMYFUNCTION("""COMPUTED_VALUE"""),"")</f>
        <v/>
      </c>
      <c s="66">
        <f ca="1"/>
        <v>45215</v>
      </c>
      <c s="93" t="str">
        <f t="shared" si="12"/>
        <v/>
      </c>
      <c s="94" t="str">
        <f t="shared" si="404"/>
        <v/>
      </c>
      <c s="95" t="str">
        <f t="shared" si="406"/>
        <v/>
      </c>
      <c s="98" t="str">
        <f t="shared" si="407"/>
        <v/>
      </c>
      <c s="97" t="str">
        <f t="array" ref="W106">IFERROR(IF(Q106="ac"+ISNUMBER(SEARCH("'",V106))+U106="","",IF(ISNUMBER(SEARCH("lw",V106)),I106+SUBSTITUTE(V106,"lw+",""),MROUND(_xlfn.SWITCH(Q106,"sq",U$7,"bn",V$7,"dl",W$7,"")*IF(V106&gt;10,V106/100,VLOOKUP(V106,_rpe,SUBSTITUTE(U106,"+","")+1,0)),IF(_xlfn.SWITCH(Q106,"sq",U$7,"bn",V$7,"dl",W$7,"")&lt;IF(_uom="lbs",175,80),1.25,IF(_uom="lbs",5,2.5))))),"")</f>
        <v/>
      </c>
      <c s="70"/>
      <c s="63"/>
      <c s="97"/>
      <c s="44" t="str">
        <f>IFERROR(__xludf.DUMMYFUNCTION("IF(W106=MAX(FILTER(W$10:W$199,LOOKUP(ROW(Q$10:Q$199),FILTER(ROW(Q$10:Q$199),Q$10:Q$199&lt;&gt;Q$9:Q$198))=LOOKUP(ROW(Q106),FILTER(ROW(Q$10:Q$199),Q$10:Q$199&lt;&gt;Q$9:Q$198)))),X106,)"),"")</f>
        <v/>
      </c>
      <c s="42"/>
      <c s="63"/>
      <c s="64" t="str">
        <f t="shared" si="14"/>
        <v/>
      </c>
      <c s="65" t="str">
        <f>IFERROR(__xludf.DUMMYFUNCTION("""COMPUTED_VALUE"""),"")</f>
        <v/>
      </c>
      <c s="66">
        <f ca="1"/>
        <v>45222</v>
      </c>
      <c s="93" t="str">
        <f t="shared" si="156"/>
        <v/>
      </c>
      <c s="94" t="str">
        <f t="shared" si="397"/>
        <v/>
      </c>
      <c s="95" t="str">
        <f t="shared" si="408"/>
        <v/>
      </c>
      <c s="98" t="str">
        <f t="shared" si="398"/>
        <v/>
      </c>
      <c s="97" t="str">
        <f t="array" ref="AK106">IFERROR(IF(AE106="ac"+ISNUMBER(SEARCH("'",AJ106))+AI106="","",IF(ISNUMBER(SEARCH("lw",AJ106)),W106+SUBSTITUTE(AJ106,"lw+",""),MROUND(_xlfn.SWITCH(AE106,"sq",AI$7,"bn",AJ$7,"dl",AK$7,"")*IF(AJ106&gt;10,AJ106/100,VLOOKUP(AJ106,_rpe,SUBSTITUTE(AI106,"+","")+1,0)),IF(_xlfn.SWITCH(AE106,"sq",AI$7,"bn",AJ$7,"dl",AK$7,"")&lt;IF(_uom="lbs",175,80),1.25,IF(_uom="lbs",5,2.5))))),"")</f>
        <v/>
      </c>
      <c s="70"/>
      <c s="63"/>
      <c s="97"/>
      <c s="44" t="str">
        <f>IFERROR(__xludf.DUMMYFUNCTION("IF(AK106=MAX(FILTER(AK$10:AK$199,LOOKUP(ROW(AE$10:AE$199),FILTER(ROW(AE$10:AE$199),AE$10:AE$199&lt;&gt;AE$9:AE$198))=LOOKUP(ROW(AE106),FILTER(ROW(AE$10:AE$199),AE$10:AE$199&lt;&gt;AE$9:AE$198)))),AL106,)"),"")</f>
        <v/>
      </c>
      <c s="42"/>
      <c s="63"/>
      <c s="64" t="str">
        <f t="shared" si="17"/>
        <v/>
      </c>
      <c s="65" t="str">
        <f>IFERROR(__xludf.DUMMYFUNCTION("""COMPUTED_VALUE"""),"")</f>
        <v/>
      </c>
      <c s="66">
        <f ca="1"/>
        <v>45229</v>
      </c>
      <c s="93" t="str">
        <f t="shared" si="157"/>
        <v/>
      </c>
      <c s="94" t="str">
        <f t="shared" si="399"/>
        <v/>
      </c>
      <c s="95" t="str">
        <f t="shared" si="409"/>
        <v/>
      </c>
      <c s="98" t="str">
        <f t="shared" si="400"/>
        <v/>
      </c>
      <c s="97" t="str">
        <f t="array" ref="AY106">IFERROR(IF(AS106="ac"+ISNUMBER(SEARCH("'",AX106))+AW106="","",IF(ISNUMBER(SEARCH("lw",AX106)),AK106+SUBSTITUTE(AX106,"lw+",""),MROUND(_xlfn.SWITCH(AS106,"sq",AW$7,"bn",AX$7,"dl",AY$7,"")*IF(AX106&gt;10,AX106/100,VLOOKUP(AX106,_rpe,SUBSTITUTE(AW106,"+","")+1,0)),IF(_xlfn.SWITCH(AS106,"sq",AW$7,"bn",AX$7,"dl",AY$7,"")&lt;IF(_uom="lbs",175,80),1.25,IF(_uom="lbs",5,2.5))))),"")</f>
        <v/>
      </c>
      <c s="70"/>
      <c s="63"/>
      <c s="97"/>
      <c s="44" t="str">
        <f>IFERROR(__xludf.DUMMYFUNCTION("IF(AY106=MAX(FILTER(AY$10:AY$199,LOOKUP(ROW(AS$10:AS$199),FILTER(ROW(AS$10:AS$199),AS$10:AS$199&lt;&gt;AS$9:AS$198))=LOOKUP(ROW(AS106),FILTER(ROW(AS$10:AS$199),AS$10:AS$199&lt;&gt;AS$9:AS$198)))),AZ106,)"),"")</f>
        <v/>
      </c>
      <c s="42"/>
      <c s="63"/>
      <c s="64" t="str">
        <f t="shared" si="19"/>
        <v/>
      </c>
      <c s="65" t="str">
        <f>IFERROR(__xludf.DUMMYFUNCTION("""COMPUTED_VALUE"""),"")</f>
        <v/>
      </c>
      <c s="66">
        <f ca="1"/>
        <v>45236</v>
      </c>
      <c s="93" t="str">
        <f t="shared" si="20"/>
        <v/>
      </c>
      <c s="94" t="str">
        <f t="shared" si="425"/>
        <v/>
      </c>
      <c s="95" t="str">
        <f t="shared" si="411"/>
        <v/>
      </c>
      <c s="98" t="str">
        <f t="shared" si="412"/>
        <v/>
      </c>
      <c s="97" t="str">
        <f t="array" ref="BM106">IFERROR(IF(BG106="ac"+ISNUMBER(SEARCH("'",BL106))+BK106="","",IF(ISNUMBER(SEARCH("lw",BL106)),AY106+SUBSTITUTE(BL106,"lw+",""),MROUND(_xlfn.SWITCH(BG106,"sq",BK$7,"bn",BL$7,"dl",BM$7,"")*IF(BL106&gt;10,BL106/100,VLOOKUP(BL106,_rpe,SUBSTITUTE(BK106,"+","")+1,0)),IF(_xlfn.SWITCH(BG106,"sq",BK$7,"bn",BL$7,"dl",BM$7,"")&lt;IF(_uom="lbs",175,80),1.25,IF(_uom="lbs",5,2.5))))),"")</f>
        <v/>
      </c>
      <c s="70"/>
      <c s="63"/>
      <c s="97"/>
      <c s="44" t="str">
        <f>IFERROR(__xludf.DUMMYFUNCTION("IF(BM106=MAX(FILTER(BM$10:BM$199,LOOKUP(ROW(BG$10:BG$199),FILTER(ROW(BG$10:BG$199),BG$10:BG$199&lt;&gt;BG$9:BG$198))=LOOKUP(ROW(BG106),FILTER(ROW(BG$10:BG$199),BG$10:BG$199&lt;&gt;BG$9:BG$198)))),BN106,)"),"")</f>
        <v/>
      </c>
      <c s="42"/>
      <c s="63"/>
      <c s="64" t="str">
        <f t="shared" si="21"/>
        <v/>
      </c>
      <c s="65" t="str">
        <f>IFERROR(__xludf.DUMMYFUNCTION("""COMPUTED_VALUE"""),"")</f>
        <v/>
      </c>
      <c s="66">
        <f ca="1"/>
        <v>45243</v>
      </c>
      <c s="93" t="str">
        <f t="shared" si="22"/>
        <v/>
      </c>
      <c s="94" t="str">
        <f t="shared" si="426"/>
        <v/>
      </c>
      <c s="95" t="str">
        <f t="shared" si="414"/>
        <v/>
      </c>
      <c s="98" t="str">
        <f t="shared" si="415"/>
        <v/>
      </c>
      <c s="97" t="str">
        <f t="array" ref="CA106">IFERROR(IF(BU106="ac"+ISNUMBER(SEARCH("'",BZ106))+BY106="","",IF(ISNUMBER(SEARCH("lw",BZ106)),BM106+SUBSTITUTE(BZ106,"lw+",""),MROUND(_xlfn.SWITCH(BU106,"sq",BY$7,"bn",BZ$7,"dl",CA$7,"")*IF(BZ106&gt;10,BZ106/100,VLOOKUP(BZ106,_rpe,SUBSTITUTE(BY106,"+","")+1,0)),IF(_xlfn.SWITCH(BU106,"sq",BY$7,"bn",BZ$7,"dl",CA$7,"")&lt;IF(_uom="lbs",175,80),1.25,IF(_uom="lbs",5,2.5))))),"")</f>
        <v/>
      </c>
      <c s="70"/>
      <c s="63"/>
      <c s="97"/>
      <c s="44" t="str">
        <f>IFERROR(__xludf.DUMMYFUNCTION("IF(CA106=MAX(FILTER(CA$10:CA$199,LOOKUP(ROW(BU$10:BU$199),FILTER(ROW(BU$10:BU$199),BU$10:BU$199&lt;&gt;BU$9:BU$198))=LOOKUP(ROW(BU106),FILTER(ROW(BU$10:BU$199),BU$10:BU$199&lt;&gt;BU$9:BU$198)))),CB106,)"),"")</f>
        <v/>
      </c>
      <c s="42"/>
      <c s="63"/>
      <c s="64" t="str">
        <f t="shared" si="24"/>
        <v/>
      </c>
      <c s="65" t="str">
        <f>IFERROR(__xludf.DUMMYFUNCTION("""COMPUTED_VALUE"""),"")</f>
        <v/>
      </c>
      <c s="66">
        <f ca="1"/>
        <v>45250</v>
      </c>
      <c s="93" t="str">
        <f t="shared" si="44"/>
        <v/>
      </c>
      <c s="94" t="str">
        <f t="shared" si="392"/>
        <v/>
      </c>
      <c s="95" t="str">
        <f t="shared" si="416"/>
        <v/>
      </c>
      <c s="98" t="str">
        <f t="shared" si="417"/>
        <v/>
      </c>
      <c s="97" t="str">
        <f t="array" ref="CO106">IFERROR(IF(CI106="ac"+ISNUMBER(SEARCH("'",CN106))+CM106="","",IF(ISNUMBER(SEARCH("lw",CN106)),CA106+SUBSTITUTE(CN106,"lw+",""),MROUND(_xlfn.SWITCH(CI106,"sq",CM$7,"bn",CN$7,"dl",CO$7,"")*IF(CN106&gt;10,CN106/100,VLOOKUP(CN106,_rpe,SUBSTITUTE(CM106,"+","")+1,0)),IF(_xlfn.SWITCH(CI106,"sq",CM$7,"bn",CN$7,"dl",CO$7,"")&lt;IF(_uom="lbs",175,80),1.25,IF(_uom="lbs",5,2.5))))),"")</f>
        <v/>
      </c>
      <c s="70"/>
      <c s="63"/>
      <c s="97"/>
      <c s="44" t="str">
        <f>IFERROR(__xludf.DUMMYFUNCTION("IF(CO106=MAX(FILTER(CO$10:CO$199,LOOKUP(ROW(CI$10:CI$199),FILTER(ROW(CI$10:CI$199),CI$10:CI$199&lt;&gt;CI$9:CI$198))=LOOKUP(ROW(CI106),FILTER(ROW(CI$10:CI$199),CI$10:CI$199&lt;&gt;CI$9:CI$198)))),CP106,)"),"")</f>
        <v/>
      </c>
      <c s="42"/>
      <c s="63"/>
      <c s="64" t="str">
        <f t="shared" si="27"/>
        <v/>
      </c>
      <c s="65" t="str">
        <f>IFERROR(__xludf.DUMMYFUNCTION("""COMPUTED_VALUE"""),"")</f>
        <v/>
      </c>
      <c s="66">
        <f ca="1"/>
        <v>45257</v>
      </c>
      <c s="93" t="str">
        <f t="shared" si="45"/>
        <v/>
      </c>
      <c s="94" t="str">
        <f t="shared" si="393"/>
        <v/>
      </c>
      <c s="95" t="str">
        <f t="shared" si="418"/>
        <v/>
      </c>
      <c s="98" t="str">
        <f t="shared" si="401"/>
        <v/>
      </c>
      <c s="97" t="str">
        <f t="array" ref="DC106">IFERROR(IF(CW106="ac"+ISNUMBER(SEARCH("'",DB106))+DA106="","",IF(ISNUMBER(SEARCH("lw",DB106)),CO106+SUBSTITUTE(DB106,"lw+",""),MROUND(_xlfn.SWITCH(CW106,"sq",DA$7,"bn",DB$7,"dl",DC$7,"")*IF(DB106&gt;10,DB106/100,VLOOKUP(DB106,_rpe,SUBSTITUTE(DA106,"+","")+1,0)),IF(_xlfn.SWITCH(CW106,"sq",DA$7,"bn",DB$7,"dl",DC$7,"")&lt;IF(_uom="lbs",175,80),1.25,IF(_uom="lbs",5,2.5))))),"")</f>
        <v/>
      </c>
      <c s="70"/>
      <c s="63"/>
      <c s="97"/>
      <c s="44" t="str">
        <f>IFERROR(__xludf.DUMMYFUNCTION("IF(DC106=MAX(FILTER(DC$10:DC$199,LOOKUP(ROW(CW$10:CW$199),FILTER(ROW(CW$10:CW$199),CW$10:CW$199&lt;&gt;CW$9:CW$198))=LOOKUP(ROW(CW106),FILTER(ROW(CW$10:CW$199),CW$10:CW$199&lt;&gt;CW$9:CW$198)))),DD106,)"),"")</f>
        <v/>
      </c>
      <c s="42"/>
      <c s="63"/>
      <c s="64" t="str">
        <f t="shared" si="30"/>
        <v/>
      </c>
      <c s="65" t="str">
        <f>IFERROR(__xludf.DUMMYFUNCTION("""COMPUTED_VALUE"""),"")</f>
        <v/>
      </c>
      <c s="66">
        <f ca="1"/>
        <v>45264</v>
      </c>
      <c s="93" t="str">
        <f t="shared" si="46"/>
        <v/>
      </c>
      <c s="94" t="str">
        <f t="shared" si="394"/>
        <v/>
      </c>
      <c s="95" t="str">
        <f t="shared" si="419"/>
        <v/>
      </c>
      <c s="98" t="str">
        <f t="shared" si="420"/>
        <v/>
      </c>
      <c s="97" t="str">
        <f t="array" ref="DQ106">IFERROR(IF(DK106="ac"+ISNUMBER(SEARCH("'",DP106))+DO106="","",IF(ISNUMBER(SEARCH("lw",DP106)),DC106+SUBSTITUTE(DP106,"lw+",""),MROUND(_xlfn.SWITCH(DK106,"sq",DO$7,"bn",DP$7,"dl",DQ$7,"")*IF(DP106&gt;10,DP106/100,VLOOKUP(DP106,_rpe,SUBSTITUTE(DO106,"+","")+1,0)),IF(_xlfn.SWITCH(DK106,"sq",DO$7,"bn",DP$7,"dl",DQ$7,"")&lt;IF(_uom="lbs",175,80),1.25,IF(_uom="lbs",5,2.5))))),"")</f>
        <v/>
      </c>
      <c s="70"/>
      <c s="63"/>
      <c s="97"/>
      <c s="44" t="str">
        <f>IFERROR(__xludf.DUMMYFUNCTION("IF(DQ106=MAX(FILTER(DQ$10:DQ$199,LOOKUP(ROW(DK$10:DK$199),FILTER(ROW(DK$10:DK$199),DK$10:DK$199&lt;&gt;DK$9:DK$198))=LOOKUP(ROW(DK106),FILTER(ROW(DK$10:DK$199),DK$10:DK$199&lt;&gt;DK$9:DK$198)))),DR106,)"),"")</f>
        <v/>
      </c>
      <c s="42"/>
      <c s="63"/>
      <c s="64" t="str">
        <f t="shared" si="32"/>
        <v/>
      </c>
      <c s="65" t="str">
        <f>IFERROR(__xludf.DUMMYFUNCTION("""COMPUTED_VALUE"""),"")</f>
        <v/>
      </c>
      <c s="66">
        <f ca="1"/>
        <v>45271</v>
      </c>
      <c s="93" t="str">
        <f t="shared" si="47"/>
        <v/>
      </c>
      <c s="94" t="str">
        <f t="shared" si="405"/>
        <v/>
      </c>
      <c s="95" t="str">
        <f t="shared" si="421"/>
        <v/>
      </c>
      <c s="98" t="str">
        <f t="shared" si="422"/>
        <v/>
      </c>
      <c s="97" t="str">
        <f t="array" ref="EE106">IFERROR(IF(DY106="ac"+ISNUMBER(SEARCH("'",ED106))+EC106="","",IF(ISNUMBER(SEARCH("lw",ED106)),DQ106+SUBSTITUTE(ED106,"lw+",""),MROUND(_xlfn.SWITCH(DY106,"sq",EC$7,"bn",ED$7,"dl",EE$7,"")*IF(ED106&gt;10,ED106/100,VLOOKUP(ED106,_rpe,SUBSTITUTE(EC106,"+","")+1,0)),IF(_xlfn.SWITCH(DY106,"sq",EC$7,"bn",ED$7,"dl",EE$7,"")&lt;IF(_uom="lbs",175,80),1.25,IF(_uom="lbs",5,2.5))))),"")</f>
        <v/>
      </c>
      <c s="70"/>
      <c s="63"/>
      <c s="97"/>
      <c s="44" t="str">
        <f>IFERROR(__xludf.DUMMYFUNCTION("IF(EE106=MAX(FILTER(EE$10:EE$199,LOOKUP(ROW(DY$10:DY$199),FILTER(ROW(DY$10:DY$199),DY$10:DY$199&lt;&gt;DY$9:DY$198))=LOOKUP(ROW(DY106),FILTER(ROW(DY$10:DY$199),DY$10:DY$199&lt;&gt;DY$9:DY$198)))),EF106,)"),"")</f>
        <v/>
      </c>
      <c s="42"/>
      <c s="63"/>
      <c s="64" t="str">
        <f t="shared" si="34"/>
        <v/>
      </c>
      <c s="65" t="str">
        <f>IFERROR(__xludf.DUMMYFUNCTION("""COMPUTED_VALUE"""),"")</f>
        <v/>
      </c>
      <c s="66">
        <f ca="1"/>
        <v>45278</v>
      </c>
      <c s="93" t="str">
        <f t="shared" si="48"/>
        <v/>
      </c>
      <c s="94" t="str">
        <f t="shared" si="395"/>
        <v/>
      </c>
      <c s="95" t="str">
        <f t="shared" si="423"/>
        <v/>
      </c>
      <c s="98" t="str">
        <f t="shared" si="402"/>
        <v/>
      </c>
      <c s="97" t="str">
        <f t="array" ref="ES106">IFERROR(IF(EM106="ac"+ISNUMBER(SEARCH("'",ER106))+EQ106="","",IF(ISNUMBER(SEARCH("lw",ER106)),EE106+SUBSTITUTE(ER106,"lw+",""),MROUND(_xlfn.SWITCH(EM106,"sq",EQ$7,"bn",ER$7,"dl",ES$7,"")*IF(ER106&gt;10,ER106/100,VLOOKUP(ER106,_rpe,SUBSTITUTE(EQ106,"+","")+1,0)),IF(_xlfn.SWITCH(EM106,"sq",EQ$7,"bn",ER$7,"dl",ES$7,"")&lt;IF(_uom="lbs",175,80),1.25,IF(_uom="lbs",5,2.5))))),"")</f>
        <v/>
      </c>
      <c s="70"/>
      <c s="63"/>
      <c s="97"/>
      <c s="44" t="str">
        <f>IFERROR(__xludf.DUMMYFUNCTION("IF(ES106=MAX(FILTER(ES$10:ES$199,LOOKUP(ROW(EM$10:EM$199),FILTER(ROW(EM$10:EM$199),EM$10:EM$199&lt;&gt;EM$9:EM$198))=LOOKUP(ROW(EM106),FILTER(ROW(EM$10:EM$199),EM$10:EM$199&lt;&gt;EM$9:EM$198)))),ET106,)"),"")</f>
        <v/>
      </c>
      <c s="42"/>
      <c s="63"/>
      <c s="64" t="str">
        <f t="shared" si="36"/>
        <v/>
      </c>
      <c s="65" t="str">
        <f>IFERROR(__xludf.DUMMYFUNCTION("""COMPUTED_VALUE"""),"")</f>
        <v/>
      </c>
      <c s="66">
        <f ca="1"/>
        <v>45285</v>
      </c>
      <c s="93" t="str">
        <f t="shared" si="49"/>
        <v/>
      </c>
      <c s="94" t="str">
        <f t="shared" si="396"/>
        <v/>
      </c>
      <c s="95" t="str">
        <f t="shared" si="424"/>
        <v/>
      </c>
      <c s="98" t="str">
        <f t="shared" si="403"/>
        <v/>
      </c>
      <c s="97" t="str">
        <f t="array" ref="FG106">IFERROR(IF(FA106="ac"+ISNUMBER(SEARCH("'",FF106))+FE106="","",IF(ISNUMBER(SEARCH("lw",FF106)),ES106+SUBSTITUTE(FF106,"lw+",""),MROUND(_xlfn.SWITCH(FA106,"sq",FE$7,"bn",FF$7,"dl",FG$7,"")*IF(FF106&gt;10,FF106/100,VLOOKUP(FF106,_rpe,SUBSTITUTE(FE106,"+","")+1,0)),IF(_xlfn.SWITCH(FA106,"sq",FE$7,"bn",FF$7,"dl",FG$7,"")&lt;IF(_uom="lbs",175,80),1.25,IF(_uom="lbs",5,2.5))))),"")</f>
        <v/>
      </c>
      <c s="70"/>
      <c s="63"/>
      <c s="97"/>
      <c s="44" t="str">
        <f>IFERROR(__xludf.DUMMYFUNCTION("IF(FG106=MAX(FILTER(FG$10:FG$199,LOOKUP(ROW(FA$10:FA$199),FILTER(ROW(FA$10:FA$199),FA$10:FA$199&lt;&gt;FA$9:FA$198))=LOOKUP(ROW(FA106),FILTER(ROW(FA$10:FA$199),FA$10:FA$199&lt;&gt;FA$9:FA$198)))),FH106,)"),"")</f>
        <v/>
      </c>
      <c s="42"/>
      <c s="63"/>
      <c s="64" t="str">
        <f t="shared" si="38"/>
        <v/>
      </c>
      <c s="65" t="str">
        <f>IFERROR(__xludf.DUMMYFUNCTION("""COMPUTED_VALUE"""),"")</f>
        <v/>
      </c>
      <c s="66">
        <f ca="1"/>
        <v>45292</v>
      </c>
      <c s="93" t="str">
        <f t="shared" si="450" ref="FQ106:FR106">IF(ISBLANK(FC106),"",FC106)</f>
        <v/>
      </c>
      <c s="94" t="str">
        <f t="shared" si="450"/>
        <v/>
      </c>
      <c s="95" t="str">
        <f t="shared" si="428"/>
        <v/>
      </c>
      <c s="98" t="str">
        <f t="shared" si="429"/>
        <v/>
      </c>
      <c s="97" t="str">
        <f t="array" ref="FU106">IFERROR(IF(FO106="ac"+ISNUMBER(SEARCH("'",FT106))+FS106="","",IF(ISNUMBER(SEARCH("lw",FT106)),FG106+SUBSTITUTE(FT106,"lw+",""),MROUND(_xlfn.SWITCH(FO106,"sq",FS$7,"bn",FT$7,"dl",FU$7,"")*IF(FT106&gt;10,FT106/100,VLOOKUP(FT106,_rpe,SUBSTITUTE(FS106,"+","")+1,0)),IF(_xlfn.SWITCH(FO106,"sq",FS$7,"bn",FT$7,"dl",FU$7,"")&lt;IF(_uom="lbs",175,80),1.25,IF(_uom="lbs",5,2.5))))),"")</f>
        <v/>
      </c>
      <c s="70"/>
      <c s="63"/>
      <c s="97"/>
      <c s="44" t="str">
        <f>IFERROR(__xludf.DUMMYFUNCTION("IF(FU106=MAX(FILTER(FU$10:FU$199,LOOKUP(ROW(FO$10:FO$199),FILTER(ROW(FO$10:FO$199),FO$10:FO$199&lt;&gt;FO$9:FO$198))=LOOKUP(ROW(FO106),FILTER(ROW(FO$10:FO$199),FO$10:FO$199&lt;&gt;FO$9:FO$198)))),FV106,)"),"")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07" spans="1:259" ht="15.75" hidden="1" outlineLevel="1">
      <c r="A107" s="63"/>
      <c s="107"/>
      <c s="65" t="str">
        <f>IFERROR(__xludf.DUMMYFUNCTION("""COMPUTED_VALUE"""),"")</f>
        <v/>
      </c>
      <c s="66">
        <f ca="1"/>
        <v>45208</v>
      </c>
      <c s="108"/>
      <c s="94"/>
      <c s="95"/>
      <c s="96"/>
      <c s="97" t="str">
        <f t="array" ref="I107">IFERROR(IF(C107="ac"+ISNUMBER(SEARCH("'",H107))+G107="","",MROUND(_xlfn.SWITCH(C107,"sq",'Personal Info'!$O$15,"bn",'Personal Info'!$S$15,"dl",'Personal Info'!$W$15,"")*IF(H107&gt;10,H107/100,VLOOKUP(H107,_rpe,SUBSTITUTE(G107,"+","")+1,0)),IF(_xlfn.SWITCH(C107:C210,"sq",'Personal Info'!$O$15,"bn",'Personal Info'!$S$15,"dl",'Personal Info'!$W$15,"")&lt;IF(_uom="lbs",175,80),1.25,IF(_uom="lbs",5,2.5)))),"")</f>
        <v/>
      </c>
      <c s="70"/>
      <c s="63"/>
      <c s="97"/>
      <c s="44" t="str">
        <f>IFERROR(__xludf.DUMMYFUNCTION("IF(I107=MAX(FILTER(I$10:I$199,LOOKUP(ROW(C$10:C$199),FILTER(ROW(C$10:C$199),C$10:C$199&lt;&gt;C$9:C$198))=LOOKUP(ROW(C107),FILTER(ROW(C$10:C$199),C$10:C$199&lt;&gt;C$9:C$198)))),J107,)"),"")</f>
        <v/>
      </c>
      <c s="42"/>
      <c s="63"/>
      <c s="64" t="str">
        <f t="shared" si="11"/>
        <v/>
      </c>
      <c s="65" t="str">
        <f>IFERROR(__xludf.DUMMYFUNCTION("""COMPUTED_VALUE"""),"")</f>
        <v/>
      </c>
      <c s="66">
        <f ca="1"/>
        <v>45215</v>
      </c>
      <c s="93" t="str">
        <f t="shared" si="12"/>
        <v/>
      </c>
      <c s="94" t="str">
        <f t="shared" si="404"/>
        <v/>
      </c>
      <c s="95" t="str">
        <f t="shared" si="406"/>
        <v/>
      </c>
      <c s="98" t="str">
        <f t="shared" si="407"/>
        <v/>
      </c>
      <c s="97" t="str">
        <f t="array" ref="W107">IFERROR(IF(Q107="ac"+ISNUMBER(SEARCH("'",V107))+U107="","",IF(ISNUMBER(SEARCH("lw",V107)),I107+SUBSTITUTE(V107,"lw+",""),MROUND(_xlfn.SWITCH(Q107,"sq",U$7,"bn",V$7,"dl",W$7,"")*IF(V107&gt;10,V107/100,VLOOKUP(V107,_rpe,SUBSTITUTE(U107,"+","")+1,0)),IF(_xlfn.SWITCH(Q107,"sq",U$7,"bn",V$7,"dl",W$7,"")&lt;IF(_uom="lbs",175,80),1.25,IF(_uom="lbs",5,2.5))))),"")</f>
        <v/>
      </c>
      <c s="70"/>
      <c s="63"/>
      <c s="97"/>
      <c s="44" t="str">
        <f>IFERROR(__xludf.DUMMYFUNCTION("IF(W107=MAX(FILTER(W$10:W$199,LOOKUP(ROW(Q$10:Q$199),FILTER(ROW(Q$10:Q$199),Q$10:Q$199&lt;&gt;Q$9:Q$198))=LOOKUP(ROW(Q107),FILTER(ROW(Q$10:Q$199),Q$10:Q$199&lt;&gt;Q$9:Q$198)))),X107,)"),"")</f>
        <v/>
      </c>
      <c s="42"/>
      <c s="63"/>
      <c s="64" t="str">
        <f t="shared" si="14"/>
        <v/>
      </c>
      <c s="65" t="str">
        <f>IFERROR(__xludf.DUMMYFUNCTION("""COMPUTED_VALUE"""),"")</f>
        <v/>
      </c>
      <c s="66">
        <f ca="1"/>
        <v>45222</v>
      </c>
      <c s="93" t="str">
        <f t="shared" si="156"/>
        <v/>
      </c>
      <c s="94" t="str">
        <f t="shared" si="397"/>
        <v/>
      </c>
      <c s="95" t="str">
        <f t="shared" si="408"/>
        <v/>
      </c>
      <c s="98" t="str">
        <f t="shared" si="398"/>
        <v/>
      </c>
      <c s="97" t="str">
        <f t="array" ref="AK107">IFERROR(IF(AE107="ac"+ISNUMBER(SEARCH("'",AJ107))+AI107="","",IF(ISNUMBER(SEARCH("lw",AJ107)),W107+SUBSTITUTE(AJ107,"lw+",""),MROUND(_xlfn.SWITCH(AE107,"sq",AI$7,"bn",AJ$7,"dl",AK$7,"")*IF(AJ107&gt;10,AJ107/100,VLOOKUP(AJ107,_rpe,SUBSTITUTE(AI107,"+","")+1,0)),IF(_xlfn.SWITCH(AE107,"sq",AI$7,"bn",AJ$7,"dl",AK$7,"")&lt;IF(_uom="lbs",175,80),1.25,IF(_uom="lbs",5,2.5))))),"")</f>
        <v/>
      </c>
      <c s="70"/>
      <c s="63"/>
      <c s="97"/>
      <c s="44" t="str">
        <f>IFERROR(__xludf.DUMMYFUNCTION("IF(AK107=MAX(FILTER(AK$10:AK$199,LOOKUP(ROW(AE$10:AE$199),FILTER(ROW(AE$10:AE$199),AE$10:AE$199&lt;&gt;AE$9:AE$198))=LOOKUP(ROW(AE107),FILTER(ROW(AE$10:AE$199),AE$10:AE$199&lt;&gt;AE$9:AE$198)))),AL107,)"),"")</f>
        <v/>
      </c>
      <c s="42"/>
      <c s="63"/>
      <c s="64" t="str">
        <f t="shared" si="17"/>
        <v/>
      </c>
      <c s="65" t="str">
        <f>IFERROR(__xludf.DUMMYFUNCTION("""COMPUTED_VALUE"""),"")</f>
        <v/>
      </c>
      <c s="66">
        <f ca="1"/>
        <v>45229</v>
      </c>
      <c s="93" t="str">
        <f t="shared" si="157"/>
        <v/>
      </c>
      <c s="94" t="str">
        <f t="shared" si="399"/>
        <v/>
      </c>
      <c s="95" t="str">
        <f t="shared" si="409"/>
        <v/>
      </c>
      <c s="98" t="str">
        <f t="shared" si="400"/>
        <v/>
      </c>
      <c s="97" t="str">
        <f t="array" ref="AY107">IFERROR(IF(AS107="ac"+ISNUMBER(SEARCH("'",AX107))+AW107="","",IF(ISNUMBER(SEARCH("lw",AX107)),AK107+SUBSTITUTE(AX107,"lw+",""),MROUND(_xlfn.SWITCH(AS107,"sq",AW$7,"bn",AX$7,"dl",AY$7,"")*IF(AX107&gt;10,AX107/100,VLOOKUP(AX107,_rpe,SUBSTITUTE(AW107,"+","")+1,0)),IF(_xlfn.SWITCH(AS107,"sq",AW$7,"bn",AX$7,"dl",AY$7,"")&lt;IF(_uom="lbs",175,80),1.25,IF(_uom="lbs",5,2.5))))),"")</f>
        <v/>
      </c>
      <c s="70"/>
      <c s="63"/>
      <c s="97"/>
      <c s="44" t="str">
        <f>IFERROR(__xludf.DUMMYFUNCTION("IF(AY107=MAX(FILTER(AY$10:AY$199,LOOKUP(ROW(AS$10:AS$199),FILTER(ROW(AS$10:AS$199),AS$10:AS$199&lt;&gt;AS$9:AS$198))=LOOKUP(ROW(AS107),FILTER(ROW(AS$10:AS$199),AS$10:AS$199&lt;&gt;AS$9:AS$198)))),AZ107,)"),"")</f>
        <v/>
      </c>
      <c s="42"/>
      <c s="63"/>
      <c s="64" t="str">
        <f t="shared" si="19"/>
        <v/>
      </c>
      <c s="65" t="str">
        <f>IFERROR(__xludf.DUMMYFUNCTION("""COMPUTED_VALUE"""),"")</f>
        <v/>
      </c>
      <c s="66">
        <f ca="1"/>
        <v>45236</v>
      </c>
      <c s="93" t="str">
        <f t="shared" si="20"/>
        <v/>
      </c>
      <c s="94" t="str">
        <f t="shared" si="425"/>
        <v/>
      </c>
      <c s="95" t="str">
        <f t="shared" si="411"/>
        <v/>
      </c>
      <c s="98" t="str">
        <f t="shared" si="412"/>
        <v/>
      </c>
      <c s="97" t="str">
        <f t="array" ref="BM107">IFERROR(IF(BG107="ac"+ISNUMBER(SEARCH("'",BL107))+BK107="","",IF(ISNUMBER(SEARCH("lw",BL107)),AY107+SUBSTITUTE(BL107,"lw+",""),MROUND(_xlfn.SWITCH(BG107,"sq",BK$7,"bn",BL$7,"dl",BM$7,"")*IF(BL107&gt;10,BL107/100,VLOOKUP(BL107,_rpe,SUBSTITUTE(BK107,"+","")+1,0)),IF(_xlfn.SWITCH(BG107,"sq",BK$7,"bn",BL$7,"dl",BM$7,"")&lt;IF(_uom="lbs",175,80),1.25,IF(_uom="lbs",5,2.5))))),"")</f>
        <v/>
      </c>
      <c s="70"/>
      <c s="63"/>
      <c s="97"/>
      <c s="44" t="str">
        <f>IFERROR(__xludf.DUMMYFUNCTION("IF(BM107=MAX(FILTER(BM$10:BM$199,LOOKUP(ROW(BG$10:BG$199),FILTER(ROW(BG$10:BG$199),BG$10:BG$199&lt;&gt;BG$9:BG$198))=LOOKUP(ROW(BG107),FILTER(ROW(BG$10:BG$199),BG$10:BG$199&lt;&gt;BG$9:BG$198)))),BN107,)"),"")</f>
        <v/>
      </c>
      <c s="42"/>
      <c s="63"/>
      <c s="64" t="str">
        <f t="shared" si="21"/>
        <v/>
      </c>
      <c s="65" t="str">
        <f>IFERROR(__xludf.DUMMYFUNCTION("""COMPUTED_VALUE"""),"")</f>
        <v/>
      </c>
      <c s="66">
        <f ca="1"/>
        <v>45243</v>
      </c>
      <c s="93" t="str">
        <f t="shared" si="22"/>
        <v/>
      </c>
      <c s="94" t="str">
        <f t="shared" si="426"/>
        <v/>
      </c>
      <c s="95" t="str">
        <f t="shared" si="414"/>
        <v/>
      </c>
      <c s="98" t="str">
        <f t="shared" si="415"/>
        <v/>
      </c>
      <c s="97" t="str">
        <f t="array" ref="CA107">IFERROR(IF(BU107="ac"+ISNUMBER(SEARCH("'",BZ107))+BY107="","",IF(ISNUMBER(SEARCH("lw",BZ107)),BM107+SUBSTITUTE(BZ107,"lw+",""),MROUND(_xlfn.SWITCH(BU107,"sq",BY$7,"bn",BZ$7,"dl",CA$7,"")*IF(BZ107&gt;10,BZ107/100,VLOOKUP(BZ107,_rpe,SUBSTITUTE(BY107,"+","")+1,0)),IF(_xlfn.SWITCH(BU107,"sq",BY$7,"bn",BZ$7,"dl",CA$7,"")&lt;IF(_uom="lbs",175,80),1.25,IF(_uom="lbs",5,2.5))))),"")</f>
        <v/>
      </c>
      <c s="70"/>
      <c s="63"/>
      <c s="97"/>
      <c s="44" t="str">
        <f>IFERROR(__xludf.DUMMYFUNCTION("IF(CA107=MAX(FILTER(CA$10:CA$199,LOOKUP(ROW(BU$10:BU$199),FILTER(ROW(BU$10:BU$199),BU$10:BU$199&lt;&gt;BU$9:BU$198))=LOOKUP(ROW(BU107),FILTER(ROW(BU$10:BU$199),BU$10:BU$199&lt;&gt;BU$9:BU$198)))),CB107,)"),"")</f>
        <v/>
      </c>
      <c s="42"/>
      <c s="63"/>
      <c s="64" t="str">
        <f t="shared" si="24"/>
        <v/>
      </c>
      <c s="65" t="str">
        <f>IFERROR(__xludf.DUMMYFUNCTION("""COMPUTED_VALUE"""),"")</f>
        <v/>
      </c>
      <c s="66">
        <f ca="1"/>
        <v>45250</v>
      </c>
      <c s="93" t="str">
        <f t="shared" si="44"/>
        <v/>
      </c>
      <c s="94" t="str">
        <f t="shared" si="392"/>
        <v/>
      </c>
      <c s="95" t="str">
        <f t="shared" si="416"/>
        <v/>
      </c>
      <c s="98" t="str">
        <f t="shared" si="417"/>
        <v/>
      </c>
      <c s="97" t="str">
        <f t="array" ref="CO107">IFERROR(IF(CI107="ac"+ISNUMBER(SEARCH("'",CN107))+CM107="","",IF(ISNUMBER(SEARCH("lw",CN107)),CA107+SUBSTITUTE(CN107,"lw+",""),MROUND(_xlfn.SWITCH(CI107,"sq",CM$7,"bn",CN$7,"dl",CO$7,"")*IF(CN107&gt;10,CN107/100,VLOOKUP(CN107,_rpe,SUBSTITUTE(CM107,"+","")+1,0)),IF(_xlfn.SWITCH(CI107,"sq",CM$7,"bn",CN$7,"dl",CO$7,"")&lt;IF(_uom="lbs",175,80),1.25,IF(_uom="lbs",5,2.5))))),"")</f>
        <v/>
      </c>
      <c s="70"/>
      <c s="63"/>
      <c s="97"/>
      <c s="44" t="str">
        <f>IFERROR(__xludf.DUMMYFUNCTION("IF(CO107=MAX(FILTER(CO$10:CO$199,LOOKUP(ROW(CI$10:CI$199),FILTER(ROW(CI$10:CI$199),CI$10:CI$199&lt;&gt;CI$9:CI$198))=LOOKUP(ROW(CI107),FILTER(ROW(CI$10:CI$199),CI$10:CI$199&lt;&gt;CI$9:CI$198)))),CP107,)"),"")</f>
        <v/>
      </c>
      <c s="42"/>
      <c s="63"/>
      <c s="64" t="str">
        <f t="shared" si="27"/>
        <v/>
      </c>
      <c s="65" t="str">
        <f>IFERROR(__xludf.DUMMYFUNCTION("""COMPUTED_VALUE"""),"")</f>
        <v/>
      </c>
      <c s="66">
        <f ca="1"/>
        <v>45257</v>
      </c>
      <c s="93" t="str">
        <f t="shared" si="45"/>
        <v/>
      </c>
      <c s="94" t="str">
        <f t="shared" si="393"/>
        <v/>
      </c>
      <c s="95" t="str">
        <f t="shared" si="418"/>
        <v/>
      </c>
      <c s="98" t="str">
        <f t="shared" si="401"/>
        <v/>
      </c>
      <c s="97" t="str">
        <f t="array" ref="DC107">IFERROR(IF(CW107="ac"+ISNUMBER(SEARCH("'",DB107))+DA107="","",IF(ISNUMBER(SEARCH("lw",DB107)),CO107+SUBSTITUTE(DB107,"lw+",""),MROUND(_xlfn.SWITCH(CW107,"sq",DA$7,"bn",DB$7,"dl",DC$7,"")*IF(DB107&gt;10,DB107/100,VLOOKUP(DB107,_rpe,SUBSTITUTE(DA107,"+","")+1,0)),IF(_xlfn.SWITCH(CW107,"sq",DA$7,"bn",DB$7,"dl",DC$7,"")&lt;IF(_uom="lbs",175,80),1.25,IF(_uom="lbs",5,2.5))))),"")</f>
        <v/>
      </c>
      <c s="70"/>
      <c s="63"/>
      <c s="97"/>
      <c s="44" t="str">
        <f>IFERROR(__xludf.DUMMYFUNCTION("IF(DC107=MAX(FILTER(DC$10:DC$199,LOOKUP(ROW(CW$10:CW$199),FILTER(ROW(CW$10:CW$199),CW$10:CW$199&lt;&gt;CW$9:CW$198))=LOOKUP(ROW(CW107),FILTER(ROW(CW$10:CW$199),CW$10:CW$199&lt;&gt;CW$9:CW$198)))),DD107,)"),"")</f>
        <v/>
      </c>
      <c s="42"/>
      <c s="63"/>
      <c s="64" t="str">
        <f t="shared" si="30"/>
        <v/>
      </c>
      <c s="65" t="str">
        <f>IFERROR(__xludf.DUMMYFUNCTION("""COMPUTED_VALUE"""),"")</f>
        <v/>
      </c>
      <c s="66">
        <f ca="1"/>
        <v>45264</v>
      </c>
      <c s="93" t="str">
        <f t="shared" si="46"/>
        <v/>
      </c>
      <c s="94" t="str">
        <f t="shared" si="394"/>
        <v/>
      </c>
      <c s="95" t="str">
        <f t="shared" si="419"/>
        <v/>
      </c>
      <c s="98" t="str">
        <f t="shared" si="420"/>
        <v/>
      </c>
      <c s="97" t="str">
        <f t="array" ref="DQ107">IFERROR(IF(DK107="ac"+ISNUMBER(SEARCH("'",DP107))+DO107="","",IF(ISNUMBER(SEARCH("lw",DP107)),DC107+SUBSTITUTE(DP107,"lw+",""),MROUND(_xlfn.SWITCH(DK107,"sq",DO$7,"bn",DP$7,"dl",DQ$7,"")*IF(DP107&gt;10,DP107/100,VLOOKUP(DP107,_rpe,SUBSTITUTE(DO107,"+","")+1,0)),IF(_xlfn.SWITCH(DK107,"sq",DO$7,"bn",DP$7,"dl",DQ$7,"")&lt;IF(_uom="lbs",175,80),1.25,IF(_uom="lbs",5,2.5))))),"")</f>
        <v/>
      </c>
      <c s="70"/>
      <c s="63"/>
      <c s="97"/>
      <c s="44" t="str">
        <f>IFERROR(__xludf.DUMMYFUNCTION("IF(DQ107=MAX(FILTER(DQ$10:DQ$199,LOOKUP(ROW(DK$10:DK$199),FILTER(ROW(DK$10:DK$199),DK$10:DK$199&lt;&gt;DK$9:DK$198))=LOOKUP(ROW(DK107),FILTER(ROW(DK$10:DK$199),DK$10:DK$199&lt;&gt;DK$9:DK$198)))),DR107,)"),"")</f>
        <v/>
      </c>
      <c s="42"/>
      <c s="63"/>
      <c s="64" t="str">
        <f t="shared" si="32"/>
        <v/>
      </c>
      <c s="65" t="str">
        <f>IFERROR(__xludf.DUMMYFUNCTION("""COMPUTED_VALUE"""),"")</f>
        <v/>
      </c>
      <c s="66">
        <f ca="1"/>
        <v>45271</v>
      </c>
      <c s="93" t="str">
        <f t="shared" si="47"/>
        <v/>
      </c>
      <c s="94" t="str">
        <f t="shared" si="405"/>
        <v/>
      </c>
      <c s="95" t="str">
        <f t="shared" si="421"/>
        <v/>
      </c>
      <c s="98" t="str">
        <f t="shared" si="422"/>
        <v/>
      </c>
      <c s="97" t="str">
        <f t="array" ref="EE107">IFERROR(IF(DY107="ac"+ISNUMBER(SEARCH("'",ED107))+EC107="","",IF(ISNUMBER(SEARCH("lw",ED107)),DQ107+SUBSTITUTE(ED107,"lw+",""),MROUND(_xlfn.SWITCH(DY107,"sq",EC$7,"bn",ED$7,"dl",EE$7,"")*IF(ED107&gt;10,ED107/100,VLOOKUP(ED107,_rpe,SUBSTITUTE(EC107,"+","")+1,0)),IF(_xlfn.SWITCH(DY107,"sq",EC$7,"bn",ED$7,"dl",EE$7,"")&lt;IF(_uom="lbs",175,80),1.25,IF(_uom="lbs",5,2.5))))),"")</f>
        <v/>
      </c>
      <c s="70"/>
      <c s="63"/>
      <c s="97"/>
      <c s="44" t="str">
        <f>IFERROR(__xludf.DUMMYFUNCTION("IF(EE107=MAX(FILTER(EE$10:EE$199,LOOKUP(ROW(DY$10:DY$199),FILTER(ROW(DY$10:DY$199),DY$10:DY$199&lt;&gt;DY$9:DY$198))=LOOKUP(ROW(DY107),FILTER(ROW(DY$10:DY$199),DY$10:DY$199&lt;&gt;DY$9:DY$198)))),EF107,)"),"")</f>
        <v/>
      </c>
      <c s="42"/>
      <c s="63"/>
      <c s="64" t="str">
        <f t="shared" si="34"/>
        <v/>
      </c>
      <c s="65" t="str">
        <f>IFERROR(__xludf.DUMMYFUNCTION("""COMPUTED_VALUE"""),"")</f>
        <v/>
      </c>
      <c s="66">
        <f ca="1"/>
        <v>45278</v>
      </c>
      <c s="93" t="str">
        <f t="shared" si="48"/>
        <v/>
      </c>
      <c s="94" t="str">
        <f t="shared" si="395"/>
        <v/>
      </c>
      <c s="95" t="str">
        <f t="shared" si="423"/>
        <v/>
      </c>
      <c s="98" t="str">
        <f t="shared" si="402"/>
        <v/>
      </c>
      <c s="97" t="str">
        <f t="array" ref="ES107">IFERROR(IF(EM107="ac"+ISNUMBER(SEARCH("'",ER107))+EQ107="","",IF(ISNUMBER(SEARCH("lw",ER107)),EE107+SUBSTITUTE(ER107,"lw+",""),MROUND(_xlfn.SWITCH(EM107,"sq",EQ$7,"bn",ER$7,"dl",ES$7,"")*IF(ER107&gt;10,ER107/100,VLOOKUP(ER107,_rpe,SUBSTITUTE(EQ107,"+","")+1,0)),IF(_xlfn.SWITCH(EM107,"sq",EQ$7,"bn",ER$7,"dl",ES$7,"")&lt;IF(_uom="lbs",175,80),1.25,IF(_uom="lbs",5,2.5))))),"")</f>
        <v/>
      </c>
      <c s="70"/>
      <c s="63"/>
      <c s="97"/>
      <c s="44" t="str">
        <f>IFERROR(__xludf.DUMMYFUNCTION("IF(ES107=MAX(FILTER(ES$10:ES$199,LOOKUP(ROW(EM$10:EM$199),FILTER(ROW(EM$10:EM$199),EM$10:EM$199&lt;&gt;EM$9:EM$198))=LOOKUP(ROW(EM107),FILTER(ROW(EM$10:EM$199),EM$10:EM$199&lt;&gt;EM$9:EM$198)))),ET107,)"),"")</f>
        <v/>
      </c>
      <c s="42"/>
      <c s="63"/>
      <c s="64" t="str">
        <f t="shared" si="36"/>
        <v/>
      </c>
      <c s="65" t="str">
        <f>IFERROR(__xludf.DUMMYFUNCTION("""COMPUTED_VALUE"""),"")</f>
        <v/>
      </c>
      <c s="66">
        <f ca="1"/>
        <v>45285</v>
      </c>
      <c s="93" t="str">
        <f t="shared" si="49"/>
        <v/>
      </c>
      <c s="94" t="str">
        <f t="shared" si="396"/>
        <v/>
      </c>
      <c s="95" t="str">
        <f t="shared" si="424"/>
        <v/>
      </c>
      <c s="98" t="str">
        <f t="shared" si="403"/>
        <v/>
      </c>
      <c s="97" t="str">
        <f t="array" ref="FG107">IFERROR(IF(FA107="ac"+ISNUMBER(SEARCH("'",FF107))+FE107="","",IF(ISNUMBER(SEARCH("lw",FF107)),ES107+SUBSTITUTE(FF107,"lw+",""),MROUND(_xlfn.SWITCH(FA107,"sq",FE$7,"bn",FF$7,"dl",FG$7,"")*IF(FF107&gt;10,FF107/100,VLOOKUP(FF107,_rpe,SUBSTITUTE(FE107,"+","")+1,0)),IF(_xlfn.SWITCH(FA107,"sq",FE$7,"bn",FF$7,"dl",FG$7,"")&lt;IF(_uom="lbs",175,80),1.25,IF(_uom="lbs",5,2.5))))),"")</f>
        <v/>
      </c>
      <c s="70"/>
      <c s="63"/>
      <c s="97"/>
      <c s="44" t="str">
        <f>IFERROR(__xludf.DUMMYFUNCTION("IF(FG107=MAX(FILTER(FG$10:FG$199,LOOKUP(ROW(FA$10:FA$199),FILTER(ROW(FA$10:FA$199),FA$10:FA$199&lt;&gt;FA$9:FA$198))=LOOKUP(ROW(FA107),FILTER(ROW(FA$10:FA$199),FA$10:FA$199&lt;&gt;FA$9:FA$198)))),FH107,)"),"")</f>
        <v/>
      </c>
      <c s="42"/>
      <c s="63"/>
      <c s="64" t="str">
        <f t="shared" si="38"/>
        <v/>
      </c>
      <c s="65" t="str">
        <f>IFERROR(__xludf.DUMMYFUNCTION("""COMPUTED_VALUE"""),"")</f>
        <v/>
      </c>
      <c s="66">
        <f ca="1"/>
        <v>45292</v>
      </c>
      <c s="93" t="str">
        <f t="shared" si="451" ref="FQ107:FR107">IF(ISBLANK(FC107),"",FC107)</f>
        <v/>
      </c>
      <c s="94" t="str">
        <f t="shared" si="451"/>
        <v/>
      </c>
      <c s="95" t="str">
        <f t="shared" si="428"/>
        <v/>
      </c>
      <c s="98" t="str">
        <f t="shared" si="429"/>
        <v/>
      </c>
      <c s="97" t="str">
        <f t="array" ref="FU107">IFERROR(IF(FO107="ac"+ISNUMBER(SEARCH("'",FT107))+FS107="","",IF(ISNUMBER(SEARCH("lw",FT107)),FG107+SUBSTITUTE(FT107,"lw+",""),MROUND(_xlfn.SWITCH(FO107,"sq",FS$7,"bn",FT$7,"dl",FU$7,"")*IF(FT107&gt;10,FT107/100,VLOOKUP(FT107,_rpe,SUBSTITUTE(FS107,"+","")+1,0)),IF(_xlfn.SWITCH(FO107,"sq",FS$7,"bn",FT$7,"dl",FU$7,"")&lt;IF(_uom="lbs",175,80),1.25,IF(_uom="lbs",5,2.5))))),"")</f>
        <v/>
      </c>
      <c s="70"/>
      <c s="63"/>
      <c s="97"/>
      <c s="44" t="str">
        <f>IFERROR(__xludf.DUMMYFUNCTION("IF(FU107=MAX(FILTER(FU$10:FU$199,LOOKUP(ROW(FO$10:FO$199),FILTER(ROW(FO$10:FO$199),FO$10:FO$199&lt;&gt;FO$9:FO$198))=LOOKUP(ROW(FO107),FILTER(ROW(FO$10:FO$199),FO$10:FO$199&lt;&gt;FO$9:FO$198)))),FV107,)"),"")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08" spans="1:259" ht="15.75" hidden="1" outlineLevel="1">
      <c r="A108" s="63"/>
      <c s="107"/>
      <c s="65" t="str">
        <f>IFERROR(__xludf.DUMMYFUNCTION("""COMPUTED_VALUE"""),"")</f>
        <v/>
      </c>
      <c s="66">
        <f ca="1"/>
        <v>45208</v>
      </c>
      <c s="108"/>
      <c s="94"/>
      <c s="95"/>
      <c s="96"/>
      <c s="97" t="str">
        <f t="array" ref="I108">IFERROR(IF(C108="ac"+ISNUMBER(SEARCH("'",H108))+G108="","",MROUND(_xlfn.SWITCH(C108,"sq",'Personal Info'!$O$15,"bn",'Personal Info'!$S$15,"dl",'Personal Info'!$W$15,"")*IF(H108&gt;10,H108/100,VLOOKUP(H108,_rpe,SUBSTITUTE(G108,"+","")+1,0)),IF(_xlfn.SWITCH(C108:C210,"sq",'Personal Info'!$O$15,"bn",'Personal Info'!$S$15,"dl",'Personal Info'!$W$15,"")&lt;IF(_uom="lbs",175,80),1.25,IF(_uom="lbs",5,2.5)))),"")</f>
        <v/>
      </c>
      <c s="70"/>
      <c s="63"/>
      <c s="97"/>
      <c s="44" t="str">
        <f>IFERROR(__xludf.DUMMYFUNCTION("IF(I108=MAX(FILTER(I$10:I$199,LOOKUP(ROW(C$10:C$199),FILTER(ROW(C$10:C$199),C$10:C$199&lt;&gt;C$9:C$198))=LOOKUP(ROW(C108),FILTER(ROW(C$10:C$199),C$10:C$199&lt;&gt;C$9:C$198)))),J108,)"),"")</f>
        <v/>
      </c>
      <c s="42"/>
      <c s="63"/>
      <c s="64" t="str">
        <f t="shared" si="11"/>
        <v/>
      </c>
      <c s="65" t="str">
        <f>IFERROR(__xludf.DUMMYFUNCTION("""COMPUTED_VALUE"""),"")</f>
        <v/>
      </c>
      <c s="66">
        <f ca="1"/>
        <v>45215</v>
      </c>
      <c s="93" t="str">
        <f t="shared" si="12"/>
        <v/>
      </c>
      <c s="94" t="str">
        <f t="shared" si="404"/>
        <v/>
      </c>
      <c s="95" t="str">
        <f t="shared" si="406"/>
        <v/>
      </c>
      <c s="98" t="str">
        <f t="shared" si="407"/>
        <v/>
      </c>
      <c s="97" t="str">
        <f t="array" ref="W108">IFERROR(IF(Q108="ac"+ISNUMBER(SEARCH("'",V108))+U108="","",IF(ISNUMBER(SEARCH("lw",V108)),I108+SUBSTITUTE(V108,"lw+",""),MROUND(_xlfn.SWITCH(Q108,"sq",U$7,"bn",V$7,"dl",W$7,"")*IF(V108&gt;10,V108/100,VLOOKUP(V108,_rpe,SUBSTITUTE(U108,"+","")+1,0)),IF(_xlfn.SWITCH(Q108,"sq",U$7,"bn",V$7,"dl",W$7,"")&lt;IF(_uom="lbs",175,80),1.25,IF(_uom="lbs",5,2.5))))),"")</f>
        <v/>
      </c>
      <c s="70"/>
      <c s="63"/>
      <c s="97"/>
      <c s="44" t="str">
        <f>IFERROR(__xludf.DUMMYFUNCTION("IF(W108=MAX(FILTER(W$10:W$199,LOOKUP(ROW(Q$10:Q$199),FILTER(ROW(Q$10:Q$199),Q$10:Q$199&lt;&gt;Q$9:Q$198))=LOOKUP(ROW(Q108),FILTER(ROW(Q$10:Q$199),Q$10:Q$199&lt;&gt;Q$9:Q$198)))),X108,)"),"")</f>
        <v/>
      </c>
      <c s="42"/>
      <c s="63"/>
      <c s="64" t="str">
        <f t="shared" si="14"/>
        <v/>
      </c>
      <c s="65" t="str">
        <f>IFERROR(__xludf.DUMMYFUNCTION("""COMPUTED_VALUE"""),"")</f>
        <v/>
      </c>
      <c s="66">
        <f ca="1"/>
        <v>45222</v>
      </c>
      <c s="93" t="str">
        <f t="shared" si="156"/>
        <v/>
      </c>
      <c s="94" t="str">
        <f t="shared" si="397"/>
        <v/>
      </c>
      <c s="95" t="str">
        <f t="shared" si="408"/>
        <v/>
      </c>
      <c s="98" t="str">
        <f t="shared" si="398"/>
        <v/>
      </c>
      <c s="97" t="str">
        <f t="array" ref="AK108">IFERROR(IF(AE108="ac"+ISNUMBER(SEARCH("'",AJ108))+AI108="","",IF(ISNUMBER(SEARCH("lw",AJ108)),W108+SUBSTITUTE(AJ108,"lw+",""),MROUND(_xlfn.SWITCH(AE108,"sq",AI$7,"bn",AJ$7,"dl",AK$7,"")*IF(AJ108&gt;10,AJ108/100,VLOOKUP(AJ108,_rpe,SUBSTITUTE(AI108,"+","")+1,0)),IF(_xlfn.SWITCH(AE108,"sq",AI$7,"bn",AJ$7,"dl",AK$7,"")&lt;IF(_uom="lbs",175,80),1.25,IF(_uom="lbs",5,2.5))))),"")</f>
        <v/>
      </c>
      <c s="70"/>
      <c s="63"/>
      <c s="97"/>
      <c s="44" t="str">
        <f>IFERROR(__xludf.DUMMYFUNCTION("IF(AK108=MAX(FILTER(AK$10:AK$199,LOOKUP(ROW(AE$10:AE$199),FILTER(ROW(AE$10:AE$199),AE$10:AE$199&lt;&gt;AE$9:AE$198))=LOOKUP(ROW(AE108),FILTER(ROW(AE$10:AE$199),AE$10:AE$199&lt;&gt;AE$9:AE$198)))),AL108,)"),"")</f>
        <v/>
      </c>
      <c s="42"/>
      <c s="63"/>
      <c s="64" t="str">
        <f t="shared" si="17"/>
        <v/>
      </c>
      <c s="65" t="str">
        <f>IFERROR(__xludf.DUMMYFUNCTION("""COMPUTED_VALUE"""),"")</f>
        <v/>
      </c>
      <c s="66">
        <f ca="1"/>
        <v>45229</v>
      </c>
      <c s="93" t="str">
        <f t="shared" si="157"/>
        <v/>
      </c>
      <c s="94" t="str">
        <f t="shared" si="399"/>
        <v/>
      </c>
      <c s="95" t="str">
        <f t="shared" si="409"/>
        <v/>
      </c>
      <c s="98" t="str">
        <f t="shared" si="400"/>
        <v/>
      </c>
      <c s="97" t="str">
        <f t="array" ref="AY108">IFERROR(IF(AS108="ac"+ISNUMBER(SEARCH("'",AX108))+AW108="","",IF(ISNUMBER(SEARCH("lw",AX108)),AK108+SUBSTITUTE(AX108,"lw+",""),MROUND(_xlfn.SWITCH(AS108,"sq",AW$7,"bn",AX$7,"dl",AY$7,"")*IF(AX108&gt;10,AX108/100,VLOOKUP(AX108,_rpe,SUBSTITUTE(AW108,"+","")+1,0)),IF(_xlfn.SWITCH(AS108,"sq",AW$7,"bn",AX$7,"dl",AY$7,"")&lt;IF(_uom="lbs",175,80),1.25,IF(_uom="lbs",5,2.5))))),"")</f>
        <v/>
      </c>
      <c s="70"/>
      <c s="63"/>
      <c s="97"/>
      <c s="44" t="str">
        <f>IFERROR(__xludf.DUMMYFUNCTION("IF(AY108=MAX(FILTER(AY$10:AY$199,LOOKUP(ROW(AS$10:AS$199),FILTER(ROW(AS$10:AS$199),AS$10:AS$199&lt;&gt;AS$9:AS$198))=LOOKUP(ROW(AS108),FILTER(ROW(AS$10:AS$199),AS$10:AS$199&lt;&gt;AS$9:AS$198)))),AZ108,)"),"")</f>
        <v/>
      </c>
      <c s="42"/>
      <c s="63"/>
      <c s="64" t="str">
        <f t="shared" si="19"/>
        <v/>
      </c>
      <c s="65" t="str">
        <f>IFERROR(__xludf.DUMMYFUNCTION("""COMPUTED_VALUE"""),"")</f>
        <v/>
      </c>
      <c s="66">
        <f ca="1"/>
        <v>45236</v>
      </c>
      <c s="93" t="str">
        <f t="shared" si="20"/>
        <v/>
      </c>
      <c s="94" t="str">
        <f t="shared" si="425"/>
        <v/>
      </c>
      <c s="95" t="str">
        <f t="shared" si="411"/>
        <v/>
      </c>
      <c s="98" t="str">
        <f t="shared" si="412"/>
        <v/>
      </c>
      <c s="97" t="str">
        <f t="array" ref="BM108">IFERROR(IF(BG108="ac"+ISNUMBER(SEARCH("'",BL108))+BK108="","",IF(ISNUMBER(SEARCH("lw",BL108)),AY108+SUBSTITUTE(BL108,"lw+",""),MROUND(_xlfn.SWITCH(BG108,"sq",BK$7,"bn",BL$7,"dl",BM$7,"")*IF(BL108&gt;10,BL108/100,VLOOKUP(BL108,_rpe,SUBSTITUTE(BK108,"+","")+1,0)),IF(_xlfn.SWITCH(BG108,"sq",BK$7,"bn",BL$7,"dl",BM$7,"")&lt;IF(_uom="lbs",175,80),1.25,IF(_uom="lbs",5,2.5))))),"")</f>
        <v/>
      </c>
      <c s="70"/>
      <c s="63"/>
      <c s="97"/>
      <c s="44" t="str">
        <f>IFERROR(__xludf.DUMMYFUNCTION("IF(BM108=MAX(FILTER(BM$10:BM$199,LOOKUP(ROW(BG$10:BG$199),FILTER(ROW(BG$10:BG$199),BG$10:BG$199&lt;&gt;BG$9:BG$198))=LOOKUP(ROW(BG108),FILTER(ROW(BG$10:BG$199),BG$10:BG$199&lt;&gt;BG$9:BG$198)))),BN108,)"),"")</f>
        <v/>
      </c>
      <c s="42"/>
      <c s="63"/>
      <c s="64" t="str">
        <f t="shared" si="21"/>
        <v/>
      </c>
      <c s="65" t="str">
        <f>IFERROR(__xludf.DUMMYFUNCTION("""COMPUTED_VALUE"""),"")</f>
        <v/>
      </c>
      <c s="66">
        <f ca="1"/>
        <v>45243</v>
      </c>
      <c s="93" t="str">
        <f t="shared" si="22"/>
        <v/>
      </c>
      <c s="94" t="str">
        <f t="shared" si="426"/>
        <v/>
      </c>
      <c s="95" t="str">
        <f t="shared" si="414"/>
        <v/>
      </c>
      <c s="98" t="str">
        <f t="shared" si="415"/>
        <v/>
      </c>
      <c s="97" t="str">
        <f t="array" ref="CA108">IFERROR(IF(BU108="ac"+ISNUMBER(SEARCH("'",BZ108))+BY108="","",IF(ISNUMBER(SEARCH("lw",BZ108)),BM108+SUBSTITUTE(BZ108,"lw+",""),MROUND(_xlfn.SWITCH(BU108,"sq",BY$7,"bn",BZ$7,"dl",CA$7,"")*IF(BZ108&gt;10,BZ108/100,VLOOKUP(BZ108,_rpe,SUBSTITUTE(BY108,"+","")+1,0)),IF(_xlfn.SWITCH(BU108,"sq",BY$7,"bn",BZ$7,"dl",CA$7,"")&lt;IF(_uom="lbs",175,80),1.25,IF(_uom="lbs",5,2.5))))),"")</f>
        <v/>
      </c>
      <c s="70"/>
      <c s="63"/>
      <c s="97"/>
      <c s="44" t="str">
        <f>IFERROR(__xludf.DUMMYFUNCTION("IF(CA108=MAX(FILTER(CA$10:CA$199,LOOKUP(ROW(BU$10:BU$199),FILTER(ROW(BU$10:BU$199),BU$10:BU$199&lt;&gt;BU$9:BU$198))=LOOKUP(ROW(BU108),FILTER(ROW(BU$10:BU$199),BU$10:BU$199&lt;&gt;BU$9:BU$198)))),CB108,)"),"")</f>
        <v/>
      </c>
      <c s="42"/>
      <c s="63"/>
      <c s="64" t="str">
        <f t="shared" si="24"/>
        <v/>
      </c>
      <c s="65" t="str">
        <f>IFERROR(__xludf.DUMMYFUNCTION("""COMPUTED_VALUE"""),"")</f>
        <v/>
      </c>
      <c s="66">
        <f ca="1"/>
        <v>45250</v>
      </c>
      <c s="93" t="str">
        <f t="shared" si="44"/>
        <v/>
      </c>
      <c s="94" t="str">
        <f t="shared" si="392"/>
        <v/>
      </c>
      <c s="95" t="str">
        <f t="shared" si="416"/>
        <v/>
      </c>
      <c s="98" t="str">
        <f t="shared" si="417"/>
        <v/>
      </c>
      <c s="97" t="str">
        <f t="array" ref="CO108">IFERROR(IF(CI108="ac"+ISNUMBER(SEARCH("'",CN108))+CM108="","",IF(ISNUMBER(SEARCH("lw",CN108)),CA108+SUBSTITUTE(CN108,"lw+",""),MROUND(_xlfn.SWITCH(CI108,"sq",CM$7,"bn",CN$7,"dl",CO$7,"")*IF(CN108&gt;10,CN108/100,VLOOKUP(CN108,_rpe,SUBSTITUTE(CM108,"+","")+1,0)),IF(_xlfn.SWITCH(CI108,"sq",CM$7,"bn",CN$7,"dl",CO$7,"")&lt;IF(_uom="lbs",175,80),1.25,IF(_uom="lbs",5,2.5))))),"")</f>
        <v/>
      </c>
      <c s="70"/>
      <c s="63"/>
      <c s="97"/>
      <c s="44" t="str">
        <f>IFERROR(__xludf.DUMMYFUNCTION("IF(CO108=MAX(FILTER(CO$10:CO$199,LOOKUP(ROW(CI$10:CI$199),FILTER(ROW(CI$10:CI$199),CI$10:CI$199&lt;&gt;CI$9:CI$198))=LOOKUP(ROW(CI108),FILTER(ROW(CI$10:CI$199),CI$10:CI$199&lt;&gt;CI$9:CI$198)))),CP108,)"),"")</f>
        <v/>
      </c>
      <c s="42"/>
      <c s="63"/>
      <c s="64" t="str">
        <f t="shared" si="27"/>
        <v/>
      </c>
      <c s="65" t="str">
        <f>IFERROR(__xludf.DUMMYFUNCTION("""COMPUTED_VALUE"""),"")</f>
        <v/>
      </c>
      <c s="66">
        <f ca="1"/>
        <v>45257</v>
      </c>
      <c s="93" t="str">
        <f t="shared" si="45"/>
        <v/>
      </c>
      <c s="94" t="str">
        <f t="shared" si="393"/>
        <v/>
      </c>
      <c s="95" t="str">
        <f t="shared" si="418"/>
        <v/>
      </c>
      <c s="98" t="str">
        <f t="shared" si="401"/>
        <v/>
      </c>
      <c s="97" t="str">
        <f t="array" ref="DC108">IFERROR(IF(CW108="ac"+ISNUMBER(SEARCH("'",DB108))+DA108="","",IF(ISNUMBER(SEARCH("lw",DB108)),CO108+SUBSTITUTE(DB108,"lw+",""),MROUND(_xlfn.SWITCH(CW108,"sq",DA$7,"bn",DB$7,"dl",DC$7,"")*IF(DB108&gt;10,DB108/100,VLOOKUP(DB108,_rpe,SUBSTITUTE(DA108,"+","")+1,0)),IF(_xlfn.SWITCH(CW108,"sq",DA$7,"bn",DB$7,"dl",DC$7,"")&lt;IF(_uom="lbs",175,80),1.25,IF(_uom="lbs",5,2.5))))),"")</f>
        <v/>
      </c>
      <c s="70"/>
      <c s="63"/>
      <c s="97"/>
      <c s="44" t="str">
        <f>IFERROR(__xludf.DUMMYFUNCTION("IF(DC108=MAX(FILTER(DC$10:DC$199,LOOKUP(ROW(CW$10:CW$199),FILTER(ROW(CW$10:CW$199),CW$10:CW$199&lt;&gt;CW$9:CW$198))=LOOKUP(ROW(CW108),FILTER(ROW(CW$10:CW$199),CW$10:CW$199&lt;&gt;CW$9:CW$198)))),DD108,)"),"")</f>
        <v/>
      </c>
      <c s="42"/>
      <c s="63"/>
      <c s="64" t="str">
        <f t="shared" si="30"/>
        <v/>
      </c>
      <c s="65" t="str">
        <f>IFERROR(__xludf.DUMMYFUNCTION("""COMPUTED_VALUE"""),"")</f>
        <v/>
      </c>
      <c s="66">
        <f ca="1"/>
        <v>45264</v>
      </c>
      <c s="93" t="str">
        <f t="shared" si="46"/>
        <v/>
      </c>
      <c s="94" t="str">
        <f t="shared" si="394"/>
        <v/>
      </c>
      <c s="95" t="str">
        <f t="shared" si="419"/>
        <v/>
      </c>
      <c s="98" t="str">
        <f t="shared" si="420"/>
        <v/>
      </c>
      <c s="97" t="str">
        <f t="array" ref="DQ108">IFERROR(IF(DK108="ac"+ISNUMBER(SEARCH("'",DP108))+DO108="","",IF(ISNUMBER(SEARCH("lw",DP108)),DC108+SUBSTITUTE(DP108,"lw+",""),MROUND(_xlfn.SWITCH(DK108,"sq",DO$7,"bn",DP$7,"dl",DQ$7,"")*IF(DP108&gt;10,DP108/100,VLOOKUP(DP108,_rpe,SUBSTITUTE(DO108,"+","")+1,0)),IF(_xlfn.SWITCH(DK108,"sq",DO$7,"bn",DP$7,"dl",DQ$7,"")&lt;IF(_uom="lbs",175,80),1.25,IF(_uom="lbs",5,2.5))))),"")</f>
        <v/>
      </c>
      <c s="70"/>
      <c s="63"/>
      <c s="97"/>
      <c s="44" t="str">
        <f>IFERROR(__xludf.DUMMYFUNCTION("IF(DQ108=MAX(FILTER(DQ$10:DQ$199,LOOKUP(ROW(DK$10:DK$199),FILTER(ROW(DK$10:DK$199),DK$10:DK$199&lt;&gt;DK$9:DK$198))=LOOKUP(ROW(DK108),FILTER(ROW(DK$10:DK$199),DK$10:DK$199&lt;&gt;DK$9:DK$198)))),DR108,)"),"")</f>
        <v/>
      </c>
      <c s="42"/>
      <c s="63"/>
      <c s="64" t="str">
        <f t="shared" si="32"/>
        <v/>
      </c>
      <c s="65" t="str">
        <f>IFERROR(__xludf.DUMMYFUNCTION("""COMPUTED_VALUE"""),"")</f>
        <v/>
      </c>
      <c s="66">
        <f ca="1"/>
        <v>45271</v>
      </c>
      <c s="93" t="str">
        <f t="shared" si="47"/>
        <v/>
      </c>
      <c s="94" t="str">
        <f t="shared" si="405"/>
        <v/>
      </c>
      <c s="95" t="str">
        <f t="shared" si="421"/>
        <v/>
      </c>
      <c s="98" t="str">
        <f t="shared" si="422"/>
        <v/>
      </c>
      <c s="97" t="str">
        <f t="array" ref="EE108">IFERROR(IF(DY108="ac"+ISNUMBER(SEARCH("'",ED108))+EC108="","",IF(ISNUMBER(SEARCH("lw",ED108)),DQ108+SUBSTITUTE(ED108,"lw+",""),MROUND(_xlfn.SWITCH(DY108,"sq",EC$7,"bn",ED$7,"dl",EE$7,"")*IF(ED108&gt;10,ED108/100,VLOOKUP(ED108,_rpe,SUBSTITUTE(EC108,"+","")+1,0)),IF(_xlfn.SWITCH(DY108,"sq",EC$7,"bn",ED$7,"dl",EE$7,"")&lt;IF(_uom="lbs",175,80),1.25,IF(_uom="lbs",5,2.5))))),"")</f>
        <v/>
      </c>
      <c s="70"/>
      <c s="63"/>
      <c s="97"/>
      <c s="44" t="str">
        <f>IFERROR(__xludf.DUMMYFUNCTION("IF(EE108=MAX(FILTER(EE$10:EE$199,LOOKUP(ROW(DY$10:DY$199),FILTER(ROW(DY$10:DY$199),DY$10:DY$199&lt;&gt;DY$9:DY$198))=LOOKUP(ROW(DY108),FILTER(ROW(DY$10:DY$199),DY$10:DY$199&lt;&gt;DY$9:DY$198)))),EF108,)"),"")</f>
        <v/>
      </c>
      <c s="42"/>
      <c s="63"/>
      <c s="64" t="str">
        <f t="shared" si="34"/>
        <v/>
      </c>
      <c s="65" t="str">
        <f>IFERROR(__xludf.DUMMYFUNCTION("""COMPUTED_VALUE"""),"")</f>
        <v/>
      </c>
      <c s="66">
        <f ca="1"/>
        <v>45278</v>
      </c>
      <c s="93" t="str">
        <f t="shared" si="48"/>
        <v/>
      </c>
      <c s="94" t="str">
        <f t="shared" si="395"/>
        <v/>
      </c>
      <c s="95" t="str">
        <f t="shared" si="423"/>
        <v/>
      </c>
      <c s="98" t="str">
        <f t="shared" si="402"/>
        <v/>
      </c>
      <c s="97" t="str">
        <f t="array" ref="ES108">IFERROR(IF(EM108="ac"+ISNUMBER(SEARCH("'",ER108))+EQ108="","",IF(ISNUMBER(SEARCH("lw",ER108)),EE108+SUBSTITUTE(ER108,"lw+",""),MROUND(_xlfn.SWITCH(EM108,"sq",EQ$7,"bn",ER$7,"dl",ES$7,"")*IF(ER108&gt;10,ER108/100,VLOOKUP(ER108,_rpe,SUBSTITUTE(EQ108,"+","")+1,0)),IF(_xlfn.SWITCH(EM108,"sq",EQ$7,"bn",ER$7,"dl",ES$7,"")&lt;IF(_uom="lbs",175,80),1.25,IF(_uom="lbs",5,2.5))))),"")</f>
        <v/>
      </c>
      <c s="70"/>
      <c s="63"/>
      <c s="97"/>
      <c s="44" t="str">
        <f>IFERROR(__xludf.DUMMYFUNCTION("IF(ES108=MAX(FILTER(ES$10:ES$199,LOOKUP(ROW(EM$10:EM$199),FILTER(ROW(EM$10:EM$199),EM$10:EM$199&lt;&gt;EM$9:EM$198))=LOOKUP(ROW(EM108),FILTER(ROW(EM$10:EM$199),EM$10:EM$199&lt;&gt;EM$9:EM$198)))),ET108,)"),"")</f>
        <v/>
      </c>
      <c s="42"/>
      <c s="63"/>
      <c s="64" t="str">
        <f t="shared" si="36"/>
        <v/>
      </c>
      <c s="65" t="str">
        <f>IFERROR(__xludf.DUMMYFUNCTION("""COMPUTED_VALUE"""),"")</f>
        <v/>
      </c>
      <c s="66">
        <f ca="1"/>
        <v>45285</v>
      </c>
      <c s="93" t="str">
        <f t="shared" si="49"/>
        <v/>
      </c>
      <c s="94" t="str">
        <f t="shared" si="396"/>
        <v/>
      </c>
      <c s="95" t="str">
        <f t="shared" si="424"/>
        <v/>
      </c>
      <c s="98" t="str">
        <f t="shared" si="403"/>
        <v/>
      </c>
      <c s="97" t="str">
        <f t="array" ref="FG108">IFERROR(IF(FA108="ac"+ISNUMBER(SEARCH("'",FF108))+FE108="","",IF(ISNUMBER(SEARCH("lw",FF108)),ES108+SUBSTITUTE(FF108,"lw+",""),MROUND(_xlfn.SWITCH(FA108,"sq",FE$7,"bn",FF$7,"dl",FG$7,"")*IF(FF108&gt;10,FF108/100,VLOOKUP(FF108,_rpe,SUBSTITUTE(FE108,"+","")+1,0)),IF(_xlfn.SWITCH(FA108,"sq",FE$7,"bn",FF$7,"dl",FG$7,"")&lt;IF(_uom="lbs",175,80),1.25,IF(_uom="lbs",5,2.5))))),"")</f>
        <v/>
      </c>
      <c s="70"/>
      <c s="63"/>
      <c s="97"/>
      <c s="44" t="str">
        <f>IFERROR(__xludf.DUMMYFUNCTION("IF(FG108=MAX(FILTER(FG$10:FG$199,LOOKUP(ROW(FA$10:FA$199),FILTER(ROW(FA$10:FA$199),FA$10:FA$199&lt;&gt;FA$9:FA$198))=LOOKUP(ROW(FA108),FILTER(ROW(FA$10:FA$199),FA$10:FA$199&lt;&gt;FA$9:FA$198)))),FH108,)"),"")</f>
        <v/>
      </c>
      <c s="42"/>
      <c s="63"/>
      <c s="64" t="str">
        <f t="shared" si="38"/>
        <v/>
      </c>
      <c s="65" t="str">
        <f>IFERROR(__xludf.DUMMYFUNCTION("""COMPUTED_VALUE"""),"")</f>
        <v/>
      </c>
      <c s="66">
        <f ca="1"/>
        <v>45292</v>
      </c>
      <c s="93" t="str">
        <f t="shared" si="452" ref="FQ108:FR108">IF(ISBLANK(FC108),"",FC108)</f>
        <v/>
      </c>
      <c s="94" t="str">
        <f t="shared" si="452"/>
        <v/>
      </c>
      <c s="95" t="str">
        <f t="shared" si="428"/>
        <v/>
      </c>
      <c s="98" t="str">
        <f t="shared" si="429"/>
        <v/>
      </c>
      <c s="97" t="str">
        <f t="array" ref="FU108">IFERROR(IF(FO108="ac"+ISNUMBER(SEARCH("'",FT108))+FS108="","",IF(ISNUMBER(SEARCH("lw",FT108)),FG108+SUBSTITUTE(FT108,"lw+",""),MROUND(_xlfn.SWITCH(FO108,"sq",FS$7,"bn",FT$7,"dl",FU$7,"")*IF(FT108&gt;10,FT108/100,VLOOKUP(FT108,_rpe,SUBSTITUTE(FS108,"+","")+1,0)),IF(_xlfn.SWITCH(FO108,"sq",FS$7,"bn",FT$7,"dl",FU$7,"")&lt;IF(_uom="lbs",175,80),1.25,IF(_uom="lbs",5,2.5))))),"")</f>
        <v/>
      </c>
      <c s="70"/>
      <c s="63"/>
      <c s="97"/>
      <c s="44" t="str">
        <f>IFERROR(__xludf.DUMMYFUNCTION("IF(FU108=MAX(FILTER(FU$10:FU$199,LOOKUP(ROW(FO$10:FO$199),FILTER(ROW(FO$10:FO$199),FO$10:FO$199&lt;&gt;FO$9:FO$198))=LOOKUP(ROW(FO108),FILTER(ROW(FO$10:FO$199),FO$10:FO$199&lt;&gt;FO$9:FO$198)))),FV108,)"),"")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09" spans="1:259" ht="15.75" hidden="1" outlineLevel="1">
      <c r="A109" s="63"/>
      <c s="107"/>
      <c s="65" t="str">
        <f>IFERROR(__xludf.DUMMYFUNCTION("""COMPUTED_VALUE"""),"")</f>
        <v/>
      </c>
      <c s="66">
        <f ca="1"/>
        <v>45208</v>
      </c>
      <c s="108"/>
      <c s="94"/>
      <c s="95"/>
      <c s="96"/>
      <c s="97" t="str">
        <f t="array" ref="I109">IFERROR(IF(C109="ac"+ISNUMBER(SEARCH("'",H109))+G109="","",MROUND(_xlfn.SWITCH(C109,"sq",'Personal Info'!$O$15,"bn",'Personal Info'!$S$15,"dl",'Personal Info'!$W$15,"")*IF(H109&gt;10,H109/100,VLOOKUP(H109,_rpe,SUBSTITUTE(G109,"+","")+1,0)),IF(_xlfn.SWITCH(C109:C210,"sq",'Personal Info'!$O$15,"bn",'Personal Info'!$S$15,"dl",'Personal Info'!$W$15,"")&lt;IF(_uom="lbs",175,80),1.25,IF(_uom="lbs",5,2.5)))),"")</f>
        <v/>
      </c>
      <c s="70"/>
      <c s="63"/>
      <c s="97"/>
      <c s="44" t="str">
        <f>IFERROR(__xludf.DUMMYFUNCTION("IF(I109=MAX(FILTER(I$10:I$199,LOOKUP(ROW(C$10:C$199),FILTER(ROW(C$10:C$199),C$10:C$199&lt;&gt;C$9:C$198))=LOOKUP(ROW(C109),FILTER(ROW(C$10:C$199),C$10:C$199&lt;&gt;C$9:C$198)))),J109,)"),"")</f>
        <v/>
      </c>
      <c s="42"/>
      <c s="63"/>
      <c s="64" t="str">
        <f t="shared" si="11"/>
        <v/>
      </c>
      <c s="65" t="str">
        <f>IFERROR(__xludf.DUMMYFUNCTION("""COMPUTED_VALUE"""),"")</f>
        <v/>
      </c>
      <c s="66">
        <f ca="1"/>
        <v>45215</v>
      </c>
      <c s="93" t="str">
        <f t="shared" si="12"/>
        <v/>
      </c>
      <c s="94" t="str">
        <f t="shared" si="404"/>
        <v/>
      </c>
      <c s="95" t="str">
        <f t="shared" si="406"/>
        <v/>
      </c>
      <c s="98" t="str">
        <f t="shared" si="407"/>
        <v/>
      </c>
      <c s="97" t="str">
        <f t="array" ref="W109">IFERROR(IF(Q109="ac"+ISNUMBER(SEARCH("'",V109))+U109="","",IF(ISNUMBER(SEARCH("lw",V109)),I109+SUBSTITUTE(V109,"lw+",""),MROUND(_xlfn.SWITCH(Q109,"sq",U$7,"bn",V$7,"dl",W$7,"")*IF(V109&gt;10,V109/100,VLOOKUP(V109,_rpe,SUBSTITUTE(U109,"+","")+1,0)),IF(_xlfn.SWITCH(Q109,"sq",U$7,"bn",V$7,"dl",W$7,"")&lt;IF(_uom="lbs",175,80),1.25,IF(_uom="lbs",5,2.5))))),"")</f>
        <v/>
      </c>
      <c s="70"/>
      <c s="63"/>
      <c s="97"/>
      <c s="44" t="str">
        <f>IFERROR(__xludf.DUMMYFUNCTION("IF(W109=MAX(FILTER(W$10:W$199,LOOKUP(ROW(Q$10:Q$199),FILTER(ROW(Q$10:Q$199),Q$10:Q$199&lt;&gt;Q$9:Q$198))=LOOKUP(ROW(Q109),FILTER(ROW(Q$10:Q$199),Q$10:Q$199&lt;&gt;Q$9:Q$198)))),X109,)"),"")</f>
        <v/>
      </c>
      <c s="42"/>
      <c s="63"/>
      <c s="64" t="str">
        <f t="shared" si="14"/>
        <v/>
      </c>
      <c s="65" t="str">
        <f>IFERROR(__xludf.DUMMYFUNCTION("""COMPUTED_VALUE"""),"")</f>
        <v/>
      </c>
      <c s="66">
        <f ca="1"/>
        <v>45222</v>
      </c>
      <c s="93" t="str">
        <f t="shared" si="156"/>
        <v/>
      </c>
      <c s="94" t="str">
        <f t="shared" si="397"/>
        <v/>
      </c>
      <c s="95" t="str">
        <f t="shared" si="408"/>
        <v/>
      </c>
      <c s="98" t="str">
        <f t="shared" si="398"/>
        <v/>
      </c>
      <c s="97" t="str">
        <f t="array" ref="AK109">IFERROR(IF(AE109="ac"+ISNUMBER(SEARCH("'",AJ109))+AI109="","",IF(ISNUMBER(SEARCH("lw",AJ109)),W109+SUBSTITUTE(AJ109,"lw+",""),MROUND(_xlfn.SWITCH(AE109,"sq",AI$7,"bn",AJ$7,"dl",AK$7,"")*IF(AJ109&gt;10,AJ109/100,VLOOKUP(AJ109,_rpe,SUBSTITUTE(AI109,"+","")+1,0)),IF(_xlfn.SWITCH(AE109,"sq",AI$7,"bn",AJ$7,"dl",AK$7,"")&lt;IF(_uom="lbs",175,80),1.25,IF(_uom="lbs",5,2.5))))),"")</f>
        <v/>
      </c>
      <c s="70"/>
      <c s="63"/>
      <c s="97"/>
      <c s="44" t="str">
        <f>IFERROR(__xludf.DUMMYFUNCTION("IF(AK109=MAX(FILTER(AK$10:AK$199,LOOKUP(ROW(AE$10:AE$199),FILTER(ROW(AE$10:AE$199),AE$10:AE$199&lt;&gt;AE$9:AE$198))=LOOKUP(ROW(AE109),FILTER(ROW(AE$10:AE$199),AE$10:AE$199&lt;&gt;AE$9:AE$198)))),AL109,)"),"")</f>
        <v/>
      </c>
      <c s="42"/>
      <c s="63"/>
      <c s="64" t="str">
        <f t="shared" si="17"/>
        <v/>
      </c>
      <c s="65" t="str">
        <f>IFERROR(__xludf.DUMMYFUNCTION("""COMPUTED_VALUE"""),"")</f>
        <v/>
      </c>
      <c s="66">
        <f ca="1"/>
        <v>45229</v>
      </c>
      <c s="93" t="str">
        <f t="shared" si="157"/>
        <v/>
      </c>
      <c s="94" t="str">
        <f t="shared" si="399"/>
        <v/>
      </c>
      <c s="95" t="str">
        <f t="shared" si="409"/>
        <v/>
      </c>
      <c s="98" t="str">
        <f t="shared" si="400"/>
        <v/>
      </c>
      <c s="97" t="str">
        <f t="array" ref="AY109">IFERROR(IF(AS109="ac"+ISNUMBER(SEARCH("'",AX109))+AW109="","",IF(ISNUMBER(SEARCH("lw",AX109)),AK109+SUBSTITUTE(AX109,"lw+",""),MROUND(_xlfn.SWITCH(AS109,"sq",AW$7,"bn",AX$7,"dl",AY$7,"")*IF(AX109&gt;10,AX109/100,VLOOKUP(AX109,_rpe,SUBSTITUTE(AW109,"+","")+1,0)),IF(_xlfn.SWITCH(AS109,"sq",AW$7,"bn",AX$7,"dl",AY$7,"")&lt;IF(_uom="lbs",175,80),1.25,IF(_uom="lbs",5,2.5))))),"")</f>
        <v/>
      </c>
      <c s="70"/>
      <c s="63"/>
      <c s="97"/>
      <c s="44" t="str">
        <f>IFERROR(__xludf.DUMMYFUNCTION("IF(AY109=MAX(FILTER(AY$10:AY$199,LOOKUP(ROW(AS$10:AS$199),FILTER(ROW(AS$10:AS$199),AS$10:AS$199&lt;&gt;AS$9:AS$198))=LOOKUP(ROW(AS109),FILTER(ROW(AS$10:AS$199),AS$10:AS$199&lt;&gt;AS$9:AS$198)))),AZ109,)"),"")</f>
        <v/>
      </c>
      <c s="42"/>
      <c s="63"/>
      <c s="64" t="str">
        <f t="shared" si="19"/>
        <v/>
      </c>
      <c s="65" t="str">
        <f>IFERROR(__xludf.DUMMYFUNCTION("""COMPUTED_VALUE"""),"")</f>
        <v/>
      </c>
      <c s="66">
        <f ca="1"/>
        <v>45236</v>
      </c>
      <c s="93" t="str">
        <f t="shared" si="20"/>
        <v/>
      </c>
      <c s="94" t="str">
        <f t="shared" si="425"/>
        <v/>
      </c>
      <c s="95" t="str">
        <f t="shared" si="411"/>
        <v/>
      </c>
      <c s="98" t="str">
        <f t="shared" si="412"/>
        <v/>
      </c>
      <c s="97" t="str">
        <f t="array" ref="BM109">IFERROR(IF(BG109="ac"+ISNUMBER(SEARCH("'",BL109))+BK109="","",IF(ISNUMBER(SEARCH("lw",BL109)),AY109+SUBSTITUTE(BL109,"lw+",""),MROUND(_xlfn.SWITCH(BG109,"sq",BK$7,"bn",BL$7,"dl",BM$7,"")*IF(BL109&gt;10,BL109/100,VLOOKUP(BL109,_rpe,SUBSTITUTE(BK109,"+","")+1,0)),IF(_xlfn.SWITCH(BG109,"sq",BK$7,"bn",BL$7,"dl",BM$7,"")&lt;IF(_uom="lbs",175,80),1.25,IF(_uom="lbs",5,2.5))))),"")</f>
        <v/>
      </c>
      <c s="70"/>
      <c s="63"/>
      <c s="97"/>
      <c s="44" t="str">
        <f>IFERROR(__xludf.DUMMYFUNCTION("IF(BM109=MAX(FILTER(BM$10:BM$199,LOOKUP(ROW(BG$10:BG$199),FILTER(ROW(BG$10:BG$199),BG$10:BG$199&lt;&gt;BG$9:BG$198))=LOOKUP(ROW(BG109),FILTER(ROW(BG$10:BG$199),BG$10:BG$199&lt;&gt;BG$9:BG$198)))),BN109,)"),"")</f>
        <v/>
      </c>
      <c s="42"/>
      <c s="63"/>
      <c s="64" t="str">
        <f t="shared" si="21"/>
        <v/>
      </c>
      <c s="65" t="str">
        <f>IFERROR(__xludf.DUMMYFUNCTION("""COMPUTED_VALUE"""),"")</f>
        <v/>
      </c>
      <c s="66">
        <f ca="1"/>
        <v>45243</v>
      </c>
      <c s="93" t="str">
        <f t="shared" si="22"/>
        <v/>
      </c>
      <c s="94" t="str">
        <f t="shared" si="426"/>
        <v/>
      </c>
      <c s="95" t="str">
        <f t="shared" si="414"/>
        <v/>
      </c>
      <c s="98" t="str">
        <f t="shared" si="415"/>
        <v/>
      </c>
      <c s="97" t="str">
        <f t="array" ref="CA109">IFERROR(IF(BU109="ac"+ISNUMBER(SEARCH("'",BZ109))+BY109="","",IF(ISNUMBER(SEARCH("lw",BZ109)),BM109+SUBSTITUTE(BZ109,"lw+",""),MROUND(_xlfn.SWITCH(BU109,"sq",BY$7,"bn",BZ$7,"dl",CA$7,"")*IF(BZ109&gt;10,BZ109/100,VLOOKUP(BZ109,_rpe,SUBSTITUTE(BY109,"+","")+1,0)),IF(_xlfn.SWITCH(BU109,"sq",BY$7,"bn",BZ$7,"dl",CA$7,"")&lt;IF(_uom="lbs",175,80),1.25,IF(_uom="lbs",5,2.5))))),"")</f>
        <v/>
      </c>
      <c s="70"/>
      <c s="63"/>
      <c s="97"/>
      <c s="44" t="str">
        <f>IFERROR(__xludf.DUMMYFUNCTION("IF(CA109=MAX(FILTER(CA$10:CA$199,LOOKUP(ROW(BU$10:BU$199),FILTER(ROW(BU$10:BU$199),BU$10:BU$199&lt;&gt;BU$9:BU$198))=LOOKUP(ROW(BU109),FILTER(ROW(BU$10:BU$199),BU$10:BU$199&lt;&gt;BU$9:BU$198)))),CB109,)"),"")</f>
        <v/>
      </c>
      <c s="42"/>
      <c s="63"/>
      <c s="64" t="str">
        <f t="shared" si="24"/>
        <v/>
      </c>
      <c s="65" t="str">
        <f>IFERROR(__xludf.DUMMYFUNCTION("""COMPUTED_VALUE"""),"")</f>
        <v/>
      </c>
      <c s="66">
        <f ca="1"/>
        <v>45250</v>
      </c>
      <c s="93" t="str">
        <f t="shared" si="44"/>
        <v/>
      </c>
      <c s="94" t="str">
        <f t="shared" si="392"/>
        <v/>
      </c>
      <c s="95" t="str">
        <f t="shared" si="416"/>
        <v/>
      </c>
      <c s="98" t="str">
        <f t="shared" si="417"/>
        <v/>
      </c>
      <c s="97" t="str">
        <f t="array" ref="CO109">IFERROR(IF(CI109="ac"+ISNUMBER(SEARCH("'",CN109))+CM109="","",IF(ISNUMBER(SEARCH("lw",CN109)),CA109+SUBSTITUTE(CN109,"lw+",""),MROUND(_xlfn.SWITCH(CI109,"sq",CM$7,"bn",CN$7,"dl",CO$7,"")*IF(CN109&gt;10,CN109/100,VLOOKUP(CN109,_rpe,SUBSTITUTE(CM109,"+","")+1,0)),IF(_xlfn.SWITCH(CI109,"sq",CM$7,"bn",CN$7,"dl",CO$7,"")&lt;IF(_uom="lbs",175,80),1.25,IF(_uom="lbs",5,2.5))))),"")</f>
        <v/>
      </c>
      <c s="70"/>
      <c s="63"/>
      <c s="97"/>
      <c s="44" t="str">
        <f>IFERROR(__xludf.DUMMYFUNCTION("IF(CO109=MAX(FILTER(CO$10:CO$199,LOOKUP(ROW(CI$10:CI$199),FILTER(ROW(CI$10:CI$199),CI$10:CI$199&lt;&gt;CI$9:CI$198))=LOOKUP(ROW(CI109),FILTER(ROW(CI$10:CI$199),CI$10:CI$199&lt;&gt;CI$9:CI$198)))),CP109,)"),"")</f>
        <v/>
      </c>
      <c s="42"/>
      <c s="63"/>
      <c s="64" t="str">
        <f t="shared" si="27"/>
        <v/>
      </c>
      <c s="65" t="str">
        <f>IFERROR(__xludf.DUMMYFUNCTION("""COMPUTED_VALUE"""),"")</f>
        <v/>
      </c>
      <c s="66">
        <f ca="1"/>
        <v>45257</v>
      </c>
      <c s="93" t="str">
        <f t="shared" si="45"/>
        <v/>
      </c>
      <c s="94" t="str">
        <f t="shared" si="393"/>
        <v/>
      </c>
      <c s="95" t="str">
        <f t="shared" si="418"/>
        <v/>
      </c>
      <c s="98" t="str">
        <f t="shared" si="401"/>
        <v/>
      </c>
      <c s="97" t="str">
        <f t="array" ref="DC109">IFERROR(IF(CW109="ac"+ISNUMBER(SEARCH("'",DB109))+DA109="","",IF(ISNUMBER(SEARCH("lw",DB109)),CO109+SUBSTITUTE(DB109,"lw+",""),MROUND(_xlfn.SWITCH(CW109,"sq",DA$7,"bn",DB$7,"dl",DC$7,"")*IF(DB109&gt;10,DB109/100,VLOOKUP(DB109,_rpe,SUBSTITUTE(DA109,"+","")+1,0)),IF(_xlfn.SWITCH(CW109,"sq",DA$7,"bn",DB$7,"dl",DC$7,"")&lt;IF(_uom="lbs",175,80),1.25,IF(_uom="lbs",5,2.5))))),"")</f>
        <v/>
      </c>
      <c s="70"/>
      <c s="63"/>
      <c s="97"/>
      <c s="44" t="str">
        <f>IFERROR(__xludf.DUMMYFUNCTION("IF(DC109=MAX(FILTER(DC$10:DC$199,LOOKUP(ROW(CW$10:CW$199),FILTER(ROW(CW$10:CW$199),CW$10:CW$199&lt;&gt;CW$9:CW$198))=LOOKUP(ROW(CW109),FILTER(ROW(CW$10:CW$199),CW$10:CW$199&lt;&gt;CW$9:CW$198)))),DD109,)"),"")</f>
        <v/>
      </c>
      <c s="42"/>
      <c s="63"/>
      <c s="64" t="str">
        <f t="shared" si="30"/>
        <v/>
      </c>
      <c s="65" t="str">
        <f>IFERROR(__xludf.DUMMYFUNCTION("""COMPUTED_VALUE"""),"")</f>
        <v/>
      </c>
      <c s="66">
        <f ca="1"/>
        <v>45264</v>
      </c>
      <c s="93" t="str">
        <f t="shared" si="46"/>
        <v/>
      </c>
      <c s="94" t="str">
        <f t="shared" si="394"/>
        <v/>
      </c>
      <c s="95" t="str">
        <f t="shared" si="419"/>
        <v/>
      </c>
      <c s="98" t="str">
        <f t="shared" si="420"/>
        <v/>
      </c>
      <c s="97" t="str">
        <f t="array" ref="DQ109">IFERROR(IF(DK109="ac"+ISNUMBER(SEARCH("'",DP109))+DO109="","",IF(ISNUMBER(SEARCH("lw",DP109)),DC109+SUBSTITUTE(DP109,"lw+",""),MROUND(_xlfn.SWITCH(DK109,"sq",DO$7,"bn",DP$7,"dl",DQ$7,"")*IF(DP109&gt;10,DP109/100,VLOOKUP(DP109,_rpe,SUBSTITUTE(DO109,"+","")+1,0)),IF(_xlfn.SWITCH(DK109,"sq",DO$7,"bn",DP$7,"dl",DQ$7,"")&lt;IF(_uom="lbs",175,80),1.25,IF(_uom="lbs",5,2.5))))),"")</f>
        <v/>
      </c>
      <c s="70"/>
      <c s="63"/>
      <c s="97"/>
      <c s="44" t="str">
        <f>IFERROR(__xludf.DUMMYFUNCTION("IF(DQ109=MAX(FILTER(DQ$10:DQ$199,LOOKUP(ROW(DK$10:DK$199),FILTER(ROW(DK$10:DK$199),DK$10:DK$199&lt;&gt;DK$9:DK$198))=LOOKUP(ROW(DK109),FILTER(ROW(DK$10:DK$199),DK$10:DK$199&lt;&gt;DK$9:DK$198)))),DR109,)"),"")</f>
        <v/>
      </c>
      <c s="42"/>
      <c s="63"/>
      <c s="64" t="str">
        <f t="shared" si="32"/>
        <v/>
      </c>
      <c s="65" t="str">
        <f>IFERROR(__xludf.DUMMYFUNCTION("""COMPUTED_VALUE"""),"")</f>
        <v/>
      </c>
      <c s="66">
        <f ca="1"/>
        <v>45271</v>
      </c>
      <c s="93" t="str">
        <f t="shared" si="47"/>
        <v/>
      </c>
      <c s="94" t="str">
        <f t="shared" si="405"/>
        <v/>
      </c>
      <c s="95" t="str">
        <f t="shared" si="421"/>
        <v/>
      </c>
      <c s="98" t="str">
        <f t="shared" si="422"/>
        <v/>
      </c>
      <c s="97" t="str">
        <f t="array" ref="EE109">IFERROR(IF(DY109="ac"+ISNUMBER(SEARCH("'",ED109))+EC109="","",IF(ISNUMBER(SEARCH("lw",ED109)),DQ109+SUBSTITUTE(ED109,"lw+",""),MROUND(_xlfn.SWITCH(DY109,"sq",EC$7,"bn",ED$7,"dl",EE$7,"")*IF(ED109&gt;10,ED109/100,VLOOKUP(ED109,_rpe,SUBSTITUTE(EC109,"+","")+1,0)),IF(_xlfn.SWITCH(DY109,"sq",EC$7,"bn",ED$7,"dl",EE$7,"")&lt;IF(_uom="lbs",175,80),1.25,IF(_uom="lbs",5,2.5))))),"")</f>
        <v/>
      </c>
      <c s="70"/>
      <c s="63"/>
      <c s="97"/>
      <c s="44" t="str">
        <f>IFERROR(__xludf.DUMMYFUNCTION("IF(EE109=MAX(FILTER(EE$10:EE$199,LOOKUP(ROW(DY$10:DY$199),FILTER(ROW(DY$10:DY$199),DY$10:DY$199&lt;&gt;DY$9:DY$198))=LOOKUP(ROW(DY109),FILTER(ROW(DY$10:DY$199),DY$10:DY$199&lt;&gt;DY$9:DY$198)))),EF109,)"),"")</f>
        <v/>
      </c>
      <c s="42"/>
      <c s="63"/>
      <c s="64" t="str">
        <f t="shared" si="34"/>
        <v/>
      </c>
      <c s="65" t="str">
        <f>IFERROR(__xludf.DUMMYFUNCTION("""COMPUTED_VALUE"""),"")</f>
        <v/>
      </c>
      <c s="66">
        <f ca="1"/>
        <v>45278</v>
      </c>
      <c s="93" t="str">
        <f t="shared" si="48"/>
        <v/>
      </c>
      <c s="94" t="str">
        <f t="shared" si="395"/>
        <v/>
      </c>
      <c s="95" t="str">
        <f t="shared" si="423"/>
        <v/>
      </c>
      <c s="98" t="str">
        <f t="shared" si="402"/>
        <v/>
      </c>
      <c s="97" t="str">
        <f t="array" ref="ES109">IFERROR(IF(EM109="ac"+ISNUMBER(SEARCH("'",ER109))+EQ109="","",IF(ISNUMBER(SEARCH("lw",ER109)),EE109+SUBSTITUTE(ER109,"lw+",""),MROUND(_xlfn.SWITCH(EM109,"sq",EQ$7,"bn",ER$7,"dl",ES$7,"")*IF(ER109&gt;10,ER109/100,VLOOKUP(ER109,_rpe,SUBSTITUTE(EQ109,"+","")+1,0)),IF(_xlfn.SWITCH(EM109,"sq",EQ$7,"bn",ER$7,"dl",ES$7,"")&lt;IF(_uom="lbs",175,80),1.25,IF(_uom="lbs",5,2.5))))),"")</f>
        <v/>
      </c>
      <c s="70"/>
      <c s="63"/>
      <c s="97"/>
      <c s="44" t="str">
        <f>IFERROR(__xludf.DUMMYFUNCTION("IF(ES109=MAX(FILTER(ES$10:ES$199,LOOKUP(ROW(EM$10:EM$199),FILTER(ROW(EM$10:EM$199),EM$10:EM$199&lt;&gt;EM$9:EM$198))=LOOKUP(ROW(EM109),FILTER(ROW(EM$10:EM$199),EM$10:EM$199&lt;&gt;EM$9:EM$198)))),ET109,)"),"")</f>
        <v/>
      </c>
      <c s="42"/>
      <c s="63"/>
      <c s="64" t="str">
        <f t="shared" si="36"/>
        <v/>
      </c>
      <c s="65" t="str">
        <f>IFERROR(__xludf.DUMMYFUNCTION("""COMPUTED_VALUE"""),"")</f>
        <v/>
      </c>
      <c s="66">
        <f ca="1"/>
        <v>45285</v>
      </c>
      <c s="93" t="str">
        <f t="shared" si="49"/>
        <v/>
      </c>
      <c s="94" t="str">
        <f t="shared" si="396"/>
        <v/>
      </c>
      <c s="95" t="str">
        <f t="shared" si="424"/>
        <v/>
      </c>
      <c s="98" t="str">
        <f t="shared" si="403"/>
        <v/>
      </c>
      <c s="97" t="str">
        <f t="array" ref="FG109">IFERROR(IF(FA109="ac"+ISNUMBER(SEARCH("'",FF109))+FE109="","",IF(ISNUMBER(SEARCH("lw",FF109)),ES109+SUBSTITUTE(FF109,"lw+",""),MROUND(_xlfn.SWITCH(FA109,"sq",FE$7,"bn",FF$7,"dl",FG$7,"")*IF(FF109&gt;10,FF109/100,VLOOKUP(FF109,_rpe,SUBSTITUTE(FE109,"+","")+1,0)),IF(_xlfn.SWITCH(FA109,"sq",FE$7,"bn",FF$7,"dl",FG$7,"")&lt;IF(_uom="lbs",175,80),1.25,IF(_uom="lbs",5,2.5))))),"")</f>
        <v/>
      </c>
      <c s="70"/>
      <c s="63"/>
      <c s="97"/>
      <c s="44" t="str">
        <f>IFERROR(__xludf.DUMMYFUNCTION("IF(FG109=MAX(FILTER(FG$10:FG$199,LOOKUP(ROW(FA$10:FA$199),FILTER(ROW(FA$10:FA$199),FA$10:FA$199&lt;&gt;FA$9:FA$198))=LOOKUP(ROW(FA109),FILTER(ROW(FA$10:FA$199),FA$10:FA$199&lt;&gt;FA$9:FA$198)))),FH109,)"),"")</f>
        <v/>
      </c>
      <c s="42"/>
      <c s="63"/>
      <c s="64" t="str">
        <f t="shared" si="38"/>
        <v/>
      </c>
      <c s="65" t="str">
        <f>IFERROR(__xludf.DUMMYFUNCTION("""COMPUTED_VALUE"""),"")</f>
        <v/>
      </c>
      <c s="66">
        <f ca="1"/>
        <v>45292</v>
      </c>
      <c s="93" t="str">
        <f t="shared" si="453" ref="FQ109:FR109">IF(ISBLANK(FC109),"",FC109)</f>
        <v/>
      </c>
      <c s="94" t="str">
        <f t="shared" si="453"/>
        <v/>
      </c>
      <c s="95" t="str">
        <f t="shared" si="428"/>
        <v/>
      </c>
      <c s="98" t="str">
        <f t="shared" si="429"/>
        <v/>
      </c>
      <c s="97" t="str">
        <f t="array" ref="FU109">IFERROR(IF(FO109="ac"+ISNUMBER(SEARCH("'",FT109))+FS109="","",IF(ISNUMBER(SEARCH("lw",FT109)),FG109+SUBSTITUTE(FT109,"lw+",""),MROUND(_xlfn.SWITCH(FO109,"sq",FS$7,"bn",FT$7,"dl",FU$7,"")*IF(FT109&gt;10,FT109/100,VLOOKUP(FT109,_rpe,SUBSTITUTE(FS109,"+","")+1,0)),IF(_xlfn.SWITCH(FO109,"sq",FS$7,"bn",FT$7,"dl",FU$7,"")&lt;IF(_uom="lbs",175,80),1.25,IF(_uom="lbs",5,2.5))))),"")</f>
        <v/>
      </c>
      <c s="70"/>
      <c s="63"/>
      <c s="97"/>
      <c s="44" t="str">
        <f>IFERROR(__xludf.DUMMYFUNCTION("IF(FU109=MAX(FILTER(FU$10:FU$199,LOOKUP(ROW(FO$10:FO$199),FILTER(ROW(FO$10:FO$199),FO$10:FO$199&lt;&gt;FO$9:FO$198))=LOOKUP(ROW(FO109),FILTER(ROW(FO$10:FO$199),FO$10:FO$199&lt;&gt;FO$9:FO$198)))),FV109,)"),"")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10" spans="1:259" ht="15.75">
      <c r="A110" s="63"/>
      <c s="107"/>
      <c s="65" t="str">
        <f>IFERROR(__xludf.DUMMYFUNCTION("""COMPUTED_VALUE"""),"")</f>
        <v/>
      </c>
      <c s="66">
        <f ca="1"/>
        <v>45208</v>
      </c>
      <c s="93"/>
      <c s="94"/>
      <c s="95"/>
      <c s="96"/>
      <c s="97" t="str">
        <f t="array" ref="I110">IFERROR(IF(C110="ac"+ISNUMBER(SEARCH("'",H110))+G110="","",MROUND(_xlfn.SWITCH(C110,"sq",'Personal Info'!$O$15,"bn",'Personal Info'!$S$15,"dl",'Personal Info'!$W$15,"")*IF(H110&gt;10,H110/100,VLOOKUP(H110,_rpe,SUBSTITUTE(G110,"+","")+1,0)),IF(_xlfn.SWITCH(C110:C210,"sq",'Personal Info'!$O$15,"bn",'Personal Info'!$S$15,"dl",'Personal Info'!$W$15,"")&lt;IF(_uom="lbs",175,80),1.25,IF(_uom="lbs",5,2.5)))),"")</f>
        <v/>
      </c>
      <c s="70"/>
      <c s="63"/>
      <c s="97"/>
      <c s="44" t="str">
        <f>IFERROR(__xludf.DUMMYFUNCTION("IF(I110=MAX(FILTER(I$10:I$199,LOOKUP(ROW(C$10:C$199),FILTER(ROW(C$10:C$199),C$10:C$199&lt;&gt;C$9:C$198))=LOOKUP(ROW(C110),FILTER(ROW(C$10:C$199),C$10:C$199&lt;&gt;C$9:C$198)))),J110,)"),"")</f>
        <v/>
      </c>
      <c s="42"/>
      <c s="63"/>
      <c s="64" t="str">
        <f t="shared" si="11"/>
        <v/>
      </c>
      <c s="65" t="str">
        <f>IFERROR(__xludf.DUMMYFUNCTION("""COMPUTED_VALUE"""),"")</f>
        <v/>
      </c>
      <c s="66">
        <f ca="1"/>
        <v>45215</v>
      </c>
      <c s="93" t="str">
        <f t="shared" si="12"/>
        <v/>
      </c>
      <c s="94" t="str">
        <f t="shared" si="404"/>
        <v/>
      </c>
      <c s="95" t="str">
        <f t="shared" si="406"/>
        <v/>
      </c>
      <c s="98" t="str">
        <f t="shared" si="407"/>
        <v/>
      </c>
      <c s="97" t="str">
        <f t="array" ref="W110">IFERROR(IF(Q110="ac"+ISNUMBER(SEARCH("'",V110))+U110="","",IF(ISNUMBER(SEARCH("lw",V110)),I110+SUBSTITUTE(V110,"lw+",""),MROUND(_xlfn.SWITCH(Q110,"sq",U$7,"bn",V$7,"dl",W$7,"")*IF(V110&gt;10,V110/100,VLOOKUP(V110,_rpe,SUBSTITUTE(U110,"+","")+1,0)),IF(_xlfn.SWITCH(Q110,"sq",U$7,"bn",V$7,"dl",W$7,"")&lt;IF(_uom="lbs",175,80),1.25,IF(_uom="lbs",5,2.5))))),"")</f>
        <v/>
      </c>
      <c s="70"/>
      <c s="63"/>
      <c s="97"/>
      <c s="44" t="str">
        <f>IFERROR(__xludf.DUMMYFUNCTION("IF(W110=MAX(FILTER(W$10:W$199,LOOKUP(ROW(Q$10:Q$199),FILTER(ROW(Q$10:Q$199),Q$10:Q$199&lt;&gt;Q$9:Q$198))=LOOKUP(ROW(Q110),FILTER(ROW(Q$10:Q$199),Q$10:Q$199&lt;&gt;Q$9:Q$198)))),X110,)"),"")</f>
        <v/>
      </c>
      <c s="42"/>
      <c s="63"/>
      <c s="64" t="str">
        <f t="shared" si="14"/>
        <v/>
      </c>
      <c s="65" t="str">
        <f>IFERROR(__xludf.DUMMYFUNCTION("""COMPUTED_VALUE"""),"")</f>
        <v/>
      </c>
      <c s="66">
        <f ca="1"/>
        <v>45222</v>
      </c>
      <c s="93" t="str">
        <f t="shared" si="156"/>
        <v/>
      </c>
      <c s="94" t="str">
        <f t="shared" si="397"/>
        <v/>
      </c>
      <c s="95" t="str">
        <f t="shared" si="408"/>
        <v/>
      </c>
      <c s="98" t="str">
        <f t="shared" si="398"/>
        <v/>
      </c>
      <c s="97" t="str">
        <f t="array" ref="AK110">IFERROR(IF(AE110="ac"+ISNUMBER(SEARCH("'",AJ110))+AI110="","",IF(ISNUMBER(SEARCH("lw",AJ110)),W110+SUBSTITUTE(AJ110,"lw+",""),MROUND(_xlfn.SWITCH(AE110,"sq",AI$7,"bn",AJ$7,"dl",AK$7,"")*IF(AJ110&gt;10,AJ110/100,VLOOKUP(AJ110,_rpe,SUBSTITUTE(AI110,"+","")+1,0)),IF(_xlfn.SWITCH(AE110,"sq",AI$7,"bn",AJ$7,"dl",AK$7,"")&lt;IF(_uom="lbs",175,80),1.25,IF(_uom="lbs",5,2.5))))),"")</f>
        <v/>
      </c>
      <c s="70"/>
      <c s="63"/>
      <c s="97"/>
      <c s="44" t="str">
        <f>IFERROR(__xludf.DUMMYFUNCTION("IF(AK110=MAX(FILTER(AK$10:AK$199,LOOKUP(ROW(AE$10:AE$199),FILTER(ROW(AE$10:AE$199),AE$10:AE$199&lt;&gt;AE$9:AE$198))=LOOKUP(ROW(AE110),FILTER(ROW(AE$10:AE$199),AE$10:AE$199&lt;&gt;AE$9:AE$198)))),AL110,)"),"")</f>
        <v/>
      </c>
      <c s="42"/>
      <c s="63"/>
      <c s="64" t="str">
        <f t="shared" si="17"/>
        <v/>
      </c>
      <c s="65" t="str">
        <f>IFERROR(__xludf.DUMMYFUNCTION("""COMPUTED_VALUE"""),"")</f>
        <v/>
      </c>
      <c s="66">
        <f ca="1"/>
        <v>45229</v>
      </c>
      <c s="93" t="str">
        <f t="shared" si="157"/>
        <v/>
      </c>
      <c s="94" t="str">
        <f t="shared" si="399"/>
        <v/>
      </c>
      <c s="95" t="str">
        <f t="shared" si="409"/>
        <v/>
      </c>
      <c s="98" t="str">
        <f t="shared" si="400"/>
        <v/>
      </c>
      <c s="97" t="str">
        <f t="array" ref="AY110">IFERROR(IF(AS110="ac"+ISNUMBER(SEARCH("'",AX110))+AW110="","",IF(ISNUMBER(SEARCH("lw",AX110)),AK110+SUBSTITUTE(AX110,"lw+",""),MROUND(_xlfn.SWITCH(AS110,"sq",AW$7,"bn",AX$7,"dl",AY$7,"")*IF(AX110&gt;10,AX110/100,VLOOKUP(AX110,_rpe,SUBSTITUTE(AW110,"+","")+1,0)),IF(_xlfn.SWITCH(AS110,"sq",AW$7,"bn",AX$7,"dl",AY$7,"")&lt;IF(_uom="lbs",175,80),1.25,IF(_uom="lbs",5,2.5))))),"")</f>
        <v/>
      </c>
      <c s="70"/>
      <c s="63"/>
      <c s="97"/>
      <c s="44" t="str">
        <f>IFERROR(__xludf.DUMMYFUNCTION("IF(AY110=MAX(FILTER(AY$10:AY$199,LOOKUP(ROW(AS$10:AS$199),FILTER(ROW(AS$10:AS$199),AS$10:AS$199&lt;&gt;AS$9:AS$198))=LOOKUP(ROW(AS110),FILTER(ROW(AS$10:AS$199),AS$10:AS$199&lt;&gt;AS$9:AS$198)))),AZ110,)"),"")</f>
        <v/>
      </c>
      <c s="42"/>
      <c s="63"/>
      <c s="64" t="str">
        <f t="shared" si="19"/>
        <v/>
      </c>
      <c s="65" t="str">
        <f>IFERROR(__xludf.DUMMYFUNCTION("""COMPUTED_VALUE"""),"")</f>
        <v/>
      </c>
      <c s="66">
        <f ca="1"/>
        <v>45236</v>
      </c>
      <c s="93" t="str">
        <f t="shared" si="20"/>
        <v/>
      </c>
      <c s="94" t="str">
        <f t="shared" si="425"/>
        <v/>
      </c>
      <c s="95" t="str">
        <f t="shared" si="411"/>
        <v/>
      </c>
      <c s="98" t="str">
        <f t="shared" si="412"/>
        <v/>
      </c>
      <c s="97" t="str">
        <f t="array" ref="BM110">IFERROR(IF(BG110="ac"+ISNUMBER(SEARCH("'",BL110))+BK110="","",IF(ISNUMBER(SEARCH("lw",BL110)),AY110+SUBSTITUTE(BL110,"lw+",""),MROUND(_xlfn.SWITCH(BG110,"sq",BK$7,"bn",BL$7,"dl",BM$7,"")*IF(BL110&gt;10,BL110/100,VLOOKUP(BL110,_rpe,SUBSTITUTE(BK110,"+","")+1,0)),IF(_xlfn.SWITCH(BG110,"sq",BK$7,"bn",BL$7,"dl",BM$7,"")&lt;IF(_uom="lbs",175,80),1.25,IF(_uom="lbs",5,2.5))))),"")</f>
        <v/>
      </c>
      <c s="70"/>
      <c s="63"/>
      <c s="97"/>
      <c s="44" t="str">
        <f>IFERROR(__xludf.DUMMYFUNCTION("IF(BM110=MAX(FILTER(BM$10:BM$199,LOOKUP(ROW(BG$10:BG$199),FILTER(ROW(BG$10:BG$199),BG$10:BG$199&lt;&gt;BG$9:BG$198))=LOOKUP(ROW(BG110),FILTER(ROW(BG$10:BG$199),BG$10:BG$199&lt;&gt;BG$9:BG$198)))),BN110,)"),"")</f>
        <v/>
      </c>
      <c s="42"/>
      <c s="63"/>
      <c s="64" t="str">
        <f t="shared" si="21"/>
        <v/>
      </c>
      <c s="65" t="str">
        <f>IFERROR(__xludf.DUMMYFUNCTION("""COMPUTED_VALUE"""),"")</f>
        <v/>
      </c>
      <c s="66">
        <f ca="1"/>
        <v>45243</v>
      </c>
      <c s="93" t="str">
        <f t="shared" si="22"/>
        <v/>
      </c>
      <c s="94" t="str">
        <f t="shared" si="426"/>
        <v/>
      </c>
      <c s="95" t="str">
        <f t="shared" si="414"/>
        <v/>
      </c>
      <c s="98" t="str">
        <f t="shared" si="415"/>
        <v/>
      </c>
      <c s="97" t="str">
        <f t="array" ref="CA110">IFERROR(IF(BU110="ac"+ISNUMBER(SEARCH("'",BZ110))+BY110="","",IF(ISNUMBER(SEARCH("lw",BZ110)),BM110+SUBSTITUTE(BZ110,"lw+",""),MROUND(_xlfn.SWITCH(BU110,"sq",BY$7,"bn",BZ$7,"dl",CA$7,"")*IF(BZ110&gt;10,BZ110/100,VLOOKUP(BZ110,_rpe,SUBSTITUTE(BY110,"+","")+1,0)),IF(_xlfn.SWITCH(BU110,"sq",BY$7,"bn",BZ$7,"dl",CA$7,"")&lt;IF(_uom="lbs",175,80),1.25,IF(_uom="lbs",5,2.5))))),"")</f>
        <v/>
      </c>
      <c s="70"/>
      <c s="63"/>
      <c s="97"/>
      <c s="44" t="str">
        <f>IFERROR(__xludf.DUMMYFUNCTION("IF(CA110=MAX(FILTER(CA$10:CA$199,LOOKUP(ROW(BU$10:BU$199),FILTER(ROW(BU$10:BU$199),BU$10:BU$199&lt;&gt;BU$9:BU$198))=LOOKUP(ROW(BU110),FILTER(ROW(BU$10:BU$199),BU$10:BU$199&lt;&gt;BU$9:BU$198)))),CB110,)"),"")</f>
        <v/>
      </c>
      <c s="42"/>
      <c s="63"/>
      <c s="64" t="str">
        <f t="shared" si="24"/>
        <v/>
      </c>
      <c s="65" t="str">
        <f>IFERROR(__xludf.DUMMYFUNCTION("""COMPUTED_VALUE"""),"")</f>
        <v/>
      </c>
      <c s="66">
        <f ca="1"/>
        <v>45250</v>
      </c>
      <c s="93" t="str">
        <f t="shared" si="44"/>
        <v/>
      </c>
      <c s="94" t="str">
        <f t="shared" si="392"/>
        <v/>
      </c>
      <c s="95" t="str">
        <f t="shared" si="416"/>
        <v/>
      </c>
      <c s="98" t="str">
        <f t="shared" si="417"/>
        <v/>
      </c>
      <c s="97" t="str">
        <f t="array" ref="CO110">IFERROR(IF(CI110="ac"+ISNUMBER(SEARCH("'",CN110))+CM110="","",IF(ISNUMBER(SEARCH("lw",CN110)),CA110+SUBSTITUTE(CN110,"lw+",""),MROUND(_xlfn.SWITCH(CI110,"sq",CM$7,"bn",CN$7,"dl",CO$7,"")*IF(CN110&gt;10,CN110/100,VLOOKUP(CN110,_rpe,SUBSTITUTE(CM110,"+","")+1,0)),IF(_xlfn.SWITCH(CI110,"sq",CM$7,"bn",CN$7,"dl",CO$7,"")&lt;IF(_uom="lbs",175,80),1.25,IF(_uom="lbs",5,2.5))))),"")</f>
        <v/>
      </c>
      <c s="70"/>
      <c s="63"/>
      <c s="97"/>
      <c s="44" t="str">
        <f>IFERROR(__xludf.DUMMYFUNCTION("IF(CO110=MAX(FILTER(CO$10:CO$199,LOOKUP(ROW(CI$10:CI$199),FILTER(ROW(CI$10:CI$199),CI$10:CI$199&lt;&gt;CI$9:CI$198))=LOOKUP(ROW(CI110),FILTER(ROW(CI$10:CI$199),CI$10:CI$199&lt;&gt;CI$9:CI$198)))),CP110,)"),"")</f>
        <v/>
      </c>
      <c s="42"/>
      <c s="63"/>
      <c s="64" t="str">
        <f t="shared" si="27"/>
        <v/>
      </c>
      <c s="65" t="str">
        <f>IFERROR(__xludf.DUMMYFUNCTION("""COMPUTED_VALUE"""),"")</f>
        <v/>
      </c>
      <c s="66">
        <f ca="1"/>
        <v>45257</v>
      </c>
      <c s="93" t="str">
        <f t="shared" si="45"/>
        <v/>
      </c>
      <c s="94" t="str">
        <f t="shared" si="393"/>
        <v/>
      </c>
      <c s="95" t="str">
        <f t="shared" si="418"/>
        <v/>
      </c>
      <c s="98" t="str">
        <f t="shared" si="401"/>
        <v/>
      </c>
      <c s="97" t="str">
        <f t="array" ref="DC110">IFERROR(IF(CW110="ac"+ISNUMBER(SEARCH("'",DB110))+DA110="","",IF(ISNUMBER(SEARCH("lw",DB110)),CO110+SUBSTITUTE(DB110,"lw+",""),MROUND(_xlfn.SWITCH(CW110,"sq",DA$7,"bn",DB$7,"dl",DC$7,"")*IF(DB110&gt;10,DB110/100,VLOOKUP(DB110,_rpe,SUBSTITUTE(DA110,"+","")+1,0)),IF(_xlfn.SWITCH(CW110,"sq",DA$7,"bn",DB$7,"dl",DC$7,"")&lt;IF(_uom="lbs",175,80),1.25,IF(_uom="lbs",5,2.5))))),"")</f>
        <v/>
      </c>
      <c s="70"/>
      <c s="63"/>
      <c s="97"/>
      <c s="44" t="str">
        <f>IFERROR(__xludf.DUMMYFUNCTION("IF(DC110=MAX(FILTER(DC$10:DC$199,LOOKUP(ROW(CW$10:CW$199),FILTER(ROW(CW$10:CW$199),CW$10:CW$199&lt;&gt;CW$9:CW$198))=LOOKUP(ROW(CW110),FILTER(ROW(CW$10:CW$199),CW$10:CW$199&lt;&gt;CW$9:CW$198)))),DD110,)"),"")</f>
        <v/>
      </c>
      <c s="42"/>
      <c s="63"/>
      <c s="64" t="str">
        <f t="shared" si="30"/>
        <v/>
      </c>
      <c s="65" t="str">
        <f>IFERROR(__xludf.DUMMYFUNCTION("""COMPUTED_VALUE"""),"")</f>
        <v/>
      </c>
      <c s="66">
        <f ca="1"/>
        <v>45264</v>
      </c>
      <c s="93" t="str">
        <f t="shared" si="46"/>
        <v/>
      </c>
      <c s="94" t="str">
        <f t="shared" si="394"/>
        <v/>
      </c>
      <c s="95" t="str">
        <f t="shared" si="419"/>
        <v/>
      </c>
      <c s="98" t="str">
        <f t="shared" si="420"/>
        <v/>
      </c>
      <c s="97" t="str">
        <f t="array" ref="DQ110">IFERROR(IF(DK110="ac"+ISNUMBER(SEARCH("'",DP110))+DO110="","",IF(ISNUMBER(SEARCH("lw",DP110)),DC110+SUBSTITUTE(DP110,"lw+",""),MROUND(_xlfn.SWITCH(DK110,"sq",DO$7,"bn",DP$7,"dl",DQ$7,"")*IF(DP110&gt;10,DP110/100,VLOOKUP(DP110,_rpe,SUBSTITUTE(DO110,"+","")+1,0)),IF(_xlfn.SWITCH(DK110,"sq",DO$7,"bn",DP$7,"dl",DQ$7,"")&lt;IF(_uom="lbs",175,80),1.25,IF(_uom="lbs",5,2.5))))),"")</f>
        <v/>
      </c>
      <c s="70"/>
      <c s="63"/>
      <c s="97"/>
      <c s="44" t="str">
        <f>IFERROR(__xludf.DUMMYFUNCTION("IF(DQ110=MAX(FILTER(DQ$10:DQ$199,LOOKUP(ROW(DK$10:DK$199),FILTER(ROW(DK$10:DK$199),DK$10:DK$199&lt;&gt;DK$9:DK$198))=LOOKUP(ROW(DK110),FILTER(ROW(DK$10:DK$199),DK$10:DK$199&lt;&gt;DK$9:DK$198)))),DR110,)"),"")</f>
        <v/>
      </c>
      <c s="42"/>
      <c s="63"/>
      <c s="64" t="str">
        <f t="shared" si="32"/>
        <v/>
      </c>
      <c s="65" t="str">
        <f>IFERROR(__xludf.DUMMYFUNCTION("""COMPUTED_VALUE"""),"")</f>
        <v/>
      </c>
      <c s="66">
        <f ca="1"/>
        <v>45271</v>
      </c>
      <c s="93" t="str">
        <f t="shared" si="47"/>
        <v/>
      </c>
      <c s="94" t="str">
        <f t="shared" si="405"/>
        <v/>
      </c>
      <c s="95" t="str">
        <f t="shared" si="421"/>
        <v/>
      </c>
      <c s="98" t="str">
        <f t="shared" si="422"/>
        <v/>
      </c>
      <c s="97" t="str">
        <f t="array" ref="EE110">IFERROR(IF(DY110="ac"+ISNUMBER(SEARCH("'",ED110))+EC110="","",IF(ISNUMBER(SEARCH("lw",ED110)),DQ110+SUBSTITUTE(ED110,"lw+",""),MROUND(_xlfn.SWITCH(DY110,"sq",EC$7,"bn",ED$7,"dl",EE$7,"")*IF(ED110&gt;10,ED110/100,VLOOKUP(ED110,_rpe,SUBSTITUTE(EC110,"+","")+1,0)),IF(_xlfn.SWITCH(DY110,"sq",EC$7,"bn",ED$7,"dl",EE$7,"")&lt;IF(_uom="lbs",175,80),1.25,IF(_uom="lbs",5,2.5))))),"")</f>
        <v/>
      </c>
      <c s="70"/>
      <c s="63"/>
      <c s="97"/>
      <c s="44" t="str">
        <f>IFERROR(__xludf.DUMMYFUNCTION("IF(EE110=MAX(FILTER(EE$10:EE$199,LOOKUP(ROW(DY$10:DY$199),FILTER(ROW(DY$10:DY$199),DY$10:DY$199&lt;&gt;DY$9:DY$198))=LOOKUP(ROW(DY110),FILTER(ROW(DY$10:DY$199),DY$10:DY$199&lt;&gt;DY$9:DY$198)))),EF110,)"),"")</f>
        <v/>
      </c>
      <c s="42"/>
      <c s="63"/>
      <c s="64" t="str">
        <f t="shared" si="34"/>
        <v/>
      </c>
      <c s="65" t="str">
        <f>IFERROR(__xludf.DUMMYFUNCTION("""COMPUTED_VALUE"""),"")</f>
        <v/>
      </c>
      <c s="66">
        <f ca="1"/>
        <v>45278</v>
      </c>
      <c s="93" t="str">
        <f t="shared" si="48"/>
        <v/>
      </c>
      <c s="94" t="str">
        <f t="shared" si="395"/>
        <v/>
      </c>
      <c s="95" t="str">
        <f t="shared" si="423"/>
        <v/>
      </c>
      <c s="98" t="str">
        <f t="shared" si="402"/>
        <v/>
      </c>
      <c s="97" t="str">
        <f t="array" ref="ES110">IFERROR(IF(EM110="ac"+ISNUMBER(SEARCH("'",ER110))+EQ110="","",IF(ISNUMBER(SEARCH("lw",ER110)),EE110+SUBSTITUTE(ER110,"lw+",""),MROUND(_xlfn.SWITCH(EM110,"sq",EQ$7,"bn",ER$7,"dl",ES$7,"")*IF(ER110&gt;10,ER110/100,VLOOKUP(ER110,_rpe,SUBSTITUTE(EQ110,"+","")+1,0)),IF(_xlfn.SWITCH(EM110,"sq",EQ$7,"bn",ER$7,"dl",ES$7,"")&lt;IF(_uom="lbs",175,80),1.25,IF(_uom="lbs",5,2.5))))),"")</f>
        <v/>
      </c>
      <c s="70"/>
      <c s="63"/>
      <c s="97"/>
      <c s="44" t="str">
        <f>IFERROR(__xludf.DUMMYFUNCTION("IF(ES110=MAX(FILTER(ES$10:ES$199,LOOKUP(ROW(EM$10:EM$199),FILTER(ROW(EM$10:EM$199),EM$10:EM$199&lt;&gt;EM$9:EM$198))=LOOKUP(ROW(EM110),FILTER(ROW(EM$10:EM$199),EM$10:EM$199&lt;&gt;EM$9:EM$198)))),ET110,)"),"")</f>
        <v/>
      </c>
      <c s="42"/>
      <c s="63"/>
      <c s="64" t="str">
        <f t="shared" si="36"/>
        <v/>
      </c>
      <c s="65" t="str">
        <f>IFERROR(__xludf.DUMMYFUNCTION("""COMPUTED_VALUE"""),"")</f>
        <v/>
      </c>
      <c s="66">
        <f ca="1"/>
        <v>45285</v>
      </c>
      <c s="93" t="str">
        <f t="shared" si="49"/>
        <v/>
      </c>
      <c s="94" t="str">
        <f t="shared" si="396"/>
        <v/>
      </c>
      <c s="95" t="str">
        <f t="shared" si="424"/>
        <v/>
      </c>
      <c s="98" t="str">
        <f t="shared" si="403"/>
        <v/>
      </c>
      <c s="97" t="str">
        <f t="array" ref="FG110">IFERROR(IF(FA110="ac"+ISNUMBER(SEARCH("'",FF110))+FE110="","",IF(ISNUMBER(SEARCH("lw",FF110)),ES110+SUBSTITUTE(FF110,"lw+",""),MROUND(_xlfn.SWITCH(FA110,"sq",FE$7,"bn",FF$7,"dl",FG$7,"")*IF(FF110&gt;10,FF110/100,VLOOKUP(FF110,_rpe,SUBSTITUTE(FE110,"+","")+1,0)),IF(_xlfn.SWITCH(FA110,"sq",FE$7,"bn",FF$7,"dl",FG$7,"")&lt;IF(_uom="lbs",175,80),1.25,IF(_uom="lbs",5,2.5))))),"")</f>
        <v/>
      </c>
      <c s="70"/>
      <c s="63"/>
      <c s="97"/>
      <c s="44" t="str">
        <f>IFERROR(__xludf.DUMMYFUNCTION("IF(FG110=MAX(FILTER(FG$10:FG$199,LOOKUP(ROW(FA$10:FA$199),FILTER(ROW(FA$10:FA$199),FA$10:FA$199&lt;&gt;FA$9:FA$198))=LOOKUP(ROW(FA110),FILTER(ROW(FA$10:FA$199),FA$10:FA$199&lt;&gt;FA$9:FA$198)))),FH110,)"),"")</f>
        <v/>
      </c>
      <c s="42"/>
      <c s="63"/>
      <c s="64" t="str">
        <f t="shared" si="38"/>
        <v/>
      </c>
      <c s="65" t="str">
        <f>IFERROR(__xludf.DUMMYFUNCTION("""COMPUTED_VALUE"""),"")</f>
        <v/>
      </c>
      <c s="66">
        <f ca="1"/>
        <v>45292</v>
      </c>
      <c s="93" t="str">
        <f t="shared" si="454" ref="FQ110:FR110">IF(ISBLANK(FC110),"",FC110)</f>
        <v/>
      </c>
      <c s="94" t="str">
        <f t="shared" si="454"/>
        <v/>
      </c>
      <c s="95" t="str">
        <f t="shared" si="428"/>
        <v/>
      </c>
      <c s="98" t="str">
        <f t="shared" si="429"/>
        <v/>
      </c>
      <c s="97" t="str">
        <f t="array" ref="FU110">IFERROR(IF(FO110="ac"+ISNUMBER(SEARCH("'",FT110))+FS110="","",IF(ISNUMBER(SEARCH("lw",FT110)),FG110+SUBSTITUTE(FT110,"lw+",""),MROUND(_xlfn.SWITCH(FO110,"sq",FS$7,"bn",FT$7,"dl",FU$7,"")*IF(FT110&gt;10,FT110/100,VLOOKUP(FT110,_rpe,SUBSTITUTE(FS110,"+","")+1,0)),IF(_xlfn.SWITCH(FO110,"sq",FS$7,"bn",FT$7,"dl",FU$7,"")&lt;IF(_uom="lbs",175,80),1.25,IF(_uom="lbs",5,2.5))))),"")</f>
        <v/>
      </c>
      <c s="70"/>
      <c s="63"/>
      <c s="97"/>
      <c s="44" t="str">
        <f>IFERROR(__xludf.DUMMYFUNCTION("IF(FU110=MAX(FILTER(FU$10:FU$199,LOOKUP(ROW(FO$10:FO$199),FILTER(ROW(FO$10:FO$199),FO$10:FO$199&lt;&gt;FO$9:FO$198))=LOOKUP(ROW(FO110),FILTER(ROW(FO$10:FO$199),FO$10:FO$199&lt;&gt;FO$9:FO$198)))),FV110,)"),"")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11" spans="1:259" ht="15.75">
      <c r="A111" s="63"/>
      <c s="107"/>
      <c s="65" t="str">
        <f>IFERROR(__xludf.DUMMYFUNCTION("""COMPUTED_VALUE"""),"")</f>
        <v/>
      </c>
      <c s="66">
        <f ca="1"/>
        <v>45208</v>
      </c>
      <c s="93"/>
      <c s="94"/>
      <c s="95"/>
      <c s="96"/>
      <c s="97" t="str">
        <f t="array" ref="I111">IFERROR(IF(C111="ac"+ISNUMBER(SEARCH("'",H111))+G111="","",MROUND(_xlfn.SWITCH(C111,"sq",'Personal Info'!$O$15,"bn",'Personal Info'!$S$15,"dl",'Personal Info'!$W$15,"")*IF(H111&gt;10,H111/100,VLOOKUP(H111,_rpe,SUBSTITUTE(G111,"+","")+1,0)),IF(_xlfn.SWITCH(C111:C210,"sq",'Personal Info'!$O$15,"bn",'Personal Info'!$S$15,"dl",'Personal Info'!$W$15,"")&lt;IF(_uom="lbs",175,80),1.25,IF(_uom="lbs",5,2.5)))),"")</f>
        <v/>
      </c>
      <c s="70"/>
      <c s="63"/>
      <c s="97"/>
      <c s="44" t="str">
        <f>IFERROR(__xludf.DUMMYFUNCTION("IF(I111=MAX(FILTER(I$10:I$199,LOOKUP(ROW(C$10:C$199),FILTER(ROW(C$10:C$199),C$10:C$199&lt;&gt;C$9:C$198))=LOOKUP(ROW(C111),FILTER(ROW(C$10:C$199),C$10:C$199&lt;&gt;C$9:C$198)))),J111,)"),"")</f>
        <v/>
      </c>
      <c s="42"/>
      <c s="63"/>
      <c s="64" t="str">
        <f t="shared" si="11"/>
        <v/>
      </c>
      <c s="65" t="str">
        <f>IFERROR(__xludf.DUMMYFUNCTION("""COMPUTED_VALUE"""),"")</f>
        <v/>
      </c>
      <c s="66">
        <f ca="1"/>
        <v>45215</v>
      </c>
      <c s="93" t="str">
        <f t="shared" si="12"/>
        <v/>
      </c>
      <c s="94" t="str">
        <f t="shared" si="404"/>
        <v/>
      </c>
      <c s="95" t="str">
        <f t="shared" si="406"/>
        <v/>
      </c>
      <c s="98" t="str">
        <f t="shared" si="407"/>
        <v/>
      </c>
      <c s="97" t="str">
        <f t="array" ref="W111">IFERROR(IF(Q111="ac"+ISNUMBER(SEARCH("'",V111))+U111="","",IF(ISNUMBER(SEARCH("lw",V111)),I111+SUBSTITUTE(V111,"lw+",""),MROUND(_xlfn.SWITCH(Q111,"sq",U$7,"bn",V$7,"dl",W$7,"")*IF(V111&gt;10,V111/100,VLOOKUP(V111,_rpe,SUBSTITUTE(U111,"+","")+1,0)),IF(_xlfn.SWITCH(Q111,"sq",U$7,"bn",V$7,"dl",W$7,"")&lt;IF(_uom="lbs",175,80),1.25,IF(_uom="lbs",5,2.5))))),"")</f>
        <v/>
      </c>
      <c s="70"/>
      <c s="63"/>
      <c s="97"/>
      <c s="44" t="str">
        <f>IFERROR(__xludf.DUMMYFUNCTION("IF(W111=MAX(FILTER(W$10:W$199,LOOKUP(ROW(Q$10:Q$199),FILTER(ROW(Q$10:Q$199),Q$10:Q$199&lt;&gt;Q$9:Q$198))=LOOKUP(ROW(Q111),FILTER(ROW(Q$10:Q$199),Q$10:Q$199&lt;&gt;Q$9:Q$198)))),X111,)"),"")</f>
        <v/>
      </c>
      <c s="42"/>
      <c s="63"/>
      <c s="64" t="str">
        <f t="shared" si="14"/>
        <v/>
      </c>
      <c s="65" t="str">
        <f>IFERROR(__xludf.DUMMYFUNCTION("""COMPUTED_VALUE"""),"")</f>
        <v/>
      </c>
      <c s="66">
        <f ca="1"/>
        <v>45222</v>
      </c>
      <c s="93" t="str">
        <f t="shared" si="156"/>
        <v/>
      </c>
      <c s="94" t="str">
        <f t="shared" si="397"/>
        <v/>
      </c>
      <c s="95" t="str">
        <f t="shared" si="408"/>
        <v/>
      </c>
      <c s="98" t="str">
        <f t="shared" si="398"/>
        <v/>
      </c>
      <c s="97" t="str">
        <f t="array" ref="AK111">IFERROR(IF(AE111="ac"+ISNUMBER(SEARCH("'",AJ111))+AI111="","",IF(ISNUMBER(SEARCH("lw",AJ111)),W111+SUBSTITUTE(AJ111,"lw+",""),MROUND(_xlfn.SWITCH(AE111,"sq",AI$7,"bn",AJ$7,"dl",AK$7,"")*IF(AJ111&gt;10,AJ111/100,VLOOKUP(AJ111,_rpe,SUBSTITUTE(AI111,"+","")+1,0)),IF(_xlfn.SWITCH(AE111,"sq",AI$7,"bn",AJ$7,"dl",AK$7,"")&lt;IF(_uom="lbs",175,80),1.25,IF(_uom="lbs",5,2.5))))),"")</f>
        <v/>
      </c>
      <c s="70"/>
      <c s="63"/>
      <c s="97"/>
      <c s="44" t="str">
        <f>IFERROR(__xludf.DUMMYFUNCTION("IF(AK111=MAX(FILTER(AK$10:AK$199,LOOKUP(ROW(AE$10:AE$199),FILTER(ROW(AE$10:AE$199),AE$10:AE$199&lt;&gt;AE$9:AE$198))=LOOKUP(ROW(AE111),FILTER(ROW(AE$10:AE$199),AE$10:AE$199&lt;&gt;AE$9:AE$198)))),AL111,)"),"")</f>
        <v/>
      </c>
      <c s="42"/>
      <c s="63"/>
      <c s="64" t="str">
        <f t="shared" si="17"/>
        <v/>
      </c>
      <c s="65" t="str">
        <f>IFERROR(__xludf.DUMMYFUNCTION("""COMPUTED_VALUE"""),"")</f>
        <v/>
      </c>
      <c s="66">
        <f ca="1"/>
        <v>45229</v>
      </c>
      <c s="93" t="str">
        <f t="shared" si="157"/>
        <v/>
      </c>
      <c s="94" t="str">
        <f t="shared" si="399"/>
        <v/>
      </c>
      <c s="95" t="str">
        <f t="shared" si="409"/>
        <v/>
      </c>
      <c s="98" t="str">
        <f t="shared" si="400"/>
        <v/>
      </c>
      <c s="97" t="str">
        <f t="array" ref="AY111">IFERROR(IF(AS111="ac"+ISNUMBER(SEARCH("'",AX111))+AW111="","",IF(ISNUMBER(SEARCH("lw",AX111)),AK111+SUBSTITUTE(AX111,"lw+",""),MROUND(_xlfn.SWITCH(AS111,"sq",AW$7,"bn",AX$7,"dl",AY$7,"")*IF(AX111&gt;10,AX111/100,VLOOKUP(AX111,_rpe,SUBSTITUTE(AW111,"+","")+1,0)),IF(_xlfn.SWITCH(AS111,"sq",AW$7,"bn",AX$7,"dl",AY$7,"")&lt;IF(_uom="lbs",175,80),1.25,IF(_uom="lbs",5,2.5))))),"")</f>
        <v/>
      </c>
      <c s="70"/>
      <c s="63"/>
      <c s="97"/>
      <c s="44" t="str">
        <f>IFERROR(__xludf.DUMMYFUNCTION("IF(AY111=MAX(FILTER(AY$10:AY$199,LOOKUP(ROW(AS$10:AS$199),FILTER(ROW(AS$10:AS$199),AS$10:AS$199&lt;&gt;AS$9:AS$198))=LOOKUP(ROW(AS111),FILTER(ROW(AS$10:AS$199),AS$10:AS$199&lt;&gt;AS$9:AS$198)))),AZ111,)"),"")</f>
        <v/>
      </c>
      <c s="42"/>
      <c s="63"/>
      <c s="64" t="str">
        <f t="shared" si="19"/>
        <v/>
      </c>
      <c s="65" t="str">
        <f>IFERROR(__xludf.DUMMYFUNCTION("""COMPUTED_VALUE"""),"")</f>
        <v/>
      </c>
      <c s="66">
        <f ca="1"/>
        <v>45236</v>
      </c>
      <c s="93" t="str">
        <f t="shared" si="20"/>
        <v/>
      </c>
      <c s="94" t="str">
        <f t="shared" si="425"/>
        <v/>
      </c>
      <c s="95" t="str">
        <f t="shared" si="411"/>
        <v/>
      </c>
      <c s="98" t="str">
        <f t="shared" si="412"/>
        <v/>
      </c>
      <c s="97" t="str">
        <f t="array" ref="BM111">IFERROR(IF(BG111="ac"+ISNUMBER(SEARCH("'",BL111))+BK111="","",IF(ISNUMBER(SEARCH("lw",BL111)),AY111+SUBSTITUTE(BL111,"lw+",""),MROUND(_xlfn.SWITCH(BG111,"sq",BK$7,"bn",BL$7,"dl",BM$7,"")*IF(BL111&gt;10,BL111/100,VLOOKUP(BL111,_rpe,SUBSTITUTE(BK111,"+","")+1,0)),IF(_xlfn.SWITCH(BG111,"sq",BK$7,"bn",BL$7,"dl",BM$7,"")&lt;IF(_uom="lbs",175,80),1.25,IF(_uom="lbs",5,2.5))))),"")</f>
        <v/>
      </c>
      <c s="70"/>
      <c s="63"/>
      <c s="97"/>
      <c s="44" t="str">
        <f>IFERROR(__xludf.DUMMYFUNCTION("IF(BM111=MAX(FILTER(BM$10:BM$199,LOOKUP(ROW(BG$10:BG$199),FILTER(ROW(BG$10:BG$199),BG$10:BG$199&lt;&gt;BG$9:BG$198))=LOOKUP(ROW(BG111),FILTER(ROW(BG$10:BG$199),BG$10:BG$199&lt;&gt;BG$9:BG$198)))),BN111,)"),"")</f>
        <v/>
      </c>
      <c s="42"/>
      <c s="63"/>
      <c s="64" t="str">
        <f t="shared" si="21"/>
        <v/>
      </c>
      <c s="65" t="str">
        <f>IFERROR(__xludf.DUMMYFUNCTION("""COMPUTED_VALUE"""),"")</f>
        <v/>
      </c>
      <c s="66">
        <f ca="1"/>
        <v>45243</v>
      </c>
      <c s="93" t="str">
        <f t="shared" si="22"/>
        <v/>
      </c>
      <c s="94" t="str">
        <f t="shared" si="426"/>
        <v/>
      </c>
      <c s="95" t="str">
        <f t="shared" si="414"/>
        <v/>
      </c>
      <c s="98" t="str">
        <f t="shared" si="415"/>
        <v/>
      </c>
      <c s="97" t="str">
        <f t="array" ref="CA111">IFERROR(IF(BU111="ac"+ISNUMBER(SEARCH("'",BZ111))+BY111="","",IF(ISNUMBER(SEARCH("lw",BZ111)),BM111+SUBSTITUTE(BZ111,"lw+",""),MROUND(_xlfn.SWITCH(BU111,"sq",BY$7,"bn",BZ$7,"dl",CA$7,"")*IF(BZ111&gt;10,BZ111/100,VLOOKUP(BZ111,_rpe,SUBSTITUTE(BY111,"+","")+1,0)),IF(_xlfn.SWITCH(BU111,"sq",BY$7,"bn",BZ$7,"dl",CA$7,"")&lt;IF(_uom="lbs",175,80),1.25,IF(_uom="lbs",5,2.5))))),"")</f>
        <v/>
      </c>
      <c s="70"/>
      <c s="63"/>
      <c s="97"/>
      <c s="44" t="str">
        <f>IFERROR(__xludf.DUMMYFUNCTION("IF(CA111=MAX(FILTER(CA$10:CA$199,LOOKUP(ROW(BU$10:BU$199),FILTER(ROW(BU$10:BU$199),BU$10:BU$199&lt;&gt;BU$9:BU$198))=LOOKUP(ROW(BU111),FILTER(ROW(BU$10:BU$199),BU$10:BU$199&lt;&gt;BU$9:BU$198)))),CB111,)"),"")</f>
        <v/>
      </c>
      <c s="42"/>
      <c s="63"/>
      <c s="64" t="str">
        <f t="shared" si="24"/>
        <v/>
      </c>
      <c s="65" t="str">
        <f>IFERROR(__xludf.DUMMYFUNCTION("""COMPUTED_VALUE"""),"")</f>
        <v/>
      </c>
      <c s="66">
        <f ca="1"/>
        <v>45250</v>
      </c>
      <c s="93" t="str">
        <f t="shared" si="44"/>
        <v/>
      </c>
      <c s="94" t="str">
        <f t="shared" si="392"/>
        <v/>
      </c>
      <c s="95" t="str">
        <f t="shared" si="416"/>
        <v/>
      </c>
      <c s="98" t="str">
        <f t="shared" si="417"/>
        <v/>
      </c>
      <c s="97" t="str">
        <f t="array" ref="CO111">IFERROR(IF(CI111="ac"+ISNUMBER(SEARCH("'",CN111))+CM111="","",IF(ISNUMBER(SEARCH("lw",CN111)),CA111+SUBSTITUTE(CN111,"lw+",""),MROUND(_xlfn.SWITCH(CI111,"sq",CM$7,"bn",CN$7,"dl",CO$7,"")*IF(CN111&gt;10,CN111/100,VLOOKUP(CN111,_rpe,SUBSTITUTE(CM111,"+","")+1,0)),IF(_xlfn.SWITCH(CI111,"sq",CM$7,"bn",CN$7,"dl",CO$7,"")&lt;IF(_uom="lbs",175,80),1.25,IF(_uom="lbs",5,2.5))))),"")</f>
        <v/>
      </c>
      <c s="70"/>
      <c s="63"/>
      <c s="97"/>
      <c s="44" t="str">
        <f>IFERROR(__xludf.DUMMYFUNCTION("IF(CO111=MAX(FILTER(CO$10:CO$199,LOOKUP(ROW(CI$10:CI$199),FILTER(ROW(CI$10:CI$199),CI$10:CI$199&lt;&gt;CI$9:CI$198))=LOOKUP(ROW(CI111),FILTER(ROW(CI$10:CI$199),CI$10:CI$199&lt;&gt;CI$9:CI$198)))),CP111,)"),"")</f>
        <v/>
      </c>
      <c s="42"/>
      <c s="63"/>
      <c s="64" t="str">
        <f t="shared" si="27"/>
        <v/>
      </c>
      <c s="65" t="str">
        <f>IFERROR(__xludf.DUMMYFUNCTION("""COMPUTED_VALUE"""),"")</f>
        <v/>
      </c>
      <c s="66">
        <f ca="1"/>
        <v>45257</v>
      </c>
      <c s="93" t="str">
        <f t="shared" si="45"/>
        <v/>
      </c>
      <c s="94" t="str">
        <f t="shared" si="393"/>
        <v/>
      </c>
      <c s="95" t="str">
        <f t="shared" si="418"/>
        <v/>
      </c>
      <c s="98" t="str">
        <f t="shared" si="401"/>
        <v/>
      </c>
      <c s="97" t="str">
        <f t="array" ref="DC111">IFERROR(IF(CW111="ac"+ISNUMBER(SEARCH("'",DB111))+DA111="","",IF(ISNUMBER(SEARCH("lw",DB111)),CO111+SUBSTITUTE(DB111,"lw+",""),MROUND(_xlfn.SWITCH(CW111,"sq",DA$7,"bn",DB$7,"dl",DC$7,"")*IF(DB111&gt;10,DB111/100,VLOOKUP(DB111,_rpe,SUBSTITUTE(DA111,"+","")+1,0)),IF(_xlfn.SWITCH(CW111,"sq",DA$7,"bn",DB$7,"dl",DC$7,"")&lt;IF(_uom="lbs",175,80),1.25,IF(_uom="lbs",5,2.5))))),"")</f>
        <v/>
      </c>
      <c s="70"/>
      <c s="63"/>
      <c s="97"/>
      <c s="44" t="str">
        <f>IFERROR(__xludf.DUMMYFUNCTION("IF(DC111=MAX(FILTER(DC$10:DC$199,LOOKUP(ROW(CW$10:CW$199),FILTER(ROW(CW$10:CW$199),CW$10:CW$199&lt;&gt;CW$9:CW$198))=LOOKUP(ROW(CW111),FILTER(ROW(CW$10:CW$199),CW$10:CW$199&lt;&gt;CW$9:CW$198)))),DD111,)"),"")</f>
        <v/>
      </c>
      <c s="42"/>
      <c s="63"/>
      <c s="64" t="str">
        <f t="shared" si="30"/>
        <v/>
      </c>
      <c s="65" t="str">
        <f>IFERROR(__xludf.DUMMYFUNCTION("""COMPUTED_VALUE"""),"")</f>
        <v/>
      </c>
      <c s="66">
        <f ca="1"/>
        <v>45264</v>
      </c>
      <c s="93" t="str">
        <f t="shared" si="46"/>
        <v/>
      </c>
      <c s="94" t="str">
        <f t="shared" si="394"/>
        <v/>
      </c>
      <c s="95" t="str">
        <f t="shared" si="419"/>
        <v/>
      </c>
      <c s="98" t="str">
        <f t="shared" si="420"/>
        <v/>
      </c>
      <c s="97" t="str">
        <f t="array" ref="DQ111">IFERROR(IF(DK111="ac"+ISNUMBER(SEARCH("'",DP111))+DO111="","",IF(ISNUMBER(SEARCH("lw",DP111)),DC111+SUBSTITUTE(DP111,"lw+",""),MROUND(_xlfn.SWITCH(DK111,"sq",DO$7,"bn",DP$7,"dl",DQ$7,"")*IF(DP111&gt;10,DP111/100,VLOOKUP(DP111,_rpe,SUBSTITUTE(DO111,"+","")+1,0)),IF(_xlfn.SWITCH(DK111,"sq",DO$7,"bn",DP$7,"dl",DQ$7,"")&lt;IF(_uom="lbs",175,80),1.25,IF(_uom="lbs",5,2.5))))),"")</f>
        <v/>
      </c>
      <c s="70"/>
      <c s="63"/>
      <c s="97"/>
      <c s="44" t="str">
        <f>IFERROR(__xludf.DUMMYFUNCTION("IF(DQ111=MAX(FILTER(DQ$10:DQ$199,LOOKUP(ROW(DK$10:DK$199),FILTER(ROW(DK$10:DK$199),DK$10:DK$199&lt;&gt;DK$9:DK$198))=LOOKUP(ROW(DK111),FILTER(ROW(DK$10:DK$199),DK$10:DK$199&lt;&gt;DK$9:DK$198)))),DR111,)"),"")</f>
        <v/>
      </c>
      <c s="42"/>
      <c s="63"/>
      <c s="64" t="str">
        <f t="shared" si="32"/>
        <v/>
      </c>
      <c s="65" t="str">
        <f>IFERROR(__xludf.DUMMYFUNCTION("""COMPUTED_VALUE"""),"")</f>
        <v/>
      </c>
      <c s="66">
        <f ca="1"/>
        <v>45271</v>
      </c>
      <c s="93" t="str">
        <f t="shared" si="47"/>
        <v/>
      </c>
      <c s="94" t="str">
        <f t="shared" si="405"/>
        <v/>
      </c>
      <c s="95" t="str">
        <f t="shared" si="421"/>
        <v/>
      </c>
      <c s="98" t="str">
        <f t="shared" si="422"/>
        <v/>
      </c>
      <c s="97" t="str">
        <f t="array" ref="EE111">IFERROR(IF(DY111="ac"+ISNUMBER(SEARCH("'",ED111))+EC111="","",IF(ISNUMBER(SEARCH("lw",ED111)),DQ111+SUBSTITUTE(ED111,"lw+",""),MROUND(_xlfn.SWITCH(DY111,"sq",EC$7,"bn",ED$7,"dl",EE$7,"")*IF(ED111&gt;10,ED111/100,VLOOKUP(ED111,_rpe,SUBSTITUTE(EC111,"+","")+1,0)),IF(_xlfn.SWITCH(DY111,"sq",EC$7,"bn",ED$7,"dl",EE$7,"")&lt;IF(_uom="lbs",175,80),1.25,IF(_uom="lbs",5,2.5))))),"")</f>
        <v/>
      </c>
      <c s="70"/>
      <c s="63"/>
      <c s="97"/>
      <c s="44" t="str">
        <f>IFERROR(__xludf.DUMMYFUNCTION("IF(EE111=MAX(FILTER(EE$10:EE$199,LOOKUP(ROW(DY$10:DY$199),FILTER(ROW(DY$10:DY$199),DY$10:DY$199&lt;&gt;DY$9:DY$198))=LOOKUP(ROW(DY111),FILTER(ROW(DY$10:DY$199),DY$10:DY$199&lt;&gt;DY$9:DY$198)))),EF111,)"),"")</f>
        <v/>
      </c>
      <c s="42"/>
      <c s="63"/>
      <c s="64" t="str">
        <f t="shared" si="34"/>
        <v/>
      </c>
      <c s="65" t="str">
        <f>IFERROR(__xludf.DUMMYFUNCTION("""COMPUTED_VALUE"""),"")</f>
        <v/>
      </c>
      <c s="66">
        <f ca="1"/>
        <v>45278</v>
      </c>
      <c s="93" t="str">
        <f t="shared" si="48"/>
        <v/>
      </c>
      <c s="94" t="str">
        <f t="shared" si="395"/>
        <v/>
      </c>
      <c s="95" t="str">
        <f t="shared" si="423"/>
        <v/>
      </c>
      <c s="98" t="str">
        <f t="shared" si="402"/>
        <v/>
      </c>
      <c s="97" t="str">
        <f t="array" ref="ES111">IFERROR(IF(EM111="ac"+ISNUMBER(SEARCH("'",ER111))+EQ111="","",IF(ISNUMBER(SEARCH("lw",ER111)),EE111+SUBSTITUTE(ER111,"lw+",""),MROUND(_xlfn.SWITCH(EM111,"sq",EQ$7,"bn",ER$7,"dl",ES$7,"")*IF(ER111&gt;10,ER111/100,VLOOKUP(ER111,_rpe,SUBSTITUTE(EQ111,"+","")+1,0)),IF(_xlfn.SWITCH(EM111,"sq",EQ$7,"bn",ER$7,"dl",ES$7,"")&lt;IF(_uom="lbs",175,80),1.25,IF(_uom="lbs",5,2.5))))),"")</f>
        <v/>
      </c>
      <c s="70"/>
      <c s="63"/>
      <c s="97"/>
      <c s="44" t="str">
        <f>IFERROR(__xludf.DUMMYFUNCTION("IF(ES111=MAX(FILTER(ES$10:ES$199,LOOKUP(ROW(EM$10:EM$199),FILTER(ROW(EM$10:EM$199),EM$10:EM$199&lt;&gt;EM$9:EM$198))=LOOKUP(ROW(EM111),FILTER(ROW(EM$10:EM$199),EM$10:EM$199&lt;&gt;EM$9:EM$198)))),ET111,)"),"")</f>
        <v/>
      </c>
      <c s="42"/>
      <c s="63"/>
      <c s="64" t="str">
        <f t="shared" si="36"/>
        <v/>
      </c>
      <c s="65" t="str">
        <f>IFERROR(__xludf.DUMMYFUNCTION("""COMPUTED_VALUE"""),"")</f>
        <v/>
      </c>
      <c s="66">
        <f ca="1"/>
        <v>45285</v>
      </c>
      <c s="93" t="str">
        <f t="shared" si="49"/>
        <v/>
      </c>
      <c s="94" t="str">
        <f t="shared" si="396"/>
        <v/>
      </c>
      <c s="95" t="str">
        <f t="shared" si="424"/>
        <v/>
      </c>
      <c s="98" t="str">
        <f t="shared" si="403"/>
        <v/>
      </c>
      <c s="97" t="str">
        <f t="array" ref="FG111">IFERROR(IF(FA111="ac"+ISNUMBER(SEARCH("'",FF111))+FE111="","",IF(ISNUMBER(SEARCH("lw",FF111)),ES111+SUBSTITUTE(FF111,"lw+",""),MROUND(_xlfn.SWITCH(FA111,"sq",FE$7,"bn",FF$7,"dl",FG$7,"")*IF(FF111&gt;10,FF111/100,VLOOKUP(FF111,_rpe,SUBSTITUTE(FE111,"+","")+1,0)),IF(_xlfn.SWITCH(FA111,"sq",FE$7,"bn",FF$7,"dl",FG$7,"")&lt;IF(_uom="lbs",175,80),1.25,IF(_uom="lbs",5,2.5))))),"")</f>
        <v/>
      </c>
      <c s="70"/>
      <c s="63"/>
      <c s="97"/>
      <c s="44" t="str">
        <f>IFERROR(__xludf.DUMMYFUNCTION("IF(FG111=MAX(FILTER(FG$10:FG$199,LOOKUP(ROW(FA$10:FA$199),FILTER(ROW(FA$10:FA$199),FA$10:FA$199&lt;&gt;FA$9:FA$198))=LOOKUP(ROW(FA111),FILTER(ROW(FA$10:FA$199),FA$10:FA$199&lt;&gt;FA$9:FA$198)))),FH111,)"),"")</f>
        <v/>
      </c>
      <c s="42"/>
      <c s="63"/>
      <c s="64" t="str">
        <f t="shared" si="38"/>
        <v/>
      </c>
      <c s="65" t="str">
        <f>IFERROR(__xludf.DUMMYFUNCTION("""COMPUTED_VALUE"""),"")</f>
        <v/>
      </c>
      <c s="66">
        <f ca="1"/>
        <v>45292</v>
      </c>
      <c s="93" t="str">
        <f t="shared" si="455" ref="FQ111:FR111">IF(ISBLANK(FC111),"",FC111)</f>
        <v/>
      </c>
      <c s="94" t="str">
        <f t="shared" si="455"/>
        <v/>
      </c>
      <c s="95" t="str">
        <f t="shared" si="428"/>
        <v/>
      </c>
      <c s="98" t="str">
        <f t="shared" si="429"/>
        <v/>
      </c>
      <c s="97" t="str">
        <f t="array" ref="FU111">IFERROR(IF(FO111="ac"+ISNUMBER(SEARCH("'",FT111))+FS111="","",IF(ISNUMBER(SEARCH("lw",FT111)),FG111+SUBSTITUTE(FT111,"lw+",""),MROUND(_xlfn.SWITCH(FO111,"sq",FS$7,"bn",FT$7,"dl",FU$7,"")*IF(FT111&gt;10,FT111/100,VLOOKUP(FT111,_rpe,SUBSTITUTE(FS111,"+","")+1,0)),IF(_xlfn.SWITCH(FO111,"sq",FS$7,"bn",FT$7,"dl",FU$7,"")&lt;IF(_uom="lbs",175,80),1.25,IF(_uom="lbs",5,2.5))))),"")</f>
        <v/>
      </c>
      <c s="70"/>
      <c s="63"/>
      <c s="97"/>
      <c s="44" t="str">
        <f>IFERROR(__xludf.DUMMYFUNCTION("IF(FU111=MAX(FILTER(FU$10:FU$199,LOOKUP(ROW(FO$10:FO$199),FILTER(ROW(FO$10:FO$199),FO$10:FO$199&lt;&gt;FO$9:FO$198))=LOOKUP(ROW(FO111),FILTER(ROW(FO$10:FO$199),FO$10:FO$199&lt;&gt;FO$9:FO$198)))),FV111,)"),"")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12" spans="1:259" ht="15.75">
      <c r="A112" s="63"/>
      <c s="107"/>
      <c s="65" t="str">
        <f>IFERROR(__xludf.DUMMYFUNCTION("""COMPUTED_VALUE"""),"")</f>
        <v/>
      </c>
      <c s="66">
        <f ca="1"/>
        <v>45208</v>
      </c>
      <c s="93"/>
      <c s="94"/>
      <c s="95"/>
      <c s="96"/>
      <c s="97" t="str">
        <f t="array" ref="I112">IFERROR(IF(C112="ac"+ISNUMBER(SEARCH("'",H112))+G112="","",MROUND(_xlfn.SWITCH(C112,"sq",'Personal Info'!$O$15,"bn",'Personal Info'!$S$15,"dl",'Personal Info'!$W$15,"")*IF(H112&gt;10,H112/100,VLOOKUP(H112,_rpe,SUBSTITUTE(G112,"+","")+1,0)),IF(_xlfn.SWITCH(C112:C210,"sq",'Personal Info'!$O$15,"bn",'Personal Info'!$S$15,"dl",'Personal Info'!$W$15,"")&lt;IF(_uom="lbs",175,80),1.25,IF(_uom="lbs",5,2.5)))),"")</f>
        <v/>
      </c>
      <c s="70"/>
      <c s="63"/>
      <c s="97"/>
      <c s="44" t="str">
        <f>IFERROR(__xludf.DUMMYFUNCTION("IF(I112=MAX(FILTER(I$10:I$199,LOOKUP(ROW(C$10:C$199),FILTER(ROW(C$10:C$199),C$10:C$199&lt;&gt;C$9:C$198))=LOOKUP(ROW(C112),FILTER(ROW(C$10:C$199),C$10:C$199&lt;&gt;C$9:C$198)))),J112,)"),"")</f>
        <v/>
      </c>
      <c s="42"/>
      <c s="63"/>
      <c s="64" t="str">
        <f t="shared" si="11"/>
        <v/>
      </c>
      <c s="65" t="str">
        <f>IFERROR(__xludf.DUMMYFUNCTION("""COMPUTED_VALUE"""),"")</f>
        <v/>
      </c>
      <c s="66">
        <f ca="1"/>
        <v>45215</v>
      </c>
      <c s="93" t="str">
        <f t="shared" si="12"/>
        <v/>
      </c>
      <c s="94" t="str">
        <f t="shared" si="404"/>
        <v/>
      </c>
      <c s="95" t="str">
        <f t="shared" si="406"/>
        <v/>
      </c>
      <c s="98" t="str">
        <f t="shared" si="407"/>
        <v/>
      </c>
      <c s="97" t="str">
        <f t="array" ref="W112">IFERROR(IF(Q112="ac"+ISNUMBER(SEARCH("'",V112))+U112="","",IF(ISNUMBER(SEARCH("lw",V112)),I112+SUBSTITUTE(V112,"lw+",""),MROUND(_xlfn.SWITCH(Q112,"sq",U$7,"bn",V$7,"dl",W$7,"")*IF(V112&gt;10,V112/100,VLOOKUP(V112,_rpe,SUBSTITUTE(U112,"+","")+1,0)),IF(_xlfn.SWITCH(Q112,"sq",U$7,"bn",V$7,"dl",W$7,"")&lt;IF(_uom="lbs",175,80),1.25,IF(_uom="lbs",5,2.5))))),"")</f>
        <v/>
      </c>
      <c s="70"/>
      <c s="63"/>
      <c s="97"/>
      <c s="44" t="str">
        <f>IFERROR(__xludf.DUMMYFUNCTION("IF(W112=MAX(FILTER(W$10:W$199,LOOKUP(ROW(Q$10:Q$199),FILTER(ROW(Q$10:Q$199),Q$10:Q$199&lt;&gt;Q$9:Q$198))=LOOKUP(ROW(Q112),FILTER(ROW(Q$10:Q$199),Q$10:Q$199&lt;&gt;Q$9:Q$198)))),X112,)"),"")</f>
        <v/>
      </c>
      <c s="42"/>
      <c s="63"/>
      <c s="64" t="str">
        <f t="shared" si="14"/>
        <v/>
      </c>
      <c s="65" t="str">
        <f>IFERROR(__xludf.DUMMYFUNCTION("""COMPUTED_VALUE"""),"")</f>
        <v/>
      </c>
      <c s="66">
        <f ca="1"/>
        <v>45222</v>
      </c>
      <c s="93" t="str">
        <f t="shared" si="156"/>
        <v/>
      </c>
      <c s="94" t="str">
        <f t="shared" si="397"/>
        <v/>
      </c>
      <c s="95" t="str">
        <f t="shared" si="408"/>
        <v/>
      </c>
      <c s="98" t="str">
        <f t="shared" si="398"/>
        <v/>
      </c>
      <c s="97" t="str">
        <f t="array" ref="AK112">IFERROR(IF(AE112="ac"+ISNUMBER(SEARCH("'",AJ112))+AI112="","",IF(ISNUMBER(SEARCH("lw",AJ112)),W112+SUBSTITUTE(AJ112,"lw+",""),MROUND(_xlfn.SWITCH(AE112,"sq",AI$7,"bn",AJ$7,"dl",AK$7,"")*IF(AJ112&gt;10,AJ112/100,VLOOKUP(AJ112,_rpe,SUBSTITUTE(AI112,"+","")+1,0)),IF(_xlfn.SWITCH(AE112,"sq",AI$7,"bn",AJ$7,"dl",AK$7,"")&lt;IF(_uom="lbs",175,80),1.25,IF(_uom="lbs",5,2.5))))),"")</f>
        <v/>
      </c>
      <c s="70"/>
      <c s="63"/>
      <c s="97"/>
      <c s="44" t="str">
        <f>IFERROR(__xludf.DUMMYFUNCTION("IF(AK112=MAX(FILTER(AK$10:AK$199,LOOKUP(ROW(AE$10:AE$199),FILTER(ROW(AE$10:AE$199),AE$10:AE$199&lt;&gt;AE$9:AE$198))=LOOKUP(ROW(AE112),FILTER(ROW(AE$10:AE$199),AE$10:AE$199&lt;&gt;AE$9:AE$198)))),AL112,)"),"")</f>
        <v/>
      </c>
      <c s="42"/>
      <c s="63"/>
      <c s="64" t="str">
        <f t="shared" si="17"/>
        <v/>
      </c>
      <c s="65" t="str">
        <f>IFERROR(__xludf.DUMMYFUNCTION("""COMPUTED_VALUE"""),"")</f>
        <v/>
      </c>
      <c s="66">
        <f ca="1"/>
        <v>45229</v>
      </c>
      <c s="93" t="str">
        <f t="shared" si="157"/>
        <v/>
      </c>
      <c s="94" t="str">
        <f t="shared" si="399"/>
        <v/>
      </c>
      <c s="95" t="str">
        <f t="shared" si="409"/>
        <v/>
      </c>
      <c s="98" t="str">
        <f t="shared" si="400"/>
        <v/>
      </c>
      <c s="97" t="str">
        <f t="array" ref="AY112">IFERROR(IF(AS112="ac"+ISNUMBER(SEARCH("'",AX112))+AW112="","",IF(ISNUMBER(SEARCH("lw",AX112)),AK112+SUBSTITUTE(AX112,"lw+",""),MROUND(_xlfn.SWITCH(AS112,"sq",AW$7,"bn",AX$7,"dl",AY$7,"")*IF(AX112&gt;10,AX112/100,VLOOKUP(AX112,_rpe,SUBSTITUTE(AW112,"+","")+1,0)),IF(_xlfn.SWITCH(AS112,"sq",AW$7,"bn",AX$7,"dl",AY$7,"")&lt;IF(_uom="lbs",175,80),1.25,IF(_uom="lbs",5,2.5))))),"")</f>
        <v/>
      </c>
      <c s="70"/>
      <c s="63"/>
      <c s="97"/>
      <c s="44" t="str">
        <f>IFERROR(__xludf.DUMMYFUNCTION("IF(AY112=MAX(FILTER(AY$10:AY$199,LOOKUP(ROW(AS$10:AS$199),FILTER(ROW(AS$10:AS$199),AS$10:AS$199&lt;&gt;AS$9:AS$198))=LOOKUP(ROW(AS112),FILTER(ROW(AS$10:AS$199),AS$10:AS$199&lt;&gt;AS$9:AS$198)))),AZ112,)"),"")</f>
        <v/>
      </c>
      <c s="42"/>
      <c s="63"/>
      <c s="64" t="str">
        <f t="shared" si="19"/>
        <v/>
      </c>
      <c s="65" t="str">
        <f>IFERROR(__xludf.DUMMYFUNCTION("""COMPUTED_VALUE"""),"")</f>
        <v/>
      </c>
      <c s="66">
        <f ca="1"/>
        <v>45236</v>
      </c>
      <c s="93" t="str">
        <f t="shared" si="20"/>
        <v/>
      </c>
      <c s="94" t="str">
        <f t="shared" si="425"/>
        <v/>
      </c>
      <c s="95" t="str">
        <f t="shared" si="411"/>
        <v/>
      </c>
      <c s="98" t="str">
        <f t="shared" si="412"/>
        <v/>
      </c>
      <c s="97" t="str">
        <f t="array" ref="BM112">IFERROR(IF(BG112="ac"+ISNUMBER(SEARCH("'",BL112))+BK112="","",IF(ISNUMBER(SEARCH("lw",BL112)),AY112+SUBSTITUTE(BL112,"lw+",""),MROUND(_xlfn.SWITCH(BG112,"sq",BK$7,"bn",BL$7,"dl",BM$7,"")*IF(BL112&gt;10,BL112/100,VLOOKUP(BL112,_rpe,SUBSTITUTE(BK112,"+","")+1,0)),IF(_xlfn.SWITCH(BG112,"sq",BK$7,"bn",BL$7,"dl",BM$7,"")&lt;IF(_uom="lbs",175,80),1.25,IF(_uom="lbs",5,2.5))))),"")</f>
        <v/>
      </c>
      <c s="70"/>
      <c s="63"/>
      <c s="97"/>
      <c s="44" t="str">
        <f>IFERROR(__xludf.DUMMYFUNCTION("IF(BM112=MAX(FILTER(BM$10:BM$199,LOOKUP(ROW(BG$10:BG$199),FILTER(ROW(BG$10:BG$199),BG$10:BG$199&lt;&gt;BG$9:BG$198))=LOOKUP(ROW(BG112),FILTER(ROW(BG$10:BG$199),BG$10:BG$199&lt;&gt;BG$9:BG$198)))),BN112,)"),"")</f>
        <v/>
      </c>
      <c s="42"/>
      <c s="63"/>
      <c s="64" t="str">
        <f t="shared" si="21"/>
        <v/>
      </c>
      <c s="65" t="str">
        <f>IFERROR(__xludf.DUMMYFUNCTION("""COMPUTED_VALUE"""),"")</f>
        <v/>
      </c>
      <c s="66">
        <f ca="1"/>
        <v>45243</v>
      </c>
      <c s="93" t="str">
        <f t="shared" si="22"/>
        <v/>
      </c>
      <c s="94" t="str">
        <f t="shared" si="426"/>
        <v/>
      </c>
      <c s="95" t="str">
        <f t="shared" si="414"/>
        <v/>
      </c>
      <c s="98" t="str">
        <f t="shared" si="415"/>
        <v/>
      </c>
      <c s="97" t="str">
        <f t="array" ref="CA112">IFERROR(IF(BU112="ac"+ISNUMBER(SEARCH("'",BZ112))+BY112="","",IF(ISNUMBER(SEARCH("lw",BZ112)),BM112+SUBSTITUTE(BZ112,"lw+",""),MROUND(_xlfn.SWITCH(BU112,"sq",BY$7,"bn",BZ$7,"dl",CA$7,"")*IF(BZ112&gt;10,BZ112/100,VLOOKUP(BZ112,_rpe,SUBSTITUTE(BY112,"+","")+1,0)),IF(_xlfn.SWITCH(BU112,"sq",BY$7,"bn",BZ$7,"dl",CA$7,"")&lt;IF(_uom="lbs",175,80),1.25,IF(_uom="lbs",5,2.5))))),"")</f>
        <v/>
      </c>
      <c s="70"/>
      <c s="63"/>
      <c s="97"/>
      <c s="44" t="str">
        <f>IFERROR(__xludf.DUMMYFUNCTION("IF(CA112=MAX(FILTER(CA$10:CA$199,LOOKUP(ROW(BU$10:BU$199),FILTER(ROW(BU$10:BU$199),BU$10:BU$199&lt;&gt;BU$9:BU$198))=LOOKUP(ROW(BU112),FILTER(ROW(BU$10:BU$199),BU$10:BU$199&lt;&gt;BU$9:BU$198)))),CB112,)"),"")</f>
        <v/>
      </c>
      <c s="42"/>
      <c s="63"/>
      <c s="64" t="str">
        <f t="shared" si="24"/>
        <v/>
      </c>
      <c s="65" t="str">
        <f>IFERROR(__xludf.DUMMYFUNCTION("""COMPUTED_VALUE"""),"")</f>
        <v/>
      </c>
      <c s="66">
        <f ca="1"/>
        <v>45250</v>
      </c>
      <c s="93" t="str">
        <f t="shared" si="44"/>
        <v/>
      </c>
      <c s="94" t="str">
        <f t="shared" si="392"/>
        <v/>
      </c>
      <c s="95" t="str">
        <f t="shared" si="416"/>
        <v/>
      </c>
      <c s="98" t="str">
        <f t="shared" si="417"/>
        <v/>
      </c>
      <c s="97" t="str">
        <f t="array" ref="CO112">IFERROR(IF(CI112="ac"+ISNUMBER(SEARCH("'",CN112))+CM112="","",IF(ISNUMBER(SEARCH("lw",CN112)),CA112+SUBSTITUTE(CN112,"lw+",""),MROUND(_xlfn.SWITCH(CI112,"sq",CM$7,"bn",CN$7,"dl",CO$7,"")*IF(CN112&gt;10,CN112/100,VLOOKUP(CN112,_rpe,SUBSTITUTE(CM112,"+","")+1,0)),IF(_xlfn.SWITCH(CI112,"sq",CM$7,"bn",CN$7,"dl",CO$7,"")&lt;IF(_uom="lbs",175,80),1.25,IF(_uom="lbs",5,2.5))))),"")</f>
        <v/>
      </c>
      <c s="70"/>
      <c s="63"/>
      <c s="97"/>
      <c s="44" t="str">
        <f>IFERROR(__xludf.DUMMYFUNCTION("IF(CO112=MAX(FILTER(CO$10:CO$199,LOOKUP(ROW(CI$10:CI$199),FILTER(ROW(CI$10:CI$199),CI$10:CI$199&lt;&gt;CI$9:CI$198))=LOOKUP(ROW(CI112),FILTER(ROW(CI$10:CI$199),CI$10:CI$199&lt;&gt;CI$9:CI$198)))),CP112,)"),"")</f>
        <v/>
      </c>
      <c s="42"/>
      <c s="63"/>
      <c s="64" t="str">
        <f t="shared" si="27"/>
        <v/>
      </c>
      <c s="65" t="str">
        <f>IFERROR(__xludf.DUMMYFUNCTION("""COMPUTED_VALUE"""),"")</f>
        <v/>
      </c>
      <c s="66">
        <f ca="1"/>
        <v>45257</v>
      </c>
      <c s="93" t="str">
        <f t="shared" si="45"/>
        <v/>
      </c>
      <c s="94" t="str">
        <f t="shared" si="393"/>
        <v/>
      </c>
      <c s="95" t="str">
        <f t="shared" si="418"/>
        <v/>
      </c>
      <c s="98" t="str">
        <f t="shared" si="401"/>
        <v/>
      </c>
      <c s="97" t="str">
        <f t="array" ref="DC112">IFERROR(IF(CW112="ac"+ISNUMBER(SEARCH("'",DB112))+DA112="","",IF(ISNUMBER(SEARCH("lw",DB112)),CO112+SUBSTITUTE(DB112,"lw+",""),MROUND(_xlfn.SWITCH(CW112,"sq",DA$7,"bn",DB$7,"dl",DC$7,"")*IF(DB112&gt;10,DB112/100,VLOOKUP(DB112,_rpe,SUBSTITUTE(DA112,"+","")+1,0)),IF(_xlfn.SWITCH(CW112,"sq",DA$7,"bn",DB$7,"dl",DC$7,"")&lt;IF(_uom="lbs",175,80),1.25,IF(_uom="lbs",5,2.5))))),"")</f>
        <v/>
      </c>
      <c s="70"/>
      <c s="63"/>
      <c s="97"/>
      <c s="44" t="str">
        <f>IFERROR(__xludf.DUMMYFUNCTION("IF(DC112=MAX(FILTER(DC$10:DC$199,LOOKUP(ROW(CW$10:CW$199),FILTER(ROW(CW$10:CW$199),CW$10:CW$199&lt;&gt;CW$9:CW$198))=LOOKUP(ROW(CW112),FILTER(ROW(CW$10:CW$199),CW$10:CW$199&lt;&gt;CW$9:CW$198)))),DD112,)"),"")</f>
        <v/>
      </c>
      <c s="42"/>
      <c s="63"/>
      <c s="64" t="str">
        <f t="shared" si="30"/>
        <v/>
      </c>
      <c s="65" t="str">
        <f>IFERROR(__xludf.DUMMYFUNCTION("""COMPUTED_VALUE"""),"")</f>
        <v/>
      </c>
      <c s="66">
        <f ca="1"/>
        <v>45264</v>
      </c>
      <c s="93" t="str">
        <f t="shared" si="46"/>
        <v/>
      </c>
      <c s="94" t="str">
        <f t="shared" si="394"/>
        <v/>
      </c>
      <c s="95" t="str">
        <f t="shared" si="419"/>
        <v/>
      </c>
      <c s="98" t="str">
        <f t="shared" si="420"/>
        <v/>
      </c>
      <c s="97" t="str">
        <f t="array" ref="DQ112">IFERROR(IF(DK112="ac"+ISNUMBER(SEARCH("'",DP112))+DO112="","",IF(ISNUMBER(SEARCH("lw",DP112)),DC112+SUBSTITUTE(DP112,"lw+",""),MROUND(_xlfn.SWITCH(DK112,"sq",DO$7,"bn",DP$7,"dl",DQ$7,"")*IF(DP112&gt;10,DP112/100,VLOOKUP(DP112,_rpe,SUBSTITUTE(DO112,"+","")+1,0)),IF(_xlfn.SWITCH(DK112,"sq",DO$7,"bn",DP$7,"dl",DQ$7,"")&lt;IF(_uom="lbs",175,80),1.25,IF(_uom="lbs",5,2.5))))),"")</f>
        <v/>
      </c>
      <c s="70"/>
      <c s="63"/>
      <c s="97"/>
      <c s="44" t="str">
        <f>IFERROR(__xludf.DUMMYFUNCTION("IF(DQ112=MAX(FILTER(DQ$10:DQ$199,LOOKUP(ROW(DK$10:DK$199),FILTER(ROW(DK$10:DK$199),DK$10:DK$199&lt;&gt;DK$9:DK$198))=LOOKUP(ROW(DK112),FILTER(ROW(DK$10:DK$199),DK$10:DK$199&lt;&gt;DK$9:DK$198)))),DR112,)"),"")</f>
        <v/>
      </c>
      <c s="42"/>
      <c s="63"/>
      <c s="64" t="str">
        <f t="shared" si="32"/>
        <v/>
      </c>
      <c s="65" t="str">
        <f>IFERROR(__xludf.DUMMYFUNCTION("""COMPUTED_VALUE"""),"")</f>
        <v/>
      </c>
      <c s="66">
        <f ca="1"/>
        <v>45271</v>
      </c>
      <c s="93" t="str">
        <f t="shared" si="47"/>
        <v/>
      </c>
      <c s="94" t="str">
        <f t="shared" si="405"/>
        <v/>
      </c>
      <c s="95" t="str">
        <f t="shared" si="421"/>
        <v/>
      </c>
      <c s="98" t="str">
        <f t="shared" si="422"/>
        <v/>
      </c>
      <c s="97" t="str">
        <f t="array" ref="EE112">IFERROR(IF(DY112="ac"+ISNUMBER(SEARCH("'",ED112))+EC112="","",IF(ISNUMBER(SEARCH("lw",ED112)),DQ112+SUBSTITUTE(ED112,"lw+",""),MROUND(_xlfn.SWITCH(DY112,"sq",EC$7,"bn",ED$7,"dl",EE$7,"")*IF(ED112&gt;10,ED112/100,VLOOKUP(ED112,_rpe,SUBSTITUTE(EC112,"+","")+1,0)),IF(_xlfn.SWITCH(DY112,"sq",EC$7,"bn",ED$7,"dl",EE$7,"")&lt;IF(_uom="lbs",175,80),1.25,IF(_uom="lbs",5,2.5))))),"")</f>
        <v/>
      </c>
      <c s="70"/>
      <c s="63"/>
      <c s="97"/>
      <c s="44" t="str">
        <f>IFERROR(__xludf.DUMMYFUNCTION("IF(EE112=MAX(FILTER(EE$10:EE$199,LOOKUP(ROW(DY$10:DY$199),FILTER(ROW(DY$10:DY$199),DY$10:DY$199&lt;&gt;DY$9:DY$198))=LOOKUP(ROW(DY112),FILTER(ROW(DY$10:DY$199),DY$10:DY$199&lt;&gt;DY$9:DY$198)))),EF112,)"),"")</f>
        <v/>
      </c>
      <c s="42"/>
      <c s="63"/>
      <c s="64" t="str">
        <f t="shared" si="34"/>
        <v/>
      </c>
      <c s="65" t="str">
        <f>IFERROR(__xludf.DUMMYFUNCTION("""COMPUTED_VALUE"""),"")</f>
        <v/>
      </c>
      <c s="66">
        <f ca="1"/>
        <v>45278</v>
      </c>
      <c s="93" t="str">
        <f t="shared" si="48"/>
        <v/>
      </c>
      <c s="94" t="str">
        <f t="shared" si="395"/>
        <v/>
      </c>
      <c s="95" t="str">
        <f t="shared" si="423"/>
        <v/>
      </c>
      <c s="98" t="str">
        <f t="shared" si="402"/>
        <v/>
      </c>
      <c s="97" t="str">
        <f t="array" ref="ES112">IFERROR(IF(EM112="ac"+ISNUMBER(SEARCH("'",ER112))+EQ112="","",IF(ISNUMBER(SEARCH("lw",ER112)),EE112+SUBSTITUTE(ER112,"lw+",""),MROUND(_xlfn.SWITCH(EM112,"sq",EQ$7,"bn",ER$7,"dl",ES$7,"")*IF(ER112&gt;10,ER112/100,VLOOKUP(ER112,_rpe,SUBSTITUTE(EQ112,"+","")+1,0)),IF(_xlfn.SWITCH(EM112,"sq",EQ$7,"bn",ER$7,"dl",ES$7,"")&lt;IF(_uom="lbs",175,80),1.25,IF(_uom="lbs",5,2.5))))),"")</f>
        <v/>
      </c>
      <c s="70"/>
      <c s="63"/>
      <c s="97"/>
      <c s="44" t="str">
        <f>IFERROR(__xludf.DUMMYFUNCTION("IF(ES112=MAX(FILTER(ES$10:ES$199,LOOKUP(ROW(EM$10:EM$199),FILTER(ROW(EM$10:EM$199),EM$10:EM$199&lt;&gt;EM$9:EM$198))=LOOKUP(ROW(EM112),FILTER(ROW(EM$10:EM$199),EM$10:EM$199&lt;&gt;EM$9:EM$198)))),ET112,)"),"")</f>
        <v/>
      </c>
      <c s="42"/>
      <c s="63"/>
      <c s="64" t="str">
        <f t="shared" si="36"/>
        <v/>
      </c>
      <c s="65" t="str">
        <f>IFERROR(__xludf.DUMMYFUNCTION("""COMPUTED_VALUE"""),"")</f>
        <v/>
      </c>
      <c s="66">
        <f ca="1"/>
        <v>45285</v>
      </c>
      <c s="93" t="str">
        <f t="shared" si="49"/>
        <v/>
      </c>
      <c s="94" t="str">
        <f t="shared" si="396"/>
        <v/>
      </c>
      <c s="95" t="str">
        <f t="shared" si="424"/>
        <v/>
      </c>
      <c s="98" t="str">
        <f t="shared" si="403"/>
        <v/>
      </c>
      <c s="97" t="str">
        <f t="array" ref="FG112">IFERROR(IF(FA112="ac"+ISNUMBER(SEARCH("'",FF112))+FE112="","",IF(ISNUMBER(SEARCH("lw",FF112)),ES112+SUBSTITUTE(FF112,"lw+",""),MROUND(_xlfn.SWITCH(FA112,"sq",FE$7,"bn",FF$7,"dl",FG$7,"")*IF(FF112&gt;10,FF112/100,VLOOKUP(FF112,_rpe,SUBSTITUTE(FE112,"+","")+1,0)),IF(_xlfn.SWITCH(FA112,"sq",FE$7,"bn",FF$7,"dl",FG$7,"")&lt;IF(_uom="lbs",175,80),1.25,IF(_uom="lbs",5,2.5))))),"")</f>
        <v/>
      </c>
      <c s="70"/>
      <c s="63"/>
      <c s="97"/>
      <c s="44" t="str">
        <f>IFERROR(__xludf.DUMMYFUNCTION("IF(FG112=MAX(FILTER(FG$10:FG$199,LOOKUP(ROW(FA$10:FA$199),FILTER(ROW(FA$10:FA$199),FA$10:FA$199&lt;&gt;FA$9:FA$198))=LOOKUP(ROW(FA112),FILTER(ROW(FA$10:FA$199),FA$10:FA$199&lt;&gt;FA$9:FA$198)))),FH112,)"),"")</f>
        <v/>
      </c>
      <c s="42"/>
      <c s="63"/>
      <c s="64" t="str">
        <f t="shared" si="38"/>
        <v/>
      </c>
      <c s="65" t="str">
        <f>IFERROR(__xludf.DUMMYFUNCTION("""COMPUTED_VALUE"""),"")</f>
        <v/>
      </c>
      <c s="66">
        <f ca="1"/>
        <v>45292</v>
      </c>
      <c s="93" t="str">
        <f t="shared" si="456" ref="FQ112:FR112">IF(ISBLANK(FC112),"",FC112)</f>
        <v/>
      </c>
      <c s="94" t="str">
        <f t="shared" si="456"/>
        <v/>
      </c>
      <c s="95" t="str">
        <f t="shared" si="428"/>
        <v/>
      </c>
      <c s="98" t="str">
        <f t="shared" si="429"/>
        <v/>
      </c>
      <c s="97" t="str">
        <f t="array" ref="FU112">IFERROR(IF(FO112="ac"+ISNUMBER(SEARCH("'",FT112))+FS112="","",IF(ISNUMBER(SEARCH("lw",FT112)),FG112+SUBSTITUTE(FT112,"lw+",""),MROUND(_xlfn.SWITCH(FO112,"sq",FS$7,"bn",FT$7,"dl",FU$7,"")*IF(FT112&gt;10,FT112/100,VLOOKUP(FT112,_rpe,SUBSTITUTE(FS112,"+","")+1,0)),IF(_xlfn.SWITCH(FO112,"sq",FS$7,"bn",FT$7,"dl",FU$7,"")&lt;IF(_uom="lbs",175,80),1.25,IF(_uom="lbs",5,2.5))))),"")</f>
        <v/>
      </c>
      <c s="70"/>
      <c s="63"/>
      <c s="97"/>
      <c s="44" t="str">
        <f>IFERROR(__xludf.DUMMYFUNCTION("IF(FU112=MAX(FILTER(FU$10:FU$199,LOOKUP(ROW(FO$10:FO$199),FILTER(ROW(FO$10:FO$199),FO$10:FO$199&lt;&gt;FO$9:FO$198))=LOOKUP(ROW(FO112),FILTER(ROW(FO$10:FO$199),FO$10:FO$199&lt;&gt;FO$9:FO$198)))),FV112,)"),"")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13" spans="1:259" ht="15.75">
      <c r="A113" s="63"/>
      <c s="107"/>
      <c s="65" t="str">
        <f>IFERROR(__xludf.DUMMYFUNCTION("""COMPUTED_VALUE"""),"")</f>
        <v/>
      </c>
      <c s="66">
        <f ca="1"/>
        <v>45208</v>
      </c>
      <c s="93"/>
      <c s="94"/>
      <c s="95"/>
      <c s="96"/>
      <c s="97" t="str">
        <f t="array" ref="I113">IFERROR(IF(C113="ac"+ISNUMBER(SEARCH("'",H113))+G113="","",MROUND(_xlfn.SWITCH(C113,"sq",'Personal Info'!$O$15,"bn",'Personal Info'!$S$15,"dl",'Personal Info'!$W$15,"")*IF(H113&gt;10,H113/100,VLOOKUP(H113,_rpe,SUBSTITUTE(G113,"+","")+1,0)),IF(_xlfn.SWITCH(C113:C210,"sq",'Personal Info'!$O$15,"bn",'Personal Info'!$S$15,"dl",'Personal Info'!$W$15,"")&lt;IF(_uom="lbs",175,80),1.25,IF(_uom="lbs",5,2.5)))),"")</f>
        <v/>
      </c>
      <c s="70"/>
      <c s="63"/>
      <c s="97"/>
      <c s="44" t="str">
        <f>IFERROR(__xludf.DUMMYFUNCTION("IF(I113=MAX(FILTER(I$10:I$199,LOOKUP(ROW(C$10:C$199),FILTER(ROW(C$10:C$199),C$10:C$199&lt;&gt;C$9:C$198))=LOOKUP(ROW(C113),FILTER(ROW(C$10:C$199),C$10:C$199&lt;&gt;C$9:C$198)))),J113,)"),"")</f>
        <v/>
      </c>
      <c s="42"/>
      <c s="63"/>
      <c s="64" t="str">
        <f t="shared" si="11"/>
        <v/>
      </c>
      <c s="65" t="str">
        <f>IFERROR(__xludf.DUMMYFUNCTION("""COMPUTED_VALUE"""),"")</f>
        <v/>
      </c>
      <c s="66">
        <f ca="1"/>
        <v>45215</v>
      </c>
      <c s="93" t="str">
        <f t="shared" si="12"/>
        <v/>
      </c>
      <c s="94" t="str">
        <f t="shared" si="404"/>
        <v/>
      </c>
      <c s="95" t="str">
        <f t="shared" si="406"/>
        <v/>
      </c>
      <c s="98" t="str">
        <f t="shared" si="407"/>
        <v/>
      </c>
      <c s="97" t="str">
        <f t="array" ref="W113">IFERROR(IF(Q113="ac"+ISNUMBER(SEARCH("'",V113))+U113="","",IF(ISNUMBER(SEARCH("lw",V113)),I113+SUBSTITUTE(V113,"lw+",""),MROUND(_xlfn.SWITCH(Q113,"sq",U$7,"bn",V$7,"dl",W$7,"")*IF(V113&gt;10,V113/100,VLOOKUP(V113,_rpe,SUBSTITUTE(U113,"+","")+1,0)),IF(_xlfn.SWITCH(Q113,"sq",U$7,"bn",V$7,"dl",W$7,"")&lt;IF(_uom="lbs",175,80),1.25,IF(_uom="lbs",5,2.5))))),"")</f>
        <v/>
      </c>
      <c s="70"/>
      <c s="63"/>
      <c s="97"/>
      <c s="44" t="str">
        <f>IFERROR(__xludf.DUMMYFUNCTION("IF(W113=MAX(FILTER(W$10:W$199,LOOKUP(ROW(Q$10:Q$199),FILTER(ROW(Q$10:Q$199),Q$10:Q$199&lt;&gt;Q$9:Q$198))=LOOKUP(ROW(Q113),FILTER(ROW(Q$10:Q$199),Q$10:Q$199&lt;&gt;Q$9:Q$198)))),X113,)"),"")</f>
        <v/>
      </c>
      <c s="42"/>
      <c s="63"/>
      <c s="64" t="str">
        <f t="shared" si="14"/>
        <v/>
      </c>
      <c s="65" t="str">
        <f>IFERROR(__xludf.DUMMYFUNCTION("""COMPUTED_VALUE"""),"")</f>
        <v/>
      </c>
      <c s="66">
        <f ca="1"/>
        <v>45222</v>
      </c>
      <c s="93" t="str">
        <f t="shared" si="156"/>
        <v/>
      </c>
      <c s="94" t="str">
        <f t="shared" si="397"/>
        <v/>
      </c>
      <c s="95" t="str">
        <f t="shared" si="408"/>
        <v/>
      </c>
      <c s="98" t="str">
        <f t="shared" si="398"/>
        <v/>
      </c>
      <c s="97" t="str">
        <f t="array" ref="AK113">IFERROR(IF(AE113="ac"+ISNUMBER(SEARCH("'",AJ113))+AI113="","",IF(ISNUMBER(SEARCH("lw",AJ113)),W113+SUBSTITUTE(AJ113,"lw+",""),MROUND(_xlfn.SWITCH(AE113,"sq",AI$7,"bn",AJ$7,"dl",AK$7,"")*IF(AJ113&gt;10,AJ113/100,VLOOKUP(AJ113,_rpe,SUBSTITUTE(AI113,"+","")+1,0)),IF(_xlfn.SWITCH(AE113,"sq",AI$7,"bn",AJ$7,"dl",AK$7,"")&lt;IF(_uom="lbs",175,80),1.25,IF(_uom="lbs",5,2.5))))),"")</f>
        <v/>
      </c>
      <c s="70"/>
      <c s="63"/>
      <c s="97"/>
      <c s="44" t="str">
        <f>IFERROR(__xludf.DUMMYFUNCTION("IF(AK113=MAX(FILTER(AK$10:AK$199,LOOKUP(ROW(AE$10:AE$199),FILTER(ROW(AE$10:AE$199),AE$10:AE$199&lt;&gt;AE$9:AE$198))=LOOKUP(ROW(AE113),FILTER(ROW(AE$10:AE$199),AE$10:AE$199&lt;&gt;AE$9:AE$198)))),AL113,)"),"")</f>
        <v/>
      </c>
      <c s="42"/>
      <c s="63"/>
      <c s="64" t="str">
        <f t="shared" si="17"/>
        <v/>
      </c>
      <c s="65" t="str">
        <f>IFERROR(__xludf.DUMMYFUNCTION("""COMPUTED_VALUE"""),"")</f>
        <v/>
      </c>
      <c s="66">
        <f ca="1"/>
        <v>45229</v>
      </c>
      <c s="93" t="str">
        <f t="shared" si="157"/>
        <v/>
      </c>
      <c s="94" t="str">
        <f t="shared" si="399"/>
        <v/>
      </c>
      <c s="95" t="str">
        <f t="shared" si="409"/>
        <v/>
      </c>
      <c s="98" t="str">
        <f t="shared" si="400"/>
        <v/>
      </c>
      <c s="97" t="str">
        <f t="array" ref="AY113">IFERROR(IF(AS113="ac"+ISNUMBER(SEARCH("'",AX113))+AW113="","",IF(ISNUMBER(SEARCH("lw",AX113)),AK113+SUBSTITUTE(AX113,"lw+",""),MROUND(_xlfn.SWITCH(AS113,"sq",AW$7,"bn",AX$7,"dl",AY$7,"")*IF(AX113&gt;10,AX113/100,VLOOKUP(AX113,_rpe,SUBSTITUTE(AW113,"+","")+1,0)),IF(_xlfn.SWITCH(AS113,"sq",AW$7,"bn",AX$7,"dl",AY$7,"")&lt;IF(_uom="lbs",175,80),1.25,IF(_uom="lbs",5,2.5))))),"")</f>
        <v/>
      </c>
      <c s="70"/>
      <c s="63"/>
      <c s="97"/>
      <c s="44" t="str">
        <f>IFERROR(__xludf.DUMMYFUNCTION("IF(AY113=MAX(FILTER(AY$10:AY$199,LOOKUP(ROW(AS$10:AS$199),FILTER(ROW(AS$10:AS$199),AS$10:AS$199&lt;&gt;AS$9:AS$198))=LOOKUP(ROW(AS113),FILTER(ROW(AS$10:AS$199),AS$10:AS$199&lt;&gt;AS$9:AS$198)))),AZ113,)"),"")</f>
        <v/>
      </c>
      <c s="42"/>
      <c s="63"/>
      <c s="64" t="str">
        <f t="shared" si="19"/>
        <v/>
      </c>
      <c s="65" t="str">
        <f>IFERROR(__xludf.DUMMYFUNCTION("""COMPUTED_VALUE"""),"")</f>
        <v/>
      </c>
      <c s="66">
        <f ca="1"/>
        <v>45236</v>
      </c>
      <c s="93" t="str">
        <f t="shared" si="20"/>
        <v/>
      </c>
      <c s="94" t="str">
        <f t="shared" si="425"/>
        <v/>
      </c>
      <c s="95" t="str">
        <f t="shared" si="411"/>
        <v/>
      </c>
      <c s="98" t="str">
        <f t="shared" si="412"/>
        <v/>
      </c>
      <c s="97" t="str">
        <f t="array" ref="BM113">IFERROR(IF(BG113="ac"+ISNUMBER(SEARCH("'",BL113))+BK113="","",IF(ISNUMBER(SEARCH("lw",BL113)),AY113+SUBSTITUTE(BL113,"lw+",""),MROUND(_xlfn.SWITCH(BG113,"sq",BK$7,"bn",BL$7,"dl",BM$7,"")*IF(BL113&gt;10,BL113/100,VLOOKUP(BL113,_rpe,SUBSTITUTE(BK113,"+","")+1,0)),IF(_xlfn.SWITCH(BG113,"sq",BK$7,"bn",BL$7,"dl",BM$7,"")&lt;IF(_uom="lbs",175,80),1.25,IF(_uom="lbs",5,2.5))))),"")</f>
        <v/>
      </c>
      <c s="70"/>
      <c s="63"/>
      <c s="97"/>
      <c s="44" t="str">
        <f>IFERROR(__xludf.DUMMYFUNCTION("IF(BM113=MAX(FILTER(BM$10:BM$199,LOOKUP(ROW(BG$10:BG$199),FILTER(ROW(BG$10:BG$199),BG$10:BG$199&lt;&gt;BG$9:BG$198))=LOOKUP(ROW(BG113),FILTER(ROW(BG$10:BG$199),BG$10:BG$199&lt;&gt;BG$9:BG$198)))),BN113,)"),"")</f>
        <v/>
      </c>
      <c s="42"/>
      <c s="63"/>
      <c s="64" t="str">
        <f t="shared" si="21"/>
        <v/>
      </c>
      <c s="65" t="str">
        <f>IFERROR(__xludf.DUMMYFUNCTION("""COMPUTED_VALUE"""),"")</f>
        <v/>
      </c>
      <c s="66">
        <f ca="1"/>
        <v>45243</v>
      </c>
      <c s="93" t="str">
        <f t="shared" si="22"/>
        <v/>
      </c>
      <c s="94" t="str">
        <f t="shared" si="426"/>
        <v/>
      </c>
      <c s="95" t="str">
        <f t="shared" si="414"/>
        <v/>
      </c>
      <c s="98" t="str">
        <f t="shared" si="415"/>
        <v/>
      </c>
      <c s="97" t="str">
        <f t="array" ref="CA113">IFERROR(IF(BU113="ac"+ISNUMBER(SEARCH("'",BZ113))+BY113="","",IF(ISNUMBER(SEARCH("lw",BZ113)),BM113+SUBSTITUTE(BZ113,"lw+",""),MROUND(_xlfn.SWITCH(BU113,"sq",BY$7,"bn",BZ$7,"dl",CA$7,"")*IF(BZ113&gt;10,BZ113/100,VLOOKUP(BZ113,_rpe,SUBSTITUTE(BY113,"+","")+1,0)),IF(_xlfn.SWITCH(BU113,"sq",BY$7,"bn",BZ$7,"dl",CA$7,"")&lt;IF(_uom="lbs",175,80),1.25,IF(_uom="lbs",5,2.5))))),"")</f>
        <v/>
      </c>
      <c s="70"/>
      <c s="63"/>
      <c s="97"/>
      <c s="44" t="str">
        <f>IFERROR(__xludf.DUMMYFUNCTION("IF(CA113=MAX(FILTER(CA$10:CA$199,LOOKUP(ROW(BU$10:BU$199),FILTER(ROW(BU$10:BU$199),BU$10:BU$199&lt;&gt;BU$9:BU$198))=LOOKUP(ROW(BU113),FILTER(ROW(BU$10:BU$199),BU$10:BU$199&lt;&gt;BU$9:BU$198)))),CB113,)"),"")</f>
        <v/>
      </c>
      <c s="42"/>
      <c s="63"/>
      <c s="64" t="str">
        <f t="shared" si="24"/>
        <v/>
      </c>
      <c s="65" t="str">
        <f>IFERROR(__xludf.DUMMYFUNCTION("""COMPUTED_VALUE"""),"")</f>
        <v/>
      </c>
      <c s="66">
        <f ca="1"/>
        <v>45250</v>
      </c>
      <c s="93" t="str">
        <f t="shared" si="44"/>
        <v/>
      </c>
      <c s="94" t="str">
        <f t="shared" si="392"/>
        <v/>
      </c>
      <c s="95" t="str">
        <f t="shared" si="416"/>
        <v/>
      </c>
      <c s="98" t="str">
        <f t="shared" si="417"/>
        <v/>
      </c>
      <c s="97" t="str">
        <f t="array" ref="CO113">IFERROR(IF(CI113="ac"+ISNUMBER(SEARCH("'",CN113))+CM113="","",IF(ISNUMBER(SEARCH("lw",CN113)),CA113+SUBSTITUTE(CN113,"lw+",""),MROUND(_xlfn.SWITCH(CI113,"sq",CM$7,"bn",CN$7,"dl",CO$7,"")*IF(CN113&gt;10,CN113/100,VLOOKUP(CN113,_rpe,SUBSTITUTE(CM113,"+","")+1,0)),IF(_xlfn.SWITCH(CI113,"sq",CM$7,"bn",CN$7,"dl",CO$7,"")&lt;IF(_uom="lbs",175,80),1.25,IF(_uom="lbs",5,2.5))))),"")</f>
        <v/>
      </c>
      <c s="70"/>
      <c s="63"/>
      <c s="97"/>
      <c s="44" t="str">
        <f>IFERROR(__xludf.DUMMYFUNCTION("IF(CO113=MAX(FILTER(CO$10:CO$199,LOOKUP(ROW(CI$10:CI$199),FILTER(ROW(CI$10:CI$199),CI$10:CI$199&lt;&gt;CI$9:CI$198))=LOOKUP(ROW(CI113),FILTER(ROW(CI$10:CI$199),CI$10:CI$199&lt;&gt;CI$9:CI$198)))),CP113,)"),"")</f>
        <v/>
      </c>
      <c s="42"/>
      <c s="63"/>
      <c s="64" t="str">
        <f t="shared" si="27"/>
        <v/>
      </c>
      <c s="65" t="str">
        <f>IFERROR(__xludf.DUMMYFUNCTION("""COMPUTED_VALUE"""),"")</f>
        <v/>
      </c>
      <c s="66">
        <f ca="1"/>
        <v>45257</v>
      </c>
      <c s="93" t="str">
        <f t="shared" si="45"/>
        <v/>
      </c>
      <c s="94" t="str">
        <f t="shared" si="393"/>
        <v/>
      </c>
      <c s="95" t="str">
        <f t="shared" si="418"/>
        <v/>
      </c>
      <c s="98" t="str">
        <f t="shared" si="401"/>
        <v/>
      </c>
      <c s="97" t="str">
        <f t="array" ref="DC113">IFERROR(IF(CW113="ac"+ISNUMBER(SEARCH("'",DB113))+DA113="","",IF(ISNUMBER(SEARCH("lw",DB113)),CO113+SUBSTITUTE(DB113,"lw+",""),MROUND(_xlfn.SWITCH(CW113,"sq",DA$7,"bn",DB$7,"dl",DC$7,"")*IF(DB113&gt;10,DB113/100,VLOOKUP(DB113,_rpe,SUBSTITUTE(DA113,"+","")+1,0)),IF(_xlfn.SWITCH(CW113,"sq",DA$7,"bn",DB$7,"dl",DC$7,"")&lt;IF(_uom="lbs",175,80),1.25,IF(_uom="lbs",5,2.5))))),"")</f>
        <v/>
      </c>
      <c s="70"/>
      <c s="63"/>
      <c s="97"/>
      <c s="44" t="str">
        <f>IFERROR(__xludf.DUMMYFUNCTION("IF(DC113=MAX(FILTER(DC$10:DC$199,LOOKUP(ROW(CW$10:CW$199),FILTER(ROW(CW$10:CW$199),CW$10:CW$199&lt;&gt;CW$9:CW$198))=LOOKUP(ROW(CW113),FILTER(ROW(CW$10:CW$199),CW$10:CW$199&lt;&gt;CW$9:CW$198)))),DD113,)"),"")</f>
        <v/>
      </c>
      <c s="42"/>
      <c s="63"/>
      <c s="64" t="str">
        <f t="shared" si="30"/>
        <v/>
      </c>
      <c s="65" t="str">
        <f>IFERROR(__xludf.DUMMYFUNCTION("""COMPUTED_VALUE"""),"")</f>
        <v/>
      </c>
      <c s="66">
        <f ca="1"/>
        <v>45264</v>
      </c>
      <c s="93" t="str">
        <f t="shared" si="46"/>
        <v/>
      </c>
      <c s="94" t="str">
        <f t="shared" si="394"/>
        <v/>
      </c>
      <c s="95" t="str">
        <f t="shared" si="419"/>
        <v/>
      </c>
      <c s="98" t="str">
        <f t="shared" si="420"/>
        <v/>
      </c>
      <c s="97" t="str">
        <f t="array" ref="DQ113">IFERROR(IF(DK113="ac"+ISNUMBER(SEARCH("'",DP113))+DO113="","",IF(ISNUMBER(SEARCH("lw",DP113)),DC113+SUBSTITUTE(DP113,"lw+",""),MROUND(_xlfn.SWITCH(DK113,"sq",DO$7,"bn",DP$7,"dl",DQ$7,"")*IF(DP113&gt;10,DP113/100,VLOOKUP(DP113,_rpe,SUBSTITUTE(DO113,"+","")+1,0)),IF(_xlfn.SWITCH(DK113,"sq",DO$7,"bn",DP$7,"dl",DQ$7,"")&lt;IF(_uom="lbs",175,80),1.25,IF(_uom="lbs",5,2.5))))),"")</f>
        <v/>
      </c>
      <c s="70"/>
      <c s="63"/>
      <c s="97"/>
      <c s="44" t="str">
        <f>IFERROR(__xludf.DUMMYFUNCTION("IF(DQ113=MAX(FILTER(DQ$10:DQ$199,LOOKUP(ROW(DK$10:DK$199),FILTER(ROW(DK$10:DK$199),DK$10:DK$199&lt;&gt;DK$9:DK$198))=LOOKUP(ROW(DK113),FILTER(ROW(DK$10:DK$199),DK$10:DK$199&lt;&gt;DK$9:DK$198)))),DR113,)"),"")</f>
        <v/>
      </c>
      <c s="42"/>
      <c s="63"/>
      <c s="64" t="str">
        <f t="shared" si="32"/>
        <v/>
      </c>
      <c s="65" t="str">
        <f>IFERROR(__xludf.DUMMYFUNCTION("""COMPUTED_VALUE"""),"")</f>
        <v/>
      </c>
      <c s="66">
        <f ca="1"/>
        <v>45271</v>
      </c>
      <c s="93" t="str">
        <f t="shared" si="47"/>
        <v/>
      </c>
      <c s="94" t="str">
        <f t="shared" si="405"/>
        <v/>
      </c>
      <c s="95" t="str">
        <f t="shared" si="421"/>
        <v/>
      </c>
      <c s="98" t="str">
        <f t="shared" si="422"/>
        <v/>
      </c>
      <c s="97" t="str">
        <f t="array" ref="EE113">IFERROR(IF(DY113="ac"+ISNUMBER(SEARCH("'",ED113))+EC113="","",IF(ISNUMBER(SEARCH("lw",ED113)),DQ113+SUBSTITUTE(ED113,"lw+",""),MROUND(_xlfn.SWITCH(DY113,"sq",EC$7,"bn",ED$7,"dl",EE$7,"")*IF(ED113&gt;10,ED113/100,VLOOKUP(ED113,_rpe,SUBSTITUTE(EC113,"+","")+1,0)),IF(_xlfn.SWITCH(DY113,"sq",EC$7,"bn",ED$7,"dl",EE$7,"")&lt;IF(_uom="lbs",175,80),1.25,IF(_uom="lbs",5,2.5))))),"")</f>
        <v/>
      </c>
      <c s="70"/>
      <c s="63"/>
      <c s="97"/>
      <c s="44" t="str">
        <f>IFERROR(__xludf.DUMMYFUNCTION("IF(EE113=MAX(FILTER(EE$10:EE$199,LOOKUP(ROW(DY$10:DY$199),FILTER(ROW(DY$10:DY$199),DY$10:DY$199&lt;&gt;DY$9:DY$198))=LOOKUP(ROW(DY113),FILTER(ROW(DY$10:DY$199),DY$10:DY$199&lt;&gt;DY$9:DY$198)))),EF113,)"),"")</f>
        <v/>
      </c>
      <c s="42"/>
      <c s="63"/>
      <c s="64" t="str">
        <f t="shared" si="34"/>
        <v/>
      </c>
      <c s="65" t="str">
        <f>IFERROR(__xludf.DUMMYFUNCTION("""COMPUTED_VALUE"""),"")</f>
        <v/>
      </c>
      <c s="66">
        <f ca="1"/>
        <v>45278</v>
      </c>
      <c s="93" t="str">
        <f t="shared" si="48"/>
        <v/>
      </c>
      <c s="94" t="str">
        <f t="shared" si="395"/>
        <v/>
      </c>
      <c s="95" t="str">
        <f t="shared" si="423"/>
        <v/>
      </c>
      <c s="98" t="str">
        <f t="shared" si="402"/>
        <v/>
      </c>
      <c s="97" t="str">
        <f t="array" ref="ES113">IFERROR(IF(EM113="ac"+ISNUMBER(SEARCH("'",ER113))+EQ113="","",IF(ISNUMBER(SEARCH("lw",ER113)),EE113+SUBSTITUTE(ER113,"lw+",""),MROUND(_xlfn.SWITCH(EM113,"sq",EQ$7,"bn",ER$7,"dl",ES$7,"")*IF(ER113&gt;10,ER113/100,VLOOKUP(ER113,_rpe,SUBSTITUTE(EQ113,"+","")+1,0)),IF(_xlfn.SWITCH(EM113,"sq",EQ$7,"bn",ER$7,"dl",ES$7,"")&lt;IF(_uom="lbs",175,80),1.25,IF(_uom="lbs",5,2.5))))),"")</f>
        <v/>
      </c>
      <c s="70"/>
      <c s="63"/>
      <c s="97"/>
      <c s="44" t="str">
        <f>IFERROR(__xludf.DUMMYFUNCTION("IF(ES113=MAX(FILTER(ES$10:ES$199,LOOKUP(ROW(EM$10:EM$199),FILTER(ROW(EM$10:EM$199),EM$10:EM$199&lt;&gt;EM$9:EM$198))=LOOKUP(ROW(EM113),FILTER(ROW(EM$10:EM$199),EM$10:EM$199&lt;&gt;EM$9:EM$198)))),ET113,)"),"")</f>
        <v/>
      </c>
      <c s="42"/>
      <c s="63"/>
      <c s="64" t="str">
        <f t="shared" si="36"/>
        <v/>
      </c>
      <c s="65" t="str">
        <f>IFERROR(__xludf.DUMMYFUNCTION("""COMPUTED_VALUE"""),"")</f>
        <v/>
      </c>
      <c s="66">
        <f ca="1"/>
        <v>45285</v>
      </c>
      <c s="93" t="str">
        <f t="shared" si="49"/>
        <v/>
      </c>
      <c s="94" t="str">
        <f t="shared" si="396"/>
        <v/>
      </c>
      <c s="95" t="str">
        <f t="shared" si="424"/>
        <v/>
      </c>
      <c s="98" t="str">
        <f t="shared" si="403"/>
        <v/>
      </c>
      <c s="97" t="str">
        <f t="array" ref="FG113">IFERROR(IF(FA113="ac"+ISNUMBER(SEARCH("'",FF113))+FE113="","",IF(ISNUMBER(SEARCH("lw",FF113)),ES113+SUBSTITUTE(FF113,"lw+",""),MROUND(_xlfn.SWITCH(FA113,"sq",FE$7,"bn",FF$7,"dl",FG$7,"")*IF(FF113&gt;10,FF113/100,VLOOKUP(FF113,_rpe,SUBSTITUTE(FE113,"+","")+1,0)),IF(_xlfn.SWITCH(FA113,"sq",FE$7,"bn",FF$7,"dl",FG$7,"")&lt;IF(_uom="lbs",175,80),1.25,IF(_uom="lbs",5,2.5))))),"")</f>
        <v/>
      </c>
      <c s="70"/>
      <c s="63"/>
      <c s="97"/>
      <c s="44" t="str">
        <f>IFERROR(__xludf.DUMMYFUNCTION("IF(FG113=MAX(FILTER(FG$10:FG$199,LOOKUP(ROW(FA$10:FA$199),FILTER(ROW(FA$10:FA$199),FA$10:FA$199&lt;&gt;FA$9:FA$198))=LOOKUP(ROW(FA113),FILTER(ROW(FA$10:FA$199),FA$10:FA$199&lt;&gt;FA$9:FA$198)))),FH113,)"),"")</f>
        <v/>
      </c>
      <c s="42"/>
      <c s="63"/>
      <c s="64" t="str">
        <f t="shared" si="38"/>
        <v/>
      </c>
      <c s="65" t="str">
        <f>IFERROR(__xludf.DUMMYFUNCTION("""COMPUTED_VALUE"""),"")</f>
        <v/>
      </c>
      <c s="66">
        <f ca="1"/>
        <v>45292</v>
      </c>
      <c s="93" t="str">
        <f t="shared" si="457" ref="FQ113:FR113">IF(ISBLANK(FC113),"",FC113)</f>
        <v/>
      </c>
      <c s="94" t="str">
        <f t="shared" si="457"/>
        <v/>
      </c>
      <c s="95" t="str">
        <f t="shared" si="428"/>
        <v/>
      </c>
      <c s="98" t="str">
        <f t="shared" si="429"/>
        <v/>
      </c>
      <c s="97" t="str">
        <f t="array" ref="FU113">IFERROR(IF(FO113="ac"+ISNUMBER(SEARCH("'",FT113))+FS113="","",IF(ISNUMBER(SEARCH("lw",FT113)),FG113+SUBSTITUTE(FT113,"lw+",""),MROUND(_xlfn.SWITCH(FO113,"sq",FS$7,"bn",FT$7,"dl",FU$7,"")*IF(FT113&gt;10,FT113/100,VLOOKUP(FT113,_rpe,SUBSTITUTE(FS113,"+","")+1,0)),IF(_xlfn.SWITCH(FO113,"sq",FS$7,"bn",FT$7,"dl",FU$7,"")&lt;IF(_uom="lbs",175,80),1.25,IF(_uom="lbs",5,2.5))))),"")</f>
        <v/>
      </c>
      <c s="70"/>
      <c s="63"/>
      <c s="97"/>
      <c s="44" t="str">
        <f>IFERROR(__xludf.DUMMYFUNCTION("IF(FU113=MAX(FILTER(FU$10:FU$199,LOOKUP(ROW(FO$10:FO$199),FILTER(ROW(FO$10:FO$199),FO$10:FO$199&lt;&gt;FO$9:FO$198))=LOOKUP(ROW(FO113),FILTER(ROW(FO$10:FO$199),FO$10:FO$199&lt;&gt;FO$9:FO$198)))),FV113,)"),"")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14" spans="1:259" ht="15.75">
      <c r="A114" s="63"/>
      <c s="107"/>
      <c s="65" t="str">
        <f>IFERROR(__xludf.DUMMYFUNCTION("""COMPUTED_VALUE"""),"")</f>
        <v/>
      </c>
      <c s="66">
        <f ca="1"/>
        <v>45208</v>
      </c>
      <c s="93"/>
      <c s="94"/>
      <c s="95"/>
      <c s="96"/>
      <c s="97" t="str">
        <f t="array" ref="I114">IFERROR(IF(C114="ac"+ISNUMBER(SEARCH("'",H114))+G114="","",MROUND(_xlfn.SWITCH(C114,"sq",'Personal Info'!$O$15,"bn",'Personal Info'!$S$15,"dl",'Personal Info'!$W$15,"")*IF(H114&gt;10,H114/100,VLOOKUP(H114,_rpe,SUBSTITUTE(G114,"+","")+1,0)),IF(_xlfn.SWITCH(C114:C210,"sq",'Personal Info'!$O$15,"bn",'Personal Info'!$S$15,"dl",'Personal Info'!$W$15,"")&lt;IF(_uom="lbs",175,80),1.25,IF(_uom="lbs",5,2.5)))),"")</f>
        <v/>
      </c>
      <c s="70"/>
      <c s="63"/>
      <c s="97"/>
      <c s="44" t="str">
        <f>IFERROR(__xludf.DUMMYFUNCTION("IF(I114=MAX(FILTER(I$10:I$199,LOOKUP(ROW(C$10:C$199),FILTER(ROW(C$10:C$199),C$10:C$199&lt;&gt;C$9:C$198))=LOOKUP(ROW(C114),FILTER(ROW(C$10:C$199),C$10:C$199&lt;&gt;C$9:C$198)))),J114,)"),"")</f>
        <v/>
      </c>
      <c s="42"/>
      <c s="63"/>
      <c s="64" t="str">
        <f t="shared" si="11"/>
        <v/>
      </c>
      <c s="65" t="str">
        <f>IFERROR(__xludf.DUMMYFUNCTION("""COMPUTED_VALUE"""),"")</f>
        <v/>
      </c>
      <c s="66">
        <f ca="1"/>
        <v>45215</v>
      </c>
      <c s="93" t="str">
        <f t="shared" si="12"/>
        <v/>
      </c>
      <c s="94" t="str">
        <f t="shared" si="404"/>
        <v/>
      </c>
      <c s="95" t="str">
        <f t="shared" si="406"/>
        <v/>
      </c>
      <c s="98" t="str">
        <f t="shared" si="407"/>
        <v/>
      </c>
      <c s="97" t="str">
        <f t="array" ref="W114">IFERROR(IF(Q114="ac"+ISNUMBER(SEARCH("'",V114))+U114="","",IF(ISNUMBER(SEARCH("lw",V114)),I114+SUBSTITUTE(V114,"lw+",""),MROUND(_xlfn.SWITCH(Q114,"sq",U$7,"bn",V$7,"dl",W$7,"")*IF(V114&gt;10,V114/100,VLOOKUP(V114,_rpe,SUBSTITUTE(U114,"+","")+1,0)),IF(_xlfn.SWITCH(Q114,"sq",U$7,"bn",V$7,"dl",W$7,"")&lt;IF(_uom="lbs",175,80),1.25,IF(_uom="lbs",5,2.5))))),"")</f>
        <v/>
      </c>
      <c s="70"/>
      <c s="63"/>
      <c s="97"/>
      <c s="44" t="str">
        <f>IFERROR(__xludf.DUMMYFUNCTION("IF(W114=MAX(FILTER(W$10:W$199,LOOKUP(ROW(Q$10:Q$199),FILTER(ROW(Q$10:Q$199),Q$10:Q$199&lt;&gt;Q$9:Q$198))=LOOKUP(ROW(Q114),FILTER(ROW(Q$10:Q$199),Q$10:Q$199&lt;&gt;Q$9:Q$198)))),X114,)"),"")</f>
        <v/>
      </c>
      <c s="42"/>
      <c s="63"/>
      <c s="64" t="str">
        <f t="shared" si="14"/>
        <v/>
      </c>
      <c s="65" t="str">
        <f>IFERROR(__xludf.DUMMYFUNCTION("""COMPUTED_VALUE"""),"")</f>
        <v/>
      </c>
      <c s="66">
        <f ca="1"/>
        <v>45222</v>
      </c>
      <c s="93" t="str">
        <f t="shared" si="156"/>
        <v/>
      </c>
      <c s="94" t="str">
        <f t="shared" si="397"/>
        <v/>
      </c>
      <c s="95" t="str">
        <f t="shared" si="408"/>
        <v/>
      </c>
      <c s="98" t="str">
        <f t="shared" si="398"/>
        <v/>
      </c>
      <c s="97" t="str">
        <f t="array" ref="AK114">IFERROR(IF(AE114="ac"+ISNUMBER(SEARCH("'",AJ114))+AI114="","",IF(ISNUMBER(SEARCH("lw",AJ114)),W114+SUBSTITUTE(AJ114,"lw+",""),MROUND(_xlfn.SWITCH(AE114,"sq",AI$7,"bn",AJ$7,"dl",AK$7,"")*IF(AJ114&gt;10,AJ114/100,VLOOKUP(AJ114,_rpe,SUBSTITUTE(AI114,"+","")+1,0)),IF(_xlfn.SWITCH(AE114,"sq",AI$7,"bn",AJ$7,"dl",AK$7,"")&lt;IF(_uom="lbs",175,80),1.25,IF(_uom="lbs",5,2.5))))),"")</f>
        <v/>
      </c>
      <c s="70"/>
      <c s="63"/>
      <c s="97"/>
      <c s="44" t="str">
        <f>IFERROR(__xludf.DUMMYFUNCTION("IF(AK114=MAX(FILTER(AK$10:AK$199,LOOKUP(ROW(AE$10:AE$199),FILTER(ROW(AE$10:AE$199),AE$10:AE$199&lt;&gt;AE$9:AE$198))=LOOKUP(ROW(AE114),FILTER(ROW(AE$10:AE$199),AE$10:AE$199&lt;&gt;AE$9:AE$198)))),AL114,)"),"")</f>
        <v/>
      </c>
      <c s="42"/>
      <c s="63"/>
      <c s="64" t="str">
        <f t="shared" si="17"/>
        <v/>
      </c>
      <c s="65" t="str">
        <f>IFERROR(__xludf.DUMMYFUNCTION("""COMPUTED_VALUE"""),"")</f>
        <v/>
      </c>
      <c s="66">
        <f ca="1"/>
        <v>45229</v>
      </c>
      <c s="93" t="str">
        <f t="shared" si="157"/>
        <v/>
      </c>
      <c s="94" t="str">
        <f t="shared" si="399"/>
        <v/>
      </c>
      <c s="95" t="str">
        <f t="shared" si="409"/>
        <v/>
      </c>
      <c s="98" t="str">
        <f t="shared" si="400"/>
        <v/>
      </c>
      <c s="97" t="str">
        <f t="array" ref="AY114">IFERROR(IF(AS114="ac"+ISNUMBER(SEARCH("'",AX114))+AW114="","",IF(ISNUMBER(SEARCH("lw",AX114)),AK114+SUBSTITUTE(AX114,"lw+",""),MROUND(_xlfn.SWITCH(AS114,"sq",AW$7,"bn",AX$7,"dl",AY$7,"")*IF(AX114&gt;10,AX114/100,VLOOKUP(AX114,_rpe,SUBSTITUTE(AW114,"+","")+1,0)),IF(_xlfn.SWITCH(AS114,"sq",AW$7,"bn",AX$7,"dl",AY$7,"")&lt;IF(_uom="lbs",175,80),1.25,IF(_uom="lbs",5,2.5))))),"")</f>
        <v/>
      </c>
      <c s="70"/>
      <c s="63"/>
      <c s="97"/>
      <c s="44" t="str">
        <f>IFERROR(__xludf.DUMMYFUNCTION("IF(AY114=MAX(FILTER(AY$10:AY$199,LOOKUP(ROW(AS$10:AS$199),FILTER(ROW(AS$10:AS$199),AS$10:AS$199&lt;&gt;AS$9:AS$198))=LOOKUP(ROW(AS114),FILTER(ROW(AS$10:AS$199),AS$10:AS$199&lt;&gt;AS$9:AS$198)))),AZ114,)"),"")</f>
        <v/>
      </c>
      <c s="42"/>
      <c s="63"/>
      <c s="64" t="str">
        <f t="shared" si="19"/>
        <v/>
      </c>
      <c s="65" t="str">
        <f>IFERROR(__xludf.DUMMYFUNCTION("""COMPUTED_VALUE"""),"")</f>
        <v/>
      </c>
      <c s="66">
        <f ca="1"/>
        <v>45236</v>
      </c>
      <c s="93" t="str">
        <f t="shared" si="20"/>
        <v/>
      </c>
      <c s="94" t="str">
        <f t="shared" si="425"/>
        <v/>
      </c>
      <c s="95" t="str">
        <f t="shared" si="411"/>
        <v/>
      </c>
      <c s="98" t="str">
        <f t="shared" si="412"/>
        <v/>
      </c>
      <c s="97" t="str">
        <f t="array" ref="BM114">IFERROR(IF(BG114="ac"+ISNUMBER(SEARCH("'",BL114))+BK114="","",IF(ISNUMBER(SEARCH("lw",BL114)),AY114+SUBSTITUTE(BL114,"lw+",""),MROUND(_xlfn.SWITCH(BG114,"sq",BK$7,"bn",BL$7,"dl",BM$7,"")*IF(BL114&gt;10,BL114/100,VLOOKUP(BL114,_rpe,SUBSTITUTE(BK114,"+","")+1,0)),IF(_xlfn.SWITCH(BG114,"sq",BK$7,"bn",BL$7,"dl",BM$7,"")&lt;IF(_uom="lbs",175,80),1.25,IF(_uom="lbs",5,2.5))))),"")</f>
        <v/>
      </c>
      <c s="70"/>
      <c s="63"/>
      <c s="97"/>
      <c s="44" t="str">
        <f>IFERROR(__xludf.DUMMYFUNCTION("IF(BM114=MAX(FILTER(BM$10:BM$199,LOOKUP(ROW(BG$10:BG$199),FILTER(ROW(BG$10:BG$199),BG$10:BG$199&lt;&gt;BG$9:BG$198))=LOOKUP(ROW(BG114),FILTER(ROW(BG$10:BG$199),BG$10:BG$199&lt;&gt;BG$9:BG$198)))),BN114,)"),"")</f>
        <v/>
      </c>
      <c s="42"/>
      <c s="63"/>
      <c s="64" t="str">
        <f t="shared" si="21"/>
        <v/>
      </c>
      <c s="65" t="str">
        <f>IFERROR(__xludf.DUMMYFUNCTION("""COMPUTED_VALUE"""),"")</f>
        <v/>
      </c>
      <c s="66">
        <f ca="1"/>
        <v>45243</v>
      </c>
      <c s="93" t="str">
        <f t="shared" si="22"/>
        <v/>
      </c>
      <c s="94" t="str">
        <f t="shared" si="426"/>
        <v/>
      </c>
      <c s="95" t="str">
        <f t="shared" si="414"/>
        <v/>
      </c>
      <c s="98" t="str">
        <f t="shared" si="415"/>
        <v/>
      </c>
      <c s="97" t="str">
        <f t="array" ref="CA114">IFERROR(IF(BU114="ac"+ISNUMBER(SEARCH("'",BZ114))+BY114="","",IF(ISNUMBER(SEARCH("lw",BZ114)),BM114+SUBSTITUTE(BZ114,"lw+",""),MROUND(_xlfn.SWITCH(BU114,"sq",BY$7,"bn",BZ$7,"dl",CA$7,"")*IF(BZ114&gt;10,BZ114/100,VLOOKUP(BZ114,_rpe,SUBSTITUTE(BY114,"+","")+1,0)),IF(_xlfn.SWITCH(BU114,"sq",BY$7,"bn",BZ$7,"dl",CA$7,"")&lt;IF(_uom="lbs",175,80),1.25,IF(_uom="lbs",5,2.5))))),"")</f>
        <v/>
      </c>
      <c s="70"/>
      <c s="63"/>
      <c s="97"/>
      <c s="44" t="str">
        <f>IFERROR(__xludf.DUMMYFUNCTION("IF(CA114=MAX(FILTER(CA$10:CA$199,LOOKUP(ROW(BU$10:BU$199),FILTER(ROW(BU$10:BU$199),BU$10:BU$199&lt;&gt;BU$9:BU$198))=LOOKUP(ROW(BU114),FILTER(ROW(BU$10:BU$199),BU$10:BU$199&lt;&gt;BU$9:BU$198)))),CB114,)"),"")</f>
        <v/>
      </c>
      <c s="42"/>
      <c s="63"/>
      <c s="64" t="str">
        <f t="shared" si="24"/>
        <v/>
      </c>
      <c s="65" t="str">
        <f>IFERROR(__xludf.DUMMYFUNCTION("""COMPUTED_VALUE"""),"")</f>
        <v/>
      </c>
      <c s="66">
        <f ca="1"/>
        <v>45250</v>
      </c>
      <c s="93" t="str">
        <f t="shared" si="44"/>
        <v/>
      </c>
      <c s="94" t="str">
        <f t="shared" si="392"/>
        <v/>
      </c>
      <c s="95" t="str">
        <f t="shared" si="416"/>
        <v/>
      </c>
      <c s="98" t="str">
        <f t="shared" si="417"/>
        <v/>
      </c>
      <c s="97" t="str">
        <f t="array" ref="CO114">IFERROR(IF(CI114="ac"+ISNUMBER(SEARCH("'",CN114))+CM114="","",IF(ISNUMBER(SEARCH("lw",CN114)),CA114+SUBSTITUTE(CN114,"lw+",""),MROUND(_xlfn.SWITCH(CI114,"sq",CM$7,"bn",CN$7,"dl",CO$7,"")*IF(CN114&gt;10,CN114/100,VLOOKUP(CN114,_rpe,SUBSTITUTE(CM114,"+","")+1,0)),IF(_xlfn.SWITCH(CI114,"sq",CM$7,"bn",CN$7,"dl",CO$7,"")&lt;IF(_uom="lbs",175,80),1.25,IF(_uom="lbs",5,2.5))))),"")</f>
        <v/>
      </c>
      <c s="70"/>
      <c s="63"/>
      <c s="97"/>
      <c s="44" t="str">
        <f>IFERROR(__xludf.DUMMYFUNCTION("IF(CO114=MAX(FILTER(CO$10:CO$199,LOOKUP(ROW(CI$10:CI$199),FILTER(ROW(CI$10:CI$199),CI$10:CI$199&lt;&gt;CI$9:CI$198))=LOOKUP(ROW(CI114),FILTER(ROW(CI$10:CI$199),CI$10:CI$199&lt;&gt;CI$9:CI$198)))),CP114,)"),"")</f>
        <v/>
      </c>
      <c s="42"/>
      <c s="63"/>
      <c s="64" t="str">
        <f t="shared" si="27"/>
        <v/>
      </c>
      <c s="65" t="str">
        <f>IFERROR(__xludf.DUMMYFUNCTION("""COMPUTED_VALUE"""),"")</f>
        <v/>
      </c>
      <c s="66">
        <f ca="1"/>
        <v>45257</v>
      </c>
      <c s="93" t="str">
        <f t="shared" si="45"/>
        <v/>
      </c>
      <c s="94" t="str">
        <f t="shared" si="393"/>
        <v/>
      </c>
      <c s="95" t="str">
        <f t="shared" si="418"/>
        <v/>
      </c>
      <c s="98" t="str">
        <f t="shared" si="401"/>
        <v/>
      </c>
      <c s="97" t="str">
        <f t="array" ref="DC114">IFERROR(IF(CW114="ac"+ISNUMBER(SEARCH("'",DB114))+DA114="","",IF(ISNUMBER(SEARCH("lw",DB114)),CO114+SUBSTITUTE(DB114,"lw+",""),MROUND(_xlfn.SWITCH(CW114,"sq",DA$7,"bn",DB$7,"dl",DC$7,"")*IF(DB114&gt;10,DB114/100,VLOOKUP(DB114,_rpe,SUBSTITUTE(DA114,"+","")+1,0)),IF(_xlfn.SWITCH(CW114,"sq",DA$7,"bn",DB$7,"dl",DC$7,"")&lt;IF(_uom="lbs",175,80),1.25,IF(_uom="lbs",5,2.5))))),"")</f>
        <v/>
      </c>
      <c s="70"/>
      <c s="63"/>
      <c s="97"/>
      <c s="44" t="str">
        <f>IFERROR(__xludf.DUMMYFUNCTION("IF(DC114=MAX(FILTER(DC$10:DC$199,LOOKUP(ROW(CW$10:CW$199),FILTER(ROW(CW$10:CW$199),CW$10:CW$199&lt;&gt;CW$9:CW$198))=LOOKUP(ROW(CW114),FILTER(ROW(CW$10:CW$199),CW$10:CW$199&lt;&gt;CW$9:CW$198)))),DD114,)"),"")</f>
        <v/>
      </c>
      <c s="42"/>
      <c s="63"/>
      <c s="64" t="str">
        <f t="shared" si="30"/>
        <v/>
      </c>
      <c s="65" t="str">
        <f>IFERROR(__xludf.DUMMYFUNCTION("""COMPUTED_VALUE"""),"")</f>
        <v/>
      </c>
      <c s="66">
        <f ca="1"/>
        <v>45264</v>
      </c>
      <c s="93" t="str">
        <f t="shared" si="46"/>
        <v/>
      </c>
      <c s="94" t="str">
        <f t="shared" si="394"/>
        <v/>
      </c>
      <c s="95" t="str">
        <f t="shared" si="419"/>
        <v/>
      </c>
      <c s="98" t="str">
        <f t="shared" si="420"/>
        <v/>
      </c>
      <c s="97" t="str">
        <f t="array" ref="DQ114">IFERROR(IF(DK114="ac"+ISNUMBER(SEARCH("'",DP114))+DO114="","",IF(ISNUMBER(SEARCH("lw",DP114)),DC114+SUBSTITUTE(DP114,"lw+",""),MROUND(_xlfn.SWITCH(DK114,"sq",DO$7,"bn",DP$7,"dl",DQ$7,"")*IF(DP114&gt;10,DP114/100,VLOOKUP(DP114,_rpe,SUBSTITUTE(DO114,"+","")+1,0)),IF(_xlfn.SWITCH(DK114,"sq",DO$7,"bn",DP$7,"dl",DQ$7,"")&lt;IF(_uom="lbs",175,80),1.25,IF(_uom="lbs",5,2.5))))),"")</f>
        <v/>
      </c>
      <c s="70"/>
      <c s="63"/>
      <c s="97"/>
      <c s="44" t="str">
        <f>IFERROR(__xludf.DUMMYFUNCTION("IF(DQ114=MAX(FILTER(DQ$10:DQ$199,LOOKUP(ROW(DK$10:DK$199),FILTER(ROW(DK$10:DK$199),DK$10:DK$199&lt;&gt;DK$9:DK$198))=LOOKUP(ROW(DK114),FILTER(ROW(DK$10:DK$199),DK$10:DK$199&lt;&gt;DK$9:DK$198)))),DR114,)"),"")</f>
        <v/>
      </c>
      <c s="42"/>
      <c s="63"/>
      <c s="64" t="str">
        <f t="shared" si="32"/>
        <v/>
      </c>
      <c s="65" t="str">
        <f>IFERROR(__xludf.DUMMYFUNCTION("""COMPUTED_VALUE"""),"")</f>
        <v/>
      </c>
      <c s="66">
        <f ca="1"/>
        <v>45271</v>
      </c>
      <c s="93" t="str">
        <f t="shared" si="47"/>
        <v/>
      </c>
      <c s="94" t="str">
        <f t="shared" si="405"/>
        <v/>
      </c>
      <c s="95" t="str">
        <f t="shared" si="421"/>
        <v/>
      </c>
      <c s="98" t="str">
        <f t="shared" si="422"/>
        <v/>
      </c>
      <c s="97" t="str">
        <f t="array" ref="EE114">IFERROR(IF(DY114="ac"+ISNUMBER(SEARCH("'",ED114))+EC114="","",IF(ISNUMBER(SEARCH("lw",ED114)),DQ114+SUBSTITUTE(ED114,"lw+",""),MROUND(_xlfn.SWITCH(DY114,"sq",EC$7,"bn",ED$7,"dl",EE$7,"")*IF(ED114&gt;10,ED114/100,VLOOKUP(ED114,_rpe,SUBSTITUTE(EC114,"+","")+1,0)),IF(_xlfn.SWITCH(DY114,"sq",EC$7,"bn",ED$7,"dl",EE$7,"")&lt;IF(_uom="lbs",175,80),1.25,IF(_uom="lbs",5,2.5))))),"")</f>
        <v/>
      </c>
      <c s="70"/>
      <c s="63"/>
      <c s="97"/>
      <c s="44" t="str">
        <f>IFERROR(__xludf.DUMMYFUNCTION("IF(EE114=MAX(FILTER(EE$10:EE$199,LOOKUP(ROW(DY$10:DY$199),FILTER(ROW(DY$10:DY$199),DY$10:DY$199&lt;&gt;DY$9:DY$198))=LOOKUP(ROW(DY114),FILTER(ROW(DY$10:DY$199),DY$10:DY$199&lt;&gt;DY$9:DY$198)))),EF114,)"),"")</f>
        <v/>
      </c>
      <c s="42"/>
      <c s="63"/>
      <c s="64" t="str">
        <f t="shared" si="34"/>
        <v/>
      </c>
      <c s="65" t="str">
        <f>IFERROR(__xludf.DUMMYFUNCTION("""COMPUTED_VALUE"""),"")</f>
        <v/>
      </c>
      <c s="66">
        <f ca="1"/>
        <v>45278</v>
      </c>
      <c s="93" t="str">
        <f t="shared" si="48"/>
        <v/>
      </c>
      <c s="94" t="str">
        <f t="shared" si="395"/>
        <v/>
      </c>
      <c s="95" t="str">
        <f t="shared" si="423"/>
        <v/>
      </c>
      <c s="98" t="str">
        <f t="shared" si="402"/>
        <v/>
      </c>
      <c s="97" t="str">
        <f t="array" ref="ES114">IFERROR(IF(EM114="ac"+ISNUMBER(SEARCH("'",ER114))+EQ114="","",IF(ISNUMBER(SEARCH("lw",ER114)),EE114+SUBSTITUTE(ER114,"lw+",""),MROUND(_xlfn.SWITCH(EM114,"sq",EQ$7,"bn",ER$7,"dl",ES$7,"")*IF(ER114&gt;10,ER114/100,VLOOKUP(ER114,_rpe,SUBSTITUTE(EQ114,"+","")+1,0)),IF(_xlfn.SWITCH(EM114,"sq",EQ$7,"bn",ER$7,"dl",ES$7,"")&lt;IF(_uom="lbs",175,80),1.25,IF(_uom="lbs",5,2.5))))),"")</f>
        <v/>
      </c>
      <c s="70"/>
      <c s="63"/>
      <c s="97"/>
      <c s="44" t="str">
        <f>IFERROR(__xludf.DUMMYFUNCTION("IF(ES114=MAX(FILTER(ES$10:ES$199,LOOKUP(ROW(EM$10:EM$199),FILTER(ROW(EM$10:EM$199),EM$10:EM$199&lt;&gt;EM$9:EM$198))=LOOKUP(ROW(EM114),FILTER(ROW(EM$10:EM$199),EM$10:EM$199&lt;&gt;EM$9:EM$198)))),ET114,)"),"")</f>
        <v/>
      </c>
      <c s="42"/>
      <c s="63"/>
      <c s="64" t="str">
        <f t="shared" si="36"/>
        <v/>
      </c>
      <c s="65" t="str">
        <f>IFERROR(__xludf.DUMMYFUNCTION("""COMPUTED_VALUE"""),"")</f>
        <v/>
      </c>
      <c s="66">
        <f ca="1"/>
        <v>45285</v>
      </c>
      <c s="93" t="str">
        <f t="shared" si="49"/>
        <v/>
      </c>
      <c s="94" t="str">
        <f t="shared" si="396"/>
        <v/>
      </c>
      <c s="95" t="str">
        <f t="shared" si="424"/>
        <v/>
      </c>
      <c s="98" t="str">
        <f t="shared" si="403"/>
        <v/>
      </c>
      <c s="97" t="str">
        <f t="array" ref="FG114">IFERROR(IF(FA114="ac"+ISNUMBER(SEARCH("'",FF114))+FE114="","",IF(ISNUMBER(SEARCH("lw",FF114)),ES114+SUBSTITUTE(FF114,"lw+",""),MROUND(_xlfn.SWITCH(FA114,"sq",FE$7,"bn",FF$7,"dl",FG$7,"")*IF(FF114&gt;10,FF114/100,VLOOKUP(FF114,_rpe,SUBSTITUTE(FE114,"+","")+1,0)),IF(_xlfn.SWITCH(FA114,"sq",FE$7,"bn",FF$7,"dl",FG$7,"")&lt;IF(_uom="lbs",175,80),1.25,IF(_uom="lbs",5,2.5))))),"")</f>
        <v/>
      </c>
      <c s="70"/>
      <c s="63"/>
      <c s="97"/>
      <c s="44" t="str">
        <f>IFERROR(__xludf.DUMMYFUNCTION("IF(FG114=MAX(FILTER(FG$10:FG$199,LOOKUP(ROW(FA$10:FA$199),FILTER(ROW(FA$10:FA$199),FA$10:FA$199&lt;&gt;FA$9:FA$198))=LOOKUP(ROW(FA114),FILTER(ROW(FA$10:FA$199),FA$10:FA$199&lt;&gt;FA$9:FA$198)))),FH114,)"),"")</f>
        <v/>
      </c>
      <c s="42"/>
      <c s="63"/>
      <c s="64" t="str">
        <f t="shared" si="38"/>
        <v/>
      </c>
      <c s="65" t="str">
        <f>IFERROR(__xludf.DUMMYFUNCTION("""COMPUTED_VALUE"""),"")</f>
        <v/>
      </c>
      <c s="66">
        <f ca="1"/>
        <v>45292</v>
      </c>
      <c s="93" t="str">
        <f t="shared" si="458" ref="FQ114:FR114">IF(ISBLANK(FC114),"",FC114)</f>
        <v/>
      </c>
      <c s="94" t="str">
        <f t="shared" si="458"/>
        <v/>
      </c>
      <c s="95" t="str">
        <f t="shared" si="428"/>
        <v/>
      </c>
      <c s="98" t="str">
        <f t="shared" si="429"/>
        <v/>
      </c>
      <c s="97" t="str">
        <f t="array" ref="FU114">IFERROR(IF(FO114="ac"+ISNUMBER(SEARCH("'",FT114))+FS114="","",IF(ISNUMBER(SEARCH("lw",FT114)),FG114+SUBSTITUTE(FT114,"lw+",""),MROUND(_xlfn.SWITCH(FO114,"sq",FS$7,"bn",FT$7,"dl",FU$7,"")*IF(FT114&gt;10,FT114/100,VLOOKUP(FT114,_rpe,SUBSTITUTE(FS114,"+","")+1,0)),IF(_xlfn.SWITCH(FO114,"sq",FS$7,"bn",FT$7,"dl",FU$7,"")&lt;IF(_uom="lbs",175,80),1.25,IF(_uom="lbs",5,2.5))))),"")</f>
        <v/>
      </c>
      <c s="70"/>
      <c s="63"/>
      <c s="97"/>
      <c s="44" t="str">
        <f>IFERROR(__xludf.DUMMYFUNCTION("IF(FU114=MAX(FILTER(FU$10:FU$199,LOOKUP(ROW(FO$10:FO$199),FILTER(ROW(FO$10:FO$199),FO$10:FO$199&lt;&gt;FO$9:FO$198))=LOOKUP(ROW(FO114),FILTER(ROW(FO$10:FO$199),FO$10:FO$199&lt;&gt;FO$9:FO$198)))),FV114,)"),"")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15" spans="1:259" ht="15.75">
      <c r="A115" s="63"/>
      <c s="107"/>
      <c s="65" t="str">
        <f>IFERROR(__xludf.DUMMYFUNCTION("""COMPUTED_VALUE"""),"")</f>
        <v/>
      </c>
      <c s="66">
        <f ca="1"/>
        <v>45208</v>
      </c>
      <c s="93"/>
      <c s="94"/>
      <c s="95"/>
      <c s="96"/>
      <c s="97" t="str">
        <f t="array" ref="I115">IFERROR(IF(C115="ac"+ISNUMBER(SEARCH("'",H115))+G115="","",MROUND(_xlfn.SWITCH(C115,"sq",'Personal Info'!$O$15,"bn",'Personal Info'!$S$15,"dl",'Personal Info'!$W$15,"")*IF(H115&gt;10,H115/100,VLOOKUP(H115,_rpe,SUBSTITUTE(G115,"+","")+1,0)),IF(_xlfn.SWITCH(C115:C210,"sq",'Personal Info'!$O$15,"bn",'Personal Info'!$S$15,"dl",'Personal Info'!$W$15,"")&lt;IF(_uom="lbs",175,80),1.25,IF(_uom="lbs",5,2.5)))),"")</f>
        <v/>
      </c>
      <c s="70"/>
      <c s="63"/>
      <c s="97"/>
      <c s="44" t="str">
        <f>IFERROR(__xludf.DUMMYFUNCTION("IF(I115=MAX(FILTER(I$10:I$199,LOOKUP(ROW(C$10:C$199),FILTER(ROW(C$10:C$199),C$10:C$199&lt;&gt;C$9:C$198))=LOOKUP(ROW(C115),FILTER(ROW(C$10:C$199),C$10:C$199&lt;&gt;C$9:C$198)))),J115,)"),"")</f>
        <v/>
      </c>
      <c s="42"/>
      <c s="63"/>
      <c s="64" t="str">
        <f t="shared" si="11"/>
        <v/>
      </c>
      <c s="65" t="str">
        <f>IFERROR(__xludf.DUMMYFUNCTION("""COMPUTED_VALUE"""),"")</f>
        <v/>
      </c>
      <c s="66">
        <f ca="1"/>
        <v>45215</v>
      </c>
      <c s="93" t="str">
        <f t="shared" si="12"/>
        <v/>
      </c>
      <c s="94" t="str">
        <f t="shared" si="404"/>
        <v/>
      </c>
      <c s="95" t="str">
        <f t="shared" si="406"/>
        <v/>
      </c>
      <c s="98" t="str">
        <f t="shared" si="407"/>
        <v/>
      </c>
      <c s="97" t="str">
        <f t="array" ref="W115">IFERROR(IF(Q115="ac"+ISNUMBER(SEARCH("'",V115))+U115="","",IF(ISNUMBER(SEARCH("lw",V115)),I115+SUBSTITUTE(V115,"lw+",""),MROUND(_xlfn.SWITCH(Q115,"sq",U$7,"bn",V$7,"dl",W$7,"")*IF(V115&gt;10,V115/100,VLOOKUP(V115,_rpe,SUBSTITUTE(U115,"+","")+1,0)),IF(_xlfn.SWITCH(Q115,"sq",U$7,"bn",V$7,"dl",W$7,"")&lt;IF(_uom="lbs",175,80),1.25,IF(_uom="lbs",5,2.5))))),"")</f>
        <v/>
      </c>
      <c s="70"/>
      <c s="63"/>
      <c s="97"/>
      <c s="44" t="str">
        <f>IFERROR(__xludf.DUMMYFUNCTION("IF(W115=MAX(FILTER(W$10:W$199,LOOKUP(ROW(Q$10:Q$199),FILTER(ROW(Q$10:Q$199),Q$10:Q$199&lt;&gt;Q$9:Q$198))=LOOKUP(ROW(Q115),FILTER(ROW(Q$10:Q$199),Q$10:Q$199&lt;&gt;Q$9:Q$198)))),X115,)"),"")</f>
        <v/>
      </c>
      <c s="42"/>
      <c s="63"/>
      <c s="64" t="str">
        <f t="shared" si="14"/>
        <v/>
      </c>
      <c s="65" t="str">
        <f>IFERROR(__xludf.DUMMYFUNCTION("""COMPUTED_VALUE"""),"")</f>
        <v/>
      </c>
      <c s="66">
        <f ca="1"/>
        <v>45222</v>
      </c>
      <c s="93" t="str">
        <f t="shared" si="156"/>
        <v/>
      </c>
      <c s="94" t="str">
        <f t="shared" si="397"/>
        <v/>
      </c>
      <c s="95" t="str">
        <f t="shared" si="408"/>
        <v/>
      </c>
      <c s="98" t="str">
        <f t="shared" si="398"/>
        <v/>
      </c>
      <c s="97" t="str">
        <f t="array" ref="AK115">IFERROR(IF(AE115="ac"+ISNUMBER(SEARCH("'",AJ115))+AI115="","",IF(ISNUMBER(SEARCH("lw",AJ115)),W115+SUBSTITUTE(AJ115,"lw+",""),MROUND(_xlfn.SWITCH(AE115,"sq",AI$7,"bn",AJ$7,"dl",AK$7,"")*IF(AJ115&gt;10,AJ115/100,VLOOKUP(AJ115,_rpe,SUBSTITUTE(AI115,"+","")+1,0)),IF(_xlfn.SWITCH(AE115,"sq",AI$7,"bn",AJ$7,"dl",AK$7,"")&lt;IF(_uom="lbs",175,80),1.25,IF(_uom="lbs",5,2.5))))),"")</f>
        <v/>
      </c>
      <c s="70"/>
      <c s="63"/>
      <c s="97"/>
      <c s="44" t="str">
        <f>IFERROR(__xludf.DUMMYFUNCTION("IF(AK115=MAX(FILTER(AK$10:AK$199,LOOKUP(ROW(AE$10:AE$199),FILTER(ROW(AE$10:AE$199),AE$10:AE$199&lt;&gt;AE$9:AE$198))=LOOKUP(ROW(AE115),FILTER(ROW(AE$10:AE$199),AE$10:AE$199&lt;&gt;AE$9:AE$198)))),AL115,)"),"")</f>
        <v/>
      </c>
      <c s="42"/>
      <c s="63"/>
      <c s="64" t="str">
        <f t="shared" si="17"/>
        <v/>
      </c>
      <c s="65" t="str">
        <f>IFERROR(__xludf.DUMMYFUNCTION("""COMPUTED_VALUE"""),"")</f>
        <v/>
      </c>
      <c s="66">
        <f ca="1"/>
        <v>45229</v>
      </c>
      <c s="93" t="str">
        <f t="shared" si="157"/>
        <v/>
      </c>
      <c s="94" t="str">
        <f t="shared" si="399"/>
        <v/>
      </c>
      <c s="95" t="str">
        <f t="shared" si="409"/>
        <v/>
      </c>
      <c s="98" t="str">
        <f t="shared" si="400"/>
        <v/>
      </c>
      <c s="97" t="str">
        <f t="array" ref="AY115">IFERROR(IF(AS115="ac"+ISNUMBER(SEARCH("'",AX115))+AW115="","",IF(ISNUMBER(SEARCH("lw",AX115)),AK115+SUBSTITUTE(AX115,"lw+",""),MROUND(_xlfn.SWITCH(AS115,"sq",AW$7,"bn",AX$7,"dl",AY$7,"")*IF(AX115&gt;10,AX115/100,VLOOKUP(AX115,_rpe,SUBSTITUTE(AW115,"+","")+1,0)),IF(_xlfn.SWITCH(AS115,"sq",AW$7,"bn",AX$7,"dl",AY$7,"")&lt;IF(_uom="lbs",175,80),1.25,IF(_uom="lbs",5,2.5))))),"")</f>
        <v/>
      </c>
      <c s="70"/>
      <c s="63"/>
      <c s="97"/>
      <c s="44" t="str">
        <f>IFERROR(__xludf.DUMMYFUNCTION("IF(AY115=MAX(FILTER(AY$10:AY$199,LOOKUP(ROW(AS$10:AS$199),FILTER(ROW(AS$10:AS$199),AS$10:AS$199&lt;&gt;AS$9:AS$198))=LOOKUP(ROW(AS115),FILTER(ROW(AS$10:AS$199),AS$10:AS$199&lt;&gt;AS$9:AS$198)))),AZ115,)"),"")</f>
        <v/>
      </c>
      <c s="42"/>
      <c s="63"/>
      <c s="64" t="str">
        <f t="shared" si="19"/>
        <v/>
      </c>
      <c s="65" t="str">
        <f>IFERROR(__xludf.DUMMYFUNCTION("""COMPUTED_VALUE"""),"")</f>
        <v/>
      </c>
      <c s="66">
        <f ca="1"/>
        <v>45236</v>
      </c>
      <c s="93" t="str">
        <f t="shared" si="20"/>
        <v/>
      </c>
      <c s="94" t="str">
        <f t="shared" si="425"/>
        <v/>
      </c>
      <c s="95" t="str">
        <f t="shared" si="411"/>
        <v/>
      </c>
      <c s="98" t="str">
        <f t="shared" si="412"/>
        <v/>
      </c>
      <c s="97" t="str">
        <f t="array" ref="BM115">IFERROR(IF(BG115="ac"+ISNUMBER(SEARCH("'",BL115))+BK115="","",IF(ISNUMBER(SEARCH("lw",BL115)),AY115+SUBSTITUTE(BL115,"lw+",""),MROUND(_xlfn.SWITCH(BG115,"sq",BK$7,"bn",BL$7,"dl",BM$7,"")*IF(BL115&gt;10,BL115/100,VLOOKUP(BL115,_rpe,SUBSTITUTE(BK115,"+","")+1,0)),IF(_xlfn.SWITCH(BG115,"sq",BK$7,"bn",BL$7,"dl",BM$7,"")&lt;IF(_uom="lbs",175,80),1.25,IF(_uom="lbs",5,2.5))))),"")</f>
        <v/>
      </c>
      <c s="70"/>
      <c s="63"/>
      <c s="97"/>
      <c s="44" t="str">
        <f>IFERROR(__xludf.DUMMYFUNCTION("IF(BM115=MAX(FILTER(BM$10:BM$199,LOOKUP(ROW(BG$10:BG$199),FILTER(ROW(BG$10:BG$199),BG$10:BG$199&lt;&gt;BG$9:BG$198))=LOOKUP(ROW(BG115),FILTER(ROW(BG$10:BG$199),BG$10:BG$199&lt;&gt;BG$9:BG$198)))),BN115,)"),"")</f>
        <v/>
      </c>
      <c s="42"/>
      <c s="63"/>
      <c s="64" t="str">
        <f t="shared" si="21"/>
        <v/>
      </c>
      <c s="65" t="str">
        <f>IFERROR(__xludf.DUMMYFUNCTION("""COMPUTED_VALUE"""),"")</f>
        <v/>
      </c>
      <c s="66">
        <f ca="1"/>
        <v>45243</v>
      </c>
      <c s="93" t="str">
        <f t="shared" si="22"/>
        <v/>
      </c>
      <c s="94" t="str">
        <f t="shared" si="426"/>
        <v/>
      </c>
      <c s="95" t="str">
        <f t="shared" si="414"/>
        <v/>
      </c>
      <c s="98" t="str">
        <f t="shared" si="415"/>
        <v/>
      </c>
      <c s="97" t="str">
        <f t="array" ref="CA115">IFERROR(IF(BU115="ac"+ISNUMBER(SEARCH("'",BZ115))+BY115="","",IF(ISNUMBER(SEARCH("lw",BZ115)),BM115+SUBSTITUTE(BZ115,"lw+",""),MROUND(_xlfn.SWITCH(BU115,"sq",BY$7,"bn",BZ$7,"dl",CA$7,"")*IF(BZ115&gt;10,BZ115/100,VLOOKUP(BZ115,_rpe,SUBSTITUTE(BY115,"+","")+1,0)),IF(_xlfn.SWITCH(BU115,"sq",BY$7,"bn",BZ$7,"dl",CA$7,"")&lt;IF(_uom="lbs",175,80),1.25,IF(_uom="lbs",5,2.5))))),"")</f>
        <v/>
      </c>
      <c s="70"/>
      <c s="63"/>
      <c s="97"/>
      <c s="44" t="str">
        <f>IFERROR(__xludf.DUMMYFUNCTION("IF(CA115=MAX(FILTER(CA$10:CA$199,LOOKUP(ROW(BU$10:BU$199),FILTER(ROW(BU$10:BU$199),BU$10:BU$199&lt;&gt;BU$9:BU$198))=LOOKUP(ROW(BU115),FILTER(ROW(BU$10:BU$199),BU$10:BU$199&lt;&gt;BU$9:BU$198)))),CB115,)"),"")</f>
        <v/>
      </c>
      <c s="42"/>
      <c s="63"/>
      <c s="64" t="str">
        <f t="shared" si="24"/>
        <v/>
      </c>
      <c s="65" t="str">
        <f>IFERROR(__xludf.DUMMYFUNCTION("""COMPUTED_VALUE"""),"")</f>
        <v/>
      </c>
      <c s="66">
        <f ca="1"/>
        <v>45250</v>
      </c>
      <c s="93" t="str">
        <f t="shared" si="44"/>
        <v/>
      </c>
      <c s="94" t="str">
        <f t="shared" si="392"/>
        <v/>
      </c>
      <c s="95" t="str">
        <f t="shared" si="416"/>
        <v/>
      </c>
      <c s="98" t="str">
        <f t="shared" si="417"/>
        <v/>
      </c>
      <c s="97" t="str">
        <f t="array" ref="CO115">IFERROR(IF(CI115="ac"+ISNUMBER(SEARCH("'",CN115))+CM115="","",IF(ISNUMBER(SEARCH("lw",CN115)),CA115+SUBSTITUTE(CN115,"lw+",""),MROUND(_xlfn.SWITCH(CI115,"sq",CM$7,"bn",CN$7,"dl",CO$7,"")*IF(CN115&gt;10,CN115/100,VLOOKUP(CN115,_rpe,SUBSTITUTE(CM115,"+","")+1,0)),IF(_xlfn.SWITCH(CI115,"sq",CM$7,"bn",CN$7,"dl",CO$7,"")&lt;IF(_uom="lbs",175,80),1.25,IF(_uom="lbs",5,2.5))))),"")</f>
        <v/>
      </c>
      <c s="70"/>
      <c s="63"/>
      <c s="97"/>
      <c s="44" t="str">
        <f>IFERROR(__xludf.DUMMYFUNCTION("IF(CO115=MAX(FILTER(CO$10:CO$199,LOOKUP(ROW(CI$10:CI$199),FILTER(ROW(CI$10:CI$199),CI$10:CI$199&lt;&gt;CI$9:CI$198))=LOOKUP(ROW(CI115),FILTER(ROW(CI$10:CI$199),CI$10:CI$199&lt;&gt;CI$9:CI$198)))),CP115,)"),"")</f>
        <v/>
      </c>
      <c s="42"/>
      <c s="63"/>
      <c s="64" t="str">
        <f t="shared" si="27"/>
        <v/>
      </c>
      <c s="65" t="str">
        <f>IFERROR(__xludf.DUMMYFUNCTION("""COMPUTED_VALUE"""),"")</f>
        <v/>
      </c>
      <c s="66">
        <f ca="1"/>
        <v>45257</v>
      </c>
      <c s="93" t="str">
        <f t="shared" si="45"/>
        <v/>
      </c>
      <c s="94" t="str">
        <f t="shared" si="393"/>
        <v/>
      </c>
      <c s="95" t="str">
        <f t="shared" si="418"/>
        <v/>
      </c>
      <c s="98" t="str">
        <f t="shared" si="401"/>
        <v/>
      </c>
      <c s="97" t="str">
        <f t="array" ref="DC115">IFERROR(IF(CW115="ac"+ISNUMBER(SEARCH("'",DB115))+DA115="","",IF(ISNUMBER(SEARCH("lw",DB115)),CO115+SUBSTITUTE(DB115,"lw+",""),MROUND(_xlfn.SWITCH(CW115,"sq",DA$7,"bn",DB$7,"dl",DC$7,"")*IF(DB115&gt;10,DB115/100,VLOOKUP(DB115,_rpe,SUBSTITUTE(DA115,"+","")+1,0)),IF(_xlfn.SWITCH(CW115,"sq",DA$7,"bn",DB$7,"dl",DC$7,"")&lt;IF(_uom="lbs",175,80),1.25,IF(_uom="lbs",5,2.5))))),"")</f>
        <v/>
      </c>
      <c s="70"/>
      <c s="63"/>
      <c s="97"/>
      <c s="44" t="str">
        <f>IFERROR(__xludf.DUMMYFUNCTION("IF(DC115=MAX(FILTER(DC$10:DC$199,LOOKUP(ROW(CW$10:CW$199),FILTER(ROW(CW$10:CW$199),CW$10:CW$199&lt;&gt;CW$9:CW$198))=LOOKUP(ROW(CW115),FILTER(ROW(CW$10:CW$199),CW$10:CW$199&lt;&gt;CW$9:CW$198)))),DD115,)"),"")</f>
        <v/>
      </c>
      <c s="42"/>
      <c s="63"/>
      <c s="64" t="str">
        <f t="shared" si="30"/>
        <v/>
      </c>
      <c s="65" t="str">
        <f>IFERROR(__xludf.DUMMYFUNCTION("""COMPUTED_VALUE"""),"")</f>
        <v/>
      </c>
      <c s="66">
        <f ca="1"/>
        <v>45264</v>
      </c>
      <c s="93" t="str">
        <f t="shared" si="46"/>
        <v/>
      </c>
      <c s="94" t="str">
        <f t="shared" si="394"/>
        <v/>
      </c>
      <c s="95" t="str">
        <f t="shared" si="419"/>
        <v/>
      </c>
      <c s="98" t="str">
        <f t="shared" si="420"/>
        <v/>
      </c>
      <c s="97" t="str">
        <f t="array" ref="DQ115">IFERROR(IF(DK115="ac"+ISNUMBER(SEARCH("'",DP115))+DO115="","",IF(ISNUMBER(SEARCH("lw",DP115)),DC115+SUBSTITUTE(DP115,"lw+",""),MROUND(_xlfn.SWITCH(DK115,"sq",DO$7,"bn",DP$7,"dl",DQ$7,"")*IF(DP115&gt;10,DP115/100,VLOOKUP(DP115,_rpe,SUBSTITUTE(DO115,"+","")+1,0)),IF(_xlfn.SWITCH(DK115,"sq",DO$7,"bn",DP$7,"dl",DQ$7,"")&lt;IF(_uom="lbs",175,80),1.25,IF(_uom="lbs",5,2.5))))),"")</f>
        <v/>
      </c>
      <c s="70"/>
      <c s="63"/>
      <c s="97"/>
      <c s="44" t="str">
        <f>IFERROR(__xludf.DUMMYFUNCTION("IF(DQ115=MAX(FILTER(DQ$10:DQ$199,LOOKUP(ROW(DK$10:DK$199),FILTER(ROW(DK$10:DK$199),DK$10:DK$199&lt;&gt;DK$9:DK$198))=LOOKUP(ROW(DK115),FILTER(ROW(DK$10:DK$199),DK$10:DK$199&lt;&gt;DK$9:DK$198)))),DR115,)"),"")</f>
        <v/>
      </c>
      <c s="42"/>
      <c s="63"/>
      <c s="64" t="str">
        <f t="shared" si="32"/>
        <v/>
      </c>
      <c s="65" t="str">
        <f>IFERROR(__xludf.DUMMYFUNCTION("""COMPUTED_VALUE"""),"")</f>
        <v/>
      </c>
      <c s="66">
        <f ca="1"/>
        <v>45271</v>
      </c>
      <c s="93" t="str">
        <f t="shared" si="47"/>
        <v/>
      </c>
      <c s="94" t="str">
        <f t="shared" si="405"/>
        <v/>
      </c>
      <c s="95" t="str">
        <f t="shared" si="421"/>
        <v/>
      </c>
      <c s="98" t="str">
        <f t="shared" si="422"/>
        <v/>
      </c>
      <c s="97" t="str">
        <f t="array" ref="EE115">IFERROR(IF(DY115="ac"+ISNUMBER(SEARCH("'",ED115))+EC115="","",IF(ISNUMBER(SEARCH("lw",ED115)),DQ115+SUBSTITUTE(ED115,"lw+",""),MROUND(_xlfn.SWITCH(DY115,"sq",EC$7,"bn",ED$7,"dl",EE$7,"")*IF(ED115&gt;10,ED115/100,VLOOKUP(ED115,_rpe,SUBSTITUTE(EC115,"+","")+1,0)),IF(_xlfn.SWITCH(DY115,"sq",EC$7,"bn",ED$7,"dl",EE$7,"")&lt;IF(_uom="lbs",175,80),1.25,IF(_uom="lbs",5,2.5))))),"")</f>
        <v/>
      </c>
      <c s="70"/>
      <c s="63"/>
      <c s="97"/>
      <c s="44" t="str">
        <f>IFERROR(__xludf.DUMMYFUNCTION("IF(EE115=MAX(FILTER(EE$10:EE$199,LOOKUP(ROW(DY$10:DY$199),FILTER(ROW(DY$10:DY$199),DY$10:DY$199&lt;&gt;DY$9:DY$198))=LOOKUP(ROW(DY115),FILTER(ROW(DY$10:DY$199),DY$10:DY$199&lt;&gt;DY$9:DY$198)))),EF115,)"),"")</f>
        <v/>
      </c>
      <c s="42"/>
      <c s="63"/>
      <c s="64" t="str">
        <f t="shared" si="34"/>
        <v/>
      </c>
      <c s="65" t="str">
        <f>IFERROR(__xludf.DUMMYFUNCTION("""COMPUTED_VALUE"""),"")</f>
        <v/>
      </c>
      <c s="66">
        <f ca="1"/>
        <v>45278</v>
      </c>
      <c s="93" t="str">
        <f t="shared" si="48"/>
        <v/>
      </c>
      <c s="94" t="str">
        <f t="shared" si="395"/>
        <v/>
      </c>
      <c s="95" t="str">
        <f t="shared" si="423"/>
        <v/>
      </c>
      <c s="98" t="str">
        <f t="shared" si="402"/>
        <v/>
      </c>
      <c s="97" t="str">
        <f t="array" ref="ES115">IFERROR(IF(EM115="ac"+ISNUMBER(SEARCH("'",ER115))+EQ115="","",IF(ISNUMBER(SEARCH("lw",ER115)),EE115+SUBSTITUTE(ER115,"lw+",""),MROUND(_xlfn.SWITCH(EM115,"sq",EQ$7,"bn",ER$7,"dl",ES$7,"")*IF(ER115&gt;10,ER115/100,VLOOKUP(ER115,_rpe,SUBSTITUTE(EQ115,"+","")+1,0)),IF(_xlfn.SWITCH(EM115,"sq",EQ$7,"bn",ER$7,"dl",ES$7,"")&lt;IF(_uom="lbs",175,80),1.25,IF(_uom="lbs",5,2.5))))),"")</f>
        <v/>
      </c>
      <c s="70"/>
      <c s="63"/>
      <c s="97"/>
      <c s="44" t="str">
        <f>IFERROR(__xludf.DUMMYFUNCTION("IF(ES115=MAX(FILTER(ES$10:ES$199,LOOKUP(ROW(EM$10:EM$199),FILTER(ROW(EM$10:EM$199),EM$10:EM$199&lt;&gt;EM$9:EM$198))=LOOKUP(ROW(EM115),FILTER(ROW(EM$10:EM$199),EM$10:EM$199&lt;&gt;EM$9:EM$198)))),ET115,)"),"")</f>
        <v/>
      </c>
      <c s="42"/>
      <c s="63"/>
      <c s="64" t="str">
        <f t="shared" si="36"/>
        <v/>
      </c>
      <c s="65" t="str">
        <f>IFERROR(__xludf.DUMMYFUNCTION("""COMPUTED_VALUE"""),"")</f>
        <v/>
      </c>
      <c s="66">
        <f ca="1"/>
        <v>45285</v>
      </c>
      <c s="93" t="str">
        <f t="shared" si="49"/>
        <v/>
      </c>
      <c s="94" t="str">
        <f t="shared" si="396"/>
        <v/>
      </c>
      <c s="95" t="str">
        <f t="shared" si="424"/>
        <v/>
      </c>
      <c s="98" t="str">
        <f t="shared" si="403"/>
        <v/>
      </c>
      <c s="97" t="str">
        <f t="array" ref="FG115">IFERROR(IF(FA115="ac"+ISNUMBER(SEARCH("'",FF115))+FE115="","",IF(ISNUMBER(SEARCH("lw",FF115)),ES115+SUBSTITUTE(FF115,"lw+",""),MROUND(_xlfn.SWITCH(FA115,"sq",FE$7,"bn",FF$7,"dl",FG$7,"")*IF(FF115&gt;10,FF115/100,VLOOKUP(FF115,_rpe,SUBSTITUTE(FE115,"+","")+1,0)),IF(_xlfn.SWITCH(FA115,"sq",FE$7,"bn",FF$7,"dl",FG$7,"")&lt;IF(_uom="lbs",175,80),1.25,IF(_uom="lbs",5,2.5))))),"")</f>
        <v/>
      </c>
      <c s="70"/>
      <c s="63"/>
      <c s="97"/>
      <c s="44" t="str">
        <f>IFERROR(__xludf.DUMMYFUNCTION("IF(FG115=MAX(FILTER(FG$10:FG$199,LOOKUP(ROW(FA$10:FA$199),FILTER(ROW(FA$10:FA$199),FA$10:FA$199&lt;&gt;FA$9:FA$198))=LOOKUP(ROW(FA115),FILTER(ROW(FA$10:FA$199),FA$10:FA$199&lt;&gt;FA$9:FA$198)))),FH115,)"),"")</f>
        <v/>
      </c>
      <c s="42"/>
      <c s="63"/>
      <c s="64" t="str">
        <f t="shared" si="38"/>
        <v/>
      </c>
      <c s="65" t="str">
        <f>IFERROR(__xludf.DUMMYFUNCTION("""COMPUTED_VALUE"""),"")</f>
        <v/>
      </c>
      <c s="66">
        <f ca="1"/>
        <v>45292</v>
      </c>
      <c s="93" t="str">
        <f t="shared" si="459" ref="FQ115:FR115">IF(ISBLANK(FC115),"",FC115)</f>
        <v/>
      </c>
      <c s="94" t="str">
        <f t="shared" si="459"/>
        <v/>
      </c>
      <c s="95" t="str">
        <f t="shared" si="428"/>
        <v/>
      </c>
      <c s="98" t="str">
        <f t="shared" si="429"/>
        <v/>
      </c>
      <c s="97" t="str">
        <f t="array" ref="FU115">IFERROR(IF(FO115="ac"+ISNUMBER(SEARCH("'",FT115))+FS115="","",IF(ISNUMBER(SEARCH("lw",FT115)),FG115+SUBSTITUTE(FT115,"lw+",""),MROUND(_xlfn.SWITCH(FO115,"sq",FS$7,"bn",FT$7,"dl",FU$7,"")*IF(FT115&gt;10,FT115/100,VLOOKUP(FT115,_rpe,SUBSTITUTE(FS115,"+","")+1,0)),IF(_xlfn.SWITCH(FO115,"sq",FS$7,"bn",FT$7,"dl",FU$7,"")&lt;IF(_uom="lbs",175,80),1.25,IF(_uom="lbs",5,2.5))))),"")</f>
        <v/>
      </c>
      <c s="70"/>
      <c s="63"/>
      <c s="97"/>
      <c s="44" t="str">
        <f>IFERROR(__xludf.DUMMYFUNCTION("IF(FU115=MAX(FILTER(FU$10:FU$199,LOOKUP(ROW(FO$10:FO$199),FILTER(ROW(FO$10:FO$199),FO$10:FO$199&lt;&gt;FO$9:FO$198))=LOOKUP(ROW(FO115),FILTER(ROW(FO$10:FO$199),FO$10:FO$199&lt;&gt;FO$9:FO$198)))),FV115,)"),"")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16" spans="1:259" ht="15.75">
      <c r="A116" s="63"/>
      <c s="107"/>
      <c s="65" t="str">
        <f>IFERROR(__xludf.DUMMYFUNCTION("""COMPUTED_VALUE"""),"")</f>
        <v/>
      </c>
      <c s="66">
        <f ca="1"/>
        <v>45208</v>
      </c>
      <c s="93"/>
      <c s="94"/>
      <c s="95"/>
      <c s="96"/>
      <c s="97" t="str">
        <f t="array" ref="I116">IFERROR(IF(C116="ac"+ISNUMBER(SEARCH("'",H116))+G116="","",MROUND(_xlfn.SWITCH(C116,"sq",'Personal Info'!$O$15,"bn",'Personal Info'!$S$15,"dl",'Personal Info'!$W$15,"")*IF(H116&gt;10,H116/100,VLOOKUP(H116,_rpe,SUBSTITUTE(G116,"+","")+1,0)),IF(_xlfn.SWITCH(C116:C210,"sq",'Personal Info'!$O$15,"bn",'Personal Info'!$S$15,"dl",'Personal Info'!$W$15,"")&lt;IF(_uom="lbs",175,80),1.25,IF(_uom="lbs",5,2.5)))),"")</f>
        <v/>
      </c>
      <c s="70"/>
      <c s="63"/>
      <c s="97"/>
      <c s="44" t="str">
        <f>IFERROR(__xludf.DUMMYFUNCTION("IF(I116=MAX(FILTER(I$10:I$199,LOOKUP(ROW(C$10:C$199),FILTER(ROW(C$10:C$199),C$10:C$199&lt;&gt;C$9:C$198))=LOOKUP(ROW(C116),FILTER(ROW(C$10:C$199),C$10:C$199&lt;&gt;C$9:C$198)))),J116,)"),"")</f>
        <v/>
      </c>
      <c s="42"/>
      <c s="63"/>
      <c s="64" t="str">
        <f t="shared" si="11"/>
        <v/>
      </c>
      <c s="65" t="str">
        <f>IFERROR(__xludf.DUMMYFUNCTION("""COMPUTED_VALUE"""),"")</f>
        <v/>
      </c>
      <c s="66">
        <f ca="1"/>
        <v>45215</v>
      </c>
      <c s="93" t="str">
        <f t="shared" si="12"/>
        <v/>
      </c>
      <c s="94" t="str">
        <f t="shared" si="404"/>
        <v/>
      </c>
      <c s="95" t="str">
        <f t="shared" si="406"/>
        <v/>
      </c>
      <c s="98" t="str">
        <f t="shared" si="407"/>
        <v/>
      </c>
      <c s="97" t="str">
        <f t="array" ref="W116">IFERROR(IF(Q116="ac"+ISNUMBER(SEARCH("'",V116))+U116="","",IF(ISNUMBER(SEARCH("lw",V116)),I116+SUBSTITUTE(V116,"lw+",""),MROUND(_xlfn.SWITCH(Q116,"sq",U$7,"bn",V$7,"dl",W$7,"")*IF(V116&gt;10,V116/100,VLOOKUP(V116,_rpe,SUBSTITUTE(U116,"+","")+1,0)),IF(_xlfn.SWITCH(Q116,"sq",U$7,"bn",V$7,"dl",W$7,"")&lt;IF(_uom="lbs",175,80),1.25,IF(_uom="lbs",5,2.5))))),"")</f>
        <v/>
      </c>
      <c s="70"/>
      <c s="63"/>
      <c s="97"/>
      <c s="44" t="str">
        <f>IFERROR(__xludf.DUMMYFUNCTION("IF(W116=MAX(FILTER(W$10:W$199,LOOKUP(ROW(Q$10:Q$199),FILTER(ROW(Q$10:Q$199),Q$10:Q$199&lt;&gt;Q$9:Q$198))=LOOKUP(ROW(Q116),FILTER(ROW(Q$10:Q$199),Q$10:Q$199&lt;&gt;Q$9:Q$198)))),X116,)"),"")</f>
        <v/>
      </c>
      <c s="42"/>
      <c s="63"/>
      <c s="64" t="str">
        <f t="shared" si="14"/>
        <v/>
      </c>
      <c s="65" t="str">
        <f>IFERROR(__xludf.DUMMYFUNCTION("""COMPUTED_VALUE"""),"")</f>
        <v/>
      </c>
      <c s="66">
        <f ca="1"/>
        <v>45222</v>
      </c>
      <c s="93" t="str">
        <f t="shared" si="156"/>
        <v/>
      </c>
      <c s="94" t="str">
        <f t="shared" si="397"/>
        <v/>
      </c>
      <c s="95" t="str">
        <f t="shared" si="408"/>
        <v/>
      </c>
      <c s="98" t="str">
        <f t="shared" si="398"/>
        <v/>
      </c>
      <c s="97" t="str">
        <f t="array" ref="AK116">IFERROR(IF(AE116="ac"+ISNUMBER(SEARCH("'",AJ116))+AI116="","",IF(ISNUMBER(SEARCH("lw",AJ116)),W116+SUBSTITUTE(AJ116,"lw+",""),MROUND(_xlfn.SWITCH(AE116,"sq",AI$7,"bn",AJ$7,"dl",AK$7,"")*IF(AJ116&gt;10,AJ116/100,VLOOKUP(AJ116,_rpe,SUBSTITUTE(AI116,"+","")+1,0)),IF(_xlfn.SWITCH(AE116,"sq",AI$7,"bn",AJ$7,"dl",AK$7,"")&lt;IF(_uom="lbs",175,80),1.25,IF(_uom="lbs",5,2.5))))),"")</f>
        <v/>
      </c>
      <c s="70"/>
      <c s="63"/>
      <c s="97"/>
      <c s="44" t="str">
        <f>IFERROR(__xludf.DUMMYFUNCTION("IF(AK116=MAX(FILTER(AK$10:AK$199,LOOKUP(ROW(AE$10:AE$199),FILTER(ROW(AE$10:AE$199),AE$10:AE$199&lt;&gt;AE$9:AE$198))=LOOKUP(ROW(AE116),FILTER(ROW(AE$10:AE$199),AE$10:AE$199&lt;&gt;AE$9:AE$198)))),AL116,)"),"")</f>
        <v/>
      </c>
      <c s="42"/>
      <c s="63"/>
      <c s="64" t="str">
        <f t="shared" si="17"/>
        <v/>
      </c>
      <c s="65" t="str">
        <f>IFERROR(__xludf.DUMMYFUNCTION("""COMPUTED_VALUE"""),"")</f>
        <v/>
      </c>
      <c s="66">
        <f ca="1"/>
        <v>45229</v>
      </c>
      <c s="93" t="str">
        <f t="shared" si="157"/>
        <v/>
      </c>
      <c s="94" t="str">
        <f t="shared" si="399"/>
        <v/>
      </c>
      <c s="95" t="str">
        <f t="shared" si="409"/>
        <v/>
      </c>
      <c s="98" t="str">
        <f t="shared" si="400"/>
        <v/>
      </c>
      <c s="97" t="str">
        <f t="array" ref="AY116">IFERROR(IF(AS116="ac"+ISNUMBER(SEARCH("'",AX116))+AW116="","",IF(ISNUMBER(SEARCH("lw",AX116)),AK116+SUBSTITUTE(AX116,"lw+",""),MROUND(_xlfn.SWITCH(AS116,"sq",AW$7,"bn",AX$7,"dl",AY$7,"")*IF(AX116&gt;10,AX116/100,VLOOKUP(AX116,_rpe,SUBSTITUTE(AW116,"+","")+1,0)),IF(_xlfn.SWITCH(AS116,"sq",AW$7,"bn",AX$7,"dl",AY$7,"")&lt;IF(_uom="lbs",175,80),1.25,IF(_uom="lbs",5,2.5))))),"")</f>
        <v/>
      </c>
      <c s="70"/>
      <c s="63"/>
      <c s="97"/>
      <c s="44" t="str">
        <f>IFERROR(__xludf.DUMMYFUNCTION("IF(AY116=MAX(FILTER(AY$10:AY$199,LOOKUP(ROW(AS$10:AS$199),FILTER(ROW(AS$10:AS$199),AS$10:AS$199&lt;&gt;AS$9:AS$198))=LOOKUP(ROW(AS116),FILTER(ROW(AS$10:AS$199),AS$10:AS$199&lt;&gt;AS$9:AS$198)))),AZ116,)"),"")</f>
        <v/>
      </c>
      <c s="42"/>
      <c s="63"/>
      <c s="64" t="str">
        <f t="shared" si="19"/>
        <v/>
      </c>
      <c s="65" t="str">
        <f>IFERROR(__xludf.DUMMYFUNCTION("""COMPUTED_VALUE"""),"")</f>
        <v/>
      </c>
      <c s="66">
        <f ca="1"/>
        <v>45236</v>
      </c>
      <c s="93" t="str">
        <f t="shared" si="20"/>
        <v/>
      </c>
      <c s="94" t="str">
        <f t="shared" si="425"/>
        <v/>
      </c>
      <c s="95" t="str">
        <f t="shared" si="411"/>
        <v/>
      </c>
      <c s="98" t="str">
        <f t="shared" si="412"/>
        <v/>
      </c>
      <c s="97" t="str">
        <f t="array" ref="BM116">IFERROR(IF(BG116="ac"+ISNUMBER(SEARCH("'",BL116))+BK116="","",IF(ISNUMBER(SEARCH("lw",BL116)),AY116+SUBSTITUTE(BL116,"lw+",""),MROUND(_xlfn.SWITCH(BG116,"sq",BK$7,"bn",BL$7,"dl",BM$7,"")*IF(BL116&gt;10,BL116/100,VLOOKUP(BL116,_rpe,SUBSTITUTE(BK116,"+","")+1,0)),IF(_xlfn.SWITCH(BG116,"sq",BK$7,"bn",BL$7,"dl",BM$7,"")&lt;IF(_uom="lbs",175,80),1.25,IF(_uom="lbs",5,2.5))))),"")</f>
        <v/>
      </c>
      <c s="70"/>
      <c s="63"/>
      <c s="97"/>
      <c s="44" t="str">
        <f>IFERROR(__xludf.DUMMYFUNCTION("IF(BM116=MAX(FILTER(BM$10:BM$199,LOOKUP(ROW(BG$10:BG$199),FILTER(ROW(BG$10:BG$199),BG$10:BG$199&lt;&gt;BG$9:BG$198))=LOOKUP(ROW(BG116),FILTER(ROW(BG$10:BG$199),BG$10:BG$199&lt;&gt;BG$9:BG$198)))),BN116,)"),"")</f>
        <v/>
      </c>
      <c s="42"/>
      <c s="63"/>
      <c s="64" t="str">
        <f t="shared" si="21"/>
        <v/>
      </c>
      <c s="65" t="str">
        <f>IFERROR(__xludf.DUMMYFUNCTION("""COMPUTED_VALUE"""),"")</f>
        <v/>
      </c>
      <c s="66">
        <f ca="1"/>
        <v>45243</v>
      </c>
      <c s="93" t="str">
        <f t="shared" si="22"/>
        <v/>
      </c>
      <c s="94" t="str">
        <f t="shared" si="426"/>
        <v/>
      </c>
      <c s="95" t="str">
        <f t="shared" si="414"/>
        <v/>
      </c>
      <c s="98" t="str">
        <f t="shared" si="415"/>
        <v/>
      </c>
      <c s="97" t="str">
        <f t="array" ref="CA116">IFERROR(IF(BU116="ac"+ISNUMBER(SEARCH("'",BZ116))+BY116="","",IF(ISNUMBER(SEARCH("lw",BZ116)),BM116+SUBSTITUTE(BZ116,"lw+",""),MROUND(_xlfn.SWITCH(BU116,"sq",BY$7,"bn",BZ$7,"dl",CA$7,"")*IF(BZ116&gt;10,BZ116/100,VLOOKUP(BZ116,_rpe,SUBSTITUTE(BY116,"+","")+1,0)),IF(_xlfn.SWITCH(BU116,"sq",BY$7,"bn",BZ$7,"dl",CA$7,"")&lt;IF(_uom="lbs",175,80),1.25,IF(_uom="lbs",5,2.5))))),"")</f>
        <v/>
      </c>
      <c s="70"/>
      <c s="63"/>
      <c s="97"/>
      <c s="44" t="str">
        <f>IFERROR(__xludf.DUMMYFUNCTION("IF(CA116=MAX(FILTER(CA$10:CA$199,LOOKUP(ROW(BU$10:BU$199),FILTER(ROW(BU$10:BU$199),BU$10:BU$199&lt;&gt;BU$9:BU$198))=LOOKUP(ROW(BU116),FILTER(ROW(BU$10:BU$199),BU$10:BU$199&lt;&gt;BU$9:BU$198)))),CB116,)"),"")</f>
        <v/>
      </c>
      <c s="42"/>
      <c s="63"/>
      <c s="64" t="str">
        <f t="shared" si="24"/>
        <v/>
      </c>
      <c s="65" t="str">
        <f>IFERROR(__xludf.DUMMYFUNCTION("""COMPUTED_VALUE"""),"")</f>
        <v/>
      </c>
      <c s="66">
        <f ca="1"/>
        <v>45250</v>
      </c>
      <c s="93" t="str">
        <f t="shared" si="44"/>
        <v/>
      </c>
      <c s="94" t="str">
        <f t="shared" si="392"/>
        <v/>
      </c>
      <c s="95" t="str">
        <f t="shared" si="416"/>
        <v/>
      </c>
      <c s="98" t="str">
        <f t="shared" si="417"/>
        <v/>
      </c>
      <c s="97" t="str">
        <f t="array" ref="CO116">IFERROR(IF(CI116="ac"+ISNUMBER(SEARCH("'",CN116))+CM116="","",IF(ISNUMBER(SEARCH("lw",CN116)),CA116+SUBSTITUTE(CN116,"lw+",""),MROUND(_xlfn.SWITCH(CI116,"sq",CM$7,"bn",CN$7,"dl",CO$7,"")*IF(CN116&gt;10,CN116/100,VLOOKUP(CN116,_rpe,SUBSTITUTE(CM116,"+","")+1,0)),IF(_xlfn.SWITCH(CI116,"sq",CM$7,"bn",CN$7,"dl",CO$7,"")&lt;IF(_uom="lbs",175,80),1.25,IF(_uom="lbs",5,2.5))))),"")</f>
        <v/>
      </c>
      <c s="70"/>
      <c s="63"/>
      <c s="97"/>
      <c s="44" t="str">
        <f>IFERROR(__xludf.DUMMYFUNCTION("IF(CO116=MAX(FILTER(CO$10:CO$199,LOOKUP(ROW(CI$10:CI$199),FILTER(ROW(CI$10:CI$199),CI$10:CI$199&lt;&gt;CI$9:CI$198))=LOOKUP(ROW(CI116),FILTER(ROW(CI$10:CI$199),CI$10:CI$199&lt;&gt;CI$9:CI$198)))),CP116,)"),"")</f>
        <v/>
      </c>
      <c s="42"/>
      <c s="63"/>
      <c s="64" t="str">
        <f t="shared" si="27"/>
        <v/>
      </c>
      <c s="65" t="str">
        <f>IFERROR(__xludf.DUMMYFUNCTION("""COMPUTED_VALUE"""),"")</f>
        <v/>
      </c>
      <c s="66">
        <f ca="1"/>
        <v>45257</v>
      </c>
      <c s="93" t="str">
        <f t="shared" si="45"/>
        <v/>
      </c>
      <c s="94" t="str">
        <f t="shared" si="393"/>
        <v/>
      </c>
      <c s="95" t="str">
        <f t="shared" si="418"/>
        <v/>
      </c>
      <c s="98" t="str">
        <f t="shared" si="401"/>
        <v/>
      </c>
      <c s="97" t="str">
        <f t="array" ref="DC116">IFERROR(IF(CW116="ac"+ISNUMBER(SEARCH("'",DB116))+DA116="","",IF(ISNUMBER(SEARCH("lw",DB116)),CO116+SUBSTITUTE(DB116,"lw+",""),MROUND(_xlfn.SWITCH(CW116,"sq",DA$7,"bn",DB$7,"dl",DC$7,"")*IF(DB116&gt;10,DB116/100,VLOOKUP(DB116,_rpe,SUBSTITUTE(DA116,"+","")+1,0)),IF(_xlfn.SWITCH(CW116,"sq",DA$7,"bn",DB$7,"dl",DC$7,"")&lt;IF(_uom="lbs",175,80),1.25,IF(_uom="lbs",5,2.5))))),"")</f>
        <v/>
      </c>
      <c s="70"/>
      <c s="63"/>
      <c s="97"/>
      <c s="44" t="str">
        <f>IFERROR(__xludf.DUMMYFUNCTION("IF(DC116=MAX(FILTER(DC$10:DC$199,LOOKUP(ROW(CW$10:CW$199),FILTER(ROW(CW$10:CW$199),CW$10:CW$199&lt;&gt;CW$9:CW$198))=LOOKUP(ROW(CW116),FILTER(ROW(CW$10:CW$199),CW$10:CW$199&lt;&gt;CW$9:CW$198)))),DD116,)"),"")</f>
        <v/>
      </c>
      <c s="42"/>
      <c s="63"/>
      <c s="64" t="str">
        <f t="shared" si="30"/>
        <v/>
      </c>
      <c s="65" t="str">
        <f>IFERROR(__xludf.DUMMYFUNCTION("""COMPUTED_VALUE"""),"")</f>
        <v/>
      </c>
      <c s="66">
        <f ca="1"/>
        <v>45264</v>
      </c>
      <c s="93" t="str">
        <f t="shared" si="46"/>
        <v/>
      </c>
      <c s="94" t="str">
        <f t="shared" si="394"/>
        <v/>
      </c>
      <c s="95" t="str">
        <f t="shared" si="419"/>
        <v/>
      </c>
      <c s="98" t="str">
        <f t="shared" si="420"/>
        <v/>
      </c>
      <c s="97" t="str">
        <f t="array" ref="DQ116">IFERROR(IF(DK116="ac"+ISNUMBER(SEARCH("'",DP116))+DO116="","",IF(ISNUMBER(SEARCH("lw",DP116)),DC116+SUBSTITUTE(DP116,"lw+",""),MROUND(_xlfn.SWITCH(DK116,"sq",DO$7,"bn",DP$7,"dl",DQ$7,"")*IF(DP116&gt;10,DP116/100,VLOOKUP(DP116,_rpe,SUBSTITUTE(DO116,"+","")+1,0)),IF(_xlfn.SWITCH(DK116,"sq",DO$7,"bn",DP$7,"dl",DQ$7,"")&lt;IF(_uom="lbs",175,80),1.25,IF(_uom="lbs",5,2.5))))),"")</f>
        <v/>
      </c>
      <c s="70"/>
      <c s="63"/>
      <c s="97"/>
      <c s="44" t="str">
        <f>IFERROR(__xludf.DUMMYFUNCTION("IF(DQ116=MAX(FILTER(DQ$10:DQ$199,LOOKUP(ROW(DK$10:DK$199),FILTER(ROW(DK$10:DK$199),DK$10:DK$199&lt;&gt;DK$9:DK$198))=LOOKUP(ROW(DK116),FILTER(ROW(DK$10:DK$199),DK$10:DK$199&lt;&gt;DK$9:DK$198)))),DR116,)"),"")</f>
        <v/>
      </c>
      <c s="42"/>
      <c s="63"/>
      <c s="64" t="str">
        <f t="shared" si="32"/>
        <v/>
      </c>
      <c s="65" t="str">
        <f>IFERROR(__xludf.DUMMYFUNCTION("""COMPUTED_VALUE"""),"")</f>
        <v/>
      </c>
      <c s="66">
        <f ca="1"/>
        <v>45271</v>
      </c>
      <c s="93" t="str">
        <f t="shared" si="47"/>
        <v/>
      </c>
      <c s="94" t="str">
        <f t="shared" si="405"/>
        <v/>
      </c>
      <c s="95" t="str">
        <f t="shared" si="421"/>
        <v/>
      </c>
      <c s="98" t="str">
        <f t="shared" si="422"/>
        <v/>
      </c>
      <c s="97" t="str">
        <f t="array" ref="EE116">IFERROR(IF(DY116="ac"+ISNUMBER(SEARCH("'",ED116))+EC116="","",IF(ISNUMBER(SEARCH("lw",ED116)),DQ116+SUBSTITUTE(ED116,"lw+",""),MROUND(_xlfn.SWITCH(DY116,"sq",EC$7,"bn",ED$7,"dl",EE$7,"")*IF(ED116&gt;10,ED116/100,VLOOKUP(ED116,_rpe,SUBSTITUTE(EC116,"+","")+1,0)),IF(_xlfn.SWITCH(DY116,"sq",EC$7,"bn",ED$7,"dl",EE$7,"")&lt;IF(_uom="lbs",175,80),1.25,IF(_uom="lbs",5,2.5))))),"")</f>
        <v/>
      </c>
      <c s="70"/>
      <c s="63"/>
      <c s="97"/>
      <c s="44" t="str">
        <f>IFERROR(__xludf.DUMMYFUNCTION("IF(EE116=MAX(FILTER(EE$10:EE$199,LOOKUP(ROW(DY$10:DY$199),FILTER(ROW(DY$10:DY$199),DY$10:DY$199&lt;&gt;DY$9:DY$198))=LOOKUP(ROW(DY116),FILTER(ROW(DY$10:DY$199),DY$10:DY$199&lt;&gt;DY$9:DY$198)))),EF116,)"),"")</f>
        <v/>
      </c>
      <c s="42"/>
      <c s="63"/>
      <c s="64" t="str">
        <f t="shared" si="34"/>
        <v/>
      </c>
      <c s="65" t="str">
        <f>IFERROR(__xludf.DUMMYFUNCTION("""COMPUTED_VALUE"""),"")</f>
        <v/>
      </c>
      <c s="66">
        <f ca="1"/>
        <v>45278</v>
      </c>
      <c s="93" t="str">
        <f t="shared" si="48"/>
        <v/>
      </c>
      <c s="94" t="str">
        <f t="shared" si="395"/>
        <v/>
      </c>
      <c s="95" t="str">
        <f t="shared" si="423"/>
        <v/>
      </c>
      <c s="98" t="str">
        <f t="shared" si="402"/>
        <v/>
      </c>
      <c s="97" t="str">
        <f t="array" ref="ES116">IFERROR(IF(EM116="ac"+ISNUMBER(SEARCH("'",ER116))+EQ116="","",IF(ISNUMBER(SEARCH("lw",ER116)),EE116+SUBSTITUTE(ER116,"lw+",""),MROUND(_xlfn.SWITCH(EM116,"sq",EQ$7,"bn",ER$7,"dl",ES$7,"")*IF(ER116&gt;10,ER116/100,VLOOKUP(ER116,_rpe,SUBSTITUTE(EQ116,"+","")+1,0)),IF(_xlfn.SWITCH(EM116,"sq",EQ$7,"bn",ER$7,"dl",ES$7,"")&lt;IF(_uom="lbs",175,80),1.25,IF(_uom="lbs",5,2.5))))),"")</f>
        <v/>
      </c>
      <c s="70"/>
      <c s="63"/>
      <c s="97"/>
      <c s="44" t="str">
        <f>IFERROR(__xludf.DUMMYFUNCTION("IF(ES116=MAX(FILTER(ES$10:ES$199,LOOKUP(ROW(EM$10:EM$199),FILTER(ROW(EM$10:EM$199),EM$10:EM$199&lt;&gt;EM$9:EM$198))=LOOKUP(ROW(EM116),FILTER(ROW(EM$10:EM$199),EM$10:EM$199&lt;&gt;EM$9:EM$198)))),ET116,)"),"")</f>
        <v/>
      </c>
      <c s="42"/>
      <c s="63"/>
      <c s="64" t="str">
        <f t="shared" si="36"/>
        <v/>
      </c>
      <c s="65" t="str">
        <f>IFERROR(__xludf.DUMMYFUNCTION("""COMPUTED_VALUE"""),"")</f>
        <v/>
      </c>
      <c s="66">
        <f ca="1"/>
        <v>45285</v>
      </c>
      <c s="93" t="str">
        <f t="shared" si="49"/>
        <v/>
      </c>
      <c s="94" t="str">
        <f t="shared" si="396"/>
        <v/>
      </c>
      <c s="95" t="str">
        <f t="shared" si="424"/>
        <v/>
      </c>
      <c s="98" t="str">
        <f t="shared" si="403"/>
        <v/>
      </c>
      <c s="97" t="str">
        <f t="array" ref="FG116">IFERROR(IF(FA116="ac"+ISNUMBER(SEARCH("'",FF116))+FE116="","",IF(ISNUMBER(SEARCH("lw",FF116)),ES116+SUBSTITUTE(FF116,"lw+",""),MROUND(_xlfn.SWITCH(FA116,"sq",FE$7,"bn",FF$7,"dl",FG$7,"")*IF(FF116&gt;10,FF116/100,VLOOKUP(FF116,_rpe,SUBSTITUTE(FE116,"+","")+1,0)),IF(_xlfn.SWITCH(FA116,"sq",FE$7,"bn",FF$7,"dl",FG$7,"")&lt;IF(_uom="lbs",175,80),1.25,IF(_uom="lbs",5,2.5))))),"")</f>
        <v/>
      </c>
      <c s="70"/>
      <c s="63"/>
      <c s="97"/>
      <c s="44" t="str">
        <f>IFERROR(__xludf.DUMMYFUNCTION("IF(FG116=MAX(FILTER(FG$10:FG$199,LOOKUP(ROW(FA$10:FA$199),FILTER(ROW(FA$10:FA$199),FA$10:FA$199&lt;&gt;FA$9:FA$198))=LOOKUP(ROW(FA116),FILTER(ROW(FA$10:FA$199),FA$10:FA$199&lt;&gt;FA$9:FA$198)))),FH116,)"),"")</f>
        <v/>
      </c>
      <c s="42"/>
      <c s="63"/>
      <c s="64" t="str">
        <f t="shared" si="38"/>
        <v/>
      </c>
      <c s="65" t="str">
        <f>IFERROR(__xludf.DUMMYFUNCTION("""COMPUTED_VALUE"""),"")</f>
        <v/>
      </c>
      <c s="66">
        <f ca="1"/>
        <v>45292</v>
      </c>
      <c s="93" t="str">
        <f t="shared" si="460" ref="FQ116:FR116">IF(ISBLANK(FC116),"",FC116)</f>
        <v/>
      </c>
      <c s="94" t="str">
        <f t="shared" si="460"/>
        <v/>
      </c>
      <c s="95" t="str">
        <f t="shared" si="428"/>
        <v/>
      </c>
      <c s="98" t="str">
        <f t="shared" si="429"/>
        <v/>
      </c>
      <c s="97" t="str">
        <f t="array" ref="FU116">IFERROR(IF(FO116="ac"+ISNUMBER(SEARCH("'",FT116))+FS116="","",IF(ISNUMBER(SEARCH("lw",FT116)),FG116+SUBSTITUTE(FT116,"lw+",""),MROUND(_xlfn.SWITCH(FO116,"sq",FS$7,"bn",FT$7,"dl",FU$7,"")*IF(FT116&gt;10,FT116/100,VLOOKUP(FT116,_rpe,SUBSTITUTE(FS116,"+","")+1,0)),IF(_xlfn.SWITCH(FO116,"sq",FS$7,"bn",FT$7,"dl",FU$7,"")&lt;IF(_uom="lbs",175,80),1.25,IF(_uom="lbs",5,2.5))))),"")</f>
        <v/>
      </c>
      <c s="70"/>
      <c s="63"/>
      <c s="97"/>
      <c s="44" t="str">
        <f>IFERROR(__xludf.DUMMYFUNCTION("IF(FU116=MAX(FILTER(FU$10:FU$199,LOOKUP(ROW(FO$10:FO$199),FILTER(ROW(FO$10:FO$199),FO$10:FO$199&lt;&gt;FO$9:FO$198))=LOOKUP(ROW(FO116),FILTER(ROW(FO$10:FO$199),FO$10:FO$199&lt;&gt;FO$9:FO$198)))),FV116,)"),"")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17" spans="1:259" ht="15.75">
      <c r="A117" s="63"/>
      <c s="107"/>
      <c s="65" t="str">
        <f>IFERROR(__xludf.DUMMYFUNCTION("""COMPUTED_VALUE"""),"")</f>
        <v/>
      </c>
      <c s="66">
        <f ca="1"/>
        <v>45208</v>
      </c>
      <c s="93"/>
      <c s="94"/>
      <c s="95"/>
      <c s="96"/>
      <c s="97" t="str">
        <f t="array" ref="I117">IFERROR(IF(C117="ac"+ISNUMBER(SEARCH("'",H117))+G117="","",MROUND(_xlfn.SWITCH(C117,"sq",'Personal Info'!$O$15,"bn",'Personal Info'!$S$15,"dl",'Personal Info'!$W$15,"")*IF(H117&gt;10,H117/100,VLOOKUP(H117,_rpe,SUBSTITUTE(G117,"+","")+1,0)),IF(_xlfn.SWITCH(C117:C210,"sq",'Personal Info'!$O$15,"bn",'Personal Info'!$S$15,"dl",'Personal Info'!$W$15,"")&lt;IF(_uom="lbs",175,80),1.25,IF(_uom="lbs",5,2.5)))),"")</f>
        <v/>
      </c>
      <c s="70"/>
      <c s="63"/>
      <c s="97"/>
      <c s="44" t="str">
        <f>IFERROR(__xludf.DUMMYFUNCTION("IF(I117=MAX(FILTER(I$10:I$199,LOOKUP(ROW(C$10:C$199),FILTER(ROW(C$10:C$199),C$10:C$199&lt;&gt;C$9:C$198))=LOOKUP(ROW(C117),FILTER(ROW(C$10:C$199),C$10:C$199&lt;&gt;C$9:C$198)))),J117,)"),"")</f>
        <v/>
      </c>
      <c s="42"/>
      <c s="63"/>
      <c s="64" t="str">
        <f t="shared" si="11"/>
        <v/>
      </c>
      <c s="65" t="str">
        <f>IFERROR(__xludf.DUMMYFUNCTION("""COMPUTED_VALUE"""),"")</f>
        <v/>
      </c>
      <c s="66">
        <f ca="1"/>
        <v>45215</v>
      </c>
      <c s="93" t="str">
        <f t="shared" si="12"/>
        <v/>
      </c>
      <c s="94" t="str">
        <f t="shared" si="404"/>
        <v/>
      </c>
      <c s="95" t="str">
        <f t="shared" si="406"/>
        <v/>
      </c>
      <c s="98" t="str">
        <f t="shared" si="407"/>
        <v/>
      </c>
      <c s="97" t="str">
        <f t="array" ref="W117">IFERROR(IF(Q117="ac"+ISNUMBER(SEARCH("'",V117))+U117="","",IF(ISNUMBER(SEARCH("lw",V117)),I117+SUBSTITUTE(V117,"lw+",""),MROUND(_xlfn.SWITCH(Q117,"sq",U$7,"bn",V$7,"dl",W$7,"")*IF(V117&gt;10,V117/100,VLOOKUP(V117,_rpe,SUBSTITUTE(U117,"+","")+1,0)),IF(_xlfn.SWITCH(Q117,"sq",U$7,"bn",V$7,"dl",W$7,"")&lt;IF(_uom="lbs",175,80),1.25,IF(_uom="lbs",5,2.5))))),"")</f>
        <v/>
      </c>
      <c s="70"/>
      <c s="63"/>
      <c s="97"/>
      <c s="44" t="str">
        <f>IFERROR(__xludf.DUMMYFUNCTION("IF(W117=MAX(FILTER(W$10:W$199,LOOKUP(ROW(Q$10:Q$199),FILTER(ROW(Q$10:Q$199),Q$10:Q$199&lt;&gt;Q$9:Q$198))=LOOKUP(ROW(Q117),FILTER(ROW(Q$10:Q$199),Q$10:Q$199&lt;&gt;Q$9:Q$198)))),X117,)"),"")</f>
        <v/>
      </c>
      <c s="42"/>
      <c s="63"/>
      <c s="64" t="str">
        <f t="shared" si="14"/>
        <v/>
      </c>
      <c s="65" t="str">
        <f>IFERROR(__xludf.DUMMYFUNCTION("""COMPUTED_VALUE"""),"")</f>
        <v/>
      </c>
      <c s="66">
        <f ca="1"/>
        <v>45222</v>
      </c>
      <c s="93" t="str">
        <f t="shared" si="156"/>
        <v/>
      </c>
      <c s="94" t="str">
        <f t="shared" si="397"/>
        <v/>
      </c>
      <c s="95" t="str">
        <f t="shared" si="408"/>
        <v/>
      </c>
      <c s="98" t="str">
        <f t="shared" si="398"/>
        <v/>
      </c>
      <c s="97" t="str">
        <f t="array" ref="AK117">IFERROR(IF(AE117="ac"+ISNUMBER(SEARCH("'",AJ117))+AI117="","",IF(ISNUMBER(SEARCH("lw",AJ117)),W117+SUBSTITUTE(AJ117,"lw+",""),MROUND(_xlfn.SWITCH(AE117,"sq",AI$7,"bn",AJ$7,"dl",AK$7,"")*IF(AJ117&gt;10,AJ117/100,VLOOKUP(AJ117,_rpe,SUBSTITUTE(AI117,"+","")+1,0)),IF(_xlfn.SWITCH(AE117,"sq",AI$7,"bn",AJ$7,"dl",AK$7,"")&lt;IF(_uom="lbs",175,80),1.25,IF(_uom="lbs",5,2.5))))),"")</f>
        <v/>
      </c>
      <c s="70"/>
      <c s="63"/>
      <c s="97"/>
      <c s="44" t="str">
        <f>IFERROR(__xludf.DUMMYFUNCTION("IF(AK117=MAX(FILTER(AK$10:AK$199,LOOKUP(ROW(AE$10:AE$199),FILTER(ROW(AE$10:AE$199),AE$10:AE$199&lt;&gt;AE$9:AE$198))=LOOKUP(ROW(AE117),FILTER(ROW(AE$10:AE$199),AE$10:AE$199&lt;&gt;AE$9:AE$198)))),AL117,)"),"")</f>
        <v/>
      </c>
      <c s="42"/>
      <c s="63"/>
      <c s="64" t="str">
        <f t="shared" si="17"/>
        <v/>
      </c>
      <c s="65" t="str">
        <f>IFERROR(__xludf.DUMMYFUNCTION("""COMPUTED_VALUE"""),"")</f>
        <v/>
      </c>
      <c s="66">
        <f ca="1"/>
        <v>45229</v>
      </c>
      <c s="93" t="str">
        <f t="shared" si="157"/>
        <v/>
      </c>
      <c s="94" t="str">
        <f t="shared" si="399"/>
        <v/>
      </c>
      <c s="95" t="str">
        <f t="shared" si="409"/>
        <v/>
      </c>
      <c s="98" t="str">
        <f t="shared" si="400"/>
        <v/>
      </c>
      <c s="97" t="str">
        <f t="array" ref="AY117">IFERROR(IF(AS117="ac"+ISNUMBER(SEARCH("'",AX117))+AW117="","",IF(ISNUMBER(SEARCH("lw",AX117)),AK117+SUBSTITUTE(AX117,"lw+",""),MROUND(_xlfn.SWITCH(AS117,"sq",AW$7,"bn",AX$7,"dl",AY$7,"")*IF(AX117&gt;10,AX117/100,VLOOKUP(AX117,_rpe,SUBSTITUTE(AW117,"+","")+1,0)),IF(_xlfn.SWITCH(AS117,"sq",AW$7,"bn",AX$7,"dl",AY$7,"")&lt;IF(_uom="lbs",175,80),1.25,IF(_uom="lbs",5,2.5))))),"")</f>
        <v/>
      </c>
      <c s="70"/>
      <c s="63"/>
      <c s="97"/>
      <c s="44" t="str">
        <f>IFERROR(__xludf.DUMMYFUNCTION("IF(AY117=MAX(FILTER(AY$10:AY$199,LOOKUP(ROW(AS$10:AS$199),FILTER(ROW(AS$10:AS$199),AS$10:AS$199&lt;&gt;AS$9:AS$198))=LOOKUP(ROW(AS117),FILTER(ROW(AS$10:AS$199),AS$10:AS$199&lt;&gt;AS$9:AS$198)))),AZ117,)"),"")</f>
        <v/>
      </c>
      <c s="42"/>
      <c s="63"/>
      <c s="64" t="str">
        <f t="shared" si="19"/>
        <v/>
      </c>
      <c s="65" t="str">
        <f>IFERROR(__xludf.DUMMYFUNCTION("""COMPUTED_VALUE"""),"")</f>
        <v/>
      </c>
      <c s="66">
        <f ca="1"/>
        <v>45236</v>
      </c>
      <c s="93" t="str">
        <f t="shared" si="20"/>
        <v/>
      </c>
      <c s="94" t="str">
        <f t="shared" si="425"/>
        <v/>
      </c>
      <c s="95" t="str">
        <f t="shared" si="411"/>
        <v/>
      </c>
      <c s="98" t="str">
        <f t="shared" si="412"/>
        <v/>
      </c>
      <c s="97" t="str">
        <f t="array" ref="BM117">IFERROR(IF(BG117="ac"+ISNUMBER(SEARCH("'",BL117))+BK117="","",IF(ISNUMBER(SEARCH("lw",BL117)),AY117+SUBSTITUTE(BL117,"lw+",""),MROUND(_xlfn.SWITCH(BG117,"sq",BK$7,"bn",BL$7,"dl",BM$7,"")*IF(BL117&gt;10,BL117/100,VLOOKUP(BL117,_rpe,SUBSTITUTE(BK117,"+","")+1,0)),IF(_xlfn.SWITCH(BG117,"sq",BK$7,"bn",BL$7,"dl",BM$7,"")&lt;IF(_uom="lbs",175,80),1.25,IF(_uom="lbs",5,2.5))))),"")</f>
        <v/>
      </c>
      <c s="70"/>
      <c s="63"/>
      <c s="97"/>
      <c s="44" t="str">
        <f>IFERROR(__xludf.DUMMYFUNCTION("IF(BM117=MAX(FILTER(BM$10:BM$199,LOOKUP(ROW(BG$10:BG$199),FILTER(ROW(BG$10:BG$199),BG$10:BG$199&lt;&gt;BG$9:BG$198))=LOOKUP(ROW(BG117),FILTER(ROW(BG$10:BG$199),BG$10:BG$199&lt;&gt;BG$9:BG$198)))),BN117,)"),"")</f>
        <v/>
      </c>
      <c s="42"/>
      <c s="63"/>
      <c s="64" t="str">
        <f t="shared" si="21"/>
        <v/>
      </c>
      <c s="65" t="str">
        <f>IFERROR(__xludf.DUMMYFUNCTION("""COMPUTED_VALUE"""),"")</f>
        <v/>
      </c>
      <c s="66">
        <f ca="1"/>
        <v>45243</v>
      </c>
      <c s="93" t="str">
        <f t="shared" si="22"/>
        <v/>
      </c>
      <c s="94" t="str">
        <f t="shared" si="426"/>
        <v/>
      </c>
      <c s="95" t="str">
        <f t="shared" si="414"/>
        <v/>
      </c>
      <c s="98" t="str">
        <f t="shared" si="415"/>
        <v/>
      </c>
      <c s="97" t="str">
        <f t="array" ref="CA117">IFERROR(IF(BU117="ac"+ISNUMBER(SEARCH("'",BZ117))+BY117="","",IF(ISNUMBER(SEARCH("lw",BZ117)),BM117+SUBSTITUTE(BZ117,"lw+",""),MROUND(_xlfn.SWITCH(BU117,"sq",BY$7,"bn",BZ$7,"dl",CA$7,"")*IF(BZ117&gt;10,BZ117/100,VLOOKUP(BZ117,_rpe,SUBSTITUTE(BY117,"+","")+1,0)),IF(_xlfn.SWITCH(BU117,"sq",BY$7,"bn",BZ$7,"dl",CA$7,"")&lt;IF(_uom="lbs",175,80),1.25,IF(_uom="lbs",5,2.5))))),"")</f>
        <v/>
      </c>
      <c s="70"/>
      <c s="63"/>
      <c s="97"/>
      <c s="44" t="str">
        <f>IFERROR(__xludf.DUMMYFUNCTION("IF(CA117=MAX(FILTER(CA$10:CA$199,LOOKUP(ROW(BU$10:BU$199),FILTER(ROW(BU$10:BU$199),BU$10:BU$199&lt;&gt;BU$9:BU$198))=LOOKUP(ROW(BU117),FILTER(ROW(BU$10:BU$199),BU$10:BU$199&lt;&gt;BU$9:BU$198)))),CB117,)"),"")</f>
        <v/>
      </c>
      <c s="42"/>
      <c s="63"/>
      <c s="64" t="str">
        <f t="shared" si="24"/>
        <v/>
      </c>
      <c s="65" t="str">
        <f>IFERROR(__xludf.DUMMYFUNCTION("""COMPUTED_VALUE"""),"")</f>
        <v/>
      </c>
      <c s="66">
        <f ca="1"/>
        <v>45250</v>
      </c>
      <c s="93" t="str">
        <f t="shared" si="44"/>
        <v/>
      </c>
      <c s="94" t="str">
        <f t="shared" si="392"/>
        <v/>
      </c>
      <c s="95" t="str">
        <f t="shared" si="416"/>
        <v/>
      </c>
      <c s="98" t="str">
        <f t="shared" si="417"/>
        <v/>
      </c>
      <c s="97" t="str">
        <f t="array" ref="CO117">IFERROR(IF(CI117="ac"+ISNUMBER(SEARCH("'",CN117))+CM117="","",IF(ISNUMBER(SEARCH("lw",CN117)),CA117+SUBSTITUTE(CN117,"lw+",""),MROUND(_xlfn.SWITCH(CI117,"sq",CM$7,"bn",CN$7,"dl",CO$7,"")*IF(CN117&gt;10,CN117/100,VLOOKUP(CN117,_rpe,SUBSTITUTE(CM117,"+","")+1,0)),IF(_xlfn.SWITCH(CI117,"sq",CM$7,"bn",CN$7,"dl",CO$7,"")&lt;IF(_uom="lbs",175,80),1.25,IF(_uom="lbs",5,2.5))))),"")</f>
        <v/>
      </c>
      <c s="70"/>
      <c s="63"/>
      <c s="97"/>
      <c s="44" t="str">
        <f>IFERROR(__xludf.DUMMYFUNCTION("IF(CO117=MAX(FILTER(CO$10:CO$199,LOOKUP(ROW(CI$10:CI$199),FILTER(ROW(CI$10:CI$199),CI$10:CI$199&lt;&gt;CI$9:CI$198))=LOOKUP(ROW(CI117),FILTER(ROW(CI$10:CI$199),CI$10:CI$199&lt;&gt;CI$9:CI$198)))),CP117,)"),"")</f>
        <v/>
      </c>
      <c s="42"/>
      <c s="63"/>
      <c s="64" t="str">
        <f t="shared" si="27"/>
        <v/>
      </c>
      <c s="65" t="str">
        <f>IFERROR(__xludf.DUMMYFUNCTION("""COMPUTED_VALUE"""),"")</f>
        <v/>
      </c>
      <c s="66">
        <f ca="1"/>
        <v>45257</v>
      </c>
      <c s="93" t="str">
        <f t="shared" si="45"/>
        <v/>
      </c>
      <c s="94" t="str">
        <f t="shared" si="393"/>
        <v/>
      </c>
      <c s="95" t="str">
        <f t="shared" si="418"/>
        <v/>
      </c>
      <c s="98" t="str">
        <f t="shared" si="401"/>
        <v/>
      </c>
      <c s="97" t="str">
        <f t="array" ref="DC117">IFERROR(IF(CW117="ac"+ISNUMBER(SEARCH("'",DB117))+DA117="","",IF(ISNUMBER(SEARCH("lw",DB117)),CO117+SUBSTITUTE(DB117,"lw+",""),MROUND(_xlfn.SWITCH(CW117,"sq",DA$7,"bn",DB$7,"dl",DC$7,"")*IF(DB117&gt;10,DB117/100,VLOOKUP(DB117,_rpe,SUBSTITUTE(DA117,"+","")+1,0)),IF(_xlfn.SWITCH(CW117,"sq",DA$7,"bn",DB$7,"dl",DC$7,"")&lt;IF(_uom="lbs",175,80),1.25,IF(_uom="lbs",5,2.5))))),"")</f>
        <v/>
      </c>
      <c s="70"/>
      <c s="63"/>
      <c s="97"/>
      <c s="44" t="str">
        <f>IFERROR(__xludf.DUMMYFUNCTION("IF(DC117=MAX(FILTER(DC$10:DC$199,LOOKUP(ROW(CW$10:CW$199),FILTER(ROW(CW$10:CW$199),CW$10:CW$199&lt;&gt;CW$9:CW$198))=LOOKUP(ROW(CW117),FILTER(ROW(CW$10:CW$199),CW$10:CW$199&lt;&gt;CW$9:CW$198)))),DD117,)"),"")</f>
        <v/>
      </c>
      <c s="42"/>
      <c s="63"/>
      <c s="64" t="str">
        <f t="shared" si="30"/>
        <v/>
      </c>
      <c s="65" t="str">
        <f>IFERROR(__xludf.DUMMYFUNCTION("""COMPUTED_VALUE"""),"")</f>
        <v/>
      </c>
      <c s="66">
        <f ca="1"/>
        <v>45264</v>
      </c>
      <c s="93" t="str">
        <f t="shared" si="46"/>
        <v/>
      </c>
      <c s="94" t="str">
        <f t="shared" si="394"/>
        <v/>
      </c>
      <c s="95" t="str">
        <f t="shared" si="419"/>
        <v/>
      </c>
      <c s="98" t="str">
        <f t="shared" si="420"/>
        <v/>
      </c>
      <c s="97" t="str">
        <f t="array" ref="DQ117">IFERROR(IF(DK117="ac"+ISNUMBER(SEARCH("'",DP117))+DO117="","",IF(ISNUMBER(SEARCH("lw",DP117)),DC117+SUBSTITUTE(DP117,"lw+",""),MROUND(_xlfn.SWITCH(DK117,"sq",DO$7,"bn",DP$7,"dl",DQ$7,"")*IF(DP117&gt;10,DP117/100,VLOOKUP(DP117,_rpe,SUBSTITUTE(DO117,"+","")+1,0)),IF(_xlfn.SWITCH(DK117,"sq",DO$7,"bn",DP$7,"dl",DQ$7,"")&lt;IF(_uom="lbs",175,80),1.25,IF(_uom="lbs",5,2.5))))),"")</f>
        <v/>
      </c>
      <c s="70"/>
      <c s="63"/>
      <c s="97"/>
      <c s="44" t="str">
        <f>IFERROR(__xludf.DUMMYFUNCTION("IF(DQ117=MAX(FILTER(DQ$10:DQ$199,LOOKUP(ROW(DK$10:DK$199),FILTER(ROW(DK$10:DK$199),DK$10:DK$199&lt;&gt;DK$9:DK$198))=LOOKUP(ROW(DK117),FILTER(ROW(DK$10:DK$199),DK$10:DK$199&lt;&gt;DK$9:DK$198)))),DR117,)"),"")</f>
        <v/>
      </c>
      <c s="42"/>
      <c s="63"/>
      <c s="64" t="str">
        <f t="shared" si="32"/>
        <v/>
      </c>
      <c s="65" t="str">
        <f>IFERROR(__xludf.DUMMYFUNCTION("""COMPUTED_VALUE"""),"")</f>
        <v/>
      </c>
      <c s="66">
        <f ca="1"/>
        <v>45271</v>
      </c>
      <c s="93" t="str">
        <f t="shared" si="47"/>
        <v/>
      </c>
      <c s="94" t="str">
        <f t="shared" si="405"/>
        <v/>
      </c>
      <c s="95" t="str">
        <f t="shared" si="421"/>
        <v/>
      </c>
      <c s="98" t="str">
        <f t="shared" si="422"/>
        <v/>
      </c>
      <c s="97" t="str">
        <f t="array" ref="EE117">IFERROR(IF(DY117="ac"+ISNUMBER(SEARCH("'",ED117))+EC117="","",IF(ISNUMBER(SEARCH("lw",ED117)),DQ117+SUBSTITUTE(ED117,"lw+",""),MROUND(_xlfn.SWITCH(DY117,"sq",EC$7,"bn",ED$7,"dl",EE$7,"")*IF(ED117&gt;10,ED117/100,VLOOKUP(ED117,_rpe,SUBSTITUTE(EC117,"+","")+1,0)),IF(_xlfn.SWITCH(DY117,"sq",EC$7,"bn",ED$7,"dl",EE$7,"")&lt;IF(_uom="lbs",175,80),1.25,IF(_uom="lbs",5,2.5))))),"")</f>
        <v/>
      </c>
      <c s="70"/>
      <c s="63"/>
      <c s="97"/>
      <c s="44" t="str">
        <f>IFERROR(__xludf.DUMMYFUNCTION("IF(EE117=MAX(FILTER(EE$10:EE$199,LOOKUP(ROW(DY$10:DY$199),FILTER(ROW(DY$10:DY$199),DY$10:DY$199&lt;&gt;DY$9:DY$198))=LOOKUP(ROW(DY117),FILTER(ROW(DY$10:DY$199),DY$10:DY$199&lt;&gt;DY$9:DY$198)))),EF117,)"),"")</f>
        <v/>
      </c>
      <c s="42"/>
      <c s="63"/>
      <c s="64" t="str">
        <f t="shared" si="34"/>
        <v/>
      </c>
      <c s="65" t="str">
        <f>IFERROR(__xludf.DUMMYFUNCTION("""COMPUTED_VALUE"""),"")</f>
        <v/>
      </c>
      <c s="66">
        <f ca="1"/>
        <v>45278</v>
      </c>
      <c s="93" t="str">
        <f t="shared" si="48"/>
        <v/>
      </c>
      <c s="94" t="str">
        <f t="shared" si="395"/>
        <v/>
      </c>
      <c s="95" t="str">
        <f t="shared" si="423"/>
        <v/>
      </c>
      <c s="98" t="str">
        <f t="shared" si="402"/>
        <v/>
      </c>
      <c s="97" t="str">
        <f t="array" ref="ES117">IFERROR(IF(EM117="ac"+ISNUMBER(SEARCH("'",ER117))+EQ117="","",IF(ISNUMBER(SEARCH("lw",ER117)),EE117+SUBSTITUTE(ER117,"lw+",""),MROUND(_xlfn.SWITCH(EM117,"sq",EQ$7,"bn",ER$7,"dl",ES$7,"")*IF(ER117&gt;10,ER117/100,VLOOKUP(ER117,_rpe,SUBSTITUTE(EQ117,"+","")+1,0)),IF(_xlfn.SWITCH(EM117,"sq",EQ$7,"bn",ER$7,"dl",ES$7,"")&lt;IF(_uom="lbs",175,80),1.25,IF(_uom="lbs",5,2.5))))),"")</f>
        <v/>
      </c>
      <c s="70"/>
      <c s="63"/>
      <c s="97"/>
      <c s="44" t="str">
        <f>IFERROR(__xludf.DUMMYFUNCTION("IF(ES117=MAX(FILTER(ES$10:ES$199,LOOKUP(ROW(EM$10:EM$199),FILTER(ROW(EM$10:EM$199),EM$10:EM$199&lt;&gt;EM$9:EM$198))=LOOKUP(ROW(EM117),FILTER(ROW(EM$10:EM$199),EM$10:EM$199&lt;&gt;EM$9:EM$198)))),ET117,)"),"")</f>
        <v/>
      </c>
      <c s="42"/>
      <c s="63"/>
      <c s="64" t="str">
        <f t="shared" si="36"/>
        <v/>
      </c>
      <c s="65" t="str">
        <f>IFERROR(__xludf.DUMMYFUNCTION("""COMPUTED_VALUE"""),"")</f>
        <v/>
      </c>
      <c s="66">
        <f ca="1"/>
        <v>45285</v>
      </c>
      <c s="93" t="str">
        <f t="shared" si="49"/>
        <v/>
      </c>
      <c s="94" t="str">
        <f t="shared" si="396"/>
        <v/>
      </c>
      <c s="95" t="str">
        <f t="shared" si="424"/>
        <v/>
      </c>
      <c s="98" t="str">
        <f t="shared" si="403"/>
        <v/>
      </c>
      <c s="97" t="str">
        <f t="array" ref="FG117">IFERROR(IF(FA117="ac"+ISNUMBER(SEARCH("'",FF117))+FE117="","",IF(ISNUMBER(SEARCH("lw",FF117)),ES117+SUBSTITUTE(FF117,"lw+",""),MROUND(_xlfn.SWITCH(FA117,"sq",FE$7,"bn",FF$7,"dl",FG$7,"")*IF(FF117&gt;10,FF117/100,VLOOKUP(FF117,_rpe,SUBSTITUTE(FE117,"+","")+1,0)),IF(_xlfn.SWITCH(FA117,"sq",FE$7,"bn",FF$7,"dl",FG$7,"")&lt;IF(_uom="lbs",175,80),1.25,IF(_uom="lbs",5,2.5))))),"")</f>
        <v/>
      </c>
      <c s="70"/>
      <c s="63"/>
      <c s="97"/>
      <c s="44" t="str">
        <f>IFERROR(__xludf.DUMMYFUNCTION("IF(FG117=MAX(FILTER(FG$10:FG$199,LOOKUP(ROW(FA$10:FA$199),FILTER(ROW(FA$10:FA$199),FA$10:FA$199&lt;&gt;FA$9:FA$198))=LOOKUP(ROW(FA117),FILTER(ROW(FA$10:FA$199),FA$10:FA$199&lt;&gt;FA$9:FA$198)))),FH117,)"),"")</f>
        <v/>
      </c>
      <c s="42"/>
      <c s="63"/>
      <c s="64" t="str">
        <f t="shared" si="38"/>
        <v/>
      </c>
      <c s="65" t="str">
        <f>IFERROR(__xludf.DUMMYFUNCTION("""COMPUTED_VALUE"""),"")</f>
        <v/>
      </c>
      <c s="66">
        <f ca="1"/>
        <v>45292</v>
      </c>
      <c s="93" t="str">
        <f t="shared" si="461" ref="FQ117:FR117">IF(ISBLANK(FC117),"",FC117)</f>
        <v/>
      </c>
      <c s="94" t="str">
        <f t="shared" si="461"/>
        <v/>
      </c>
      <c s="95" t="str">
        <f t="shared" si="428"/>
        <v/>
      </c>
      <c s="98" t="str">
        <f t="shared" si="429"/>
        <v/>
      </c>
      <c s="97" t="str">
        <f t="array" ref="FU117">IFERROR(IF(FO117="ac"+ISNUMBER(SEARCH("'",FT117))+FS117="","",IF(ISNUMBER(SEARCH("lw",FT117)),FG117+SUBSTITUTE(FT117,"lw+",""),MROUND(_xlfn.SWITCH(FO117,"sq",FS$7,"bn",FT$7,"dl",FU$7,"")*IF(FT117&gt;10,FT117/100,VLOOKUP(FT117,_rpe,SUBSTITUTE(FS117,"+","")+1,0)),IF(_xlfn.SWITCH(FO117,"sq",FS$7,"bn",FT$7,"dl",FU$7,"")&lt;IF(_uom="lbs",175,80),1.25,IF(_uom="lbs",5,2.5))))),"")</f>
        <v/>
      </c>
      <c s="70"/>
      <c s="63"/>
      <c s="97"/>
      <c s="44" t="str">
        <f>IFERROR(__xludf.DUMMYFUNCTION("IF(FU117=MAX(FILTER(FU$10:FU$199,LOOKUP(ROW(FO$10:FO$199),FILTER(ROW(FO$10:FO$199),FO$10:FO$199&lt;&gt;FO$9:FO$198))=LOOKUP(ROW(FO117),FILTER(ROW(FO$10:FO$199),FO$10:FO$199&lt;&gt;FO$9:FO$198)))),FV117,)"),"")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18" spans="1:259" ht="15.75">
      <c r="A118" s="63"/>
      <c s="107"/>
      <c s="65" t="str">
        <f>IFERROR(__xludf.DUMMYFUNCTION("""COMPUTED_VALUE"""),"")</f>
        <v/>
      </c>
      <c s="66">
        <f ca="1"/>
        <v>45208</v>
      </c>
      <c s="108"/>
      <c s="94"/>
      <c s="95"/>
      <c s="96"/>
      <c s="97" t="str">
        <f t="array" ref="I118">IFERROR(IF(C118="ac"+ISNUMBER(SEARCH("'",H118))+G118="","",MROUND(_xlfn.SWITCH(C118,"sq",'Personal Info'!$O$15,"bn",'Personal Info'!$S$15,"dl",'Personal Info'!$W$15,"")*IF(H118&gt;10,H118/100,VLOOKUP(H118,_rpe,SUBSTITUTE(G118,"+","")+1,0)),IF(_xlfn.SWITCH(C118:C210,"sq",'Personal Info'!$O$15,"bn",'Personal Info'!$S$15,"dl",'Personal Info'!$W$15,"")&lt;IF(_uom="lbs",175,80),1.25,IF(_uom="lbs",5,2.5)))),"")</f>
        <v/>
      </c>
      <c s="70"/>
      <c s="63"/>
      <c s="97"/>
      <c s="44" t="str">
        <f>IFERROR(__xludf.DUMMYFUNCTION("IF(I118=MAX(FILTER(I$10:I$199,LOOKUP(ROW(C$10:C$199),FILTER(ROW(C$10:C$199),C$10:C$199&lt;&gt;C$9:C$198))=LOOKUP(ROW(C118),FILTER(ROW(C$10:C$199),C$10:C$199&lt;&gt;C$9:C$198)))),J118,)"),"")</f>
        <v/>
      </c>
      <c s="42"/>
      <c s="63"/>
      <c s="64" t="str">
        <f t="shared" si="11"/>
        <v/>
      </c>
      <c s="65" t="str">
        <f>IFERROR(__xludf.DUMMYFUNCTION("""COMPUTED_VALUE"""),"")</f>
        <v/>
      </c>
      <c s="66">
        <f ca="1"/>
        <v>45215</v>
      </c>
      <c s="93" t="str">
        <f t="shared" si="12"/>
        <v/>
      </c>
      <c s="94" t="str">
        <f t="shared" si="404"/>
        <v/>
      </c>
      <c s="95" t="str">
        <f t="shared" si="406"/>
        <v/>
      </c>
      <c s="98" t="str">
        <f t="shared" si="407"/>
        <v/>
      </c>
      <c s="97" t="str">
        <f t="array" ref="W118">IFERROR(IF(Q118="ac"+ISNUMBER(SEARCH("'",V118))+U118="","",IF(ISNUMBER(SEARCH("lw",V118)),I118+SUBSTITUTE(V118,"lw+",""),MROUND(_xlfn.SWITCH(Q118,"sq",U$7,"bn",V$7,"dl",W$7,"")*IF(V118&gt;10,V118/100,VLOOKUP(V118,_rpe,SUBSTITUTE(U118,"+","")+1,0)),IF(_xlfn.SWITCH(Q118,"sq",U$7,"bn",V$7,"dl",W$7,"")&lt;IF(_uom="lbs",175,80),1.25,IF(_uom="lbs",5,2.5))))),"")</f>
        <v/>
      </c>
      <c s="70"/>
      <c s="63"/>
      <c s="97"/>
      <c s="44" t="str">
        <f>IFERROR(__xludf.DUMMYFUNCTION("IF(W118=MAX(FILTER(W$10:W$199,LOOKUP(ROW(Q$10:Q$199),FILTER(ROW(Q$10:Q$199),Q$10:Q$199&lt;&gt;Q$9:Q$198))=LOOKUP(ROW(Q118),FILTER(ROW(Q$10:Q$199),Q$10:Q$199&lt;&gt;Q$9:Q$198)))),X118,)"),"")</f>
        <v/>
      </c>
      <c s="42"/>
      <c s="63"/>
      <c s="64" t="str">
        <f t="shared" si="14"/>
        <v/>
      </c>
      <c s="65" t="str">
        <f>IFERROR(__xludf.DUMMYFUNCTION("""COMPUTED_VALUE"""),"")</f>
        <v/>
      </c>
      <c s="66">
        <f ca="1"/>
        <v>45222</v>
      </c>
      <c s="93" t="str">
        <f t="shared" si="156"/>
        <v/>
      </c>
      <c s="94" t="str">
        <f t="shared" si="397"/>
        <v/>
      </c>
      <c s="95" t="str">
        <f t="shared" si="408"/>
        <v/>
      </c>
      <c s="98" t="str">
        <f t="shared" si="398"/>
        <v/>
      </c>
      <c s="97" t="str">
        <f t="array" ref="AK118">IFERROR(IF(AE118="ac"+ISNUMBER(SEARCH("'",AJ118))+AI118="","",IF(ISNUMBER(SEARCH("lw",AJ118)),W118+SUBSTITUTE(AJ118,"lw+",""),MROUND(_xlfn.SWITCH(AE118,"sq",AI$7,"bn",AJ$7,"dl",AK$7,"")*IF(AJ118&gt;10,AJ118/100,VLOOKUP(AJ118,_rpe,SUBSTITUTE(AI118,"+","")+1,0)),IF(_xlfn.SWITCH(AE118,"sq",AI$7,"bn",AJ$7,"dl",AK$7,"")&lt;IF(_uom="lbs",175,80),1.25,IF(_uom="lbs",5,2.5))))),"")</f>
        <v/>
      </c>
      <c s="70"/>
      <c s="63"/>
      <c s="97"/>
      <c s="44" t="str">
        <f>IFERROR(__xludf.DUMMYFUNCTION("IF(AK118=MAX(FILTER(AK$10:AK$199,LOOKUP(ROW(AE$10:AE$199),FILTER(ROW(AE$10:AE$199),AE$10:AE$199&lt;&gt;AE$9:AE$198))=LOOKUP(ROW(AE118),FILTER(ROW(AE$10:AE$199),AE$10:AE$199&lt;&gt;AE$9:AE$198)))),AL118,)"),"")</f>
        <v/>
      </c>
      <c s="42"/>
      <c s="63"/>
      <c s="64" t="str">
        <f t="shared" si="17"/>
        <v/>
      </c>
      <c s="65" t="str">
        <f>IFERROR(__xludf.DUMMYFUNCTION("""COMPUTED_VALUE"""),"")</f>
        <v/>
      </c>
      <c s="66">
        <f ca="1"/>
        <v>45229</v>
      </c>
      <c s="93" t="str">
        <f t="shared" si="157"/>
        <v/>
      </c>
      <c s="94" t="str">
        <f t="shared" si="399"/>
        <v/>
      </c>
      <c s="95" t="str">
        <f t="shared" si="409"/>
        <v/>
      </c>
      <c s="98" t="str">
        <f t="shared" si="400"/>
        <v/>
      </c>
      <c s="97" t="str">
        <f t="array" ref="AY118">IFERROR(IF(AS118="ac"+ISNUMBER(SEARCH("'",AX118))+AW118="","",IF(ISNUMBER(SEARCH("lw",AX118)),AK118+SUBSTITUTE(AX118,"lw+",""),MROUND(_xlfn.SWITCH(AS118,"sq",AW$7,"bn",AX$7,"dl",AY$7,"")*IF(AX118&gt;10,AX118/100,VLOOKUP(AX118,_rpe,SUBSTITUTE(AW118,"+","")+1,0)),IF(_xlfn.SWITCH(AS118,"sq",AW$7,"bn",AX$7,"dl",AY$7,"")&lt;IF(_uom="lbs",175,80),1.25,IF(_uom="lbs",5,2.5))))),"")</f>
        <v/>
      </c>
      <c s="70"/>
      <c s="63"/>
      <c s="97"/>
      <c s="44" t="str">
        <f>IFERROR(__xludf.DUMMYFUNCTION("IF(AY118=MAX(FILTER(AY$10:AY$199,LOOKUP(ROW(AS$10:AS$199),FILTER(ROW(AS$10:AS$199),AS$10:AS$199&lt;&gt;AS$9:AS$198))=LOOKUP(ROW(AS118),FILTER(ROW(AS$10:AS$199),AS$10:AS$199&lt;&gt;AS$9:AS$198)))),AZ118,)"),"")</f>
        <v/>
      </c>
      <c s="42"/>
      <c s="63"/>
      <c s="64" t="str">
        <f t="shared" si="19"/>
        <v/>
      </c>
      <c s="65" t="str">
        <f>IFERROR(__xludf.DUMMYFUNCTION("""COMPUTED_VALUE"""),"")</f>
        <v/>
      </c>
      <c s="66">
        <f ca="1"/>
        <v>45236</v>
      </c>
      <c s="93" t="str">
        <f t="shared" si="20"/>
        <v/>
      </c>
      <c s="94" t="str">
        <f t="shared" si="425"/>
        <v/>
      </c>
      <c s="95" t="str">
        <f t="shared" si="411"/>
        <v/>
      </c>
      <c s="98" t="str">
        <f t="shared" si="412"/>
        <v/>
      </c>
      <c s="97" t="str">
        <f t="array" ref="BM118">IFERROR(IF(BG118="ac"+ISNUMBER(SEARCH("'",BL118))+BK118="","",IF(ISNUMBER(SEARCH("lw",BL118)),AY118+SUBSTITUTE(BL118,"lw+",""),MROUND(_xlfn.SWITCH(BG118,"sq",BK$7,"bn",BL$7,"dl",BM$7,"")*IF(BL118&gt;10,BL118/100,VLOOKUP(BL118,_rpe,SUBSTITUTE(BK118,"+","")+1,0)),IF(_xlfn.SWITCH(BG118,"sq",BK$7,"bn",BL$7,"dl",BM$7,"")&lt;IF(_uom="lbs",175,80),1.25,IF(_uom="lbs",5,2.5))))),"")</f>
        <v/>
      </c>
      <c s="70"/>
      <c s="63"/>
      <c s="97"/>
      <c s="44" t="str">
        <f>IFERROR(__xludf.DUMMYFUNCTION("IF(BM118=MAX(FILTER(BM$10:BM$199,LOOKUP(ROW(BG$10:BG$199),FILTER(ROW(BG$10:BG$199),BG$10:BG$199&lt;&gt;BG$9:BG$198))=LOOKUP(ROW(BG118),FILTER(ROW(BG$10:BG$199),BG$10:BG$199&lt;&gt;BG$9:BG$198)))),BN118,)"),"")</f>
        <v/>
      </c>
      <c s="42"/>
      <c s="63"/>
      <c s="64" t="str">
        <f t="shared" si="21"/>
        <v/>
      </c>
      <c s="65" t="str">
        <f>IFERROR(__xludf.DUMMYFUNCTION("""COMPUTED_VALUE"""),"")</f>
        <v/>
      </c>
      <c s="66">
        <f ca="1"/>
        <v>45243</v>
      </c>
      <c s="93" t="str">
        <f t="shared" si="22"/>
        <v/>
      </c>
      <c s="94" t="str">
        <f t="shared" si="426"/>
        <v/>
      </c>
      <c s="95" t="str">
        <f t="shared" si="414"/>
        <v/>
      </c>
      <c s="98" t="str">
        <f t="shared" si="415"/>
        <v/>
      </c>
      <c s="97" t="str">
        <f t="array" ref="CA118">IFERROR(IF(BU118="ac"+ISNUMBER(SEARCH("'",BZ118))+BY118="","",IF(ISNUMBER(SEARCH("lw",BZ118)),BM118+SUBSTITUTE(BZ118,"lw+",""),MROUND(_xlfn.SWITCH(BU118,"sq",BY$7,"bn",BZ$7,"dl",CA$7,"")*IF(BZ118&gt;10,BZ118/100,VLOOKUP(BZ118,_rpe,SUBSTITUTE(BY118,"+","")+1,0)),IF(_xlfn.SWITCH(BU118,"sq",BY$7,"bn",BZ$7,"dl",CA$7,"")&lt;IF(_uom="lbs",175,80),1.25,IF(_uom="lbs",5,2.5))))),"")</f>
        <v/>
      </c>
      <c s="70"/>
      <c s="63"/>
      <c s="97"/>
      <c s="44" t="str">
        <f>IFERROR(__xludf.DUMMYFUNCTION("IF(CA118=MAX(FILTER(CA$10:CA$199,LOOKUP(ROW(BU$10:BU$199),FILTER(ROW(BU$10:BU$199),BU$10:BU$199&lt;&gt;BU$9:BU$198))=LOOKUP(ROW(BU118),FILTER(ROW(BU$10:BU$199),BU$10:BU$199&lt;&gt;BU$9:BU$198)))),CB118,)"),"")</f>
        <v/>
      </c>
      <c s="42"/>
      <c s="63"/>
      <c s="64" t="str">
        <f t="shared" si="24"/>
        <v/>
      </c>
      <c s="65" t="str">
        <f>IFERROR(__xludf.DUMMYFUNCTION("""COMPUTED_VALUE"""),"")</f>
        <v/>
      </c>
      <c s="66">
        <f ca="1"/>
        <v>45250</v>
      </c>
      <c s="93" t="str">
        <f t="shared" si="44"/>
        <v/>
      </c>
      <c s="94" t="str">
        <f t="shared" si="392"/>
        <v/>
      </c>
      <c s="95" t="str">
        <f t="shared" si="416"/>
        <v/>
      </c>
      <c s="98" t="str">
        <f t="shared" si="417"/>
        <v/>
      </c>
      <c s="97" t="str">
        <f t="array" ref="CO118">IFERROR(IF(CI118="ac"+ISNUMBER(SEARCH("'",CN118))+CM118="","",IF(ISNUMBER(SEARCH("lw",CN118)),CA118+SUBSTITUTE(CN118,"lw+",""),MROUND(_xlfn.SWITCH(CI118,"sq",CM$7,"bn",CN$7,"dl",CO$7,"")*IF(CN118&gt;10,CN118/100,VLOOKUP(CN118,_rpe,SUBSTITUTE(CM118,"+","")+1,0)),IF(_xlfn.SWITCH(CI118,"sq",CM$7,"bn",CN$7,"dl",CO$7,"")&lt;IF(_uom="lbs",175,80),1.25,IF(_uom="lbs",5,2.5))))),"")</f>
        <v/>
      </c>
      <c s="70"/>
      <c s="63"/>
      <c s="97"/>
      <c s="44" t="str">
        <f>IFERROR(__xludf.DUMMYFUNCTION("IF(CO118=MAX(FILTER(CO$10:CO$199,LOOKUP(ROW(CI$10:CI$199),FILTER(ROW(CI$10:CI$199),CI$10:CI$199&lt;&gt;CI$9:CI$198))=LOOKUP(ROW(CI118),FILTER(ROW(CI$10:CI$199),CI$10:CI$199&lt;&gt;CI$9:CI$198)))),CP118,)"),"")</f>
        <v/>
      </c>
      <c s="42"/>
      <c s="63"/>
      <c s="64" t="str">
        <f t="shared" si="27"/>
        <v/>
      </c>
      <c s="65" t="str">
        <f>IFERROR(__xludf.DUMMYFUNCTION("""COMPUTED_VALUE"""),"")</f>
        <v/>
      </c>
      <c s="66">
        <f ca="1"/>
        <v>45257</v>
      </c>
      <c s="93" t="str">
        <f t="shared" si="45"/>
        <v/>
      </c>
      <c s="94" t="str">
        <f t="shared" si="393"/>
        <v/>
      </c>
      <c s="95" t="str">
        <f t="shared" si="418"/>
        <v/>
      </c>
      <c s="98" t="str">
        <f t="shared" si="401"/>
        <v/>
      </c>
      <c s="97" t="str">
        <f t="array" ref="DC118">IFERROR(IF(CW118="ac"+ISNUMBER(SEARCH("'",DB118))+DA118="","",IF(ISNUMBER(SEARCH("lw",DB118)),CO118+SUBSTITUTE(DB118,"lw+",""),MROUND(_xlfn.SWITCH(CW118,"sq",DA$7,"bn",DB$7,"dl",DC$7,"")*IF(DB118&gt;10,DB118/100,VLOOKUP(DB118,_rpe,SUBSTITUTE(DA118,"+","")+1,0)),IF(_xlfn.SWITCH(CW118,"sq",DA$7,"bn",DB$7,"dl",DC$7,"")&lt;IF(_uom="lbs",175,80),1.25,IF(_uom="lbs",5,2.5))))),"")</f>
        <v/>
      </c>
      <c s="70"/>
      <c s="63"/>
      <c s="97"/>
      <c s="44" t="str">
        <f>IFERROR(__xludf.DUMMYFUNCTION("IF(DC118=MAX(FILTER(DC$10:DC$199,LOOKUP(ROW(CW$10:CW$199),FILTER(ROW(CW$10:CW$199),CW$10:CW$199&lt;&gt;CW$9:CW$198))=LOOKUP(ROW(CW118),FILTER(ROW(CW$10:CW$199),CW$10:CW$199&lt;&gt;CW$9:CW$198)))),DD118,)"),"")</f>
        <v/>
      </c>
      <c s="42"/>
      <c s="63"/>
      <c s="64" t="str">
        <f t="shared" si="30"/>
        <v/>
      </c>
      <c s="65" t="str">
        <f>IFERROR(__xludf.DUMMYFUNCTION("""COMPUTED_VALUE"""),"")</f>
        <v/>
      </c>
      <c s="66">
        <f ca="1"/>
        <v>45264</v>
      </c>
      <c s="93" t="str">
        <f t="shared" si="46"/>
        <v/>
      </c>
      <c s="94" t="str">
        <f t="shared" si="394"/>
        <v/>
      </c>
      <c s="95" t="str">
        <f t="shared" si="419"/>
        <v/>
      </c>
      <c s="98" t="str">
        <f t="shared" si="420"/>
        <v/>
      </c>
      <c s="97" t="str">
        <f t="array" ref="DQ118">IFERROR(IF(DK118="ac"+ISNUMBER(SEARCH("'",DP118))+DO118="","",IF(ISNUMBER(SEARCH("lw",DP118)),DC118+SUBSTITUTE(DP118,"lw+",""),MROUND(_xlfn.SWITCH(DK118,"sq",DO$7,"bn",DP$7,"dl",DQ$7,"")*IF(DP118&gt;10,DP118/100,VLOOKUP(DP118,_rpe,SUBSTITUTE(DO118,"+","")+1,0)),IF(_xlfn.SWITCH(DK118,"sq",DO$7,"bn",DP$7,"dl",DQ$7,"")&lt;IF(_uom="lbs",175,80),1.25,IF(_uom="lbs",5,2.5))))),"")</f>
        <v/>
      </c>
      <c s="70"/>
      <c s="63"/>
      <c s="97"/>
      <c s="44" t="str">
        <f>IFERROR(__xludf.DUMMYFUNCTION("IF(DQ118=MAX(FILTER(DQ$10:DQ$199,LOOKUP(ROW(DK$10:DK$199),FILTER(ROW(DK$10:DK$199),DK$10:DK$199&lt;&gt;DK$9:DK$198))=LOOKUP(ROW(DK118),FILTER(ROW(DK$10:DK$199),DK$10:DK$199&lt;&gt;DK$9:DK$198)))),DR118,)"),"")</f>
        <v/>
      </c>
      <c s="42"/>
      <c s="63"/>
      <c s="64" t="str">
        <f t="shared" si="32"/>
        <v/>
      </c>
      <c s="65" t="str">
        <f>IFERROR(__xludf.DUMMYFUNCTION("""COMPUTED_VALUE"""),"")</f>
        <v/>
      </c>
      <c s="66">
        <f ca="1"/>
        <v>45271</v>
      </c>
      <c s="93" t="str">
        <f t="shared" si="47"/>
        <v/>
      </c>
      <c s="94" t="str">
        <f t="shared" si="405"/>
        <v/>
      </c>
      <c s="95" t="str">
        <f t="shared" si="421"/>
        <v/>
      </c>
      <c s="98" t="str">
        <f t="shared" si="422"/>
        <v/>
      </c>
      <c s="97" t="str">
        <f t="array" ref="EE118">IFERROR(IF(DY118="ac"+ISNUMBER(SEARCH("'",ED118))+EC118="","",IF(ISNUMBER(SEARCH("lw",ED118)),DQ118+SUBSTITUTE(ED118,"lw+",""),MROUND(_xlfn.SWITCH(DY118,"sq",EC$7,"bn",ED$7,"dl",EE$7,"")*IF(ED118&gt;10,ED118/100,VLOOKUP(ED118,_rpe,SUBSTITUTE(EC118,"+","")+1,0)),IF(_xlfn.SWITCH(DY118,"sq",EC$7,"bn",ED$7,"dl",EE$7,"")&lt;IF(_uom="lbs",175,80),1.25,IF(_uom="lbs",5,2.5))))),"")</f>
        <v/>
      </c>
      <c s="70"/>
      <c s="63"/>
      <c s="97"/>
      <c s="44" t="str">
        <f>IFERROR(__xludf.DUMMYFUNCTION("IF(EE118=MAX(FILTER(EE$10:EE$199,LOOKUP(ROW(DY$10:DY$199),FILTER(ROW(DY$10:DY$199),DY$10:DY$199&lt;&gt;DY$9:DY$198))=LOOKUP(ROW(DY118),FILTER(ROW(DY$10:DY$199),DY$10:DY$199&lt;&gt;DY$9:DY$198)))),EF118,)"),"")</f>
        <v/>
      </c>
      <c s="42"/>
      <c s="63"/>
      <c s="64" t="str">
        <f t="shared" si="34"/>
        <v/>
      </c>
      <c s="65" t="str">
        <f>IFERROR(__xludf.DUMMYFUNCTION("""COMPUTED_VALUE"""),"")</f>
        <v/>
      </c>
      <c s="66">
        <f ca="1"/>
        <v>45278</v>
      </c>
      <c s="93" t="str">
        <f t="shared" si="48"/>
        <v/>
      </c>
      <c s="94" t="str">
        <f t="shared" si="395"/>
        <v/>
      </c>
      <c s="95" t="str">
        <f t="shared" si="423"/>
        <v/>
      </c>
      <c s="98" t="str">
        <f t="shared" si="402"/>
        <v/>
      </c>
      <c s="97" t="str">
        <f t="array" ref="ES118">IFERROR(IF(EM118="ac"+ISNUMBER(SEARCH("'",ER118))+EQ118="","",IF(ISNUMBER(SEARCH("lw",ER118)),EE118+SUBSTITUTE(ER118,"lw+",""),MROUND(_xlfn.SWITCH(EM118,"sq",EQ$7,"bn",ER$7,"dl",ES$7,"")*IF(ER118&gt;10,ER118/100,VLOOKUP(ER118,_rpe,SUBSTITUTE(EQ118,"+","")+1,0)),IF(_xlfn.SWITCH(EM118,"sq",EQ$7,"bn",ER$7,"dl",ES$7,"")&lt;IF(_uom="lbs",175,80),1.25,IF(_uom="lbs",5,2.5))))),"")</f>
        <v/>
      </c>
      <c s="70"/>
      <c s="63"/>
      <c s="97"/>
      <c s="44" t="str">
        <f>IFERROR(__xludf.DUMMYFUNCTION("IF(ES118=MAX(FILTER(ES$10:ES$199,LOOKUP(ROW(EM$10:EM$199),FILTER(ROW(EM$10:EM$199),EM$10:EM$199&lt;&gt;EM$9:EM$198))=LOOKUP(ROW(EM118),FILTER(ROW(EM$10:EM$199),EM$10:EM$199&lt;&gt;EM$9:EM$198)))),ET118,)"),"")</f>
        <v/>
      </c>
      <c s="42"/>
      <c s="63"/>
      <c s="64" t="str">
        <f t="shared" si="36"/>
        <v/>
      </c>
      <c s="65" t="str">
        <f>IFERROR(__xludf.DUMMYFUNCTION("""COMPUTED_VALUE"""),"")</f>
        <v/>
      </c>
      <c s="66">
        <f ca="1"/>
        <v>45285</v>
      </c>
      <c s="93" t="str">
        <f t="shared" si="49"/>
        <v/>
      </c>
      <c s="94" t="str">
        <f t="shared" si="396"/>
        <v/>
      </c>
      <c s="95" t="str">
        <f t="shared" si="424"/>
        <v/>
      </c>
      <c s="98" t="str">
        <f t="shared" si="403"/>
        <v/>
      </c>
      <c s="97" t="str">
        <f t="array" ref="FG118">IFERROR(IF(FA118="ac"+ISNUMBER(SEARCH("'",FF118))+FE118="","",IF(ISNUMBER(SEARCH("lw",FF118)),ES118+SUBSTITUTE(FF118,"lw+",""),MROUND(_xlfn.SWITCH(FA118,"sq",FE$7,"bn",FF$7,"dl",FG$7,"")*IF(FF118&gt;10,FF118/100,VLOOKUP(FF118,_rpe,SUBSTITUTE(FE118,"+","")+1,0)),IF(_xlfn.SWITCH(FA118,"sq",FE$7,"bn",FF$7,"dl",FG$7,"")&lt;IF(_uom="lbs",175,80),1.25,IF(_uom="lbs",5,2.5))))),"")</f>
        <v/>
      </c>
      <c s="70"/>
      <c s="63"/>
      <c s="97"/>
      <c s="44" t="str">
        <f>IFERROR(__xludf.DUMMYFUNCTION("IF(FG118=MAX(FILTER(FG$10:FG$199,LOOKUP(ROW(FA$10:FA$199),FILTER(ROW(FA$10:FA$199),FA$10:FA$199&lt;&gt;FA$9:FA$198))=LOOKUP(ROW(FA118),FILTER(ROW(FA$10:FA$199),FA$10:FA$199&lt;&gt;FA$9:FA$198)))),FH118,)"),"")</f>
        <v/>
      </c>
      <c s="42"/>
      <c s="63"/>
      <c s="64" t="str">
        <f t="shared" si="38"/>
        <v/>
      </c>
      <c s="65" t="str">
        <f>IFERROR(__xludf.DUMMYFUNCTION("""COMPUTED_VALUE"""),"")</f>
        <v/>
      </c>
      <c s="66">
        <f ca="1"/>
        <v>45292</v>
      </c>
      <c s="93" t="str">
        <f t="shared" si="462" ref="FQ118:FR118">IF(ISBLANK(FC118),"",FC118)</f>
        <v/>
      </c>
      <c s="94" t="str">
        <f t="shared" si="462"/>
        <v/>
      </c>
      <c s="95" t="str">
        <f t="shared" si="428"/>
        <v/>
      </c>
      <c s="98" t="str">
        <f t="shared" si="429"/>
        <v/>
      </c>
      <c s="97" t="str">
        <f t="array" ref="FU118">IFERROR(IF(FO118="ac"+ISNUMBER(SEARCH("'",FT118))+FS118="","",IF(ISNUMBER(SEARCH("lw",FT118)),FG118+SUBSTITUTE(FT118,"lw+",""),MROUND(_xlfn.SWITCH(FO118,"sq",FS$7,"bn",FT$7,"dl",FU$7,"")*IF(FT118&gt;10,FT118/100,VLOOKUP(FT118,_rpe,SUBSTITUTE(FS118,"+","")+1,0)),IF(_xlfn.SWITCH(FO118,"sq",FS$7,"bn",FT$7,"dl",FU$7,"")&lt;IF(_uom="lbs",175,80),1.25,IF(_uom="lbs",5,2.5))))),"")</f>
        <v/>
      </c>
      <c s="70"/>
      <c s="63"/>
      <c s="97"/>
      <c s="44" t="str">
        <f>IFERROR(__xludf.DUMMYFUNCTION("IF(FU118=MAX(FILTER(FU$10:FU$199,LOOKUP(ROW(FO$10:FO$199),FILTER(ROW(FO$10:FO$199),FO$10:FO$199&lt;&gt;FO$9:FO$198))=LOOKUP(ROW(FO118),FILTER(ROW(FO$10:FO$199),FO$10:FO$199&lt;&gt;FO$9:FO$198)))),FV118,)"),"")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19" spans="1:259" ht="15.75">
      <c r="A119" s="63"/>
      <c s="107"/>
      <c s="65" t="str">
        <f>IFERROR(__xludf.DUMMYFUNCTION("""COMPUTED_VALUE"""),"")</f>
        <v/>
      </c>
      <c s="66">
        <f ca="1"/>
        <v>45208</v>
      </c>
      <c s="93"/>
      <c s="94"/>
      <c s="95"/>
      <c s="96"/>
      <c s="97" t="str">
        <f t="array" ref="I119">IFERROR(IF(C119="ac"+ISNUMBER(SEARCH("'",H119))+G119="","",MROUND(_xlfn.SWITCH(C119,"sq",'Personal Info'!$O$15,"bn",'Personal Info'!$S$15,"dl",'Personal Info'!$W$15,"")*IF(H119&gt;10,H119/100,VLOOKUP(H119,_rpe,SUBSTITUTE(G119,"+","")+1,0)),IF(_xlfn.SWITCH(C119:C210,"sq",'Personal Info'!$O$15,"bn",'Personal Info'!$S$15,"dl",'Personal Info'!$W$15,"")&lt;IF(_uom="lbs",175,80),1.25,IF(_uom="lbs",5,2.5)))),"")</f>
        <v/>
      </c>
      <c s="70"/>
      <c s="63"/>
      <c s="97"/>
      <c s="44" t="str">
        <f>IFERROR(__xludf.DUMMYFUNCTION("IF(I119=MAX(FILTER(I$10:I$199,LOOKUP(ROW(C$10:C$199),FILTER(ROW(C$10:C$199),C$10:C$199&lt;&gt;C$9:C$198))=LOOKUP(ROW(C119),FILTER(ROW(C$10:C$199),C$10:C$199&lt;&gt;C$9:C$198)))),J119,)"),"")</f>
        <v/>
      </c>
      <c s="42"/>
      <c s="63"/>
      <c s="64" t="str">
        <f t="shared" si="11"/>
        <v/>
      </c>
      <c s="65" t="str">
        <f>IFERROR(__xludf.DUMMYFUNCTION("""COMPUTED_VALUE"""),"")</f>
        <v/>
      </c>
      <c s="66">
        <f ca="1"/>
        <v>45215</v>
      </c>
      <c s="93" t="str">
        <f t="shared" si="12"/>
        <v/>
      </c>
      <c s="94" t="str">
        <f t="shared" si="404"/>
        <v/>
      </c>
      <c s="95" t="str">
        <f t="shared" si="406"/>
        <v/>
      </c>
      <c s="98" t="str">
        <f t="shared" si="407"/>
        <v/>
      </c>
      <c s="97" t="str">
        <f t="array" ref="W119">IFERROR(IF(Q119="ac"+ISNUMBER(SEARCH("'",V119))+U119="","",IF(ISNUMBER(SEARCH("lw",V119)),I119+SUBSTITUTE(V119,"lw+",""),MROUND(_xlfn.SWITCH(Q119,"sq",U$7,"bn",V$7,"dl",W$7,"")*IF(V119&gt;10,V119/100,VLOOKUP(V119,_rpe,SUBSTITUTE(U119,"+","")+1,0)),IF(_xlfn.SWITCH(Q119,"sq",U$7,"bn",V$7,"dl",W$7,"")&lt;IF(_uom="lbs",175,80),1.25,IF(_uom="lbs",5,2.5))))),"")</f>
        <v/>
      </c>
      <c s="70"/>
      <c s="63"/>
      <c s="97"/>
      <c s="44" t="str">
        <f>IFERROR(__xludf.DUMMYFUNCTION("IF(W119=MAX(FILTER(W$10:W$199,LOOKUP(ROW(Q$10:Q$199),FILTER(ROW(Q$10:Q$199),Q$10:Q$199&lt;&gt;Q$9:Q$198))=LOOKUP(ROW(Q119),FILTER(ROW(Q$10:Q$199),Q$10:Q$199&lt;&gt;Q$9:Q$198)))),X119,)"),"")</f>
        <v/>
      </c>
      <c s="42"/>
      <c s="63"/>
      <c s="64" t="str">
        <f t="shared" si="14"/>
        <v/>
      </c>
      <c s="65" t="str">
        <f>IFERROR(__xludf.DUMMYFUNCTION("""COMPUTED_VALUE"""),"")</f>
        <v/>
      </c>
      <c s="66">
        <f ca="1"/>
        <v>45222</v>
      </c>
      <c s="93" t="str">
        <f t="shared" si="156"/>
        <v/>
      </c>
      <c s="94" t="str">
        <f t="shared" si="397"/>
        <v/>
      </c>
      <c s="95" t="str">
        <f t="shared" si="408"/>
        <v/>
      </c>
      <c s="98" t="str">
        <f t="shared" si="398"/>
        <v/>
      </c>
      <c s="97" t="str">
        <f t="array" ref="AK119">IFERROR(IF(AE119="ac"+ISNUMBER(SEARCH("'",AJ119))+AI119="","",IF(ISNUMBER(SEARCH("lw",AJ119)),W119+SUBSTITUTE(AJ119,"lw+",""),MROUND(_xlfn.SWITCH(AE119,"sq",AI$7,"bn",AJ$7,"dl",AK$7,"")*IF(AJ119&gt;10,AJ119/100,VLOOKUP(AJ119,_rpe,SUBSTITUTE(AI119,"+","")+1,0)),IF(_xlfn.SWITCH(AE119,"sq",AI$7,"bn",AJ$7,"dl",AK$7,"")&lt;IF(_uom="lbs",175,80),1.25,IF(_uom="lbs",5,2.5))))),"")</f>
        <v/>
      </c>
      <c s="70"/>
      <c s="63"/>
      <c s="97"/>
      <c s="44" t="str">
        <f>IFERROR(__xludf.DUMMYFUNCTION("IF(AK119=MAX(FILTER(AK$10:AK$199,LOOKUP(ROW(AE$10:AE$199),FILTER(ROW(AE$10:AE$199),AE$10:AE$199&lt;&gt;AE$9:AE$198))=LOOKUP(ROW(AE119),FILTER(ROW(AE$10:AE$199),AE$10:AE$199&lt;&gt;AE$9:AE$198)))),AL119,)"),"")</f>
        <v/>
      </c>
      <c s="42"/>
      <c s="63"/>
      <c s="64" t="str">
        <f t="shared" si="17"/>
        <v/>
      </c>
      <c s="65" t="str">
        <f>IFERROR(__xludf.DUMMYFUNCTION("""COMPUTED_VALUE"""),"")</f>
        <v/>
      </c>
      <c s="66">
        <f ca="1"/>
        <v>45229</v>
      </c>
      <c s="93" t="str">
        <f t="shared" si="157"/>
        <v/>
      </c>
      <c s="94" t="str">
        <f t="shared" si="399"/>
        <v/>
      </c>
      <c s="95" t="str">
        <f t="shared" si="409"/>
        <v/>
      </c>
      <c s="98" t="str">
        <f t="shared" si="400"/>
        <v/>
      </c>
      <c s="97" t="str">
        <f t="array" ref="AY119">IFERROR(IF(AS119="ac"+ISNUMBER(SEARCH("'",AX119))+AW119="","",IF(ISNUMBER(SEARCH("lw",AX119)),AK119+SUBSTITUTE(AX119,"lw+",""),MROUND(_xlfn.SWITCH(AS119,"sq",AW$7,"bn",AX$7,"dl",AY$7,"")*IF(AX119&gt;10,AX119/100,VLOOKUP(AX119,_rpe,SUBSTITUTE(AW119,"+","")+1,0)),IF(_xlfn.SWITCH(AS119,"sq",AW$7,"bn",AX$7,"dl",AY$7,"")&lt;IF(_uom="lbs",175,80),1.25,IF(_uom="lbs",5,2.5))))),"")</f>
        <v/>
      </c>
      <c s="70"/>
      <c s="63"/>
      <c s="97"/>
      <c s="44" t="str">
        <f>IFERROR(__xludf.DUMMYFUNCTION("IF(AY119=MAX(FILTER(AY$10:AY$199,LOOKUP(ROW(AS$10:AS$199),FILTER(ROW(AS$10:AS$199),AS$10:AS$199&lt;&gt;AS$9:AS$198))=LOOKUP(ROW(AS119),FILTER(ROW(AS$10:AS$199),AS$10:AS$199&lt;&gt;AS$9:AS$198)))),AZ119,)"),"")</f>
        <v/>
      </c>
      <c s="42"/>
      <c s="63"/>
      <c s="64" t="str">
        <f t="shared" si="19"/>
        <v/>
      </c>
      <c s="65" t="str">
        <f>IFERROR(__xludf.DUMMYFUNCTION("""COMPUTED_VALUE"""),"")</f>
        <v/>
      </c>
      <c s="66">
        <f ca="1"/>
        <v>45236</v>
      </c>
      <c s="93" t="str">
        <f t="shared" si="20"/>
        <v/>
      </c>
      <c s="94" t="str">
        <f t="shared" si="425"/>
        <v/>
      </c>
      <c s="95" t="str">
        <f t="shared" si="411"/>
        <v/>
      </c>
      <c s="98" t="str">
        <f t="shared" si="412"/>
        <v/>
      </c>
      <c s="97" t="str">
        <f t="array" ref="BM119">IFERROR(IF(BG119="ac"+ISNUMBER(SEARCH("'",BL119))+BK119="","",IF(ISNUMBER(SEARCH("lw",BL119)),AY119+SUBSTITUTE(BL119,"lw+",""),MROUND(_xlfn.SWITCH(BG119,"sq",BK$7,"bn",BL$7,"dl",BM$7,"")*IF(BL119&gt;10,BL119/100,VLOOKUP(BL119,_rpe,SUBSTITUTE(BK119,"+","")+1,0)),IF(_xlfn.SWITCH(BG119,"sq",BK$7,"bn",BL$7,"dl",BM$7,"")&lt;IF(_uom="lbs",175,80),1.25,IF(_uom="lbs",5,2.5))))),"")</f>
        <v/>
      </c>
      <c s="70"/>
      <c s="63"/>
      <c s="97"/>
      <c s="44" t="str">
        <f>IFERROR(__xludf.DUMMYFUNCTION("IF(BM119=MAX(FILTER(BM$10:BM$199,LOOKUP(ROW(BG$10:BG$199),FILTER(ROW(BG$10:BG$199),BG$10:BG$199&lt;&gt;BG$9:BG$198))=LOOKUP(ROW(BG119),FILTER(ROW(BG$10:BG$199),BG$10:BG$199&lt;&gt;BG$9:BG$198)))),BN119,)"),"")</f>
        <v/>
      </c>
      <c s="42"/>
      <c s="63"/>
      <c s="64" t="str">
        <f t="shared" si="21"/>
        <v/>
      </c>
      <c s="65" t="str">
        <f>IFERROR(__xludf.DUMMYFUNCTION("""COMPUTED_VALUE"""),"")</f>
        <v/>
      </c>
      <c s="66">
        <f ca="1"/>
        <v>45243</v>
      </c>
      <c s="93" t="str">
        <f t="shared" si="22"/>
        <v/>
      </c>
      <c s="94" t="str">
        <f t="shared" si="426"/>
        <v/>
      </c>
      <c s="95" t="str">
        <f t="shared" si="414"/>
        <v/>
      </c>
      <c s="98" t="str">
        <f t="shared" si="415"/>
        <v/>
      </c>
      <c s="97" t="str">
        <f t="array" ref="CA119">IFERROR(IF(BU119="ac"+ISNUMBER(SEARCH("'",BZ119))+BY119="","",IF(ISNUMBER(SEARCH("lw",BZ119)),BM119+SUBSTITUTE(BZ119,"lw+",""),MROUND(_xlfn.SWITCH(BU119,"sq",BY$7,"bn",BZ$7,"dl",CA$7,"")*IF(BZ119&gt;10,BZ119/100,VLOOKUP(BZ119,_rpe,SUBSTITUTE(BY119,"+","")+1,0)),IF(_xlfn.SWITCH(BU119,"sq",BY$7,"bn",BZ$7,"dl",CA$7,"")&lt;IF(_uom="lbs",175,80),1.25,IF(_uom="lbs",5,2.5))))),"")</f>
        <v/>
      </c>
      <c s="70"/>
      <c s="63"/>
      <c s="97"/>
      <c s="44" t="str">
        <f>IFERROR(__xludf.DUMMYFUNCTION("IF(CA119=MAX(FILTER(CA$10:CA$199,LOOKUP(ROW(BU$10:BU$199),FILTER(ROW(BU$10:BU$199),BU$10:BU$199&lt;&gt;BU$9:BU$198))=LOOKUP(ROW(BU119),FILTER(ROW(BU$10:BU$199),BU$10:BU$199&lt;&gt;BU$9:BU$198)))),CB119,)"),"")</f>
        <v/>
      </c>
      <c s="42"/>
      <c s="63"/>
      <c s="64" t="str">
        <f t="shared" si="24"/>
        <v/>
      </c>
      <c s="65" t="str">
        <f>IFERROR(__xludf.DUMMYFUNCTION("""COMPUTED_VALUE"""),"")</f>
        <v/>
      </c>
      <c s="66">
        <f ca="1"/>
        <v>45250</v>
      </c>
      <c s="93" t="str">
        <f t="shared" si="44"/>
        <v/>
      </c>
      <c s="94" t="str">
        <f t="shared" si="392"/>
        <v/>
      </c>
      <c s="95" t="str">
        <f t="shared" si="416"/>
        <v/>
      </c>
      <c s="98" t="str">
        <f t="shared" si="417"/>
        <v/>
      </c>
      <c s="97" t="str">
        <f t="array" ref="CO119">IFERROR(IF(CI119="ac"+ISNUMBER(SEARCH("'",CN119))+CM119="","",IF(ISNUMBER(SEARCH("lw",CN119)),CA119+SUBSTITUTE(CN119,"lw+",""),MROUND(_xlfn.SWITCH(CI119,"sq",CM$7,"bn",CN$7,"dl",CO$7,"")*IF(CN119&gt;10,CN119/100,VLOOKUP(CN119,_rpe,SUBSTITUTE(CM119,"+","")+1,0)),IF(_xlfn.SWITCH(CI119,"sq",CM$7,"bn",CN$7,"dl",CO$7,"")&lt;IF(_uom="lbs",175,80),1.25,IF(_uom="lbs",5,2.5))))),"")</f>
        <v/>
      </c>
      <c s="70"/>
      <c s="63"/>
      <c s="97"/>
      <c s="44" t="str">
        <f>IFERROR(__xludf.DUMMYFUNCTION("IF(CO119=MAX(FILTER(CO$10:CO$199,LOOKUP(ROW(CI$10:CI$199),FILTER(ROW(CI$10:CI$199),CI$10:CI$199&lt;&gt;CI$9:CI$198))=LOOKUP(ROW(CI119),FILTER(ROW(CI$10:CI$199),CI$10:CI$199&lt;&gt;CI$9:CI$198)))),CP119,)"),"")</f>
        <v/>
      </c>
      <c s="42"/>
      <c s="63"/>
      <c s="64" t="str">
        <f t="shared" si="27"/>
        <v/>
      </c>
      <c s="65" t="str">
        <f>IFERROR(__xludf.DUMMYFUNCTION("""COMPUTED_VALUE"""),"")</f>
        <v/>
      </c>
      <c s="66">
        <f ca="1"/>
        <v>45257</v>
      </c>
      <c s="93" t="str">
        <f t="shared" si="45"/>
        <v/>
      </c>
      <c s="94" t="str">
        <f t="shared" si="393"/>
        <v/>
      </c>
      <c s="95" t="str">
        <f t="shared" si="418"/>
        <v/>
      </c>
      <c s="98" t="str">
        <f t="shared" si="401"/>
        <v/>
      </c>
      <c s="97" t="str">
        <f t="array" ref="DC119">IFERROR(IF(CW119="ac"+ISNUMBER(SEARCH("'",DB119))+DA119="","",IF(ISNUMBER(SEARCH("lw",DB119)),CO119+SUBSTITUTE(DB119,"lw+",""),MROUND(_xlfn.SWITCH(CW119,"sq",DA$7,"bn",DB$7,"dl",DC$7,"")*IF(DB119&gt;10,DB119/100,VLOOKUP(DB119,_rpe,SUBSTITUTE(DA119,"+","")+1,0)),IF(_xlfn.SWITCH(CW119,"sq",DA$7,"bn",DB$7,"dl",DC$7,"")&lt;IF(_uom="lbs",175,80),1.25,IF(_uom="lbs",5,2.5))))),"")</f>
        <v/>
      </c>
      <c s="70"/>
      <c s="63"/>
      <c s="97"/>
      <c s="44" t="str">
        <f>IFERROR(__xludf.DUMMYFUNCTION("IF(DC119=MAX(FILTER(DC$10:DC$199,LOOKUP(ROW(CW$10:CW$199),FILTER(ROW(CW$10:CW$199),CW$10:CW$199&lt;&gt;CW$9:CW$198))=LOOKUP(ROW(CW119),FILTER(ROW(CW$10:CW$199),CW$10:CW$199&lt;&gt;CW$9:CW$198)))),DD119,)"),"")</f>
        <v/>
      </c>
      <c s="42"/>
      <c s="63"/>
      <c s="64" t="str">
        <f t="shared" si="30"/>
        <v/>
      </c>
      <c s="65" t="str">
        <f>IFERROR(__xludf.DUMMYFUNCTION("""COMPUTED_VALUE"""),"")</f>
        <v/>
      </c>
      <c s="66">
        <f ca="1"/>
        <v>45264</v>
      </c>
      <c s="93" t="str">
        <f t="shared" si="46"/>
        <v/>
      </c>
      <c s="94" t="str">
        <f t="shared" si="394"/>
        <v/>
      </c>
      <c s="95" t="str">
        <f t="shared" si="419"/>
        <v/>
      </c>
      <c s="98" t="str">
        <f t="shared" si="420"/>
        <v/>
      </c>
      <c s="97" t="str">
        <f t="array" ref="DQ119">IFERROR(IF(DK119="ac"+ISNUMBER(SEARCH("'",DP119))+DO119="","",IF(ISNUMBER(SEARCH("lw",DP119)),DC119+SUBSTITUTE(DP119,"lw+",""),MROUND(_xlfn.SWITCH(DK119,"sq",DO$7,"bn",DP$7,"dl",DQ$7,"")*IF(DP119&gt;10,DP119/100,VLOOKUP(DP119,_rpe,SUBSTITUTE(DO119,"+","")+1,0)),IF(_xlfn.SWITCH(DK119,"sq",DO$7,"bn",DP$7,"dl",DQ$7,"")&lt;IF(_uom="lbs",175,80),1.25,IF(_uom="lbs",5,2.5))))),"")</f>
        <v/>
      </c>
      <c s="70"/>
      <c s="63"/>
      <c s="97"/>
      <c s="44" t="str">
        <f>IFERROR(__xludf.DUMMYFUNCTION("IF(DQ119=MAX(FILTER(DQ$10:DQ$199,LOOKUP(ROW(DK$10:DK$199),FILTER(ROW(DK$10:DK$199),DK$10:DK$199&lt;&gt;DK$9:DK$198))=LOOKUP(ROW(DK119),FILTER(ROW(DK$10:DK$199),DK$10:DK$199&lt;&gt;DK$9:DK$198)))),DR119,)"),"")</f>
        <v/>
      </c>
      <c s="42"/>
      <c s="63"/>
      <c s="64" t="str">
        <f t="shared" si="32"/>
        <v/>
      </c>
      <c s="65" t="str">
        <f>IFERROR(__xludf.DUMMYFUNCTION("""COMPUTED_VALUE"""),"")</f>
        <v/>
      </c>
      <c s="66">
        <f ca="1"/>
        <v>45271</v>
      </c>
      <c s="93" t="str">
        <f t="shared" si="47"/>
        <v/>
      </c>
      <c s="94" t="str">
        <f t="shared" si="405"/>
        <v/>
      </c>
      <c s="95" t="str">
        <f t="shared" si="421"/>
        <v/>
      </c>
      <c s="98" t="str">
        <f t="shared" si="422"/>
        <v/>
      </c>
      <c s="97" t="str">
        <f t="array" ref="EE119">IFERROR(IF(DY119="ac"+ISNUMBER(SEARCH("'",ED119))+EC119="","",IF(ISNUMBER(SEARCH("lw",ED119)),DQ119+SUBSTITUTE(ED119,"lw+",""),MROUND(_xlfn.SWITCH(DY119,"sq",EC$7,"bn",ED$7,"dl",EE$7,"")*IF(ED119&gt;10,ED119/100,VLOOKUP(ED119,_rpe,SUBSTITUTE(EC119,"+","")+1,0)),IF(_xlfn.SWITCH(DY119,"sq",EC$7,"bn",ED$7,"dl",EE$7,"")&lt;IF(_uom="lbs",175,80),1.25,IF(_uom="lbs",5,2.5))))),"")</f>
        <v/>
      </c>
      <c s="70"/>
      <c s="63"/>
      <c s="97"/>
      <c s="44" t="str">
        <f>IFERROR(__xludf.DUMMYFUNCTION("IF(EE119=MAX(FILTER(EE$10:EE$199,LOOKUP(ROW(DY$10:DY$199),FILTER(ROW(DY$10:DY$199),DY$10:DY$199&lt;&gt;DY$9:DY$198))=LOOKUP(ROW(DY119),FILTER(ROW(DY$10:DY$199),DY$10:DY$199&lt;&gt;DY$9:DY$198)))),EF119,)"),"")</f>
        <v/>
      </c>
      <c s="42"/>
      <c s="63"/>
      <c s="64" t="str">
        <f t="shared" si="34"/>
        <v/>
      </c>
      <c s="65" t="str">
        <f>IFERROR(__xludf.DUMMYFUNCTION("""COMPUTED_VALUE"""),"")</f>
        <v/>
      </c>
      <c s="66">
        <f ca="1"/>
        <v>45278</v>
      </c>
      <c s="93" t="str">
        <f t="shared" si="48"/>
        <v/>
      </c>
      <c s="94" t="str">
        <f t="shared" si="395"/>
        <v/>
      </c>
      <c s="95" t="str">
        <f t="shared" si="423"/>
        <v/>
      </c>
      <c s="98" t="str">
        <f t="shared" si="402"/>
        <v/>
      </c>
      <c s="97" t="str">
        <f t="array" ref="ES119">IFERROR(IF(EM119="ac"+ISNUMBER(SEARCH("'",ER119))+EQ119="","",IF(ISNUMBER(SEARCH("lw",ER119)),EE119+SUBSTITUTE(ER119,"lw+",""),MROUND(_xlfn.SWITCH(EM119,"sq",EQ$7,"bn",ER$7,"dl",ES$7,"")*IF(ER119&gt;10,ER119/100,VLOOKUP(ER119,_rpe,SUBSTITUTE(EQ119,"+","")+1,0)),IF(_xlfn.SWITCH(EM119,"sq",EQ$7,"bn",ER$7,"dl",ES$7,"")&lt;IF(_uom="lbs",175,80),1.25,IF(_uom="lbs",5,2.5))))),"")</f>
        <v/>
      </c>
      <c s="70"/>
      <c s="63"/>
      <c s="97"/>
      <c s="44" t="str">
        <f>IFERROR(__xludf.DUMMYFUNCTION("IF(ES119=MAX(FILTER(ES$10:ES$199,LOOKUP(ROW(EM$10:EM$199),FILTER(ROW(EM$10:EM$199),EM$10:EM$199&lt;&gt;EM$9:EM$198))=LOOKUP(ROW(EM119),FILTER(ROW(EM$10:EM$199),EM$10:EM$199&lt;&gt;EM$9:EM$198)))),ET119,)"),"")</f>
        <v/>
      </c>
      <c s="42"/>
      <c s="63"/>
      <c s="64" t="str">
        <f t="shared" si="36"/>
        <v/>
      </c>
      <c s="65" t="str">
        <f>IFERROR(__xludf.DUMMYFUNCTION("""COMPUTED_VALUE"""),"")</f>
        <v/>
      </c>
      <c s="66">
        <f ca="1"/>
        <v>45285</v>
      </c>
      <c s="93" t="str">
        <f t="shared" si="49"/>
        <v/>
      </c>
      <c s="94" t="str">
        <f t="shared" si="396"/>
        <v/>
      </c>
      <c s="95" t="str">
        <f t="shared" si="424"/>
        <v/>
      </c>
      <c s="98" t="str">
        <f t="shared" si="403"/>
        <v/>
      </c>
      <c s="97" t="str">
        <f t="array" ref="FG119">IFERROR(IF(FA119="ac"+ISNUMBER(SEARCH("'",FF119))+FE119="","",IF(ISNUMBER(SEARCH("lw",FF119)),ES119+SUBSTITUTE(FF119,"lw+",""),MROUND(_xlfn.SWITCH(FA119,"sq",FE$7,"bn",FF$7,"dl",FG$7,"")*IF(FF119&gt;10,FF119/100,VLOOKUP(FF119,_rpe,SUBSTITUTE(FE119,"+","")+1,0)),IF(_xlfn.SWITCH(FA119,"sq",FE$7,"bn",FF$7,"dl",FG$7,"")&lt;IF(_uom="lbs",175,80),1.25,IF(_uom="lbs",5,2.5))))),"")</f>
        <v/>
      </c>
      <c s="70"/>
      <c s="63"/>
      <c s="97"/>
      <c s="44" t="str">
        <f>IFERROR(__xludf.DUMMYFUNCTION("IF(FG119=MAX(FILTER(FG$10:FG$199,LOOKUP(ROW(FA$10:FA$199),FILTER(ROW(FA$10:FA$199),FA$10:FA$199&lt;&gt;FA$9:FA$198))=LOOKUP(ROW(FA119),FILTER(ROW(FA$10:FA$199),FA$10:FA$199&lt;&gt;FA$9:FA$198)))),FH119,)"),"")</f>
        <v/>
      </c>
      <c s="42"/>
      <c s="63"/>
      <c s="64" t="str">
        <f t="shared" si="38"/>
        <v/>
      </c>
      <c s="65" t="str">
        <f>IFERROR(__xludf.DUMMYFUNCTION("""COMPUTED_VALUE"""),"")</f>
        <v/>
      </c>
      <c s="66">
        <f ca="1"/>
        <v>45292</v>
      </c>
      <c s="93" t="str">
        <f t="shared" si="463" ref="FQ119:FR119">IF(ISBLANK(FC119),"",FC119)</f>
        <v/>
      </c>
      <c s="94" t="str">
        <f t="shared" si="463"/>
        <v/>
      </c>
      <c s="95" t="str">
        <f t="shared" si="428"/>
        <v/>
      </c>
      <c s="98" t="str">
        <f t="shared" si="429"/>
        <v/>
      </c>
      <c s="97" t="str">
        <f t="array" ref="FU119">IFERROR(IF(FO119="ac"+ISNUMBER(SEARCH("'",FT119))+FS119="","",IF(ISNUMBER(SEARCH("lw",FT119)),FG119+SUBSTITUTE(FT119,"lw+",""),MROUND(_xlfn.SWITCH(FO119,"sq",FS$7,"bn",FT$7,"dl",FU$7,"")*IF(FT119&gt;10,FT119/100,VLOOKUP(FT119,_rpe,SUBSTITUTE(FS119,"+","")+1,0)),IF(_xlfn.SWITCH(FO119,"sq",FS$7,"bn",FT$7,"dl",FU$7,"")&lt;IF(_uom="lbs",175,80),1.25,IF(_uom="lbs",5,2.5))))),"")</f>
        <v/>
      </c>
      <c s="70"/>
      <c s="63"/>
      <c s="97"/>
      <c s="44" t="str">
        <f>IFERROR(__xludf.DUMMYFUNCTION("IF(FU119=MAX(FILTER(FU$10:FU$199,LOOKUP(ROW(FO$10:FO$199),FILTER(ROW(FO$10:FO$199),FO$10:FO$199&lt;&gt;FO$9:FO$198))=LOOKUP(ROW(FO119),FILTER(ROW(FO$10:FO$199),FO$10:FO$199&lt;&gt;FO$9:FO$198)))),FV119,)"),"")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20" spans="1:259" ht="15.75" collapsed="1">
      <c r="A120" s="63"/>
      <c s="107"/>
      <c s="65" t="str">
        <f>IFERROR(__xludf.DUMMYFUNCTION("""COMPUTED_VALUE"""),"")</f>
        <v/>
      </c>
      <c s="66">
        <f ca="1"/>
        <v>45208</v>
      </c>
      <c s="108"/>
      <c s="94"/>
      <c s="95"/>
      <c s="96"/>
      <c s="97" t="str">
        <f t="array" ref="I120">IFERROR(IF(C120="ac"+ISNUMBER(SEARCH("'",H120))+G120="","",MROUND(_xlfn.SWITCH(C120,"sq",'Personal Info'!$O$15,"bn",'Personal Info'!$S$15,"dl",'Personal Info'!$W$15,"")*IF(H120&gt;10,H120/100,VLOOKUP(H120,_rpe,SUBSTITUTE(G120,"+","")+1,0)),IF(_xlfn.SWITCH(C120:C210,"sq",'Personal Info'!$O$15,"bn",'Personal Info'!$S$15,"dl",'Personal Info'!$W$15,"")&lt;IF(_uom="lbs",175,80),1.25,IF(_uom="lbs",5,2.5)))),"")</f>
        <v/>
      </c>
      <c s="70"/>
      <c s="63"/>
      <c s="97"/>
      <c s="44" t="str">
        <f>IFERROR(__xludf.DUMMYFUNCTION("IF(I120=MAX(FILTER(I$10:I$199,LOOKUP(ROW(C$10:C$199),FILTER(ROW(C$10:C$199),C$10:C$199&lt;&gt;C$9:C$198))=LOOKUP(ROW(C120),FILTER(ROW(C$10:C$199),C$10:C$199&lt;&gt;C$9:C$198)))),J120,)"),"")</f>
        <v/>
      </c>
      <c s="42"/>
      <c s="63"/>
      <c s="64" t="str">
        <f t="shared" si="11"/>
        <v/>
      </c>
      <c s="65" t="str">
        <f>IFERROR(__xludf.DUMMYFUNCTION("""COMPUTED_VALUE"""),"")</f>
        <v/>
      </c>
      <c s="66">
        <f ca="1"/>
        <v>45215</v>
      </c>
      <c s="93" t="str">
        <f t="shared" si="12"/>
        <v/>
      </c>
      <c s="94" t="str">
        <f t="shared" si="404"/>
        <v/>
      </c>
      <c s="95" t="str">
        <f t="shared" si="406"/>
        <v/>
      </c>
      <c s="98" t="str">
        <f t="shared" si="407"/>
        <v/>
      </c>
      <c s="97" t="str">
        <f t="array" ref="W120">IFERROR(IF(Q120="ac"+ISNUMBER(SEARCH("'",V120))+U120="","",IF(ISNUMBER(SEARCH("lw",V120)),I120+SUBSTITUTE(V120,"lw+",""),MROUND(_xlfn.SWITCH(Q120,"sq",U$7,"bn",V$7,"dl",W$7,"")*IF(V120&gt;10,V120/100,VLOOKUP(V120,_rpe,SUBSTITUTE(U120,"+","")+1,0)),IF(_xlfn.SWITCH(Q120,"sq",U$7,"bn",V$7,"dl",W$7,"")&lt;IF(_uom="lbs",175,80),1.25,IF(_uom="lbs",5,2.5))))),"")</f>
        <v/>
      </c>
      <c s="70"/>
      <c s="63"/>
      <c s="97"/>
      <c s="44" t="str">
        <f>IFERROR(__xludf.DUMMYFUNCTION("IF(W120=MAX(FILTER(W$10:W$199,LOOKUP(ROW(Q$10:Q$199),FILTER(ROW(Q$10:Q$199),Q$10:Q$199&lt;&gt;Q$9:Q$198))=LOOKUP(ROW(Q120),FILTER(ROW(Q$10:Q$199),Q$10:Q$199&lt;&gt;Q$9:Q$198)))),X120,)"),"")</f>
        <v/>
      </c>
      <c s="42"/>
      <c s="63"/>
      <c s="64" t="str">
        <f t="shared" si="14"/>
        <v/>
      </c>
      <c s="65" t="str">
        <f>IFERROR(__xludf.DUMMYFUNCTION("""COMPUTED_VALUE"""),"")</f>
        <v/>
      </c>
      <c s="66">
        <f ca="1"/>
        <v>45222</v>
      </c>
      <c s="93" t="str">
        <f t="shared" si="156"/>
        <v/>
      </c>
      <c s="94" t="str">
        <f t="shared" si="397"/>
        <v/>
      </c>
      <c s="95" t="str">
        <f t="shared" si="408"/>
        <v/>
      </c>
      <c s="98" t="str">
        <f t="shared" si="398"/>
        <v/>
      </c>
      <c s="97" t="str">
        <f t="array" ref="AK120">IFERROR(IF(AE120="ac"+ISNUMBER(SEARCH("'",AJ120))+AI120="","",IF(ISNUMBER(SEARCH("lw",AJ120)),W120+SUBSTITUTE(AJ120,"lw+",""),MROUND(_xlfn.SWITCH(AE120,"sq",AI$7,"bn",AJ$7,"dl",AK$7,"")*IF(AJ120&gt;10,AJ120/100,VLOOKUP(AJ120,_rpe,SUBSTITUTE(AI120,"+","")+1,0)),IF(_xlfn.SWITCH(AE120,"sq",AI$7,"bn",AJ$7,"dl",AK$7,"")&lt;IF(_uom="lbs",175,80),1.25,IF(_uom="lbs",5,2.5))))),"")</f>
        <v/>
      </c>
      <c s="70"/>
      <c s="63"/>
      <c s="97"/>
      <c s="44" t="str">
        <f>IFERROR(__xludf.DUMMYFUNCTION("IF(AK120=MAX(FILTER(AK$10:AK$199,LOOKUP(ROW(AE$10:AE$199),FILTER(ROW(AE$10:AE$199),AE$10:AE$199&lt;&gt;AE$9:AE$198))=LOOKUP(ROW(AE120),FILTER(ROW(AE$10:AE$199),AE$10:AE$199&lt;&gt;AE$9:AE$198)))),AL120,)"),"")</f>
        <v/>
      </c>
      <c s="42"/>
      <c s="63"/>
      <c s="64" t="str">
        <f t="shared" si="17"/>
        <v/>
      </c>
      <c s="65" t="str">
        <f>IFERROR(__xludf.DUMMYFUNCTION("""COMPUTED_VALUE"""),"")</f>
        <v/>
      </c>
      <c s="66">
        <f ca="1"/>
        <v>45229</v>
      </c>
      <c s="93" t="str">
        <f t="shared" si="157"/>
        <v/>
      </c>
      <c s="94" t="str">
        <f t="shared" si="399"/>
        <v/>
      </c>
      <c s="95" t="str">
        <f t="shared" si="409"/>
        <v/>
      </c>
      <c s="98" t="str">
        <f t="shared" si="400"/>
        <v/>
      </c>
      <c s="97" t="str">
        <f t="array" ref="AY120">IFERROR(IF(AS120="ac"+ISNUMBER(SEARCH("'",AX120))+AW120="","",IF(ISNUMBER(SEARCH("lw",AX120)),AK120+SUBSTITUTE(AX120,"lw+",""),MROUND(_xlfn.SWITCH(AS120,"sq",AW$7,"bn",AX$7,"dl",AY$7,"")*IF(AX120&gt;10,AX120/100,VLOOKUP(AX120,_rpe,SUBSTITUTE(AW120,"+","")+1,0)),IF(_xlfn.SWITCH(AS120,"sq",AW$7,"bn",AX$7,"dl",AY$7,"")&lt;IF(_uom="lbs",175,80),1.25,IF(_uom="lbs",5,2.5))))),"")</f>
        <v/>
      </c>
      <c s="70"/>
      <c s="63"/>
      <c s="97"/>
      <c s="44" t="str">
        <f>IFERROR(__xludf.DUMMYFUNCTION("IF(AY120=MAX(FILTER(AY$10:AY$199,LOOKUP(ROW(AS$10:AS$199),FILTER(ROW(AS$10:AS$199),AS$10:AS$199&lt;&gt;AS$9:AS$198))=LOOKUP(ROW(AS120),FILTER(ROW(AS$10:AS$199),AS$10:AS$199&lt;&gt;AS$9:AS$198)))),AZ120,)"),"")</f>
        <v/>
      </c>
      <c s="42"/>
      <c s="63"/>
      <c s="64" t="str">
        <f t="shared" si="19"/>
        <v/>
      </c>
      <c s="65" t="str">
        <f>IFERROR(__xludf.DUMMYFUNCTION("""COMPUTED_VALUE"""),"")</f>
        <v/>
      </c>
      <c s="66">
        <f ca="1"/>
        <v>45236</v>
      </c>
      <c s="93" t="str">
        <f t="shared" si="20"/>
        <v/>
      </c>
      <c s="94" t="str">
        <f t="shared" si="425"/>
        <v/>
      </c>
      <c s="95" t="str">
        <f t="shared" si="411"/>
        <v/>
      </c>
      <c s="98" t="str">
        <f t="shared" si="412"/>
        <v/>
      </c>
      <c s="97" t="str">
        <f t="array" ref="BM120">IFERROR(IF(BG120="ac"+ISNUMBER(SEARCH("'",BL120))+BK120="","",IF(ISNUMBER(SEARCH("lw",BL120)),AY120+SUBSTITUTE(BL120,"lw+",""),MROUND(_xlfn.SWITCH(BG120,"sq",BK$7,"bn",BL$7,"dl",BM$7,"")*IF(BL120&gt;10,BL120/100,VLOOKUP(BL120,_rpe,SUBSTITUTE(BK120,"+","")+1,0)),IF(_xlfn.SWITCH(BG120,"sq",BK$7,"bn",BL$7,"dl",BM$7,"")&lt;IF(_uom="lbs",175,80),1.25,IF(_uom="lbs",5,2.5))))),"")</f>
        <v/>
      </c>
      <c s="70"/>
      <c s="63"/>
      <c s="97"/>
      <c s="44" t="str">
        <f>IFERROR(__xludf.DUMMYFUNCTION("IF(BM120=MAX(FILTER(BM$10:BM$199,LOOKUP(ROW(BG$10:BG$199),FILTER(ROW(BG$10:BG$199),BG$10:BG$199&lt;&gt;BG$9:BG$198))=LOOKUP(ROW(BG120),FILTER(ROW(BG$10:BG$199),BG$10:BG$199&lt;&gt;BG$9:BG$198)))),BN120,)"),"")</f>
        <v/>
      </c>
      <c s="42"/>
      <c s="63"/>
      <c s="64" t="str">
        <f t="shared" si="21"/>
        <v/>
      </c>
      <c s="65" t="str">
        <f>IFERROR(__xludf.DUMMYFUNCTION("""COMPUTED_VALUE"""),"")</f>
        <v/>
      </c>
      <c s="66">
        <f ca="1"/>
        <v>45243</v>
      </c>
      <c s="93" t="str">
        <f t="shared" si="22"/>
        <v/>
      </c>
      <c s="94" t="str">
        <f t="shared" si="426"/>
        <v/>
      </c>
      <c s="95" t="str">
        <f t="shared" si="414"/>
        <v/>
      </c>
      <c s="98" t="str">
        <f t="shared" si="415"/>
        <v/>
      </c>
      <c s="97" t="str">
        <f t="array" ref="CA120">IFERROR(IF(BU120="ac"+ISNUMBER(SEARCH("'",BZ120))+BY120="","",IF(ISNUMBER(SEARCH("lw",BZ120)),BM120+SUBSTITUTE(BZ120,"lw+",""),MROUND(_xlfn.SWITCH(BU120,"sq",BY$7,"bn",BZ$7,"dl",CA$7,"")*IF(BZ120&gt;10,BZ120/100,VLOOKUP(BZ120,_rpe,SUBSTITUTE(BY120,"+","")+1,0)),IF(_xlfn.SWITCH(BU120,"sq",BY$7,"bn",BZ$7,"dl",CA$7,"")&lt;IF(_uom="lbs",175,80),1.25,IF(_uom="lbs",5,2.5))))),"")</f>
        <v/>
      </c>
      <c s="70"/>
      <c s="63"/>
      <c s="97"/>
      <c s="44" t="str">
        <f>IFERROR(__xludf.DUMMYFUNCTION("IF(CA120=MAX(FILTER(CA$10:CA$199,LOOKUP(ROW(BU$10:BU$199),FILTER(ROW(BU$10:BU$199),BU$10:BU$199&lt;&gt;BU$9:BU$198))=LOOKUP(ROW(BU120),FILTER(ROW(BU$10:BU$199),BU$10:BU$199&lt;&gt;BU$9:BU$198)))),CB120,)"),"")</f>
        <v/>
      </c>
      <c s="42"/>
      <c s="63"/>
      <c s="64" t="str">
        <f t="shared" si="24"/>
        <v/>
      </c>
      <c s="65" t="str">
        <f>IFERROR(__xludf.DUMMYFUNCTION("""COMPUTED_VALUE"""),"")</f>
        <v/>
      </c>
      <c s="66">
        <f ca="1"/>
        <v>45250</v>
      </c>
      <c s="93" t="str">
        <f t="shared" si="44"/>
        <v/>
      </c>
      <c s="94" t="str">
        <f t="shared" si="392"/>
        <v/>
      </c>
      <c s="95" t="str">
        <f t="shared" si="416"/>
        <v/>
      </c>
      <c s="98" t="str">
        <f t="shared" si="417"/>
        <v/>
      </c>
      <c s="97" t="str">
        <f t="array" ref="CO120">IFERROR(IF(CI120="ac"+ISNUMBER(SEARCH("'",CN120))+CM120="","",IF(ISNUMBER(SEARCH("lw",CN120)),CA120+SUBSTITUTE(CN120,"lw+",""),MROUND(_xlfn.SWITCH(CI120,"sq",CM$7,"bn",CN$7,"dl",CO$7,"")*IF(CN120&gt;10,CN120/100,VLOOKUP(CN120,_rpe,SUBSTITUTE(CM120,"+","")+1,0)),IF(_xlfn.SWITCH(CI120,"sq",CM$7,"bn",CN$7,"dl",CO$7,"")&lt;IF(_uom="lbs",175,80),1.25,IF(_uom="lbs",5,2.5))))),"")</f>
        <v/>
      </c>
      <c s="70"/>
      <c s="63"/>
      <c s="97"/>
      <c s="44" t="str">
        <f>IFERROR(__xludf.DUMMYFUNCTION("IF(CO120=MAX(FILTER(CO$10:CO$199,LOOKUP(ROW(CI$10:CI$199),FILTER(ROW(CI$10:CI$199),CI$10:CI$199&lt;&gt;CI$9:CI$198))=LOOKUP(ROW(CI120),FILTER(ROW(CI$10:CI$199),CI$10:CI$199&lt;&gt;CI$9:CI$198)))),CP120,)"),"")</f>
        <v/>
      </c>
      <c s="42"/>
      <c s="63"/>
      <c s="64" t="str">
        <f t="shared" si="27"/>
        <v/>
      </c>
      <c s="65" t="str">
        <f>IFERROR(__xludf.DUMMYFUNCTION("""COMPUTED_VALUE"""),"")</f>
        <v/>
      </c>
      <c s="66">
        <f ca="1"/>
        <v>45257</v>
      </c>
      <c s="93" t="str">
        <f t="shared" si="45"/>
        <v/>
      </c>
      <c s="94" t="str">
        <f t="shared" si="393"/>
        <v/>
      </c>
      <c s="95" t="str">
        <f t="shared" si="418"/>
        <v/>
      </c>
      <c s="98" t="str">
        <f t="shared" si="401"/>
        <v/>
      </c>
      <c s="97" t="str">
        <f t="array" ref="DC120">IFERROR(IF(CW120="ac"+ISNUMBER(SEARCH("'",DB120))+DA120="","",IF(ISNUMBER(SEARCH("lw",DB120)),CO120+SUBSTITUTE(DB120,"lw+",""),MROUND(_xlfn.SWITCH(CW120,"sq",DA$7,"bn",DB$7,"dl",DC$7,"")*IF(DB120&gt;10,DB120/100,VLOOKUP(DB120,_rpe,SUBSTITUTE(DA120,"+","")+1,0)),IF(_xlfn.SWITCH(CW120,"sq",DA$7,"bn",DB$7,"dl",DC$7,"")&lt;IF(_uom="lbs",175,80),1.25,IF(_uom="lbs",5,2.5))))),"")</f>
        <v/>
      </c>
      <c s="70"/>
      <c s="63"/>
      <c s="97"/>
      <c s="44" t="str">
        <f>IFERROR(__xludf.DUMMYFUNCTION("IF(DC120=MAX(FILTER(DC$10:DC$199,LOOKUP(ROW(CW$10:CW$199),FILTER(ROW(CW$10:CW$199),CW$10:CW$199&lt;&gt;CW$9:CW$198))=LOOKUP(ROW(CW120),FILTER(ROW(CW$10:CW$199),CW$10:CW$199&lt;&gt;CW$9:CW$198)))),DD120,)"),"")</f>
        <v/>
      </c>
      <c s="42"/>
      <c s="63"/>
      <c s="64" t="str">
        <f t="shared" si="30"/>
        <v/>
      </c>
      <c s="65" t="str">
        <f>IFERROR(__xludf.DUMMYFUNCTION("""COMPUTED_VALUE"""),"")</f>
        <v/>
      </c>
      <c s="66">
        <f ca="1"/>
        <v>45264</v>
      </c>
      <c s="93" t="str">
        <f t="shared" si="46"/>
        <v/>
      </c>
      <c s="94" t="str">
        <f t="shared" si="394"/>
        <v/>
      </c>
      <c s="95" t="str">
        <f t="shared" si="419"/>
        <v/>
      </c>
      <c s="98" t="str">
        <f t="shared" si="420"/>
        <v/>
      </c>
      <c s="97" t="str">
        <f t="array" ref="DQ120">IFERROR(IF(DK120="ac"+ISNUMBER(SEARCH("'",DP120))+DO120="","",IF(ISNUMBER(SEARCH("lw",DP120)),DC120+SUBSTITUTE(DP120,"lw+",""),MROUND(_xlfn.SWITCH(DK120,"sq",DO$7,"bn",DP$7,"dl",DQ$7,"")*IF(DP120&gt;10,DP120/100,VLOOKUP(DP120,_rpe,SUBSTITUTE(DO120,"+","")+1,0)),IF(_xlfn.SWITCH(DK120,"sq",DO$7,"bn",DP$7,"dl",DQ$7,"")&lt;IF(_uom="lbs",175,80),1.25,IF(_uom="lbs",5,2.5))))),"")</f>
        <v/>
      </c>
      <c s="70"/>
      <c s="63"/>
      <c s="97"/>
      <c s="44" t="str">
        <f>IFERROR(__xludf.DUMMYFUNCTION("IF(DQ120=MAX(FILTER(DQ$10:DQ$199,LOOKUP(ROW(DK$10:DK$199),FILTER(ROW(DK$10:DK$199),DK$10:DK$199&lt;&gt;DK$9:DK$198))=LOOKUP(ROW(DK120),FILTER(ROW(DK$10:DK$199),DK$10:DK$199&lt;&gt;DK$9:DK$198)))),DR120,)"),"")</f>
        <v/>
      </c>
      <c s="42"/>
      <c s="63"/>
      <c s="64" t="str">
        <f t="shared" si="32"/>
        <v/>
      </c>
      <c s="65" t="str">
        <f>IFERROR(__xludf.DUMMYFUNCTION("""COMPUTED_VALUE"""),"")</f>
        <v/>
      </c>
      <c s="66">
        <f ca="1"/>
        <v>45271</v>
      </c>
      <c s="93" t="str">
        <f t="shared" si="47"/>
        <v/>
      </c>
      <c s="94" t="str">
        <f t="shared" si="405"/>
        <v/>
      </c>
      <c s="95" t="str">
        <f t="shared" si="421"/>
        <v/>
      </c>
      <c s="98" t="str">
        <f t="shared" si="422"/>
        <v/>
      </c>
      <c s="97" t="str">
        <f t="array" ref="EE120">IFERROR(IF(DY120="ac"+ISNUMBER(SEARCH("'",ED120))+EC120="","",IF(ISNUMBER(SEARCH("lw",ED120)),DQ120+SUBSTITUTE(ED120,"lw+",""),MROUND(_xlfn.SWITCH(DY120,"sq",EC$7,"bn",ED$7,"dl",EE$7,"")*IF(ED120&gt;10,ED120/100,VLOOKUP(ED120,_rpe,SUBSTITUTE(EC120,"+","")+1,0)),IF(_xlfn.SWITCH(DY120,"sq",EC$7,"bn",ED$7,"dl",EE$7,"")&lt;IF(_uom="lbs",175,80),1.25,IF(_uom="lbs",5,2.5))))),"")</f>
        <v/>
      </c>
      <c s="70"/>
      <c s="63"/>
      <c s="97"/>
      <c s="44" t="str">
        <f>IFERROR(__xludf.DUMMYFUNCTION("IF(EE120=MAX(FILTER(EE$10:EE$199,LOOKUP(ROW(DY$10:DY$199),FILTER(ROW(DY$10:DY$199),DY$10:DY$199&lt;&gt;DY$9:DY$198))=LOOKUP(ROW(DY120),FILTER(ROW(DY$10:DY$199),DY$10:DY$199&lt;&gt;DY$9:DY$198)))),EF120,)"),"")</f>
        <v/>
      </c>
      <c s="42"/>
      <c s="63"/>
      <c s="64" t="str">
        <f t="shared" si="34"/>
        <v/>
      </c>
      <c s="65" t="str">
        <f>IFERROR(__xludf.DUMMYFUNCTION("""COMPUTED_VALUE"""),"")</f>
        <v/>
      </c>
      <c s="66">
        <f ca="1"/>
        <v>45278</v>
      </c>
      <c s="93" t="str">
        <f t="shared" si="48"/>
        <v/>
      </c>
      <c s="94" t="str">
        <f t="shared" si="395"/>
        <v/>
      </c>
      <c s="95" t="str">
        <f t="shared" si="423"/>
        <v/>
      </c>
      <c s="98" t="str">
        <f t="shared" si="402"/>
        <v/>
      </c>
      <c s="97" t="str">
        <f t="array" ref="ES120">IFERROR(IF(EM120="ac"+ISNUMBER(SEARCH("'",ER120))+EQ120="","",IF(ISNUMBER(SEARCH("lw",ER120)),EE120+SUBSTITUTE(ER120,"lw+",""),MROUND(_xlfn.SWITCH(EM120,"sq",EQ$7,"bn",ER$7,"dl",ES$7,"")*IF(ER120&gt;10,ER120/100,VLOOKUP(ER120,_rpe,SUBSTITUTE(EQ120,"+","")+1,0)),IF(_xlfn.SWITCH(EM120,"sq",EQ$7,"bn",ER$7,"dl",ES$7,"")&lt;IF(_uom="lbs",175,80),1.25,IF(_uom="lbs",5,2.5))))),"")</f>
        <v/>
      </c>
      <c s="70"/>
      <c s="63"/>
      <c s="97"/>
      <c s="44" t="str">
        <f>IFERROR(__xludf.DUMMYFUNCTION("IF(ES120=MAX(FILTER(ES$10:ES$199,LOOKUP(ROW(EM$10:EM$199),FILTER(ROW(EM$10:EM$199),EM$10:EM$199&lt;&gt;EM$9:EM$198))=LOOKUP(ROW(EM120),FILTER(ROW(EM$10:EM$199),EM$10:EM$199&lt;&gt;EM$9:EM$198)))),ET120,)"),"")</f>
        <v/>
      </c>
      <c s="42"/>
      <c s="63"/>
      <c s="64" t="str">
        <f t="shared" si="36"/>
        <v/>
      </c>
      <c s="65" t="str">
        <f>IFERROR(__xludf.DUMMYFUNCTION("""COMPUTED_VALUE"""),"")</f>
        <v/>
      </c>
      <c s="66">
        <f ca="1"/>
        <v>45285</v>
      </c>
      <c s="93" t="str">
        <f t="shared" si="49"/>
        <v/>
      </c>
      <c s="94" t="str">
        <f t="shared" si="396"/>
        <v/>
      </c>
      <c s="95" t="str">
        <f t="shared" si="424"/>
        <v/>
      </c>
      <c s="98" t="str">
        <f t="shared" si="403"/>
        <v/>
      </c>
      <c s="97" t="str">
        <f t="array" ref="FG120">IFERROR(IF(FA120="ac"+ISNUMBER(SEARCH("'",FF120))+FE120="","",IF(ISNUMBER(SEARCH("lw",FF120)),ES120+SUBSTITUTE(FF120,"lw+",""),MROUND(_xlfn.SWITCH(FA120,"sq",FE$7,"bn",FF$7,"dl",FG$7,"")*IF(FF120&gt;10,FF120/100,VLOOKUP(FF120,_rpe,SUBSTITUTE(FE120,"+","")+1,0)),IF(_xlfn.SWITCH(FA120,"sq",FE$7,"bn",FF$7,"dl",FG$7,"")&lt;IF(_uom="lbs",175,80),1.25,IF(_uom="lbs",5,2.5))))),"")</f>
        <v/>
      </c>
      <c s="70"/>
      <c s="63"/>
      <c s="97"/>
      <c s="44" t="str">
        <f>IFERROR(__xludf.DUMMYFUNCTION("IF(FG120=MAX(FILTER(FG$10:FG$199,LOOKUP(ROW(FA$10:FA$199),FILTER(ROW(FA$10:FA$199),FA$10:FA$199&lt;&gt;FA$9:FA$198))=LOOKUP(ROW(FA120),FILTER(ROW(FA$10:FA$199),FA$10:FA$199&lt;&gt;FA$9:FA$198)))),FH120,)"),"")</f>
        <v/>
      </c>
      <c s="42"/>
      <c s="63"/>
      <c s="64" t="str">
        <f t="shared" si="38"/>
        <v/>
      </c>
      <c s="65" t="str">
        <f>IFERROR(__xludf.DUMMYFUNCTION("""COMPUTED_VALUE"""),"")</f>
        <v/>
      </c>
      <c s="66">
        <f ca="1"/>
        <v>45292</v>
      </c>
      <c s="93" t="str">
        <f t="shared" si="464" ref="FQ120:FR120">IF(ISBLANK(FC120),"",FC120)</f>
        <v/>
      </c>
      <c s="94" t="str">
        <f t="shared" si="464"/>
        <v/>
      </c>
      <c s="95" t="str">
        <f t="shared" si="428"/>
        <v/>
      </c>
      <c s="98" t="str">
        <f t="shared" si="429"/>
        <v/>
      </c>
      <c s="97" t="str">
        <f t="array" ref="FU120">IFERROR(IF(FO120="ac"+ISNUMBER(SEARCH("'",FT120))+FS120="","",IF(ISNUMBER(SEARCH("lw",FT120)),FG120+SUBSTITUTE(FT120,"lw+",""),MROUND(_xlfn.SWITCH(FO120,"sq",FS$7,"bn",FT$7,"dl",FU$7,"")*IF(FT120&gt;10,FT120/100,VLOOKUP(FT120,_rpe,SUBSTITUTE(FS120,"+","")+1,0)),IF(_xlfn.SWITCH(FO120,"sq",FS$7,"bn",FT$7,"dl",FU$7,"")&lt;IF(_uom="lbs",175,80),1.25,IF(_uom="lbs",5,2.5))))),"")</f>
        <v/>
      </c>
      <c s="70"/>
      <c s="63"/>
      <c s="97"/>
      <c s="44" t="str">
        <f>IFERROR(__xludf.DUMMYFUNCTION("IF(FU120=MAX(FILTER(FU$10:FU$199,LOOKUP(ROW(FO$10:FO$199),FILTER(ROW(FO$10:FO$199),FO$10:FO$199&lt;&gt;FO$9:FO$198))=LOOKUP(ROW(FO120),FILTER(ROW(FO$10:FO$199),FO$10:FO$199&lt;&gt;FO$9:FO$198)))),FV120,)"),"")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21" spans="1:259" ht="15.75" hidden="1" outlineLevel="1">
      <c r="A121" s="63"/>
      <c s="107"/>
      <c s="65" t="str">
        <f>IFERROR(__xludf.DUMMYFUNCTION("""COMPUTED_VALUE"""),"")</f>
        <v/>
      </c>
      <c s="66">
        <f ca="1"/>
        <v>45208</v>
      </c>
      <c s="108"/>
      <c s="94"/>
      <c s="95"/>
      <c s="96"/>
      <c s="97" t="str">
        <f t="array" ref="I121">IFERROR(IF(C121="ac"+ISNUMBER(SEARCH("'",H121))+G121="","",MROUND(_xlfn.SWITCH(C121,"sq",'Personal Info'!$O$15,"bn",'Personal Info'!$S$15,"dl",'Personal Info'!$W$15,"")*IF(H121&gt;10,H121/100,VLOOKUP(H121,_rpe,SUBSTITUTE(G121,"+","")+1,0)),IF(_xlfn.SWITCH(C121:C210,"sq",'Personal Info'!$O$15,"bn",'Personal Info'!$S$15,"dl",'Personal Info'!$W$15,"")&lt;IF(_uom="lbs",175,80),1.25,IF(_uom="lbs",5,2.5)))),"")</f>
        <v/>
      </c>
      <c s="70"/>
      <c s="63"/>
      <c s="97"/>
      <c s="44" t="str">
        <f>IFERROR(__xludf.DUMMYFUNCTION("IF(I121=MAX(FILTER(I$10:I$199,LOOKUP(ROW(C$10:C$199),FILTER(ROW(C$10:C$199),C$10:C$199&lt;&gt;C$9:C$198))=LOOKUP(ROW(C121),FILTER(ROW(C$10:C$199),C$10:C$199&lt;&gt;C$9:C$198)))),J121,)"),"")</f>
        <v/>
      </c>
      <c s="42"/>
      <c s="63"/>
      <c s="64" t="str">
        <f t="shared" si="11"/>
        <v/>
      </c>
      <c s="65" t="str">
        <f>IFERROR(__xludf.DUMMYFUNCTION("""COMPUTED_VALUE"""),"")</f>
        <v/>
      </c>
      <c s="66">
        <f ca="1"/>
        <v>45215</v>
      </c>
      <c s="93" t="str">
        <f t="shared" si="12"/>
        <v/>
      </c>
      <c s="94" t="str">
        <f t="shared" si="404"/>
        <v/>
      </c>
      <c s="95" t="str">
        <f t="shared" si="406"/>
        <v/>
      </c>
      <c s="98" t="str">
        <f t="shared" si="407"/>
        <v/>
      </c>
      <c s="97" t="str">
        <f t="array" ref="W121">IFERROR(IF(Q121="ac"+ISNUMBER(SEARCH("'",V121))+U121="","",IF(ISNUMBER(SEARCH("lw",V121)),I121+SUBSTITUTE(V121,"lw+",""),MROUND(_xlfn.SWITCH(Q121,"sq",U$7,"bn",V$7,"dl",W$7,"")*IF(V121&gt;10,V121/100,VLOOKUP(V121,_rpe,SUBSTITUTE(U121,"+","")+1,0)),IF(_xlfn.SWITCH(Q121,"sq",U$7,"bn",V$7,"dl",W$7,"")&lt;IF(_uom="lbs",175,80),1.25,IF(_uom="lbs",5,2.5))))),"")</f>
        <v/>
      </c>
      <c s="70"/>
      <c s="63"/>
      <c s="97"/>
      <c s="44" t="str">
        <f>IFERROR(__xludf.DUMMYFUNCTION("IF(W121=MAX(FILTER(W$10:W$199,LOOKUP(ROW(Q$10:Q$199),FILTER(ROW(Q$10:Q$199),Q$10:Q$199&lt;&gt;Q$9:Q$198))=LOOKUP(ROW(Q121),FILTER(ROW(Q$10:Q$199),Q$10:Q$199&lt;&gt;Q$9:Q$198)))),X121,)"),"")</f>
        <v/>
      </c>
      <c s="42"/>
      <c s="63"/>
      <c s="64" t="str">
        <f t="shared" si="14"/>
        <v/>
      </c>
      <c s="65" t="str">
        <f>IFERROR(__xludf.DUMMYFUNCTION("""COMPUTED_VALUE"""),"")</f>
        <v/>
      </c>
      <c s="66">
        <f ca="1"/>
        <v>45222</v>
      </c>
      <c s="93" t="str">
        <f t="shared" si="156"/>
        <v/>
      </c>
      <c s="94" t="str">
        <f t="shared" si="397"/>
        <v/>
      </c>
      <c s="95" t="str">
        <f t="shared" si="408"/>
        <v/>
      </c>
      <c s="98" t="str">
        <f t="shared" si="398"/>
        <v/>
      </c>
      <c s="97" t="str">
        <f t="array" ref="AK121">IFERROR(IF(AE121="ac"+ISNUMBER(SEARCH("'",AJ121))+AI121="","",IF(ISNUMBER(SEARCH("lw",AJ121)),W121+SUBSTITUTE(AJ121,"lw+",""),MROUND(_xlfn.SWITCH(AE121,"sq",AI$7,"bn",AJ$7,"dl",AK$7,"")*IF(AJ121&gt;10,AJ121/100,VLOOKUP(AJ121,_rpe,SUBSTITUTE(AI121,"+","")+1,0)),IF(_xlfn.SWITCH(AE121,"sq",AI$7,"bn",AJ$7,"dl",AK$7,"")&lt;IF(_uom="lbs",175,80),1.25,IF(_uom="lbs",5,2.5))))),"")</f>
        <v/>
      </c>
      <c s="70"/>
      <c s="63"/>
      <c s="97"/>
      <c s="44" t="str">
        <f>IFERROR(__xludf.DUMMYFUNCTION("IF(AK121=MAX(FILTER(AK$10:AK$199,LOOKUP(ROW(AE$10:AE$199),FILTER(ROW(AE$10:AE$199),AE$10:AE$199&lt;&gt;AE$9:AE$198))=LOOKUP(ROW(AE121),FILTER(ROW(AE$10:AE$199),AE$10:AE$199&lt;&gt;AE$9:AE$198)))),AL121,)"),"")</f>
        <v/>
      </c>
      <c s="42"/>
      <c s="63"/>
      <c s="64" t="str">
        <f t="shared" si="17"/>
        <v/>
      </c>
      <c s="65" t="str">
        <f>IFERROR(__xludf.DUMMYFUNCTION("""COMPUTED_VALUE"""),"")</f>
        <v/>
      </c>
      <c s="66">
        <f ca="1"/>
        <v>45229</v>
      </c>
      <c s="93" t="str">
        <f t="shared" si="157"/>
        <v/>
      </c>
      <c s="94" t="str">
        <f t="shared" si="399"/>
        <v/>
      </c>
      <c s="95" t="str">
        <f t="shared" si="409"/>
        <v/>
      </c>
      <c s="98" t="str">
        <f t="shared" si="400"/>
        <v/>
      </c>
      <c s="97" t="str">
        <f t="array" ref="AY121">IFERROR(IF(AS121="ac"+ISNUMBER(SEARCH("'",AX121))+AW121="","",IF(ISNUMBER(SEARCH("lw",AX121)),AK121+SUBSTITUTE(AX121,"lw+",""),MROUND(_xlfn.SWITCH(AS121,"sq",AW$7,"bn",AX$7,"dl",AY$7,"")*IF(AX121&gt;10,AX121/100,VLOOKUP(AX121,_rpe,SUBSTITUTE(AW121,"+","")+1,0)),IF(_xlfn.SWITCH(AS121,"sq",AW$7,"bn",AX$7,"dl",AY$7,"")&lt;IF(_uom="lbs",175,80),1.25,IF(_uom="lbs",5,2.5))))),"")</f>
        <v/>
      </c>
      <c s="70"/>
      <c s="63"/>
      <c s="97"/>
      <c s="44" t="str">
        <f>IFERROR(__xludf.DUMMYFUNCTION("IF(AY121=MAX(FILTER(AY$10:AY$199,LOOKUP(ROW(AS$10:AS$199),FILTER(ROW(AS$10:AS$199),AS$10:AS$199&lt;&gt;AS$9:AS$198))=LOOKUP(ROW(AS121),FILTER(ROW(AS$10:AS$199),AS$10:AS$199&lt;&gt;AS$9:AS$198)))),AZ121,)"),"")</f>
        <v/>
      </c>
      <c s="42"/>
      <c s="63"/>
      <c s="64" t="str">
        <f t="shared" si="19"/>
        <v/>
      </c>
      <c s="65" t="str">
        <f>IFERROR(__xludf.DUMMYFUNCTION("""COMPUTED_VALUE"""),"")</f>
        <v/>
      </c>
      <c s="66">
        <f ca="1"/>
        <v>45236</v>
      </c>
      <c s="93" t="str">
        <f t="shared" si="20"/>
        <v/>
      </c>
      <c s="94" t="str">
        <f t="shared" si="425"/>
        <v/>
      </c>
      <c s="95" t="str">
        <f t="shared" si="411"/>
        <v/>
      </c>
      <c s="98" t="str">
        <f t="shared" si="412"/>
        <v/>
      </c>
      <c s="97" t="str">
        <f t="array" ref="BM121">IFERROR(IF(BG121="ac"+ISNUMBER(SEARCH("'",BL121))+BK121="","",IF(ISNUMBER(SEARCH("lw",BL121)),AY121+SUBSTITUTE(BL121,"lw+",""),MROUND(_xlfn.SWITCH(BG121,"sq",BK$7,"bn",BL$7,"dl",BM$7,"")*IF(BL121&gt;10,BL121/100,VLOOKUP(BL121,_rpe,SUBSTITUTE(BK121,"+","")+1,0)),IF(_xlfn.SWITCH(BG121,"sq",BK$7,"bn",BL$7,"dl",BM$7,"")&lt;IF(_uom="lbs",175,80),1.25,IF(_uom="lbs",5,2.5))))),"")</f>
        <v/>
      </c>
      <c s="70"/>
      <c s="63"/>
      <c s="97"/>
      <c s="44" t="str">
        <f>IFERROR(__xludf.DUMMYFUNCTION("IF(BM121=MAX(FILTER(BM$10:BM$199,LOOKUP(ROW(BG$10:BG$199),FILTER(ROW(BG$10:BG$199),BG$10:BG$199&lt;&gt;BG$9:BG$198))=LOOKUP(ROW(BG121),FILTER(ROW(BG$10:BG$199),BG$10:BG$199&lt;&gt;BG$9:BG$198)))),BN121,)"),"")</f>
        <v/>
      </c>
      <c s="42"/>
      <c s="63"/>
      <c s="64" t="str">
        <f t="shared" si="21"/>
        <v/>
      </c>
      <c s="65" t="str">
        <f>IFERROR(__xludf.DUMMYFUNCTION("""COMPUTED_VALUE"""),"")</f>
        <v/>
      </c>
      <c s="66">
        <f ca="1"/>
        <v>45243</v>
      </c>
      <c s="93" t="str">
        <f t="shared" si="22"/>
        <v/>
      </c>
      <c s="94" t="str">
        <f t="shared" si="426"/>
        <v/>
      </c>
      <c s="95" t="str">
        <f t="shared" si="414"/>
        <v/>
      </c>
      <c s="98" t="str">
        <f t="shared" si="415"/>
        <v/>
      </c>
      <c s="97" t="str">
        <f t="array" ref="CA121">IFERROR(IF(BU121="ac"+ISNUMBER(SEARCH("'",BZ121))+BY121="","",IF(ISNUMBER(SEARCH("lw",BZ121)),BM121+SUBSTITUTE(BZ121,"lw+",""),MROUND(_xlfn.SWITCH(BU121,"sq",BY$7,"bn",BZ$7,"dl",CA$7,"")*IF(BZ121&gt;10,BZ121/100,VLOOKUP(BZ121,_rpe,SUBSTITUTE(BY121,"+","")+1,0)),IF(_xlfn.SWITCH(BU121,"sq",BY$7,"bn",BZ$7,"dl",CA$7,"")&lt;IF(_uom="lbs",175,80),1.25,IF(_uom="lbs",5,2.5))))),"")</f>
        <v/>
      </c>
      <c s="70"/>
      <c s="63"/>
      <c s="97"/>
      <c s="44" t="str">
        <f>IFERROR(__xludf.DUMMYFUNCTION("IF(CA121=MAX(FILTER(CA$10:CA$199,LOOKUP(ROW(BU$10:BU$199),FILTER(ROW(BU$10:BU$199),BU$10:BU$199&lt;&gt;BU$9:BU$198))=LOOKUP(ROW(BU121),FILTER(ROW(BU$10:BU$199),BU$10:BU$199&lt;&gt;BU$9:BU$198)))),CB121,)"),"")</f>
        <v/>
      </c>
      <c s="42"/>
      <c s="63"/>
      <c s="64" t="str">
        <f t="shared" si="24"/>
        <v/>
      </c>
      <c s="65" t="str">
        <f>IFERROR(__xludf.DUMMYFUNCTION("""COMPUTED_VALUE"""),"")</f>
        <v/>
      </c>
      <c s="66">
        <f ca="1"/>
        <v>45250</v>
      </c>
      <c s="93" t="str">
        <f t="shared" si="44"/>
        <v/>
      </c>
      <c s="94" t="str">
        <f t="shared" si="392"/>
        <v/>
      </c>
      <c s="95" t="str">
        <f t="shared" si="416"/>
        <v/>
      </c>
      <c s="98" t="str">
        <f t="shared" si="417"/>
        <v/>
      </c>
      <c s="97" t="str">
        <f t="array" ref="CO121">IFERROR(IF(CI121="ac"+ISNUMBER(SEARCH("'",CN121))+CM121="","",IF(ISNUMBER(SEARCH("lw",CN121)),CA121+SUBSTITUTE(CN121,"lw+",""),MROUND(_xlfn.SWITCH(CI121,"sq",CM$7,"bn",CN$7,"dl",CO$7,"")*IF(CN121&gt;10,CN121/100,VLOOKUP(CN121,_rpe,SUBSTITUTE(CM121,"+","")+1,0)),IF(_xlfn.SWITCH(CI121,"sq",CM$7,"bn",CN$7,"dl",CO$7,"")&lt;IF(_uom="lbs",175,80),1.25,IF(_uom="lbs",5,2.5))))),"")</f>
        <v/>
      </c>
      <c s="70"/>
      <c s="63"/>
      <c s="97"/>
      <c s="44" t="str">
        <f>IFERROR(__xludf.DUMMYFUNCTION("IF(CO121=MAX(FILTER(CO$10:CO$199,LOOKUP(ROW(CI$10:CI$199),FILTER(ROW(CI$10:CI$199),CI$10:CI$199&lt;&gt;CI$9:CI$198))=LOOKUP(ROW(CI121),FILTER(ROW(CI$10:CI$199),CI$10:CI$199&lt;&gt;CI$9:CI$198)))),CP121,)"),"")</f>
        <v/>
      </c>
      <c s="42"/>
      <c s="63"/>
      <c s="64" t="str">
        <f t="shared" si="27"/>
        <v/>
      </c>
      <c s="65" t="str">
        <f>IFERROR(__xludf.DUMMYFUNCTION("""COMPUTED_VALUE"""),"")</f>
        <v/>
      </c>
      <c s="66">
        <f ca="1"/>
        <v>45257</v>
      </c>
      <c s="93" t="str">
        <f t="shared" si="45"/>
        <v/>
      </c>
      <c s="94" t="str">
        <f t="shared" si="393"/>
        <v/>
      </c>
      <c s="95" t="str">
        <f t="shared" si="418"/>
        <v/>
      </c>
      <c s="98" t="str">
        <f t="shared" si="401"/>
        <v/>
      </c>
      <c s="97" t="str">
        <f t="array" ref="DC121">IFERROR(IF(CW121="ac"+ISNUMBER(SEARCH("'",DB121))+DA121="","",IF(ISNUMBER(SEARCH("lw",DB121)),CO121+SUBSTITUTE(DB121,"lw+",""),MROUND(_xlfn.SWITCH(CW121,"sq",DA$7,"bn",DB$7,"dl",DC$7,"")*IF(DB121&gt;10,DB121/100,VLOOKUP(DB121,_rpe,SUBSTITUTE(DA121,"+","")+1,0)),IF(_xlfn.SWITCH(CW121,"sq",DA$7,"bn",DB$7,"dl",DC$7,"")&lt;IF(_uom="lbs",175,80),1.25,IF(_uom="lbs",5,2.5))))),"")</f>
        <v/>
      </c>
      <c s="70"/>
      <c s="63"/>
      <c s="97"/>
      <c s="44" t="str">
        <f>IFERROR(__xludf.DUMMYFUNCTION("IF(DC121=MAX(FILTER(DC$10:DC$199,LOOKUP(ROW(CW$10:CW$199),FILTER(ROW(CW$10:CW$199),CW$10:CW$199&lt;&gt;CW$9:CW$198))=LOOKUP(ROW(CW121),FILTER(ROW(CW$10:CW$199),CW$10:CW$199&lt;&gt;CW$9:CW$198)))),DD121,)"),"")</f>
        <v/>
      </c>
      <c s="42"/>
      <c s="63"/>
      <c s="64" t="str">
        <f t="shared" si="30"/>
        <v/>
      </c>
      <c s="65" t="str">
        <f>IFERROR(__xludf.DUMMYFUNCTION("""COMPUTED_VALUE"""),"")</f>
        <v/>
      </c>
      <c s="66">
        <f ca="1"/>
        <v>45264</v>
      </c>
      <c s="93" t="str">
        <f t="shared" si="46"/>
        <v/>
      </c>
      <c s="94" t="str">
        <f t="shared" si="394"/>
        <v/>
      </c>
      <c s="95" t="str">
        <f t="shared" si="419"/>
        <v/>
      </c>
      <c s="98" t="str">
        <f t="shared" si="420"/>
        <v/>
      </c>
      <c s="97" t="str">
        <f t="array" ref="DQ121">IFERROR(IF(DK121="ac"+ISNUMBER(SEARCH("'",DP121))+DO121="","",IF(ISNUMBER(SEARCH("lw",DP121)),DC121+SUBSTITUTE(DP121,"lw+",""),MROUND(_xlfn.SWITCH(DK121,"sq",DO$7,"bn",DP$7,"dl",DQ$7,"")*IF(DP121&gt;10,DP121/100,VLOOKUP(DP121,_rpe,SUBSTITUTE(DO121,"+","")+1,0)),IF(_xlfn.SWITCH(DK121,"sq",DO$7,"bn",DP$7,"dl",DQ$7,"")&lt;IF(_uom="lbs",175,80),1.25,IF(_uom="lbs",5,2.5))))),"")</f>
        <v/>
      </c>
      <c s="70"/>
      <c s="63"/>
      <c s="97"/>
      <c s="44" t="str">
        <f>IFERROR(__xludf.DUMMYFUNCTION("IF(DQ121=MAX(FILTER(DQ$10:DQ$199,LOOKUP(ROW(DK$10:DK$199),FILTER(ROW(DK$10:DK$199),DK$10:DK$199&lt;&gt;DK$9:DK$198))=LOOKUP(ROW(DK121),FILTER(ROW(DK$10:DK$199),DK$10:DK$199&lt;&gt;DK$9:DK$198)))),DR121,)"),"")</f>
        <v/>
      </c>
      <c s="42"/>
      <c s="63"/>
      <c s="64" t="str">
        <f t="shared" si="32"/>
        <v/>
      </c>
      <c s="65" t="str">
        <f>IFERROR(__xludf.DUMMYFUNCTION("""COMPUTED_VALUE"""),"")</f>
        <v/>
      </c>
      <c s="66">
        <f ca="1"/>
        <v>45271</v>
      </c>
      <c s="93" t="str">
        <f t="shared" si="47"/>
        <v/>
      </c>
      <c s="94" t="str">
        <f t="shared" si="405"/>
        <v/>
      </c>
      <c s="95" t="str">
        <f t="shared" si="421"/>
        <v/>
      </c>
      <c s="98" t="str">
        <f t="shared" si="422"/>
        <v/>
      </c>
      <c s="97" t="str">
        <f t="array" ref="EE121">IFERROR(IF(DY121="ac"+ISNUMBER(SEARCH("'",ED121))+EC121="","",IF(ISNUMBER(SEARCH("lw",ED121)),DQ121+SUBSTITUTE(ED121,"lw+",""),MROUND(_xlfn.SWITCH(DY121,"sq",EC$7,"bn",ED$7,"dl",EE$7,"")*IF(ED121&gt;10,ED121/100,VLOOKUP(ED121,_rpe,SUBSTITUTE(EC121,"+","")+1,0)),IF(_xlfn.SWITCH(DY121,"sq",EC$7,"bn",ED$7,"dl",EE$7,"")&lt;IF(_uom="lbs",175,80),1.25,IF(_uom="lbs",5,2.5))))),"")</f>
        <v/>
      </c>
      <c s="70"/>
      <c s="63"/>
      <c s="97"/>
      <c s="44" t="str">
        <f>IFERROR(__xludf.DUMMYFUNCTION("IF(EE121=MAX(FILTER(EE$10:EE$199,LOOKUP(ROW(DY$10:DY$199),FILTER(ROW(DY$10:DY$199),DY$10:DY$199&lt;&gt;DY$9:DY$198))=LOOKUP(ROW(DY121),FILTER(ROW(DY$10:DY$199),DY$10:DY$199&lt;&gt;DY$9:DY$198)))),EF121,)"),"")</f>
        <v/>
      </c>
      <c s="42"/>
      <c s="63"/>
      <c s="64" t="str">
        <f t="shared" si="34"/>
        <v/>
      </c>
      <c s="65" t="str">
        <f>IFERROR(__xludf.DUMMYFUNCTION("""COMPUTED_VALUE"""),"")</f>
        <v/>
      </c>
      <c s="66">
        <f ca="1"/>
        <v>45278</v>
      </c>
      <c s="93" t="str">
        <f t="shared" si="48"/>
        <v/>
      </c>
      <c s="94" t="str">
        <f t="shared" si="395"/>
        <v/>
      </c>
      <c s="95" t="str">
        <f t="shared" si="423"/>
        <v/>
      </c>
      <c s="98" t="str">
        <f t="shared" si="402"/>
        <v/>
      </c>
      <c s="97" t="str">
        <f t="array" ref="ES121">IFERROR(IF(EM121="ac"+ISNUMBER(SEARCH("'",ER121))+EQ121="","",IF(ISNUMBER(SEARCH("lw",ER121)),EE121+SUBSTITUTE(ER121,"lw+",""),MROUND(_xlfn.SWITCH(EM121,"sq",EQ$7,"bn",ER$7,"dl",ES$7,"")*IF(ER121&gt;10,ER121/100,VLOOKUP(ER121,_rpe,SUBSTITUTE(EQ121,"+","")+1,0)),IF(_xlfn.SWITCH(EM121,"sq",EQ$7,"bn",ER$7,"dl",ES$7,"")&lt;IF(_uom="lbs",175,80),1.25,IF(_uom="lbs",5,2.5))))),"")</f>
        <v/>
      </c>
      <c s="70"/>
      <c s="63"/>
      <c s="97"/>
      <c s="44" t="str">
        <f>IFERROR(__xludf.DUMMYFUNCTION("IF(ES121=MAX(FILTER(ES$10:ES$199,LOOKUP(ROW(EM$10:EM$199),FILTER(ROW(EM$10:EM$199),EM$10:EM$199&lt;&gt;EM$9:EM$198))=LOOKUP(ROW(EM121),FILTER(ROW(EM$10:EM$199),EM$10:EM$199&lt;&gt;EM$9:EM$198)))),ET121,)"),"")</f>
        <v/>
      </c>
      <c s="42"/>
      <c s="63"/>
      <c s="64" t="str">
        <f t="shared" si="36"/>
        <v/>
      </c>
      <c s="65" t="str">
        <f>IFERROR(__xludf.DUMMYFUNCTION("""COMPUTED_VALUE"""),"")</f>
        <v/>
      </c>
      <c s="66">
        <f ca="1"/>
        <v>45285</v>
      </c>
      <c s="93" t="str">
        <f t="shared" si="49"/>
        <v/>
      </c>
      <c s="94" t="str">
        <f t="shared" si="396"/>
        <v/>
      </c>
      <c s="95" t="str">
        <f t="shared" si="424"/>
        <v/>
      </c>
      <c s="98" t="str">
        <f t="shared" si="403"/>
        <v/>
      </c>
      <c s="97" t="str">
        <f t="array" ref="FG121">IFERROR(IF(FA121="ac"+ISNUMBER(SEARCH("'",FF121))+FE121="","",IF(ISNUMBER(SEARCH("lw",FF121)),ES121+SUBSTITUTE(FF121,"lw+",""),MROUND(_xlfn.SWITCH(FA121,"sq",FE$7,"bn",FF$7,"dl",FG$7,"")*IF(FF121&gt;10,FF121/100,VLOOKUP(FF121,_rpe,SUBSTITUTE(FE121,"+","")+1,0)),IF(_xlfn.SWITCH(FA121,"sq",FE$7,"bn",FF$7,"dl",FG$7,"")&lt;IF(_uom="lbs",175,80),1.25,IF(_uom="lbs",5,2.5))))),"")</f>
        <v/>
      </c>
      <c s="70"/>
      <c s="63"/>
      <c s="97"/>
      <c s="44" t="str">
        <f>IFERROR(__xludf.DUMMYFUNCTION("IF(FG121=MAX(FILTER(FG$10:FG$199,LOOKUP(ROW(FA$10:FA$199),FILTER(ROW(FA$10:FA$199),FA$10:FA$199&lt;&gt;FA$9:FA$198))=LOOKUP(ROW(FA121),FILTER(ROW(FA$10:FA$199),FA$10:FA$199&lt;&gt;FA$9:FA$198)))),FH121,)"),"")</f>
        <v/>
      </c>
      <c s="42"/>
      <c s="63"/>
      <c s="64" t="str">
        <f t="shared" si="38"/>
        <v/>
      </c>
      <c s="65" t="str">
        <f>IFERROR(__xludf.DUMMYFUNCTION("""COMPUTED_VALUE"""),"")</f>
        <v/>
      </c>
      <c s="66">
        <f ca="1"/>
        <v>45292</v>
      </c>
      <c s="93" t="str">
        <f t="shared" si="465" ref="FQ121:FR121">IF(ISBLANK(FC121),"",FC121)</f>
        <v/>
      </c>
      <c s="94" t="str">
        <f t="shared" si="465"/>
        <v/>
      </c>
      <c s="95" t="str">
        <f t="shared" si="428"/>
        <v/>
      </c>
      <c s="98" t="str">
        <f t="shared" si="429"/>
        <v/>
      </c>
      <c s="97" t="str">
        <f t="array" ref="FU121">IFERROR(IF(FO121="ac"+ISNUMBER(SEARCH("'",FT121))+FS121="","",IF(ISNUMBER(SEARCH("lw",FT121)),FG121+SUBSTITUTE(FT121,"lw+",""),MROUND(_xlfn.SWITCH(FO121,"sq",FS$7,"bn",FT$7,"dl",FU$7,"")*IF(FT121&gt;10,FT121/100,VLOOKUP(FT121,_rpe,SUBSTITUTE(FS121,"+","")+1,0)),IF(_xlfn.SWITCH(FO121,"sq",FS$7,"bn",FT$7,"dl",FU$7,"")&lt;IF(_uom="lbs",175,80),1.25,IF(_uom="lbs",5,2.5))))),"")</f>
        <v/>
      </c>
      <c s="70"/>
      <c s="63"/>
      <c s="97"/>
      <c s="44" t="str">
        <f>IFERROR(__xludf.DUMMYFUNCTION("IF(FU121=MAX(FILTER(FU$10:FU$199,LOOKUP(ROW(FO$10:FO$199),FILTER(ROW(FO$10:FO$199),FO$10:FO$199&lt;&gt;FO$9:FO$198))=LOOKUP(ROW(FO121),FILTER(ROW(FO$10:FO$199),FO$10:FO$199&lt;&gt;FO$9:FO$198)))),FV121,)"),"")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22" spans="1:259" ht="15.75" hidden="1" outlineLevel="1">
      <c r="A122" s="63"/>
      <c s="107"/>
      <c s="65" t="str">
        <f>IFERROR(__xludf.DUMMYFUNCTION("""COMPUTED_VALUE"""),"")</f>
        <v/>
      </c>
      <c s="66">
        <f ca="1"/>
        <v>45208</v>
      </c>
      <c s="108"/>
      <c s="94"/>
      <c s="95"/>
      <c s="96"/>
      <c s="97" t="str">
        <f t="array" ref="I122">IFERROR(IF(C122="ac"+ISNUMBER(SEARCH("'",H122))+G122="","",MROUND(_xlfn.SWITCH(C122,"sq",'Personal Info'!$O$15,"bn",'Personal Info'!$S$15,"dl",'Personal Info'!$W$15,"")*IF(H122&gt;10,H122/100,VLOOKUP(H122,_rpe,SUBSTITUTE(G122,"+","")+1,0)),IF(_xlfn.SWITCH(C122:C210,"sq",'Personal Info'!$O$15,"bn",'Personal Info'!$S$15,"dl",'Personal Info'!$W$15,"")&lt;IF(_uom="lbs",175,80),1.25,IF(_uom="lbs",5,2.5)))),"")</f>
        <v/>
      </c>
      <c s="70"/>
      <c s="63"/>
      <c s="97"/>
      <c s="44" t="str">
        <f>IFERROR(__xludf.DUMMYFUNCTION("IF(I122=MAX(FILTER(I$10:I$199,LOOKUP(ROW(C$10:C$199),FILTER(ROW(C$10:C$199),C$10:C$199&lt;&gt;C$9:C$198))=LOOKUP(ROW(C122),FILTER(ROW(C$10:C$199),C$10:C$199&lt;&gt;C$9:C$198)))),J122,)"),"")</f>
        <v/>
      </c>
      <c s="42"/>
      <c s="63"/>
      <c s="64" t="str">
        <f t="shared" si="11"/>
        <v/>
      </c>
      <c s="65" t="str">
        <f>IFERROR(__xludf.DUMMYFUNCTION("""COMPUTED_VALUE"""),"")</f>
        <v/>
      </c>
      <c s="66">
        <f ca="1"/>
        <v>45215</v>
      </c>
      <c s="93" t="str">
        <f t="shared" si="12"/>
        <v/>
      </c>
      <c s="94" t="str">
        <f t="shared" si="404"/>
        <v/>
      </c>
      <c s="95" t="str">
        <f t="shared" si="406"/>
        <v/>
      </c>
      <c s="98" t="str">
        <f t="shared" si="407"/>
        <v/>
      </c>
      <c s="97" t="str">
        <f t="array" ref="W122">IFERROR(IF(Q122="ac"+ISNUMBER(SEARCH("'",V122))+U122="","",IF(ISNUMBER(SEARCH("lw",V122)),I122+SUBSTITUTE(V122,"lw+",""),MROUND(_xlfn.SWITCH(Q122,"sq",U$7,"bn",V$7,"dl",W$7,"")*IF(V122&gt;10,V122/100,VLOOKUP(V122,_rpe,SUBSTITUTE(U122,"+","")+1,0)),IF(_xlfn.SWITCH(Q122,"sq",U$7,"bn",V$7,"dl",W$7,"")&lt;IF(_uom="lbs",175,80),1.25,IF(_uom="lbs",5,2.5))))),"")</f>
        <v/>
      </c>
      <c s="70"/>
      <c s="63"/>
      <c s="97"/>
      <c s="44" t="str">
        <f>IFERROR(__xludf.DUMMYFUNCTION("IF(W122=MAX(FILTER(W$10:W$199,LOOKUP(ROW(Q$10:Q$199),FILTER(ROW(Q$10:Q$199),Q$10:Q$199&lt;&gt;Q$9:Q$198))=LOOKUP(ROW(Q122),FILTER(ROW(Q$10:Q$199),Q$10:Q$199&lt;&gt;Q$9:Q$198)))),X122,)"),"")</f>
        <v/>
      </c>
      <c s="42"/>
      <c s="63"/>
      <c s="64" t="str">
        <f t="shared" si="14"/>
        <v/>
      </c>
      <c s="65" t="str">
        <f>IFERROR(__xludf.DUMMYFUNCTION("""COMPUTED_VALUE"""),"")</f>
        <v/>
      </c>
      <c s="66">
        <f ca="1"/>
        <v>45222</v>
      </c>
      <c s="93" t="str">
        <f t="shared" si="156"/>
        <v/>
      </c>
      <c s="94" t="str">
        <f t="shared" si="397"/>
        <v/>
      </c>
      <c s="95" t="str">
        <f t="shared" si="408"/>
        <v/>
      </c>
      <c s="98" t="str">
        <f t="shared" si="398"/>
        <v/>
      </c>
      <c s="97" t="str">
        <f t="array" ref="AK122">IFERROR(IF(AE122="ac"+ISNUMBER(SEARCH("'",AJ122))+AI122="","",IF(ISNUMBER(SEARCH("lw",AJ122)),W122+SUBSTITUTE(AJ122,"lw+",""),MROUND(_xlfn.SWITCH(AE122,"sq",AI$7,"bn",AJ$7,"dl",AK$7,"")*IF(AJ122&gt;10,AJ122/100,VLOOKUP(AJ122,_rpe,SUBSTITUTE(AI122,"+","")+1,0)),IF(_xlfn.SWITCH(AE122,"sq",AI$7,"bn",AJ$7,"dl",AK$7,"")&lt;IF(_uom="lbs",175,80),1.25,IF(_uom="lbs",5,2.5))))),"")</f>
        <v/>
      </c>
      <c s="70"/>
      <c s="63"/>
      <c s="97"/>
      <c s="44" t="str">
        <f>IFERROR(__xludf.DUMMYFUNCTION("IF(AK122=MAX(FILTER(AK$10:AK$199,LOOKUP(ROW(AE$10:AE$199),FILTER(ROW(AE$10:AE$199),AE$10:AE$199&lt;&gt;AE$9:AE$198))=LOOKUP(ROW(AE122),FILTER(ROW(AE$10:AE$199),AE$10:AE$199&lt;&gt;AE$9:AE$198)))),AL122,)"),"")</f>
        <v/>
      </c>
      <c s="42"/>
      <c s="63"/>
      <c s="64" t="str">
        <f t="shared" si="17"/>
        <v/>
      </c>
      <c s="65" t="str">
        <f>IFERROR(__xludf.DUMMYFUNCTION("""COMPUTED_VALUE"""),"")</f>
        <v/>
      </c>
      <c s="66">
        <f ca="1"/>
        <v>45229</v>
      </c>
      <c s="93" t="str">
        <f t="shared" si="157"/>
        <v/>
      </c>
      <c s="94" t="str">
        <f t="shared" si="399"/>
        <v/>
      </c>
      <c s="95" t="str">
        <f t="shared" si="409"/>
        <v/>
      </c>
      <c s="98" t="str">
        <f t="shared" si="400"/>
        <v/>
      </c>
      <c s="97" t="str">
        <f t="array" ref="AY122">IFERROR(IF(AS122="ac"+ISNUMBER(SEARCH("'",AX122))+AW122="","",IF(ISNUMBER(SEARCH("lw",AX122)),AK122+SUBSTITUTE(AX122,"lw+",""),MROUND(_xlfn.SWITCH(AS122,"sq",AW$7,"bn",AX$7,"dl",AY$7,"")*IF(AX122&gt;10,AX122/100,VLOOKUP(AX122,_rpe,SUBSTITUTE(AW122,"+","")+1,0)),IF(_xlfn.SWITCH(AS122,"sq",AW$7,"bn",AX$7,"dl",AY$7,"")&lt;IF(_uom="lbs",175,80),1.25,IF(_uom="lbs",5,2.5))))),"")</f>
        <v/>
      </c>
      <c s="70"/>
      <c s="63"/>
      <c s="97"/>
      <c s="44" t="str">
        <f>IFERROR(__xludf.DUMMYFUNCTION("IF(AY122=MAX(FILTER(AY$10:AY$199,LOOKUP(ROW(AS$10:AS$199),FILTER(ROW(AS$10:AS$199),AS$10:AS$199&lt;&gt;AS$9:AS$198))=LOOKUP(ROW(AS122),FILTER(ROW(AS$10:AS$199),AS$10:AS$199&lt;&gt;AS$9:AS$198)))),AZ122,)"),"")</f>
        <v/>
      </c>
      <c s="42"/>
      <c s="63"/>
      <c s="64" t="str">
        <f t="shared" si="19"/>
        <v/>
      </c>
      <c s="65" t="str">
        <f>IFERROR(__xludf.DUMMYFUNCTION("""COMPUTED_VALUE"""),"")</f>
        <v/>
      </c>
      <c s="66">
        <f ca="1"/>
        <v>45236</v>
      </c>
      <c s="93" t="str">
        <f t="shared" si="20"/>
        <v/>
      </c>
      <c s="94" t="str">
        <f t="shared" si="425"/>
        <v/>
      </c>
      <c s="95" t="str">
        <f t="shared" si="411"/>
        <v/>
      </c>
      <c s="98" t="str">
        <f t="shared" si="412"/>
        <v/>
      </c>
      <c s="97" t="str">
        <f t="array" ref="BM122">IFERROR(IF(BG122="ac"+ISNUMBER(SEARCH("'",BL122))+BK122="","",IF(ISNUMBER(SEARCH("lw",BL122)),AY122+SUBSTITUTE(BL122,"lw+",""),MROUND(_xlfn.SWITCH(BG122,"sq",BK$7,"bn",BL$7,"dl",BM$7,"")*IF(BL122&gt;10,BL122/100,VLOOKUP(BL122,_rpe,SUBSTITUTE(BK122,"+","")+1,0)),IF(_xlfn.SWITCH(BG122,"sq",BK$7,"bn",BL$7,"dl",BM$7,"")&lt;IF(_uom="lbs",175,80),1.25,IF(_uom="lbs",5,2.5))))),"")</f>
        <v/>
      </c>
      <c s="70"/>
      <c s="63"/>
      <c s="97"/>
      <c s="44" t="str">
        <f>IFERROR(__xludf.DUMMYFUNCTION("IF(BM122=MAX(FILTER(BM$10:BM$199,LOOKUP(ROW(BG$10:BG$199),FILTER(ROW(BG$10:BG$199),BG$10:BG$199&lt;&gt;BG$9:BG$198))=LOOKUP(ROW(BG122),FILTER(ROW(BG$10:BG$199),BG$10:BG$199&lt;&gt;BG$9:BG$198)))),BN122,)"),"")</f>
        <v/>
      </c>
      <c s="42"/>
      <c s="63"/>
      <c s="64" t="str">
        <f t="shared" si="21"/>
        <v/>
      </c>
      <c s="65" t="str">
        <f>IFERROR(__xludf.DUMMYFUNCTION("""COMPUTED_VALUE"""),"")</f>
        <v/>
      </c>
      <c s="66">
        <f ca="1"/>
        <v>45243</v>
      </c>
      <c s="93" t="str">
        <f t="shared" si="22"/>
        <v/>
      </c>
      <c s="94" t="str">
        <f t="shared" si="426"/>
        <v/>
      </c>
      <c s="95" t="str">
        <f t="shared" si="414"/>
        <v/>
      </c>
      <c s="98" t="str">
        <f t="shared" si="415"/>
        <v/>
      </c>
      <c s="97" t="str">
        <f t="array" ref="CA122">IFERROR(IF(BU122="ac"+ISNUMBER(SEARCH("'",BZ122))+BY122="","",IF(ISNUMBER(SEARCH("lw",BZ122)),BM122+SUBSTITUTE(BZ122,"lw+",""),MROUND(_xlfn.SWITCH(BU122,"sq",BY$7,"bn",BZ$7,"dl",CA$7,"")*IF(BZ122&gt;10,BZ122/100,VLOOKUP(BZ122,_rpe,SUBSTITUTE(BY122,"+","")+1,0)),IF(_xlfn.SWITCH(BU122,"sq",BY$7,"bn",BZ$7,"dl",CA$7,"")&lt;IF(_uom="lbs",175,80),1.25,IF(_uom="lbs",5,2.5))))),"")</f>
        <v/>
      </c>
      <c s="70"/>
      <c s="63"/>
      <c s="97"/>
      <c s="44" t="str">
        <f>IFERROR(__xludf.DUMMYFUNCTION("IF(CA122=MAX(FILTER(CA$10:CA$199,LOOKUP(ROW(BU$10:BU$199),FILTER(ROW(BU$10:BU$199),BU$10:BU$199&lt;&gt;BU$9:BU$198))=LOOKUP(ROW(BU122),FILTER(ROW(BU$10:BU$199),BU$10:BU$199&lt;&gt;BU$9:BU$198)))),CB122,)"),"")</f>
        <v/>
      </c>
      <c s="42"/>
      <c s="63"/>
      <c s="64" t="str">
        <f t="shared" si="24"/>
        <v/>
      </c>
      <c s="65" t="str">
        <f>IFERROR(__xludf.DUMMYFUNCTION("""COMPUTED_VALUE"""),"")</f>
        <v/>
      </c>
      <c s="66">
        <f ca="1"/>
        <v>45250</v>
      </c>
      <c s="93" t="str">
        <f t="shared" si="44"/>
        <v/>
      </c>
      <c s="94" t="str">
        <f t="shared" si="392"/>
        <v/>
      </c>
      <c s="95" t="str">
        <f t="shared" si="416"/>
        <v/>
      </c>
      <c s="98" t="str">
        <f t="shared" si="417"/>
        <v/>
      </c>
      <c s="97" t="str">
        <f t="array" ref="CO122">IFERROR(IF(CI122="ac"+ISNUMBER(SEARCH("'",CN122))+CM122="","",IF(ISNUMBER(SEARCH("lw",CN122)),CA122+SUBSTITUTE(CN122,"lw+",""),MROUND(_xlfn.SWITCH(CI122,"sq",CM$7,"bn",CN$7,"dl",CO$7,"")*IF(CN122&gt;10,CN122/100,VLOOKUP(CN122,_rpe,SUBSTITUTE(CM122,"+","")+1,0)),IF(_xlfn.SWITCH(CI122,"sq",CM$7,"bn",CN$7,"dl",CO$7,"")&lt;IF(_uom="lbs",175,80),1.25,IF(_uom="lbs",5,2.5))))),"")</f>
        <v/>
      </c>
      <c s="70"/>
      <c s="63"/>
      <c s="97"/>
      <c s="44" t="str">
        <f>IFERROR(__xludf.DUMMYFUNCTION("IF(CO122=MAX(FILTER(CO$10:CO$199,LOOKUP(ROW(CI$10:CI$199),FILTER(ROW(CI$10:CI$199),CI$10:CI$199&lt;&gt;CI$9:CI$198))=LOOKUP(ROW(CI122),FILTER(ROW(CI$10:CI$199),CI$10:CI$199&lt;&gt;CI$9:CI$198)))),CP122,)"),"")</f>
        <v/>
      </c>
      <c s="42"/>
      <c s="63"/>
      <c s="64" t="str">
        <f t="shared" si="27"/>
        <v/>
      </c>
      <c s="65" t="str">
        <f>IFERROR(__xludf.DUMMYFUNCTION("""COMPUTED_VALUE"""),"")</f>
        <v/>
      </c>
      <c s="66">
        <f ca="1"/>
        <v>45257</v>
      </c>
      <c s="93" t="str">
        <f t="shared" si="45"/>
        <v/>
      </c>
      <c s="94" t="str">
        <f t="shared" si="393"/>
        <v/>
      </c>
      <c s="95" t="str">
        <f t="shared" si="418"/>
        <v/>
      </c>
      <c s="98" t="str">
        <f t="shared" si="401"/>
        <v/>
      </c>
      <c s="97" t="str">
        <f t="array" ref="DC122">IFERROR(IF(CW122="ac"+ISNUMBER(SEARCH("'",DB122))+DA122="","",IF(ISNUMBER(SEARCH("lw",DB122)),CO122+SUBSTITUTE(DB122,"lw+",""),MROUND(_xlfn.SWITCH(CW122,"sq",DA$7,"bn",DB$7,"dl",DC$7,"")*IF(DB122&gt;10,DB122/100,VLOOKUP(DB122,_rpe,SUBSTITUTE(DA122,"+","")+1,0)),IF(_xlfn.SWITCH(CW122,"sq",DA$7,"bn",DB$7,"dl",DC$7,"")&lt;IF(_uom="lbs",175,80),1.25,IF(_uom="lbs",5,2.5))))),"")</f>
        <v/>
      </c>
      <c s="70"/>
      <c s="63"/>
      <c s="97"/>
      <c s="44" t="str">
        <f>IFERROR(__xludf.DUMMYFUNCTION("IF(DC122=MAX(FILTER(DC$10:DC$199,LOOKUP(ROW(CW$10:CW$199),FILTER(ROW(CW$10:CW$199),CW$10:CW$199&lt;&gt;CW$9:CW$198))=LOOKUP(ROW(CW122),FILTER(ROW(CW$10:CW$199),CW$10:CW$199&lt;&gt;CW$9:CW$198)))),DD122,)"),"")</f>
        <v/>
      </c>
      <c s="42"/>
      <c s="63"/>
      <c s="64" t="str">
        <f t="shared" si="30"/>
        <v/>
      </c>
      <c s="65" t="str">
        <f>IFERROR(__xludf.DUMMYFUNCTION("""COMPUTED_VALUE"""),"")</f>
        <v/>
      </c>
      <c s="66">
        <f ca="1"/>
        <v>45264</v>
      </c>
      <c s="93" t="str">
        <f t="shared" si="46"/>
        <v/>
      </c>
      <c s="94" t="str">
        <f t="shared" si="394"/>
        <v/>
      </c>
      <c s="95" t="str">
        <f t="shared" si="419"/>
        <v/>
      </c>
      <c s="98" t="str">
        <f t="shared" si="420"/>
        <v/>
      </c>
      <c s="97" t="str">
        <f t="array" ref="DQ122">IFERROR(IF(DK122="ac"+ISNUMBER(SEARCH("'",DP122))+DO122="","",IF(ISNUMBER(SEARCH("lw",DP122)),DC122+SUBSTITUTE(DP122,"lw+",""),MROUND(_xlfn.SWITCH(DK122,"sq",DO$7,"bn",DP$7,"dl",DQ$7,"")*IF(DP122&gt;10,DP122/100,VLOOKUP(DP122,_rpe,SUBSTITUTE(DO122,"+","")+1,0)),IF(_xlfn.SWITCH(DK122,"sq",DO$7,"bn",DP$7,"dl",DQ$7,"")&lt;IF(_uom="lbs",175,80),1.25,IF(_uom="lbs",5,2.5))))),"")</f>
        <v/>
      </c>
      <c s="70"/>
      <c s="63"/>
      <c s="97"/>
      <c s="44" t="str">
        <f>IFERROR(__xludf.DUMMYFUNCTION("IF(DQ122=MAX(FILTER(DQ$10:DQ$199,LOOKUP(ROW(DK$10:DK$199),FILTER(ROW(DK$10:DK$199),DK$10:DK$199&lt;&gt;DK$9:DK$198))=LOOKUP(ROW(DK122),FILTER(ROW(DK$10:DK$199),DK$10:DK$199&lt;&gt;DK$9:DK$198)))),DR122,)"),"")</f>
        <v/>
      </c>
      <c s="42"/>
      <c s="63"/>
      <c s="64" t="str">
        <f t="shared" si="32"/>
        <v/>
      </c>
      <c s="65" t="str">
        <f>IFERROR(__xludf.DUMMYFUNCTION("""COMPUTED_VALUE"""),"")</f>
        <v/>
      </c>
      <c s="66">
        <f ca="1"/>
        <v>45271</v>
      </c>
      <c s="93" t="str">
        <f t="shared" si="47"/>
        <v/>
      </c>
      <c s="94" t="str">
        <f t="shared" si="405"/>
        <v/>
      </c>
      <c s="95" t="str">
        <f t="shared" si="421"/>
        <v/>
      </c>
      <c s="98" t="str">
        <f t="shared" si="422"/>
        <v/>
      </c>
      <c s="97" t="str">
        <f t="array" ref="EE122">IFERROR(IF(DY122="ac"+ISNUMBER(SEARCH("'",ED122))+EC122="","",IF(ISNUMBER(SEARCH("lw",ED122)),DQ122+SUBSTITUTE(ED122,"lw+",""),MROUND(_xlfn.SWITCH(DY122,"sq",EC$7,"bn",ED$7,"dl",EE$7,"")*IF(ED122&gt;10,ED122/100,VLOOKUP(ED122,_rpe,SUBSTITUTE(EC122,"+","")+1,0)),IF(_xlfn.SWITCH(DY122,"sq",EC$7,"bn",ED$7,"dl",EE$7,"")&lt;IF(_uom="lbs",175,80),1.25,IF(_uom="lbs",5,2.5))))),"")</f>
        <v/>
      </c>
      <c s="70"/>
      <c s="63"/>
      <c s="97"/>
      <c s="44" t="str">
        <f>IFERROR(__xludf.DUMMYFUNCTION("IF(EE122=MAX(FILTER(EE$10:EE$199,LOOKUP(ROW(DY$10:DY$199),FILTER(ROW(DY$10:DY$199),DY$10:DY$199&lt;&gt;DY$9:DY$198))=LOOKUP(ROW(DY122),FILTER(ROW(DY$10:DY$199),DY$10:DY$199&lt;&gt;DY$9:DY$198)))),EF122,)"),"")</f>
        <v/>
      </c>
      <c s="42"/>
      <c s="63"/>
      <c s="64" t="str">
        <f t="shared" si="34"/>
        <v/>
      </c>
      <c s="65" t="str">
        <f>IFERROR(__xludf.DUMMYFUNCTION("""COMPUTED_VALUE"""),"")</f>
        <v/>
      </c>
      <c s="66">
        <f ca="1"/>
        <v>45278</v>
      </c>
      <c s="93" t="str">
        <f t="shared" si="48"/>
        <v/>
      </c>
      <c s="94" t="str">
        <f t="shared" si="395"/>
        <v/>
      </c>
      <c s="95" t="str">
        <f t="shared" si="423"/>
        <v/>
      </c>
      <c s="98" t="str">
        <f t="shared" si="402"/>
        <v/>
      </c>
      <c s="97" t="str">
        <f t="array" ref="ES122">IFERROR(IF(EM122="ac"+ISNUMBER(SEARCH("'",ER122))+EQ122="","",IF(ISNUMBER(SEARCH("lw",ER122)),EE122+SUBSTITUTE(ER122,"lw+",""),MROUND(_xlfn.SWITCH(EM122,"sq",EQ$7,"bn",ER$7,"dl",ES$7,"")*IF(ER122&gt;10,ER122/100,VLOOKUP(ER122,_rpe,SUBSTITUTE(EQ122,"+","")+1,0)),IF(_xlfn.SWITCH(EM122,"sq",EQ$7,"bn",ER$7,"dl",ES$7,"")&lt;IF(_uom="lbs",175,80),1.25,IF(_uom="lbs",5,2.5))))),"")</f>
        <v/>
      </c>
      <c s="70"/>
      <c s="63"/>
      <c s="97"/>
      <c s="44" t="str">
        <f>IFERROR(__xludf.DUMMYFUNCTION("IF(ES122=MAX(FILTER(ES$10:ES$199,LOOKUP(ROW(EM$10:EM$199),FILTER(ROW(EM$10:EM$199),EM$10:EM$199&lt;&gt;EM$9:EM$198))=LOOKUP(ROW(EM122),FILTER(ROW(EM$10:EM$199),EM$10:EM$199&lt;&gt;EM$9:EM$198)))),ET122,)"),"")</f>
        <v/>
      </c>
      <c s="42"/>
      <c s="63"/>
      <c s="64" t="str">
        <f t="shared" si="36"/>
        <v/>
      </c>
      <c s="65" t="str">
        <f>IFERROR(__xludf.DUMMYFUNCTION("""COMPUTED_VALUE"""),"")</f>
        <v/>
      </c>
      <c s="66">
        <f ca="1"/>
        <v>45285</v>
      </c>
      <c s="93" t="str">
        <f t="shared" si="49"/>
        <v/>
      </c>
      <c s="94" t="str">
        <f t="shared" si="396"/>
        <v/>
      </c>
      <c s="95" t="str">
        <f t="shared" si="424"/>
        <v/>
      </c>
      <c s="98" t="str">
        <f t="shared" si="403"/>
        <v/>
      </c>
      <c s="97" t="str">
        <f t="array" ref="FG122">IFERROR(IF(FA122="ac"+ISNUMBER(SEARCH("'",FF122))+FE122="","",IF(ISNUMBER(SEARCH("lw",FF122)),ES122+SUBSTITUTE(FF122,"lw+",""),MROUND(_xlfn.SWITCH(FA122,"sq",FE$7,"bn",FF$7,"dl",FG$7,"")*IF(FF122&gt;10,FF122/100,VLOOKUP(FF122,_rpe,SUBSTITUTE(FE122,"+","")+1,0)),IF(_xlfn.SWITCH(FA122,"sq",FE$7,"bn",FF$7,"dl",FG$7,"")&lt;IF(_uom="lbs",175,80),1.25,IF(_uom="lbs",5,2.5))))),"")</f>
        <v/>
      </c>
      <c s="70"/>
      <c s="63"/>
      <c s="97"/>
      <c s="44" t="str">
        <f>IFERROR(__xludf.DUMMYFUNCTION("IF(FG122=MAX(FILTER(FG$10:FG$199,LOOKUP(ROW(FA$10:FA$199),FILTER(ROW(FA$10:FA$199),FA$10:FA$199&lt;&gt;FA$9:FA$198))=LOOKUP(ROW(FA122),FILTER(ROW(FA$10:FA$199),FA$10:FA$199&lt;&gt;FA$9:FA$198)))),FH122,)"),"")</f>
        <v/>
      </c>
      <c s="42"/>
      <c s="63"/>
      <c s="64" t="str">
        <f t="shared" si="38"/>
        <v/>
      </c>
      <c s="65" t="str">
        <f>IFERROR(__xludf.DUMMYFUNCTION("""COMPUTED_VALUE"""),"")</f>
        <v/>
      </c>
      <c s="66">
        <f ca="1"/>
        <v>45292</v>
      </c>
      <c s="93" t="str">
        <f t="shared" si="466" ref="FQ122:FR122">IF(ISBLANK(FC122),"",FC122)</f>
        <v/>
      </c>
      <c s="94" t="str">
        <f t="shared" si="466"/>
        <v/>
      </c>
      <c s="95" t="str">
        <f t="shared" si="428"/>
        <v/>
      </c>
      <c s="98" t="str">
        <f t="shared" si="429"/>
        <v/>
      </c>
      <c s="97" t="str">
        <f t="array" ref="FU122">IFERROR(IF(FO122="ac"+ISNUMBER(SEARCH("'",FT122))+FS122="","",IF(ISNUMBER(SEARCH("lw",FT122)),FG122+SUBSTITUTE(FT122,"lw+",""),MROUND(_xlfn.SWITCH(FO122,"sq",FS$7,"bn",FT$7,"dl",FU$7,"")*IF(FT122&gt;10,FT122/100,VLOOKUP(FT122,_rpe,SUBSTITUTE(FS122,"+","")+1,0)),IF(_xlfn.SWITCH(FO122,"sq",FS$7,"bn",FT$7,"dl",FU$7,"")&lt;IF(_uom="lbs",175,80),1.25,IF(_uom="lbs",5,2.5))))),"")</f>
        <v/>
      </c>
      <c s="70"/>
      <c s="63"/>
      <c s="97"/>
      <c s="44" t="str">
        <f>IFERROR(__xludf.DUMMYFUNCTION("IF(FU122=MAX(FILTER(FU$10:FU$199,LOOKUP(ROW(FO$10:FO$199),FILTER(ROW(FO$10:FO$199),FO$10:FO$199&lt;&gt;FO$9:FO$198))=LOOKUP(ROW(FO122),FILTER(ROW(FO$10:FO$199),FO$10:FO$199&lt;&gt;FO$9:FO$198)))),FV122,)"),"")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23" spans="1:259" ht="15.75" hidden="1" outlineLevel="1">
      <c r="A123" s="63"/>
      <c s="107"/>
      <c s="65" t="str">
        <f>IFERROR(__xludf.DUMMYFUNCTION("""COMPUTED_VALUE"""),"")</f>
        <v/>
      </c>
      <c s="66">
        <f ca="1"/>
        <v>45208</v>
      </c>
      <c s="108"/>
      <c s="94"/>
      <c s="95"/>
      <c s="96"/>
      <c s="97" t="str">
        <f t="array" ref="I123">IFERROR(IF(C123="ac"+ISNUMBER(SEARCH("'",H123))+G123="","",MROUND(_xlfn.SWITCH(C123,"sq",'Personal Info'!$O$15,"bn",'Personal Info'!$S$15,"dl",'Personal Info'!$W$15,"")*IF(H123&gt;10,H123/100,VLOOKUP(H123,_rpe,SUBSTITUTE(G123,"+","")+1,0)),IF(_xlfn.SWITCH(C123:C210,"sq",'Personal Info'!$O$15,"bn",'Personal Info'!$S$15,"dl",'Personal Info'!$W$15,"")&lt;IF(_uom="lbs",175,80),1.25,IF(_uom="lbs",5,2.5)))),"")</f>
        <v/>
      </c>
      <c s="70"/>
      <c s="63"/>
      <c s="97"/>
      <c s="44" t="str">
        <f>IFERROR(__xludf.DUMMYFUNCTION("IF(I123=MAX(FILTER(I$10:I$199,LOOKUP(ROW(C$10:C$199),FILTER(ROW(C$10:C$199),C$10:C$199&lt;&gt;C$9:C$198))=LOOKUP(ROW(C123),FILTER(ROW(C$10:C$199),C$10:C$199&lt;&gt;C$9:C$198)))),J123,)"),"")</f>
        <v/>
      </c>
      <c s="42"/>
      <c s="63"/>
      <c s="64" t="str">
        <f t="shared" si="11"/>
        <v/>
      </c>
      <c s="65" t="str">
        <f>IFERROR(__xludf.DUMMYFUNCTION("""COMPUTED_VALUE"""),"")</f>
        <v/>
      </c>
      <c s="66">
        <f ca="1"/>
        <v>45215</v>
      </c>
      <c s="93" t="str">
        <f t="shared" si="12"/>
        <v/>
      </c>
      <c s="94" t="str">
        <f t="shared" si="404"/>
        <v/>
      </c>
      <c s="95" t="str">
        <f t="shared" si="406"/>
        <v/>
      </c>
      <c s="98" t="str">
        <f t="shared" si="407"/>
        <v/>
      </c>
      <c s="97" t="str">
        <f t="array" ref="W123">IFERROR(IF(Q123="ac"+ISNUMBER(SEARCH("'",V123))+U123="","",IF(ISNUMBER(SEARCH("lw",V123)),I123+SUBSTITUTE(V123,"lw+",""),MROUND(_xlfn.SWITCH(Q123,"sq",U$7,"bn",V$7,"dl",W$7,"")*IF(V123&gt;10,V123/100,VLOOKUP(V123,_rpe,SUBSTITUTE(U123,"+","")+1,0)),IF(_xlfn.SWITCH(Q123,"sq",U$7,"bn",V$7,"dl",W$7,"")&lt;IF(_uom="lbs",175,80),1.25,IF(_uom="lbs",5,2.5))))),"")</f>
        <v/>
      </c>
      <c s="70"/>
      <c s="63"/>
      <c s="97"/>
      <c s="44" t="str">
        <f>IFERROR(__xludf.DUMMYFUNCTION("IF(W123=MAX(FILTER(W$10:W$199,LOOKUP(ROW(Q$10:Q$199),FILTER(ROW(Q$10:Q$199),Q$10:Q$199&lt;&gt;Q$9:Q$198))=LOOKUP(ROW(Q123),FILTER(ROW(Q$10:Q$199),Q$10:Q$199&lt;&gt;Q$9:Q$198)))),X123,)"),"")</f>
        <v/>
      </c>
      <c s="42"/>
      <c s="63"/>
      <c s="64" t="str">
        <f t="shared" si="14"/>
        <v/>
      </c>
      <c s="65" t="str">
        <f>IFERROR(__xludf.DUMMYFUNCTION("""COMPUTED_VALUE"""),"")</f>
        <v/>
      </c>
      <c s="66">
        <f ca="1"/>
        <v>45222</v>
      </c>
      <c s="93" t="str">
        <f t="shared" si="156"/>
        <v/>
      </c>
      <c s="94" t="str">
        <f t="shared" si="397"/>
        <v/>
      </c>
      <c s="95" t="str">
        <f t="shared" si="408"/>
        <v/>
      </c>
      <c s="98" t="str">
        <f t="shared" si="398"/>
        <v/>
      </c>
      <c s="97" t="str">
        <f t="array" ref="AK123">IFERROR(IF(AE123="ac"+ISNUMBER(SEARCH("'",AJ123))+AI123="","",IF(ISNUMBER(SEARCH("lw",AJ123)),W123+SUBSTITUTE(AJ123,"lw+",""),MROUND(_xlfn.SWITCH(AE123,"sq",AI$7,"bn",AJ$7,"dl",AK$7,"")*IF(AJ123&gt;10,AJ123/100,VLOOKUP(AJ123,_rpe,SUBSTITUTE(AI123,"+","")+1,0)),IF(_xlfn.SWITCH(AE123,"sq",AI$7,"bn",AJ$7,"dl",AK$7,"")&lt;IF(_uom="lbs",175,80),1.25,IF(_uom="lbs",5,2.5))))),"")</f>
        <v/>
      </c>
      <c s="70"/>
      <c s="63"/>
      <c s="97"/>
      <c s="44" t="str">
        <f>IFERROR(__xludf.DUMMYFUNCTION("IF(AK123=MAX(FILTER(AK$10:AK$199,LOOKUP(ROW(AE$10:AE$199),FILTER(ROW(AE$10:AE$199),AE$10:AE$199&lt;&gt;AE$9:AE$198))=LOOKUP(ROW(AE123),FILTER(ROW(AE$10:AE$199),AE$10:AE$199&lt;&gt;AE$9:AE$198)))),AL123,)"),"")</f>
        <v/>
      </c>
      <c s="42"/>
      <c s="63"/>
      <c s="64" t="str">
        <f t="shared" si="17"/>
        <v/>
      </c>
      <c s="65" t="str">
        <f>IFERROR(__xludf.DUMMYFUNCTION("""COMPUTED_VALUE"""),"")</f>
        <v/>
      </c>
      <c s="66">
        <f ca="1"/>
        <v>45229</v>
      </c>
      <c s="93" t="str">
        <f t="shared" si="157"/>
        <v/>
      </c>
      <c s="94" t="str">
        <f t="shared" si="399"/>
        <v/>
      </c>
      <c s="95" t="str">
        <f t="shared" si="409"/>
        <v/>
      </c>
      <c s="98" t="str">
        <f t="shared" si="400"/>
        <v/>
      </c>
      <c s="97" t="str">
        <f t="array" ref="AY123">IFERROR(IF(AS123="ac"+ISNUMBER(SEARCH("'",AX123))+AW123="","",IF(ISNUMBER(SEARCH("lw",AX123)),AK123+SUBSTITUTE(AX123,"lw+",""),MROUND(_xlfn.SWITCH(AS123,"sq",AW$7,"bn",AX$7,"dl",AY$7,"")*IF(AX123&gt;10,AX123/100,VLOOKUP(AX123,_rpe,SUBSTITUTE(AW123,"+","")+1,0)),IF(_xlfn.SWITCH(AS123,"sq",AW$7,"bn",AX$7,"dl",AY$7,"")&lt;IF(_uom="lbs",175,80),1.25,IF(_uom="lbs",5,2.5))))),"")</f>
        <v/>
      </c>
      <c s="70"/>
      <c s="63"/>
      <c s="97"/>
      <c s="44" t="str">
        <f>IFERROR(__xludf.DUMMYFUNCTION("IF(AY123=MAX(FILTER(AY$10:AY$199,LOOKUP(ROW(AS$10:AS$199),FILTER(ROW(AS$10:AS$199),AS$10:AS$199&lt;&gt;AS$9:AS$198))=LOOKUP(ROW(AS123),FILTER(ROW(AS$10:AS$199),AS$10:AS$199&lt;&gt;AS$9:AS$198)))),AZ123,)"),"")</f>
        <v/>
      </c>
      <c s="42"/>
      <c s="63"/>
      <c s="64" t="str">
        <f t="shared" si="19"/>
        <v/>
      </c>
      <c s="65" t="str">
        <f>IFERROR(__xludf.DUMMYFUNCTION("""COMPUTED_VALUE"""),"")</f>
        <v/>
      </c>
      <c s="66">
        <f ca="1"/>
        <v>45236</v>
      </c>
      <c s="93" t="str">
        <f t="shared" si="20"/>
        <v/>
      </c>
      <c s="94" t="str">
        <f t="shared" si="425"/>
        <v/>
      </c>
      <c s="95" t="str">
        <f t="shared" si="411"/>
        <v/>
      </c>
      <c s="98" t="str">
        <f t="shared" si="412"/>
        <v/>
      </c>
      <c s="97" t="str">
        <f t="array" ref="BM123">IFERROR(IF(BG123="ac"+ISNUMBER(SEARCH("'",BL123))+BK123="","",IF(ISNUMBER(SEARCH("lw",BL123)),AY123+SUBSTITUTE(BL123,"lw+",""),MROUND(_xlfn.SWITCH(BG123,"sq",BK$7,"bn",BL$7,"dl",BM$7,"")*IF(BL123&gt;10,BL123/100,VLOOKUP(BL123,_rpe,SUBSTITUTE(BK123,"+","")+1,0)),IF(_xlfn.SWITCH(BG123,"sq",BK$7,"bn",BL$7,"dl",BM$7,"")&lt;IF(_uom="lbs",175,80),1.25,IF(_uom="lbs",5,2.5))))),"")</f>
        <v/>
      </c>
      <c s="70"/>
      <c s="63"/>
      <c s="97"/>
      <c s="44" t="str">
        <f>IFERROR(__xludf.DUMMYFUNCTION("IF(BM123=MAX(FILTER(BM$10:BM$199,LOOKUP(ROW(BG$10:BG$199),FILTER(ROW(BG$10:BG$199),BG$10:BG$199&lt;&gt;BG$9:BG$198))=LOOKUP(ROW(BG123),FILTER(ROW(BG$10:BG$199),BG$10:BG$199&lt;&gt;BG$9:BG$198)))),BN123,)"),"")</f>
        <v/>
      </c>
      <c s="42"/>
      <c s="63"/>
      <c s="64" t="str">
        <f t="shared" si="21"/>
        <v/>
      </c>
      <c s="65" t="str">
        <f>IFERROR(__xludf.DUMMYFUNCTION("""COMPUTED_VALUE"""),"")</f>
        <v/>
      </c>
      <c s="66">
        <f ca="1"/>
        <v>45243</v>
      </c>
      <c s="93" t="str">
        <f t="shared" si="22"/>
        <v/>
      </c>
      <c s="94" t="str">
        <f t="shared" si="426"/>
        <v/>
      </c>
      <c s="95" t="str">
        <f t="shared" si="414"/>
        <v/>
      </c>
      <c s="98" t="str">
        <f t="shared" si="415"/>
        <v/>
      </c>
      <c s="97" t="str">
        <f t="array" ref="CA123">IFERROR(IF(BU123="ac"+ISNUMBER(SEARCH("'",BZ123))+BY123="","",IF(ISNUMBER(SEARCH("lw",BZ123)),BM123+SUBSTITUTE(BZ123,"lw+",""),MROUND(_xlfn.SWITCH(BU123,"sq",BY$7,"bn",BZ$7,"dl",CA$7,"")*IF(BZ123&gt;10,BZ123/100,VLOOKUP(BZ123,_rpe,SUBSTITUTE(BY123,"+","")+1,0)),IF(_xlfn.SWITCH(BU123,"sq",BY$7,"bn",BZ$7,"dl",CA$7,"")&lt;IF(_uom="lbs",175,80),1.25,IF(_uom="lbs",5,2.5))))),"")</f>
        <v/>
      </c>
      <c s="70"/>
      <c s="63"/>
      <c s="97"/>
      <c s="44" t="str">
        <f>IFERROR(__xludf.DUMMYFUNCTION("IF(CA123=MAX(FILTER(CA$10:CA$199,LOOKUP(ROW(BU$10:BU$199),FILTER(ROW(BU$10:BU$199),BU$10:BU$199&lt;&gt;BU$9:BU$198))=LOOKUP(ROW(BU123),FILTER(ROW(BU$10:BU$199),BU$10:BU$199&lt;&gt;BU$9:BU$198)))),CB123,)"),"")</f>
        <v/>
      </c>
      <c s="42"/>
      <c s="63"/>
      <c s="64" t="str">
        <f t="shared" si="24"/>
        <v/>
      </c>
      <c s="65" t="str">
        <f>IFERROR(__xludf.DUMMYFUNCTION("""COMPUTED_VALUE"""),"")</f>
        <v/>
      </c>
      <c s="66">
        <f ca="1"/>
        <v>45250</v>
      </c>
      <c s="93" t="str">
        <f t="shared" si="44"/>
        <v/>
      </c>
      <c s="94" t="str">
        <f t="shared" si="392"/>
        <v/>
      </c>
      <c s="95" t="str">
        <f t="shared" si="416"/>
        <v/>
      </c>
      <c s="98" t="str">
        <f t="shared" si="417"/>
        <v/>
      </c>
      <c s="97" t="str">
        <f t="array" ref="CO123">IFERROR(IF(CI123="ac"+ISNUMBER(SEARCH("'",CN123))+CM123="","",IF(ISNUMBER(SEARCH("lw",CN123)),CA123+SUBSTITUTE(CN123,"lw+",""),MROUND(_xlfn.SWITCH(CI123,"sq",CM$7,"bn",CN$7,"dl",CO$7,"")*IF(CN123&gt;10,CN123/100,VLOOKUP(CN123,_rpe,SUBSTITUTE(CM123,"+","")+1,0)),IF(_xlfn.SWITCH(CI123,"sq",CM$7,"bn",CN$7,"dl",CO$7,"")&lt;IF(_uom="lbs",175,80),1.25,IF(_uom="lbs",5,2.5))))),"")</f>
        <v/>
      </c>
      <c s="70"/>
      <c s="63"/>
      <c s="97"/>
      <c s="44" t="str">
        <f>IFERROR(__xludf.DUMMYFUNCTION("IF(CO123=MAX(FILTER(CO$10:CO$199,LOOKUP(ROW(CI$10:CI$199),FILTER(ROW(CI$10:CI$199),CI$10:CI$199&lt;&gt;CI$9:CI$198))=LOOKUP(ROW(CI123),FILTER(ROW(CI$10:CI$199),CI$10:CI$199&lt;&gt;CI$9:CI$198)))),CP123,)"),"")</f>
        <v/>
      </c>
      <c s="42"/>
      <c s="63"/>
      <c s="64" t="str">
        <f t="shared" si="27"/>
        <v/>
      </c>
      <c s="65" t="str">
        <f>IFERROR(__xludf.DUMMYFUNCTION("""COMPUTED_VALUE"""),"")</f>
        <v/>
      </c>
      <c s="66">
        <f ca="1"/>
        <v>45257</v>
      </c>
      <c s="93" t="str">
        <f t="shared" si="45"/>
        <v/>
      </c>
      <c s="94" t="str">
        <f t="shared" si="393"/>
        <v/>
      </c>
      <c s="95" t="str">
        <f t="shared" si="418"/>
        <v/>
      </c>
      <c s="98" t="str">
        <f t="shared" si="401"/>
        <v/>
      </c>
      <c s="97" t="str">
        <f t="array" ref="DC123">IFERROR(IF(CW123="ac"+ISNUMBER(SEARCH("'",DB123))+DA123="","",IF(ISNUMBER(SEARCH("lw",DB123)),CO123+SUBSTITUTE(DB123,"lw+",""),MROUND(_xlfn.SWITCH(CW123,"sq",DA$7,"bn",DB$7,"dl",DC$7,"")*IF(DB123&gt;10,DB123/100,VLOOKUP(DB123,_rpe,SUBSTITUTE(DA123,"+","")+1,0)),IF(_xlfn.SWITCH(CW123,"sq",DA$7,"bn",DB$7,"dl",DC$7,"")&lt;IF(_uom="lbs",175,80),1.25,IF(_uom="lbs",5,2.5))))),"")</f>
        <v/>
      </c>
      <c s="70"/>
      <c s="63"/>
      <c s="97"/>
      <c s="44" t="str">
        <f>IFERROR(__xludf.DUMMYFUNCTION("IF(DC123=MAX(FILTER(DC$10:DC$199,LOOKUP(ROW(CW$10:CW$199),FILTER(ROW(CW$10:CW$199),CW$10:CW$199&lt;&gt;CW$9:CW$198))=LOOKUP(ROW(CW123),FILTER(ROW(CW$10:CW$199),CW$10:CW$199&lt;&gt;CW$9:CW$198)))),DD123,)"),"")</f>
        <v/>
      </c>
      <c s="42"/>
      <c s="63"/>
      <c s="64" t="str">
        <f t="shared" si="30"/>
        <v/>
      </c>
      <c s="65" t="str">
        <f>IFERROR(__xludf.DUMMYFUNCTION("""COMPUTED_VALUE"""),"")</f>
        <v/>
      </c>
      <c s="66">
        <f ca="1"/>
        <v>45264</v>
      </c>
      <c s="93" t="str">
        <f t="shared" si="46"/>
        <v/>
      </c>
      <c s="94" t="str">
        <f t="shared" si="394"/>
        <v/>
      </c>
      <c s="95" t="str">
        <f t="shared" si="419"/>
        <v/>
      </c>
      <c s="98" t="str">
        <f t="shared" si="420"/>
        <v/>
      </c>
      <c s="97" t="str">
        <f t="array" ref="DQ123">IFERROR(IF(DK123="ac"+ISNUMBER(SEARCH("'",DP123))+DO123="","",IF(ISNUMBER(SEARCH("lw",DP123)),DC123+SUBSTITUTE(DP123,"lw+",""),MROUND(_xlfn.SWITCH(DK123,"sq",DO$7,"bn",DP$7,"dl",DQ$7,"")*IF(DP123&gt;10,DP123/100,VLOOKUP(DP123,_rpe,SUBSTITUTE(DO123,"+","")+1,0)),IF(_xlfn.SWITCH(DK123,"sq",DO$7,"bn",DP$7,"dl",DQ$7,"")&lt;IF(_uom="lbs",175,80),1.25,IF(_uom="lbs",5,2.5))))),"")</f>
        <v/>
      </c>
      <c s="70"/>
      <c s="63"/>
      <c s="97"/>
      <c s="44" t="str">
        <f>IFERROR(__xludf.DUMMYFUNCTION("IF(DQ123=MAX(FILTER(DQ$10:DQ$199,LOOKUP(ROW(DK$10:DK$199),FILTER(ROW(DK$10:DK$199),DK$10:DK$199&lt;&gt;DK$9:DK$198))=LOOKUP(ROW(DK123),FILTER(ROW(DK$10:DK$199),DK$10:DK$199&lt;&gt;DK$9:DK$198)))),DR123,)"),"")</f>
        <v/>
      </c>
      <c s="42"/>
      <c s="63"/>
      <c s="64" t="str">
        <f t="shared" si="32"/>
        <v/>
      </c>
      <c s="65" t="str">
        <f>IFERROR(__xludf.DUMMYFUNCTION("""COMPUTED_VALUE"""),"")</f>
        <v/>
      </c>
      <c s="66">
        <f ca="1"/>
        <v>45271</v>
      </c>
      <c s="93" t="str">
        <f t="shared" si="47"/>
        <v/>
      </c>
      <c s="94" t="str">
        <f t="shared" si="405"/>
        <v/>
      </c>
      <c s="95" t="str">
        <f t="shared" si="421"/>
        <v/>
      </c>
      <c s="98" t="str">
        <f t="shared" si="422"/>
        <v/>
      </c>
      <c s="97" t="str">
        <f t="array" ref="EE123">IFERROR(IF(DY123="ac"+ISNUMBER(SEARCH("'",ED123))+EC123="","",IF(ISNUMBER(SEARCH("lw",ED123)),DQ123+SUBSTITUTE(ED123,"lw+",""),MROUND(_xlfn.SWITCH(DY123,"sq",EC$7,"bn",ED$7,"dl",EE$7,"")*IF(ED123&gt;10,ED123/100,VLOOKUP(ED123,_rpe,SUBSTITUTE(EC123,"+","")+1,0)),IF(_xlfn.SWITCH(DY123,"sq",EC$7,"bn",ED$7,"dl",EE$7,"")&lt;IF(_uom="lbs",175,80),1.25,IF(_uom="lbs",5,2.5))))),"")</f>
        <v/>
      </c>
      <c s="70"/>
      <c s="63"/>
      <c s="97"/>
      <c s="44" t="str">
        <f>IFERROR(__xludf.DUMMYFUNCTION("IF(EE123=MAX(FILTER(EE$10:EE$199,LOOKUP(ROW(DY$10:DY$199),FILTER(ROW(DY$10:DY$199),DY$10:DY$199&lt;&gt;DY$9:DY$198))=LOOKUP(ROW(DY123),FILTER(ROW(DY$10:DY$199),DY$10:DY$199&lt;&gt;DY$9:DY$198)))),EF123,)"),"")</f>
        <v/>
      </c>
      <c s="42"/>
      <c s="63"/>
      <c s="64" t="str">
        <f t="shared" si="34"/>
        <v/>
      </c>
      <c s="65" t="str">
        <f>IFERROR(__xludf.DUMMYFUNCTION("""COMPUTED_VALUE"""),"")</f>
        <v/>
      </c>
      <c s="66">
        <f ca="1"/>
        <v>45278</v>
      </c>
      <c s="93" t="str">
        <f t="shared" si="48"/>
        <v/>
      </c>
      <c s="94" t="str">
        <f t="shared" si="395"/>
        <v/>
      </c>
      <c s="95" t="str">
        <f t="shared" si="423"/>
        <v/>
      </c>
      <c s="98" t="str">
        <f t="shared" si="402"/>
        <v/>
      </c>
      <c s="97" t="str">
        <f t="array" ref="ES123">IFERROR(IF(EM123="ac"+ISNUMBER(SEARCH("'",ER123))+EQ123="","",IF(ISNUMBER(SEARCH("lw",ER123)),EE123+SUBSTITUTE(ER123,"lw+",""),MROUND(_xlfn.SWITCH(EM123,"sq",EQ$7,"bn",ER$7,"dl",ES$7,"")*IF(ER123&gt;10,ER123/100,VLOOKUP(ER123,_rpe,SUBSTITUTE(EQ123,"+","")+1,0)),IF(_xlfn.SWITCH(EM123,"sq",EQ$7,"bn",ER$7,"dl",ES$7,"")&lt;IF(_uom="lbs",175,80),1.25,IF(_uom="lbs",5,2.5))))),"")</f>
        <v/>
      </c>
      <c s="70"/>
      <c s="63"/>
      <c s="97"/>
      <c s="44" t="str">
        <f>IFERROR(__xludf.DUMMYFUNCTION("IF(ES123=MAX(FILTER(ES$10:ES$199,LOOKUP(ROW(EM$10:EM$199),FILTER(ROW(EM$10:EM$199),EM$10:EM$199&lt;&gt;EM$9:EM$198))=LOOKUP(ROW(EM123),FILTER(ROW(EM$10:EM$199),EM$10:EM$199&lt;&gt;EM$9:EM$198)))),ET123,)"),"")</f>
        <v/>
      </c>
      <c s="42"/>
      <c s="63"/>
      <c s="64" t="str">
        <f t="shared" si="36"/>
        <v/>
      </c>
      <c s="65" t="str">
        <f>IFERROR(__xludf.DUMMYFUNCTION("""COMPUTED_VALUE"""),"")</f>
        <v/>
      </c>
      <c s="66">
        <f ca="1"/>
        <v>45285</v>
      </c>
      <c s="93" t="str">
        <f t="shared" si="49"/>
        <v/>
      </c>
      <c s="94" t="str">
        <f t="shared" si="396"/>
        <v/>
      </c>
      <c s="95" t="str">
        <f t="shared" si="424"/>
        <v/>
      </c>
      <c s="98" t="str">
        <f t="shared" si="403"/>
        <v/>
      </c>
      <c s="97" t="str">
        <f t="array" ref="FG123">IFERROR(IF(FA123="ac"+ISNUMBER(SEARCH("'",FF123))+FE123="","",IF(ISNUMBER(SEARCH("lw",FF123)),ES123+SUBSTITUTE(FF123,"lw+",""),MROUND(_xlfn.SWITCH(FA123,"sq",FE$7,"bn",FF$7,"dl",FG$7,"")*IF(FF123&gt;10,FF123/100,VLOOKUP(FF123,_rpe,SUBSTITUTE(FE123,"+","")+1,0)),IF(_xlfn.SWITCH(FA123,"sq",FE$7,"bn",FF$7,"dl",FG$7,"")&lt;IF(_uom="lbs",175,80),1.25,IF(_uom="lbs",5,2.5))))),"")</f>
        <v/>
      </c>
      <c s="70"/>
      <c s="63"/>
      <c s="97"/>
      <c s="44" t="str">
        <f>IFERROR(__xludf.DUMMYFUNCTION("IF(FG123=MAX(FILTER(FG$10:FG$199,LOOKUP(ROW(FA$10:FA$199),FILTER(ROW(FA$10:FA$199),FA$10:FA$199&lt;&gt;FA$9:FA$198))=LOOKUP(ROW(FA123),FILTER(ROW(FA$10:FA$199),FA$10:FA$199&lt;&gt;FA$9:FA$198)))),FH123,)"),"")</f>
        <v/>
      </c>
      <c s="42"/>
      <c s="63"/>
      <c s="64" t="str">
        <f t="shared" si="38"/>
        <v/>
      </c>
      <c s="65" t="str">
        <f>IFERROR(__xludf.DUMMYFUNCTION("""COMPUTED_VALUE"""),"")</f>
        <v/>
      </c>
      <c s="66">
        <f ca="1"/>
        <v>45292</v>
      </c>
      <c s="93" t="str">
        <f t="shared" si="467" ref="FQ123:FR123">IF(ISBLANK(FC123),"",FC123)</f>
        <v/>
      </c>
      <c s="94" t="str">
        <f t="shared" si="467"/>
        <v/>
      </c>
      <c s="95" t="str">
        <f t="shared" si="428"/>
        <v/>
      </c>
      <c s="98" t="str">
        <f t="shared" si="429"/>
        <v/>
      </c>
      <c s="97" t="str">
        <f t="array" ref="FU123">IFERROR(IF(FO123="ac"+ISNUMBER(SEARCH("'",FT123))+FS123="","",IF(ISNUMBER(SEARCH("lw",FT123)),FG123+SUBSTITUTE(FT123,"lw+",""),MROUND(_xlfn.SWITCH(FO123,"sq",FS$7,"bn",FT$7,"dl",FU$7,"")*IF(FT123&gt;10,FT123/100,VLOOKUP(FT123,_rpe,SUBSTITUTE(FS123,"+","")+1,0)),IF(_xlfn.SWITCH(FO123,"sq",FS$7,"bn",FT$7,"dl",FU$7,"")&lt;IF(_uom="lbs",175,80),1.25,IF(_uom="lbs",5,2.5))))),"")</f>
        <v/>
      </c>
      <c s="70"/>
      <c s="63"/>
      <c s="97"/>
      <c s="44" t="str">
        <f>IFERROR(__xludf.DUMMYFUNCTION("IF(FU123=MAX(FILTER(FU$10:FU$199,LOOKUP(ROW(FO$10:FO$199),FILTER(ROW(FO$10:FO$199),FO$10:FO$199&lt;&gt;FO$9:FO$198))=LOOKUP(ROW(FO123),FILTER(ROW(FO$10:FO$199),FO$10:FO$199&lt;&gt;FO$9:FO$198)))),FV123,)"),"")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24" spans="1:259" ht="15.75" collapsed="1">
      <c r="A124" s="63"/>
      <c s="107"/>
      <c s="65" t="str">
        <f>IFERROR(__xludf.DUMMYFUNCTION("""COMPUTED_VALUE"""),"")</f>
        <v/>
      </c>
      <c s="66">
        <f ca="1"/>
        <v>45208</v>
      </c>
      <c s="108"/>
      <c s="94"/>
      <c s="95"/>
      <c s="96"/>
      <c s="97" t="str">
        <f t="array" ref="I124">IFERROR(IF(C124="ac"+ISNUMBER(SEARCH("'",H124))+G124="","",MROUND(_xlfn.SWITCH(C124,"sq",'Personal Info'!$O$15,"bn",'Personal Info'!$S$15,"dl",'Personal Info'!$W$15,"")*IF(H124&gt;10,H124/100,VLOOKUP(H124,_rpe,SUBSTITUTE(G124,"+","")+1,0)),IF(_xlfn.SWITCH(C124:C210,"sq",'Personal Info'!$O$15,"bn",'Personal Info'!$S$15,"dl",'Personal Info'!$W$15,"")&lt;IF(_uom="lbs",175,80),1.25,IF(_uom="lbs",5,2.5)))),"")</f>
        <v/>
      </c>
      <c s="70"/>
      <c s="63"/>
      <c s="97"/>
      <c s="44" t="str">
        <f>IFERROR(__xludf.DUMMYFUNCTION("IF(I124=MAX(FILTER(I$10:I$199,LOOKUP(ROW(C$10:C$199),FILTER(ROW(C$10:C$199),C$10:C$199&lt;&gt;C$9:C$198))=LOOKUP(ROW(C124),FILTER(ROW(C$10:C$199),C$10:C$199&lt;&gt;C$9:C$198)))),J124,)"),"")</f>
        <v/>
      </c>
      <c s="42"/>
      <c s="63"/>
      <c s="64" t="str">
        <f t="shared" si="11"/>
        <v/>
      </c>
      <c s="65" t="str">
        <f>IFERROR(__xludf.DUMMYFUNCTION("""COMPUTED_VALUE"""),"")</f>
        <v/>
      </c>
      <c s="66">
        <f ca="1"/>
        <v>45215</v>
      </c>
      <c s="93" t="str">
        <f t="shared" si="12"/>
        <v/>
      </c>
      <c s="94" t="str">
        <f t="shared" si="404"/>
        <v/>
      </c>
      <c s="95" t="str">
        <f t="shared" si="406"/>
        <v/>
      </c>
      <c s="98" t="str">
        <f t="shared" si="407"/>
        <v/>
      </c>
      <c s="97" t="str">
        <f t="array" ref="W124">IFERROR(IF(Q124="ac"+ISNUMBER(SEARCH("'",V124))+U124="","",IF(ISNUMBER(SEARCH("lw",V124)),I124+SUBSTITUTE(V124,"lw+",""),MROUND(_xlfn.SWITCH(Q124,"sq",U$7,"bn",V$7,"dl",W$7,"")*IF(V124&gt;10,V124/100,VLOOKUP(V124,_rpe,SUBSTITUTE(U124,"+","")+1,0)),IF(_xlfn.SWITCH(Q124,"sq",U$7,"bn",V$7,"dl",W$7,"")&lt;IF(_uom="lbs",175,80),1.25,IF(_uom="lbs",5,2.5))))),"")</f>
        <v/>
      </c>
      <c s="70"/>
      <c s="63"/>
      <c s="97"/>
      <c s="44" t="str">
        <f>IFERROR(__xludf.DUMMYFUNCTION("IF(W124=MAX(FILTER(W$10:W$199,LOOKUP(ROW(Q$10:Q$199),FILTER(ROW(Q$10:Q$199),Q$10:Q$199&lt;&gt;Q$9:Q$198))=LOOKUP(ROW(Q124),FILTER(ROW(Q$10:Q$199),Q$10:Q$199&lt;&gt;Q$9:Q$198)))),X124,)"),"")</f>
        <v/>
      </c>
      <c s="42"/>
      <c s="63"/>
      <c s="64" t="str">
        <f t="shared" si="14"/>
        <v/>
      </c>
      <c s="65" t="str">
        <f>IFERROR(__xludf.DUMMYFUNCTION("""COMPUTED_VALUE"""),"")</f>
        <v/>
      </c>
      <c s="66">
        <f ca="1"/>
        <v>45222</v>
      </c>
      <c s="93" t="str">
        <f t="shared" si="156"/>
        <v/>
      </c>
      <c s="94" t="str">
        <f t="shared" si="397"/>
        <v/>
      </c>
      <c s="95" t="str">
        <f t="shared" si="408"/>
        <v/>
      </c>
      <c s="98" t="str">
        <f t="shared" si="398"/>
        <v/>
      </c>
      <c s="97" t="str">
        <f t="array" ref="AK124">IFERROR(IF(AE124="ac"+ISNUMBER(SEARCH("'",AJ124))+AI124="","",IF(ISNUMBER(SEARCH("lw",AJ124)),W124+SUBSTITUTE(AJ124,"lw+",""),MROUND(_xlfn.SWITCH(AE124,"sq",AI$7,"bn",AJ$7,"dl",AK$7,"")*IF(AJ124&gt;10,AJ124/100,VLOOKUP(AJ124,_rpe,SUBSTITUTE(AI124,"+","")+1,0)),IF(_xlfn.SWITCH(AE124,"sq",AI$7,"bn",AJ$7,"dl",AK$7,"")&lt;IF(_uom="lbs",175,80),1.25,IF(_uom="lbs",5,2.5))))),"")</f>
        <v/>
      </c>
      <c s="70"/>
      <c s="63"/>
      <c s="97"/>
      <c s="44" t="str">
        <f>IFERROR(__xludf.DUMMYFUNCTION("IF(AK124=MAX(FILTER(AK$10:AK$199,LOOKUP(ROW(AE$10:AE$199),FILTER(ROW(AE$10:AE$199),AE$10:AE$199&lt;&gt;AE$9:AE$198))=LOOKUP(ROW(AE124),FILTER(ROW(AE$10:AE$199),AE$10:AE$199&lt;&gt;AE$9:AE$198)))),AL124,)"),"")</f>
        <v/>
      </c>
      <c s="42"/>
      <c s="63"/>
      <c s="64" t="str">
        <f t="shared" si="17"/>
        <v/>
      </c>
      <c s="65" t="str">
        <f>IFERROR(__xludf.DUMMYFUNCTION("""COMPUTED_VALUE"""),"")</f>
        <v/>
      </c>
      <c s="66">
        <f ca="1"/>
        <v>45229</v>
      </c>
      <c s="93" t="str">
        <f t="shared" si="157"/>
        <v/>
      </c>
      <c s="94" t="str">
        <f t="shared" si="399"/>
        <v/>
      </c>
      <c s="95" t="str">
        <f t="shared" si="409"/>
        <v/>
      </c>
      <c s="98" t="str">
        <f t="shared" si="400"/>
        <v/>
      </c>
      <c s="97" t="str">
        <f t="array" ref="AY124">IFERROR(IF(AS124="ac"+ISNUMBER(SEARCH("'",AX124))+AW124="","",IF(ISNUMBER(SEARCH("lw",AX124)),AK124+SUBSTITUTE(AX124,"lw+",""),MROUND(_xlfn.SWITCH(AS124,"sq",AW$7,"bn",AX$7,"dl",AY$7,"")*IF(AX124&gt;10,AX124/100,VLOOKUP(AX124,_rpe,SUBSTITUTE(AW124,"+","")+1,0)),IF(_xlfn.SWITCH(AS124,"sq",AW$7,"bn",AX$7,"dl",AY$7,"")&lt;IF(_uom="lbs",175,80),1.25,IF(_uom="lbs",5,2.5))))),"")</f>
        <v/>
      </c>
      <c s="70"/>
      <c s="63"/>
      <c s="97"/>
      <c s="44" t="str">
        <f>IFERROR(__xludf.DUMMYFUNCTION("IF(AY124=MAX(FILTER(AY$10:AY$199,LOOKUP(ROW(AS$10:AS$199),FILTER(ROW(AS$10:AS$199),AS$10:AS$199&lt;&gt;AS$9:AS$198))=LOOKUP(ROW(AS124),FILTER(ROW(AS$10:AS$199),AS$10:AS$199&lt;&gt;AS$9:AS$198)))),AZ124,)"),"")</f>
        <v/>
      </c>
      <c s="42"/>
      <c s="63"/>
      <c s="64" t="str">
        <f t="shared" si="19"/>
        <v/>
      </c>
      <c s="65" t="str">
        <f>IFERROR(__xludf.DUMMYFUNCTION("""COMPUTED_VALUE"""),"")</f>
        <v/>
      </c>
      <c s="66">
        <f ca="1"/>
        <v>45236</v>
      </c>
      <c s="93" t="str">
        <f t="shared" si="20"/>
        <v/>
      </c>
      <c s="94" t="str">
        <f t="shared" si="425"/>
        <v/>
      </c>
      <c s="95" t="str">
        <f t="shared" si="411"/>
        <v/>
      </c>
      <c s="98" t="str">
        <f t="shared" si="412"/>
        <v/>
      </c>
      <c s="97" t="str">
        <f t="array" ref="BM124">IFERROR(IF(BG124="ac"+ISNUMBER(SEARCH("'",BL124))+BK124="","",IF(ISNUMBER(SEARCH("lw",BL124)),AY124+SUBSTITUTE(BL124,"lw+",""),MROUND(_xlfn.SWITCH(BG124,"sq",BK$7,"bn",BL$7,"dl",BM$7,"")*IF(BL124&gt;10,BL124/100,VLOOKUP(BL124,_rpe,SUBSTITUTE(BK124,"+","")+1,0)),IF(_xlfn.SWITCH(BG124,"sq",BK$7,"bn",BL$7,"dl",BM$7,"")&lt;IF(_uom="lbs",175,80),1.25,IF(_uom="lbs",5,2.5))))),"")</f>
        <v/>
      </c>
      <c s="70"/>
      <c s="63"/>
      <c s="97"/>
      <c s="44" t="str">
        <f>IFERROR(__xludf.DUMMYFUNCTION("IF(BM124=MAX(FILTER(BM$10:BM$199,LOOKUP(ROW(BG$10:BG$199),FILTER(ROW(BG$10:BG$199),BG$10:BG$199&lt;&gt;BG$9:BG$198))=LOOKUP(ROW(BG124),FILTER(ROW(BG$10:BG$199),BG$10:BG$199&lt;&gt;BG$9:BG$198)))),BN124,)"),"")</f>
        <v/>
      </c>
      <c s="42"/>
      <c s="63"/>
      <c s="64" t="str">
        <f t="shared" si="21"/>
        <v/>
      </c>
      <c s="65" t="str">
        <f>IFERROR(__xludf.DUMMYFUNCTION("""COMPUTED_VALUE"""),"")</f>
        <v/>
      </c>
      <c s="66">
        <f ca="1"/>
        <v>45243</v>
      </c>
      <c s="93" t="str">
        <f t="shared" si="22"/>
        <v/>
      </c>
      <c s="94" t="str">
        <f t="shared" si="426"/>
        <v/>
      </c>
      <c s="95" t="str">
        <f t="shared" si="414"/>
        <v/>
      </c>
      <c s="98" t="str">
        <f t="shared" si="415"/>
        <v/>
      </c>
      <c s="97" t="str">
        <f t="array" ref="CA124">IFERROR(IF(BU124="ac"+ISNUMBER(SEARCH("'",BZ124))+BY124="","",IF(ISNUMBER(SEARCH("lw",BZ124)),BM124+SUBSTITUTE(BZ124,"lw+",""),MROUND(_xlfn.SWITCH(BU124,"sq",BY$7,"bn",BZ$7,"dl",CA$7,"")*IF(BZ124&gt;10,BZ124/100,VLOOKUP(BZ124,_rpe,SUBSTITUTE(BY124,"+","")+1,0)),IF(_xlfn.SWITCH(BU124,"sq",BY$7,"bn",BZ$7,"dl",CA$7,"")&lt;IF(_uom="lbs",175,80),1.25,IF(_uom="lbs",5,2.5))))),"")</f>
        <v/>
      </c>
      <c s="70"/>
      <c s="63"/>
      <c s="97"/>
      <c s="44" t="str">
        <f>IFERROR(__xludf.DUMMYFUNCTION("IF(CA124=MAX(FILTER(CA$10:CA$199,LOOKUP(ROW(BU$10:BU$199),FILTER(ROW(BU$10:BU$199),BU$10:BU$199&lt;&gt;BU$9:BU$198))=LOOKUP(ROW(BU124),FILTER(ROW(BU$10:BU$199),BU$10:BU$199&lt;&gt;BU$9:BU$198)))),CB124,)"),"")</f>
        <v/>
      </c>
      <c s="42"/>
      <c s="63"/>
      <c s="64" t="str">
        <f t="shared" si="24"/>
        <v/>
      </c>
      <c s="65" t="str">
        <f>IFERROR(__xludf.DUMMYFUNCTION("""COMPUTED_VALUE"""),"")</f>
        <v/>
      </c>
      <c s="66">
        <f ca="1"/>
        <v>45250</v>
      </c>
      <c s="93" t="str">
        <f t="shared" si="44"/>
        <v/>
      </c>
      <c s="94" t="str">
        <f t="shared" si="392"/>
        <v/>
      </c>
      <c s="95" t="str">
        <f t="shared" si="416"/>
        <v/>
      </c>
      <c s="98" t="str">
        <f t="shared" si="417"/>
        <v/>
      </c>
      <c s="97" t="str">
        <f t="array" ref="CO124">IFERROR(IF(CI124="ac"+ISNUMBER(SEARCH("'",CN124))+CM124="","",IF(ISNUMBER(SEARCH("lw",CN124)),CA124+SUBSTITUTE(CN124,"lw+",""),MROUND(_xlfn.SWITCH(CI124,"sq",CM$7,"bn",CN$7,"dl",CO$7,"")*IF(CN124&gt;10,CN124/100,VLOOKUP(CN124,_rpe,SUBSTITUTE(CM124,"+","")+1,0)),IF(_xlfn.SWITCH(CI124,"sq",CM$7,"bn",CN$7,"dl",CO$7,"")&lt;IF(_uom="lbs",175,80),1.25,IF(_uom="lbs",5,2.5))))),"")</f>
        <v/>
      </c>
      <c s="70"/>
      <c s="63"/>
      <c s="97"/>
      <c s="44" t="str">
        <f>IFERROR(__xludf.DUMMYFUNCTION("IF(CO124=MAX(FILTER(CO$10:CO$199,LOOKUP(ROW(CI$10:CI$199),FILTER(ROW(CI$10:CI$199),CI$10:CI$199&lt;&gt;CI$9:CI$198))=LOOKUP(ROW(CI124),FILTER(ROW(CI$10:CI$199),CI$10:CI$199&lt;&gt;CI$9:CI$198)))),CP124,)"),"")</f>
        <v/>
      </c>
      <c s="42"/>
      <c s="63"/>
      <c s="64" t="str">
        <f t="shared" si="27"/>
        <v/>
      </c>
      <c s="65" t="str">
        <f>IFERROR(__xludf.DUMMYFUNCTION("""COMPUTED_VALUE"""),"")</f>
        <v/>
      </c>
      <c s="66">
        <f ca="1"/>
        <v>45257</v>
      </c>
      <c s="93" t="str">
        <f t="shared" si="45"/>
        <v/>
      </c>
      <c s="94" t="str">
        <f t="shared" si="393"/>
        <v/>
      </c>
      <c s="95" t="str">
        <f t="shared" si="418"/>
        <v/>
      </c>
      <c s="98" t="str">
        <f t="shared" si="401"/>
        <v/>
      </c>
      <c s="97" t="str">
        <f t="array" ref="DC124">IFERROR(IF(CW124="ac"+ISNUMBER(SEARCH("'",DB124))+DA124="","",IF(ISNUMBER(SEARCH("lw",DB124)),CO124+SUBSTITUTE(DB124,"lw+",""),MROUND(_xlfn.SWITCH(CW124,"sq",DA$7,"bn",DB$7,"dl",DC$7,"")*IF(DB124&gt;10,DB124/100,VLOOKUP(DB124,_rpe,SUBSTITUTE(DA124,"+","")+1,0)),IF(_xlfn.SWITCH(CW124,"sq",DA$7,"bn",DB$7,"dl",DC$7,"")&lt;IF(_uom="lbs",175,80),1.25,IF(_uom="lbs",5,2.5))))),"")</f>
        <v/>
      </c>
      <c s="70"/>
      <c s="63"/>
      <c s="97"/>
      <c s="44" t="str">
        <f>IFERROR(__xludf.DUMMYFUNCTION("IF(DC124=MAX(FILTER(DC$10:DC$199,LOOKUP(ROW(CW$10:CW$199),FILTER(ROW(CW$10:CW$199),CW$10:CW$199&lt;&gt;CW$9:CW$198))=LOOKUP(ROW(CW124),FILTER(ROW(CW$10:CW$199),CW$10:CW$199&lt;&gt;CW$9:CW$198)))),DD124,)"),"")</f>
        <v/>
      </c>
      <c s="42"/>
      <c s="63"/>
      <c s="64" t="str">
        <f t="shared" si="30"/>
        <v/>
      </c>
      <c s="65" t="str">
        <f>IFERROR(__xludf.DUMMYFUNCTION("""COMPUTED_VALUE"""),"")</f>
        <v/>
      </c>
      <c s="66">
        <f ca="1"/>
        <v>45264</v>
      </c>
      <c s="93" t="str">
        <f t="shared" si="46"/>
        <v/>
      </c>
      <c s="94" t="str">
        <f t="shared" si="394"/>
        <v/>
      </c>
      <c s="95" t="str">
        <f t="shared" si="419"/>
        <v/>
      </c>
      <c s="98" t="str">
        <f t="shared" si="420"/>
        <v/>
      </c>
      <c s="97" t="str">
        <f t="array" ref="DQ124">IFERROR(IF(DK124="ac"+ISNUMBER(SEARCH("'",DP124))+DO124="","",IF(ISNUMBER(SEARCH("lw",DP124)),DC124+SUBSTITUTE(DP124,"lw+",""),MROUND(_xlfn.SWITCH(DK124,"sq",DO$7,"bn",DP$7,"dl",DQ$7,"")*IF(DP124&gt;10,DP124/100,VLOOKUP(DP124,_rpe,SUBSTITUTE(DO124,"+","")+1,0)),IF(_xlfn.SWITCH(DK124,"sq",DO$7,"bn",DP$7,"dl",DQ$7,"")&lt;IF(_uom="lbs",175,80),1.25,IF(_uom="lbs",5,2.5))))),"")</f>
        <v/>
      </c>
      <c s="70"/>
      <c s="63"/>
      <c s="97"/>
      <c s="44" t="str">
        <f>IFERROR(__xludf.DUMMYFUNCTION("IF(DQ124=MAX(FILTER(DQ$10:DQ$199,LOOKUP(ROW(DK$10:DK$199),FILTER(ROW(DK$10:DK$199),DK$10:DK$199&lt;&gt;DK$9:DK$198))=LOOKUP(ROW(DK124),FILTER(ROW(DK$10:DK$199),DK$10:DK$199&lt;&gt;DK$9:DK$198)))),DR124,)"),"")</f>
        <v/>
      </c>
      <c s="42"/>
      <c s="63"/>
      <c s="64" t="str">
        <f t="shared" si="32"/>
        <v/>
      </c>
      <c s="65" t="str">
        <f>IFERROR(__xludf.DUMMYFUNCTION("""COMPUTED_VALUE"""),"")</f>
        <v/>
      </c>
      <c s="66">
        <f ca="1"/>
        <v>45271</v>
      </c>
      <c s="93" t="str">
        <f t="shared" si="47"/>
        <v/>
      </c>
      <c s="94" t="str">
        <f t="shared" si="405"/>
        <v/>
      </c>
      <c s="95" t="str">
        <f t="shared" si="421"/>
        <v/>
      </c>
      <c s="98" t="str">
        <f t="shared" si="422"/>
        <v/>
      </c>
      <c s="97" t="str">
        <f t="array" ref="EE124">IFERROR(IF(DY124="ac"+ISNUMBER(SEARCH("'",ED124))+EC124="","",IF(ISNUMBER(SEARCH("lw",ED124)),DQ124+SUBSTITUTE(ED124,"lw+",""),MROUND(_xlfn.SWITCH(DY124,"sq",EC$7,"bn",ED$7,"dl",EE$7,"")*IF(ED124&gt;10,ED124/100,VLOOKUP(ED124,_rpe,SUBSTITUTE(EC124,"+","")+1,0)),IF(_xlfn.SWITCH(DY124,"sq",EC$7,"bn",ED$7,"dl",EE$7,"")&lt;IF(_uom="lbs",175,80),1.25,IF(_uom="lbs",5,2.5))))),"")</f>
        <v/>
      </c>
      <c s="70"/>
      <c s="63"/>
      <c s="97"/>
      <c s="44" t="str">
        <f>IFERROR(__xludf.DUMMYFUNCTION("IF(EE124=MAX(FILTER(EE$10:EE$199,LOOKUP(ROW(DY$10:DY$199),FILTER(ROW(DY$10:DY$199),DY$10:DY$199&lt;&gt;DY$9:DY$198))=LOOKUP(ROW(DY124),FILTER(ROW(DY$10:DY$199),DY$10:DY$199&lt;&gt;DY$9:DY$198)))),EF124,)"),"")</f>
        <v/>
      </c>
      <c s="42"/>
      <c s="63"/>
      <c s="64" t="str">
        <f t="shared" si="34"/>
        <v/>
      </c>
      <c s="65" t="str">
        <f>IFERROR(__xludf.DUMMYFUNCTION("""COMPUTED_VALUE"""),"")</f>
        <v/>
      </c>
      <c s="66">
        <f ca="1"/>
        <v>45278</v>
      </c>
      <c s="93" t="str">
        <f t="shared" si="48"/>
        <v/>
      </c>
      <c s="94" t="str">
        <f t="shared" si="395"/>
        <v/>
      </c>
      <c s="95" t="str">
        <f t="shared" si="423"/>
        <v/>
      </c>
      <c s="98" t="str">
        <f t="shared" si="402"/>
        <v/>
      </c>
      <c s="97" t="str">
        <f t="array" ref="ES124">IFERROR(IF(EM124="ac"+ISNUMBER(SEARCH("'",ER124))+EQ124="","",IF(ISNUMBER(SEARCH("lw",ER124)),EE124+SUBSTITUTE(ER124,"lw+",""),MROUND(_xlfn.SWITCH(EM124,"sq",EQ$7,"bn",ER$7,"dl",ES$7,"")*IF(ER124&gt;10,ER124/100,VLOOKUP(ER124,_rpe,SUBSTITUTE(EQ124,"+","")+1,0)),IF(_xlfn.SWITCH(EM124,"sq",EQ$7,"bn",ER$7,"dl",ES$7,"")&lt;IF(_uom="lbs",175,80),1.25,IF(_uom="lbs",5,2.5))))),"")</f>
        <v/>
      </c>
      <c s="70"/>
      <c s="63"/>
      <c s="97"/>
      <c s="44" t="str">
        <f>IFERROR(__xludf.DUMMYFUNCTION("IF(ES124=MAX(FILTER(ES$10:ES$199,LOOKUP(ROW(EM$10:EM$199),FILTER(ROW(EM$10:EM$199),EM$10:EM$199&lt;&gt;EM$9:EM$198))=LOOKUP(ROW(EM124),FILTER(ROW(EM$10:EM$199),EM$10:EM$199&lt;&gt;EM$9:EM$198)))),ET124,)"),"")</f>
        <v/>
      </c>
      <c s="42"/>
      <c s="63"/>
      <c s="64" t="str">
        <f t="shared" si="36"/>
        <v/>
      </c>
      <c s="65" t="str">
        <f>IFERROR(__xludf.DUMMYFUNCTION("""COMPUTED_VALUE"""),"")</f>
        <v/>
      </c>
      <c s="66">
        <f ca="1"/>
        <v>45285</v>
      </c>
      <c s="93" t="str">
        <f t="shared" si="49"/>
        <v/>
      </c>
      <c s="94" t="str">
        <f t="shared" si="396"/>
        <v/>
      </c>
      <c s="95" t="str">
        <f t="shared" si="424"/>
        <v/>
      </c>
      <c s="98" t="str">
        <f t="shared" si="403"/>
        <v/>
      </c>
      <c s="97" t="str">
        <f t="array" ref="FG124">IFERROR(IF(FA124="ac"+ISNUMBER(SEARCH("'",FF124))+FE124="","",IF(ISNUMBER(SEARCH("lw",FF124)),ES124+SUBSTITUTE(FF124,"lw+",""),MROUND(_xlfn.SWITCH(FA124,"sq",FE$7,"bn",FF$7,"dl",FG$7,"")*IF(FF124&gt;10,FF124/100,VLOOKUP(FF124,_rpe,SUBSTITUTE(FE124,"+","")+1,0)),IF(_xlfn.SWITCH(FA124,"sq",FE$7,"bn",FF$7,"dl",FG$7,"")&lt;IF(_uom="lbs",175,80),1.25,IF(_uom="lbs",5,2.5))))),"")</f>
        <v/>
      </c>
      <c s="70"/>
      <c s="63"/>
      <c s="97"/>
      <c s="44" t="str">
        <f>IFERROR(__xludf.DUMMYFUNCTION("IF(FG124=MAX(FILTER(FG$10:FG$199,LOOKUP(ROW(FA$10:FA$199),FILTER(ROW(FA$10:FA$199),FA$10:FA$199&lt;&gt;FA$9:FA$198))=LOOKUP(ROW(FA124),FILTER(ROW(FA$10:FA$199),FA$10:FA$199&lt;&gt;FA$9:FA$198)))),FH124,)"),"")</f>
        <v/>
      </c>
      <c s="42"/>
      <c s="63"/>
      <c s="64" t="str">
        <f t="shared" si="38"/>
        <v/>
      </c>
      <c s="65" t="str">
        <f>IFERROR(__xludf.DUMMYFUNCTION("""COMPUTED_VALUE"""),"")</f>
        <v/>
      </c>
      <c s="66">
        <f ca="1"/>
        <v>45292</v>
      </c>
      <c s="93" t="str">
        <f t="shared" si="468" ref="FQ124:FR124">IF(ISBLANK(FC124),"",FC124)</f>
        <v/>
      </c>
      <c s="94" t="str">
        <f t="shared" si="468"/>
        <v/>
      </c>
      <c s="95" t="str">
        <f t="shared" si="428"/>
        <v/>
      </c>
      <c s="98" t="str">
        <f t="shared" si="429"/>
        <v/>
      </c>
      <c s="97" t="str">
        <f t="array" ref="FU124">IFERROR(IF(FO124="ac"+ISNUMBER(SEARCH("'",FT124))+FS124="","",IF(ISNUMBER(SEARCH("lw",FT124)),FG124+SUBSTITUTE(FT124,"lw+",""),MROUND(_xlfn.SWITCH(FO124,"sq",FS$7,"bn",FT$7,"dl",FU$7,"")*IF(FT124&gt;10,FT124/100,VLOOKUP(FT124,_rpe,SUBSTITUTE(FS124,"+","")+1,0)),IF(_xlfn.SWITCH(FO124,"sq",FS$7,"bn",FT$7,"dl",FU$7,"")&lt;IF(_uom="lbs",175,80),1.25,IF(_uom="lbs",5,2.5))))),"")</f>
        <v/>
      </c>
      <c s="70"/>
      <c s="63"/>
      <c s="97"/>
      <c s="44" t="str">
        <f>IFERROR(__xludf.DUMMYFUNCTION("IF(FU124=MAX(FILTER(FU$10:FU$199,LOOKUP(ROW(FO$10:FO$199),FILTER(ROW(FO$10:FO$199),FO$10:FO$199&lt;&gt;FO$9:FO$198))=LOOKUP(ROW(FO124),FILTER(ROW(FO$10:FO$199),FO$10:FO$199&lt;&gt;FO$9:FO$198)))),FV124,)"),"")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25" spans="1:259" ht="15.75" hidden="1" outlineLevel="1">
      <c r="A125" s="63"/>
      <c s="107"/>
      <c s="65" t="str">
        <f>IFERROR(__xludf.DUMMYFUNCTION("""COMPUTED_VALUE"""),"")</f>
        <v/>
      </c>
      <c s="66">
        <f ca="1"/>
        <v>45208</v>
      </c>
      <c s="108"/>
      <c s="94"/>
      <c s="95"/>
      <c s="96"/>
      <c s="97" t="str">
        <f t="array" ref="I125">IFERROR(IF(C125="ac"+ISNUMBER(SEARCH("'",H125))+G125="","",MROUND(_xlfn.SWITCH(C125,"sq",'Personal Info'!$O$15,"bn",'Personal Info'!$S$15,"dl",'Personal Info'!$W$15,"")*IF(H125&gt;10,H125/100,VLOOKUP(H125,_rpe,SUBSTITUTE(G125,"+","")+1,0)),IF(_xlfn.SWITCH(C125:C210,"sq",'Personal Info'!$O$15,"bn",'Personal Info'!$S$15,"dl",'Personal Info'!$W$15,"")&lt;IF(_uom="lbs",175,80),1.25,IF(_uom="lbs",5,2.5)))),"")</f>
        <v/>
      </c>
      <c s="70"/>
      <c s="63"/>
      <c s="97"/>
      <c s="44" t="str">
        <f>IFERROR(__xludf.DUMMYFUNCTION("IF(I125=MAX(FILTER(I$10:I$199,LOOKUP(ROW(C$10:C$199),FILTER(ROW(C$10:C$199),C$10:C$199&lt;&gt;C$9:C$198))=LOOKUP(ROW(C125),FILTER(ROW(C$10:C$199),C$10:C$199&lt;&gt;C$9:C$198)))),J125,)"),"")</f>
        <v/>
      </c>
      <c s="42"/>
      <c s="63"/>
      <c s="64" t="str">
        <f t="shared" si="11"/>
        <v/>
      </c>
      <c s="65" t="str">
        <f>IFERROR(__xludf.DUMMYFUNCTION("""COMPUTED_VALUE"""),"")</f>
        <v/>
      </c>
      <c s="66">
        <f ca="1"/>
        <v>45215</v>
      </c>
      <c s="93" t="str">
        <f t="shared" si="12"/>
        <v/>
      </c>
      <c s="94" t="str">
        <f t="shared" si="404"/>
        <v/>
      </c>
      <c s="95" t="str">
        <f t="shared" si="406"/>
        <v/>
      </c>
      <c s="98" t="str">
        <f t="shared" si="407"/>
        <v/>
      </c>
      <c s="97" t="str">
        <f t="array" ref="W125">IFERROR(IF(Q125="ac"+ISNUMBER(SEARCH("'",V125))+U125="","",IF(ISNUMBER(SEARCH("lw",V125)),I125+SUBSTITUTE(V125,"lw+",""),MROUND(_xlfn.SWITCH(Q125,"sq",U$7,"bn",V$7,"dl",W$7,"")*IF(V125&gt;10,V125/100,VLOOKUP(V125,_rpe,SUBSTITUTE(U125,"+","")+1,0)),IF(_xlfn.SWITCH(Q125,"sq",U$7,"bn",V$7,"dl",W$7,"")&lt;IF(_uom="lbs",175,80),1.25,IF(_uom="lbs",5,2.5))))),"")</f>
        <v/>
      </c>
      <c s="70"/>
      <c s="63"/>
      <c s="97"/>
      <c s="44" t="str">
        <f>IFERROR(__xludf.DUMMYFUNCTION("IF(W125=MAX(FILTER(W$10:W$199,LOOKUP(ROW(Q$10:Q$199),FILTER(ROW(Q$10:Q$199),Q$10:Q$199&lt;&gt;Q$9:Q$198))=LOOKUP(ROW(Q125),FILTER(ROW(Q$10:Q$199),Q$10:Q$199&lt;&gt;Q$9:Q$198)))),X125,)"),"")</f>
        <v/>
      </c>
      <c s="42"/>
      <c s="63"/>
      <c s="64" t="str">
        <f t="shared" si="14"/>
        <v/>
      </c>
      <c s="65" t="str">
        <f>IFERROR(__xludf.DUMMYFUNCTION("""COMPUTED_VALUE"""),"")</f>
        <v/>
      </c>
      <c s="66">
        <f ca="1"/>
        <v>45222</v>
      </c>
      <c s="93" t="str">
        <f t="shared" si="156"/>
        <v/>
      </c>
      <c s="94" t="str">
        <f t="shared" si="397"/>
        <v/>
      </c>
      <c s="95" t="str">
        <f t="shared" si="408"/>
        <v/>
      </c>
      <c s="98" t="str">
        <f t="shared" si="398"/>
        <v/>
      </c>
      <c s="97" t="str">
        <f t="array" ref="AK125">IFERROR(IF(AE125="ac"+ISNUMBER(SEARCH("'",AJ125))+AI125="","",IF(ISNUMBER(SEARCH("lw",AJ125)),W125+SUBSTITUTE(AJ125,"lw+",""),MROUND(_xlfn.SWITCH(AE125,"sq",AI$7,"bn",AJ$7,"dl",AK$7,"")*IF(AJ125&gt;10,AJ125/100,VLOOKUP(AJ125,_rpe,SUBSTITUTE(AI125,"+","")+1,0)),IF(_xlfn.SWITCH(AE125,"sq",AI$7,"bn",AJ$7,"dl",AK$7,"")&lt;IF(_uom="lbs",175,80),1.25,IF(_uom="lbs",5,2.5))))),"")</f>
        <v/>
      </c>
      <c s="70"/>
      <c s="63"/>
      <c s="97"/>
      <c s="44" t="str">
        <f>IFERROR(__xludf.DUMMYFUNCTION("IF(AK125=MAX(FILTER(AK$10:AK$199,LOOKUP(ROW(AE$10:AE$199),FILTER(ROW(AE$10:AE$199),AE$10:AE$199&lt;&gt;AE$9:AE$198))=LOOKUP(ROW(AE125),FILTER(ROW(AE$10:AE$199),AE$10:AE$199&lt;&gt;AE$9:AE$198)))),AL125,)"),"")</f>
        <v/>
      </c>
      <c s="42"/>
      <c s="63"/>
      <c s="64" t="str">
        <f t="shared" si="17"/>
        <v/>
      </c>
      <c s="65" t="str">
        <f>IFERROR(__xludf.DUMMYFUNCTION("""COMPUTED_VALUE"""),"")</f>
        <v/>
      </c>
      <c s="66">
        <f ca="1"/>
        <v>45229</v>
      </c>
      <c s="93" t="str">
        <f t="shared" si="157"/>
        <v/>
      </c>
      <c s="94" t="str">
        <f t="shared" si="399"/>
        <v/>
      </c>
      <c s="95" t="str">
        <f t="shared" si="409"/>
        <v/>
      </c>
      <c s="98" t="str">
        <f t="shared" si="400"/>
        <v/>
      </c>
      <c s="97" t="str">
        <f t="array" ref="AY125">IFERROR(IF(AS125="ac"+ISNUMBER(SEARCH("'",AX125))+AW125="","",IF(ISNUMBER(SEARCH("lw",AX125)),AK125+SUBSTITUTE(AX125,"lw+",""),MROUND(_xlfn.SWITCH(AS125,"sq",AW$7,"bn",AX$7,"dl",AY$7,"")*IF(AX125&gt;10,AX125/100,VLOOKUP(AX125,_rpe,SUBSTITUTE(AW125,"+","")+1,0)),IF(_xlfn.SWITCH(AS125,"sq",AW$7,"bn",AX$7,"dl",AY$7,"")&lt;IF(_uom="lbs",175,80),1.25,IF(_uom="lbs",5,2.5))))),"")</f>
        <v/>
      </c>
      <c s="70"/>
      <c s="63"/>
      <c s="97"/>
      <c s="44" t="str">
        <f>IFERROR(__xludf.DUMMYFUNCTION("IF(AY125=MAX(FILTER(AY$10:AY$199,LOOKUP(ROW(AS$10:AS$199),FILTER(ROW(AS$10:AS$199),AS$10:AS$199&lt;&gt;AS$9:AS$198))=LOOKUP(ROW(AS125),FILTER(ROW(AS$10:AS$199),AS$10:AS$199&lt;&gt;AS$9:AS$198)))),AZ125,)"),"")</f>
        <v/>
      </c>
      <c s="42"/>
      <c s="63"/>
      <c s="64" t="str">
        <f t="shared" si="19"/>
        <v/>
      </c>
      <c s="65" t="str">
        <f>IFERROR(__xludf.DUMMYFUNCTION("""COMPUTED_VALUE"""),"")</f>
        <v/>
      </c>
      <c s="66">
        <f ca="1"/>
        <v>45236</v>
      </c>
      <c s="93" t="str">
        <f t="shared" si="20"/>
        <v/>
      </c>
      <c s="94" t="str">
        <f t="shared" si="425"/>
        <v/>
      </c>
      <c s="95" t="str">
        <f t="shared" si="411"/>
        <v/>
      </c>
      <c s="98" t="str">
        <f t="shared" si="412"/>
        <v/>
      </c>
      <c s="97" t="str">
        <f t="array" ref="BM125">IFERROR(IF(BG125="ac"+ISNUMBER(SEARCH("'",BL125))+BK125="","",IF(ISNUMBER(SEARCH("lw",BL125)),AY125+SUBSTITUTE(BL125,"lw+",""),MROUND(_xlfn.SWITCH(BG125,"sq",BK$7,"bn",BL$7,"dl",BM$7,"")*IF(BL125&gt;10,BL125/100,VLOOKUP(BL125,_rpe,SUBSTITUTE(BK125,"+","")+1,0)),IF(_xlfn.SWITCH(BG125,"sq",BK$7,"bn",BL$7,"dl",BM$7,"")&lt;IF(_uom="lbs",175,80),1.25,IF(_uom="lbs",5,2.5))))),"")</f>
        <v/>
      </c>
      <c s="70"/>
      <c s="63"/>
      <c s="97"/>
      <c s="44" t="str">
        <f>IFERROR(__xludf.DUMMYFUNCTION("IF(BM125=MAX(FILTER(BM$10:BM$199,LOOKUP(ROW(BG$10:BG$199),FILTER(ROW(BG$10:BG$199),BG$10:BG$199&lt;&gt;BG$9:BG$198))=LOOKUP(ROW(BG125),FILTER(ROW(BG$10:BG$199),BG$10:BG$199&lt;&gt;BG$9:BG$198)))),BN125,)"),"")</f>
        <v/>
      </c>
      <c s="42"/>
      <c s="63"/>
      <c s="64" t="str">
        <f t="shared" si="21"/>
        <v/>
      </c>
      <c s="65" t="str">
        <f>IFERROR(__xludf.DUMMYFUNCTION("""COMPUTED_VALUE"""),"")</f>
        <v/>
      </c>
      <c s="66">
        <f ca="1"/>
        <v>45243</v>
      </c>
      <c s="93" t="str">
        <f t="shared" si="22"/>
        <v/>
      </c>
      <c s="94" t="str">
        <f t="shared" si="426"/>
        <v/>
      </c>
      <c s="95" t="str">
        <f t="shared" si="414"/>
        <v/>
      </c>
      <c s="98" t="str">
        <f t="shared" si="415"/>
        <v/>
      </c>
      <c s="97" t="str">
        <f t="array" ref="CA125">IFERROR(IF(BU125="ac"+ISNUMBER(SEARCH("'",BZ125))+BY125="","",IF(ISNUMBER(SEARCH("lw",BZ125)),BM125+SUBSTITUTE(BZ125,"lw+",""),MROUND(_xlfn.SWITCH(BU125,"sq",BY$7,"bn",BZ$7,"dl",CA$7,"")*IF(BZ125&gt;10,BZ125/100,VLOOKUP(BZ125,_rpe,SUBSTITUTE(BY125,"+","")+1,0)),IF(_xlfn.SWITCH(BU125,"sq",BY$7,"bn",BZ$7,"dl",CA$7,"")&lt;IF(_uom="lbs",175,80),1.25,IF(_uom="lbs",5,2.5))))),"")</f>
        <v/>
      </c>
      <c s="70"/>
      <c s="63"/>
      <c s="97"/>
      <c s="44" t="str">
        <f>IFERROR(__xludf.DUMMYFUNCTION("IF(CA125=MAX(FILTER(CA$10:CA$199,LOOKUP(ROW(BU$10:BU$199),FILTER(ROW(BU$10:BU$199),BU$10:BU$199&lt;&gt;BU$9:BU$198))=LOOKUP(ROW(BU125),FILTER(ROW(BU$10:BU$199),BU$10:BU$199&lt;&gt;BU$9:BU$198)))),CB125,)"),"")</f>
        <v/>
      </c>
      <c s="42"/>
      <c s="63"/>
      <c s="64" t="str">
        <f t="shared" si="24"/>
        <v/>
      </c>
      <c s="65" t="str">
        <f>IFERROR(__xludf.DUMMYFUNCTION("""COMPUTED_VALUE"""),"")</f>
        <v/>
      </c>
      <c s="66">
        <f ca="1"/>
        <v>45250</v>
      </c>
      <c s="93" t="str">
        <f t="shared" si="44"/>
        <v/>
      </c>
      <c s="94" t="str">
        <f t="shared" si="392"/>
        <v/>
      </c>
      <c s="95" t="str">
        <f t="shared" si="416"/>
        <v/>
      </c>
      <c s="98" t="str">
        <f t="shared" si="417"/>
        <v/>
      </c>
      <c s="97" t="str">
        <f t="array" ref="CO125">IFERROR(IF(CI125="ac"+ISNUMBER(SEARCH("'",CN125))+CM125="","",IF(ISNUMBER(SEARCH("lw",CN125)),CA125+SUBSTITUTE(CN125,"lw+",""),MROUND(_xlfn.SWITCH(CI125,"sq",CM$7,"bn",CN$7,"dl",CO$7,"")*IF(CN125&gt;10,CN125/100,VLOOKUP(CN125,_rpe,SUBSTITUTE(CM125,"+","")+1,0)),IF(_xlfn.SWITCH(CI125,"sq",CM$7,"bn",CN$7,"dl",CO$7,"")&lt;IF(_uom="lbs",175,80),1.25,IF(_uom="lbs",5,2.5))))),"")</f>
        <v/>
      </c>
      <c s="70"/>
      <c s="63"/>
      <c s="97"/>
      <c s="44" t="str">
        <f>IFERROR(__xludf.DUMMYFUNCTION("IF(CO125=MAX(FILTER(CO$10:CO$199,LOOKUP(ROW(CI$10:CI$199),FILTER(ROW(CI$10:CI$199),CI$10:CI$199&lt;&gt;CI$9:CI$198))=LOOKUP(ROW(CI125),FILTER(ROW(CI$10:CI$199),CI$10:CI$199&lt;&gt;CI$9:CI$198)))),CP125,)"),"")</f>
        <v/>
      </c>
      <c s="42"/>
      <c s="63"/>
      <c s="64" t="str">
        <f t="shared" si="27"/>
        <v/>
      </c>
      <c s="65" t="str">
        <f>IFERROR(__xludf.DUMMYFUNCTION("""COMPUTED_VALUE"""),"")</f>
        <v/>
      </c>
      <c s="66">
        <f ca="1"/>
        <v>45257</v>
      </c>
      <c s="93" t="str">
        <f t="shared" si="45"/>
        <v/>
      </c>
      <c s="94" t="str">
        <f t="shared" si="393"/>
        <v/>
      </c>
      <c s="95" t="str">
        <f t="shared" si="418"/>
        <v/>
      </c>
      <c s="98" t="str">
        <f t="shared" si="401"/>
        <v/>
      </c>
      <c s="97" t="str">
        <f t="array" ref="DC125">IFERROR(IF(CW125="ac"+ISNUMBER(SEARCH("'",DB125))+DA125="","",IF(ISNUMBER(SEARCH("lw",DB125)),CO125+SUBSTITUTE(DB125,"lw+",""),MROUND(_xlfn.SWITCH(CW125,"sq",DA$7,"bn",DB$7,"dl",DC$7,"")*IF(DB125&gt;10,DB125/100,VLOOKUP(DB125,_rpe,SUBSTITUTE(DA125,"+","")+1,0)),IF(_xlfn.SWITCH(CW125,"sq",DA$7,"bn",DB$7,"dl",DC$7,"")&lt;IF(_uom="lbs",175,80),1.25,IF(_uom="lbs",5,2.5))))),"")</f>
        <v/>
      </c>
      <c s="70"/>
      <c s="63"/>
      <c s="97"/>
      <c s="44" t="str">
        <f>IFERROR(__xludf.DUMMYFUNCTION("IF(DC125=MAX(FILTER(DC$10:DC$199,LOOKUP(ROW(CW$10:CW$199),FILTER(ROW(CW$10:CW$199),CW$10:CW$199&lt;&gt;CW$9:CW$198))=LOOKUP(ROW(CW125),FILTER(ROW(CW$10:CW$199),CW$10:CW$199&lt;&gt;CW$9:CW$198)))),DD125,)"),"")</f>
        <v/>
      </c>
      <c s="42"/>
      <c s="63"/>
      <c s="64" t="str">
        <f t="shared" si="30"/>
        <v/>
      </c>
      <c s="65" t="str">
        <f>IFERROR(__xludf.DUMMYFUNCTION("""COMPUTED_VALUE"""),"")</f>
        <v/>
      </c>
      <c s="66">
        <f ca="1"/>
        <v>45264</v>
      </c>
      <c s="93" t="str">
        <f t="shared" si="46"/>
        <v/>
      </c>
      <c s="94" t="str">
        <f t="shared" si="394"/>
        <v/>
      </c>
      <c s="95" t="str">
        <f t="shared" si="419"/>
        <v/>
      </c>
      <c s="98" t="str">
        <f t="shared" si="420"/>
        <v/>
      </c>
      <c s="97" t="str">
        <f t="array" ref="DQ125">IFERROR(IF(DK125="ac"+ISNUMBER(SEARCH("'",DP125))+DO125="","",IF(ISNUMBER(SEARCH("lw",DP125)),DC125+SUBSTITUTE(DP125,"lw+",""),MROUND(_xlfn.SWITCH(DK125,"sq",DO$7,"bn",DP$7,"dl",DQ$7,"")*IF(DP125&gt;10,DP125/100,VLOOKUP(DP125,_rpe,SUBSTITUTE(DO125,"+","")+1,0)),IF(_xlfn.SWITCH(DK125,"sq",DO$7,"bn",DP$7,"dl",DQ$7,"")&lt;IF(_uom="lbs",175,80),1.25,IF(_uom="lbs",5,2.5))))),"")</f>
        <v/>
      </c>
      <c s="70"/>
      <c s="63"/>
      <c s="97"/>
      <c s="44" t="str">
        <f>IFERROR(__xludf.DUMMYFUNCTION("IF(DQ125=MAX(FILTER(DQ$10:DQ$199,LOOKUP(ROW(DK$10:DK$199),FILTER(ROW(DK$10:DK$199),DK$10:DK$199&lt;&gt;DK$9:DK$198))=LOOKUP(ROW(DK125),FILTER(ROW(DK$10:DK$199),DK$10:DK$199&lt;&gt;DK$9:DK$198)))),DR125,)"),"")</f>
        <v/>
      </c>
      <c s="42"/>
      <c s="63"/>
      <c s="64" t="str">
        <f t="shared" si="32"/>
        <v/>
      </c>
      <c s="65" t="str">
        <f>IFERROR(__xludf.DUMMYFUNCTION("""COMPUTED_VALUE"""),"")</f>
        <v/>
      </c>
      <c s="66">
        <f ca="1"/>
        <v>45271</v>
      </c>
      <c s="93" t="str">
        <f t="shared" si="47"/>
        <v/>
      </c>
      <c s="94" t="str">
        <f t="shared" si="405"/>
        <v/>
      </c>
      <c s="95" t="str">
        <f t="shared" si="421"/>
        <v/>
      </c>
      <c s="98" t="str">
        <f t="shared" si="422"/>
        <v/>
      </c>
      <c s="97" t="str">
        <f t="array" ref="EE125">IFERROR(IF(DY125="ac"+ISNUMBER(SEARCH("'",ED125))+EC125="","",IF(ISNUMBER(SEARCH("lw",ED125)),DQ125+SUBSTITUTE(ED125,"lw+",""),MROUND(_xlfn.SWITCH(DY125,"sq",EC$7,"bn",ED$7,"dl",EE$7,"")*IF(ED125&gt;10,ED125/100,VLOOKUP(ED125,_rpe,SUBSTITUTE(EC125,"+","")+1,0)),IF(_xlfn.SWITCH(DY125,"sq",EC$7,"bn",ED$7,"dl",EE$7,"")&lt;IF(_uom="lbs",175,80),1.25,IF(_uom="lbs",5,2.5))))),"")</f>
        <v/>
      </c>
      <c s="70"/>
      <c s="63"/>
      <c s="97"/>
      <c s="44" t="str">
        <f>IFERROR(__xludf.DUMMYFUNCTION("IF(EE125=MAX(FILTER(EE$10:EE$199,LOOKUP(ROW(DY$10:DY$199),FILTER(ROW(DY$10:DY$199),DY$10:DY$199&lt;&gt;DY$9:DY$198))=LOOKUP(ROW(DY125),FILTER(ROW(DY$10:DY$199),DY$10:DY$199&lt;&gt;DY$9:DY$198)))),EF125,)"),"")</f>
        <v/>
      </c>
      <c s="42"/>
      <c s="63"/>
      <c s="64" t="str">
        <f t="shared" si="34"/>
        <v/>
      </c>
      <c s="65" t="str">
        <f>IFERROR(__xludf.DUMMYFUNCTION("""COMPUTED_VALUE"""),"")</f>
        <v/>
      </c>
      <c s="66">
        <f ca="1"/>
        <v>45278</v>
      </c>
      <c s="93" t="str">
        <f t="shared" si="48"/>
        <v/>
      </c>
      <c s="94" t="str">
        <f t="shared" si="395"/>
        <v/>
      </c>
      <c s="95" t="str">
        <f t="shared" si="423"/>
        <v/>
      </c>
      <c s="98" t="str">
        <f t="shared" si="402"/>
        <v/>
      </c>
      <c s="97" t="str">
        <f t="array" ref="ES125">IFERROR(IF(EM125="ac"+ISNUMBER(SEARCH("'",ER125))+EQ125="","",IF(ISNUMBER(SEARCH("lw",ER125)),EE125+SUBSTITUTE(ER125,"lw+",""),MROUND(_xlfn.SWITCH(EM125,"sq",EQ$7,"bn",ER$7,"dl",ES$7,"")*IF(ER125&gt;10,ER125/100,VLOOKUP(ER125,_rpe,SUBSTITUTE(EQ125,"+","")+1,0)),IF(_xlfn.SWITCH(EM125,"sq",EQ$7,"bn",ER$7,"dl",ES$7,"")&lt;IF(_uom="lbs",175,80),1.25,IF(_uom="lbs",5,2.5))))),"")</f>
        <v/>
      </c>
      <c s="70"/>
      <c s="63"/>
      <c s="97"/>
      <c s="44" t="str">
        <f>IFERROR(__xludf.DUMMYFUNCTION("IF(ES125=MAX(FILTER(ES$10:ES$199,LOOKUP(ROW(EM$10:EM$199),FILTER(ROW(EM$10:EM$199),EM$10:EM$199&lt;&gt;EM$9:EM$198))=LOOKUP(ROW(EM125),FILTER(ROW(EM$10:EM$199),EM$10:EM$199&lt;&gt;EM$9:EM$198)))),ET125,)"),"")</f>
        <v/>
      </c>
      <c s="42"/>
      <c s="63"/>
      <c s="64" t="str">
        <f t="shared" si="36"/>
        <v/>
      </c>
      <c s="65" t="str">
        <f>IFERROR(__xludf.DUMMYFUNCTION("""COMPUTED_VALUE"""),"")</f>
        <v/>
      </c>
      <c s="66">
        <f ca="1"/>
        <v>45285</v>
      </c>
      <c s="93" t="str">
        <f t="shared" si="49"/>
        <v/>
      </c>
      <c s="94" t="str">
        <f t="shared" si="396"/>
        <v/>
      </c>
      <c s="95" t="str">
        <f t="shared" si="424"/>
        <v/>
      </c>
      <c s="98" t="str">
        <f t="shared" si="403"/>
        <v/>
      </c>
      <c s="97" t="str">
        <f t="array" ref="FG125">IFERROR(IF(FA125="ac"+ISNUMBER(SEARCH("'",FF125))+FE125="","",IF(ISNUMBER(SEARCH("lw",FF125)),ES125+SUBSTITUTE(FF125,"lw+",""),MROUND(_xlfn.SWITCH(FA125,"sq",FE$7,"bn",FF$7,"dl",FG$7,"")*IF(FF125&gt;10,FF125/100,VLOOKUP(FF125,_rpe,SUBSTITUTE(FE125,"+","")+1,0)),IF(_xlfn.SWITCH(FA125,"sq",FE$7,"bn",FF$7,"dl",FG$7,"")&lt;IF(_uom="lbs",175,80),1.25,IF(_uom="lbs",5,2.5))))),"")</f>
        <v/>
      </c>
      <c s="70"/>
      <c s="63"/>
      <c s="97"/>
      <c s="44" t="str">
        <f>IFERROR(__xludf.DUMMYFUNCTION("IF(FG125=MAX(FILTER(FG$10:FG$199,LOOKUP(ROW(FA$10:FA$199),FILTER(ROW(FA$10:FA$199),FA$10:FA$199&lt;&gt;FA$9:FA$198))=LOOKUP(ROW(FA125),FILTER(ROW(FA$10:FA$199),FA$10:FA$199&lt;&gt;FA$9:FA$198)))),FH125,)"),"")</f>
        <v/>
      </c>
      <c s="42"/>
      <c s="63"/>
      <c s="64" t="str">
        <f t="shared" si="38"/>
        <v/>
      </c>
      <c s="65" t="str">
        <f>IFERROR(__xludf.DUMMYFUNCTION("""COMPUTED_VALUE"""),"")</f>
        <v/>
      </c>
      <c s="66">
        <f ca="1"/>
        <v>45292</v>
      </c>
      <c s="93" t="str">
        <f t="shared" si="469" ref="FQ125:FR125">IF(ISBLANK(FC125),"",FC125)</f>
        <v/>
      </c>
      <c s="94" t="str">
        <f t="shared" si="469"/>
        <v/>
      </c>
      <c s="95" t="str">
        <f t="shared" si="428"/>
        <v/>
      </c>
      <c s="98" t="str">
        <f t="shared" si="429"/>
        <v/>
      </c>
      <c s="97" t="str">
        <f t="array" ref="FU125">IFERROR(IF(FO125="ac"+ISNUMBER(SEARCH("'",FT125))+FS125="","",IF(ISNUMBER(SEARCH("lw",FT125)),FG125+SUBSTITUTE(FT125,"lw+",""),MROUND(_xlfn.SWITCH(FO125,"sq",FS$7,"bn",FT$7,"dl",FU$7,"")*IF(FT125&gt;10,FT125/100,VLOOKUP(FT125,_rpe,SUBSTITUTE(FS125,"+","")+1,0)),IF(_xlfn.SWITCH(FO125,"sq",FS$7,"bn",FT$7,"dl",FU$7,"")&lt;IF(_uom="lbs",175,80),1.25,IF(_uom="lbs",5,2.5))))),"")</f>
        <v/>
      </c>
      <c s="70"/>
      <c s="63"/>
      <c s="97"/>
      <c s="44" t="str">
        <f>IFERROR(__xludf.DUMMYFUNCTION("IF(FU125=MAX(FILTER(FU$10:FU$199,LOOKUP(ROW(FO$10:FO$199),FILTER(ROW(FO$10:FO$199),FO$10:FO$199&lt;&gt;FO$9:FO$198))=LOOKUP(ROW(FO125),FILTER(ROW(FO$10:FO$199),FO$10:FO$199&lt;&gt;FO$9:FO$198)))),FV125,)"),"")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26" spans="1:259" ht="15.75" hidden="1" outlineLevel="1">
      <c r="A126" s="63"/>
      <c s="107"/>
      <c s="65" t="str">
        <f>IFERROR(__xludf.DUMMYFUNCTION("""COMPUTED_VALUE"""),"")</f>
        <v/>
      </c>
      <c s="66">
        <f ca="1"/>
        <v>45208</v>
      </c>
      <c s="108"/>
      <c s="94"/>
      <c s="95"/>
      <c s="96"/>
      <c s="97" t="str">
        <f t="array" ref="I126">IFERROR(IF(C126="ac"+ISNUMBER(SEARCH("'",H126))+G126="","",MROUND(_xlfn.SWITCH(C126,"sq",'Personal Info'!$O$15,"bn",'Personal Info'!$S$15,"dl",'Personal Info'!$W$15,"")*IF(H126&gt;10,H126/100,VLOOKUP(H126,_rpe,SUBSTITUTE(G126,"+","")+1,0)),IF(_xlfn.SWITCH(C126:C210,"sq",'Personal Info'!$O$15,"bn",'Personal Info'!$S$15,"dl",'Personal Info'!$W$15,"")&lt;IF(_uom="lbs",175,80),1.25,IF(_uom="lbs",5,2.5)))),"")</f>
        <v/>
      </c>
      <c s="70"/>
      <c s="63"/>
      <c s="97"/>
      <c s="44" t="str">
        <f>IFERROR(__xludf.DUMMYFUNCTION("IF(I126=MAX(FILTER(I$10:I$199,LOOKUP(ROW(C$10:C$199),FILTER(ROW(C$10:C$199),C$10:C$199&lt;&gt;C$9:C$198))=LOOKUP(ROW(C126),FILTER(ROW(C$10:C$199),C$10:C$199&lt;&gt;C$9:C$198)))),J126,)"),"")</f>
        <v/>
      </c>
      <c s="42"/>
      <c s="63"/>
      <c s="64" t="str">
        <f t="shared" si="11"/>
        <v/>
      </c>
      <c s="65" t="str">
        <f>IFERROR(__xludf.DUMMYFUNCTION("""COMPUTED_VALUE"""),"")</f>
        <v/>
      </c>
      <c s="66">
        <f ca="1"/>
        <v>45215</v>
      </c>
      <c s="93" t="str">
        <f t="shared" si="12"/>
        <v/>
      </c>
      <c s="94" t="str">
        <f t="shared" si="404"/>
        <v/>
      </c>
      <c s="95" t="str">
        <f t="shared" si="406"/>
        <v/>
      </c>
      <c s="98" t="str">
        <f t="shared" si="407"/>
        <v/>
      </c>
      <c s="97" t="str">
        <f t="array" ref="W126">IFERROR(IF(Q126="ac"+ISNUMBER(SEARCH("'",V126))+U126="","",IF(ISNUMBER(SEARCH("lw",V126)),I126+SUBSTITUTE(V126,"lw+",""),MROUND(_xlfn.SWITCH(Q126,"sq",U$7,"bn",V$7,"dl",W$7,"")*IF(V126&gt;10,V126/100,VLOOKUP(V126,_rpe,SUBSTITUTE(U126,"+","")+1,0)),IF(_xlfn.SWITCH(Q126,"sq",U$7,"bn",V$7,"dl",W$7,"")&lt;IF(_uom="lbs",175,80),1.25,IF(_uom="lbs",5,2.5))))),"")</f>
        <v/>
      </c>
      <c s="70"/>
      <c s="63"/>
      <c s="97"/>
      <c s="44" t="str">
        <f>IFERROR(__xludf.DUMMYFUNCTION("IF(W126=MAX(FILTER(W$10:W$199,LOOKUP(ROW(Q$10:Q$199),FILTER(ROW(Q$10:Q$199),Q$10:Q$199&lt;&gt;Q$9:Q$198))=LOOKUP(ROW(Q126),FILTER(ROW(Q$10:Q$199),Q$10:Q$199&lt;&gt;Q$9:Q$198)))),X126,)"),"")</f>
        <v/>
      </c>
      <c s="42"/>
      <c s="63"/>
      <c s="64" t="str">
        <f t="shared" si="14"/>
        <v/>
      </c>
      <c s="65" t="str">
        <f>IFERROR(__xludf.DUMMYFUNCTION("""COMPUTED_VALUE"""),"")</f>
        <v/>
      </c>
      <c s="66">
        <f ca="1"/>
        <v>45222</v>
      </c>
      <c s="93" t="str">
        <f t="shared" si="156"/>
        <v/>
      </c>
      <c s="94" t="str">
        <f t="shared" si="397"/>
        <v/>
      </c>
      <c s="95" t="str">
        <f t="shared" si="408"/>
        <v/>
      </c>
      <c s="98" t="str">
        <f t="shared" si="398"/>
        <v/>
      </c>
      <c s="97" t="str">
        <f t="array" ref="AK126">IFERROR(IF(AE126="ac"+ISNUMBER(SEARCH("'",AJ126))+AI126="","",IF(ISNUMBER(SEARCH("lw",AJ126)),W126+SUBSTITUTE(AJ126,"lw+",""),MROUND(_xlfn.SWITCH(AE126,"sq",AI$7,"bn",AJ$7,"dl",AK$7,"")*IF(AJ126&gt;10,AJ126/100,VLOOKUP(AJ126,_rpe,SUBSTITUTE(AI126,"+","")+1,0)),IF(_xlfn.SWITCH(AE126,"sq",AI$7,"bn",AJ$7,"dl",AK$7,"")&lt;IF(_uom="lbs",175,80),1.25,IF(_uom="lbs",5,2.5))))),"")</f>
        <v/>
      </c>
      <c s="70"/>
      <c s="63"/>
      <c s="97"/>
      <c s="44" t="str">
        <f>IFERROR(__xludf.DUMMYFUNCTION("IF(AK126=MAX(FILTER(AK$10:AK$199,LOOKUP(ROW(AE$10:AE$199),FILTER(ROW(AE$10:AE$199),AE$10:AE$199&lt;&gt;AE$9:AE$198))=LOOKUP(ROW(AE126),FILTER(ROW(AE$10:AE$199),AE$10:AE$199&lt;&gt;AE$9:AE$198)))),AL126,)"),"")</f>
        <v/>
      </c>
      <c s="42"/>
      <c s="63"/>
      <c s="64" t="str">
        <f t="shared" si="17"/>
        <v/>
      </c>
      <c s="65" t="str">
        <f>IFERROR(__xludf.DUMMYFUNCTION("""COMPUTED_VALUE"""),"")</f>
        <v/>
      </c>
      <c s="66">
        <f ca="1"/>
        <v>45229</v>
      </c>
      <c s="93" t="str">
        <f t="shared" si="157"/>
        <v/>
      </c>
      <c s="94" t="str">
        <f t="shared" si="399"/>
        <v/>
      </c>
      <c s="95" t="str">
        <f t="shared" si="409"/>
        <v/>
      </c>
      <c s="98" t="str">
        <f t="shared" si="400"/>
        <v/>
      </c>
      <c s="97" t="str">
        <f t="array" ref="AY126">IFERROR(IF(AS126="ac"+ISNUMBER(SEARCH("'",AX126))+AW126="","",IF(ISNUMBER(SEARCH("lw",AX126)),AK126+SUBSTITUTE(AX126,"lw+",""),MROUND(_xlfn.SWITCH(AS126,"sq",AW$7,"bn",AX$7,"dl",AY$7,"")*IF(AX126&gt;10,AX126/100,VLOOKUP(AX126,_rpe,SUBSTITUTE(AW126,"+","")+1,0)),IF(_xlfn.SWITCH(AS126,"sq",AW$7,"bn",AX$7,"dl",AY$7,"")&lt;IF(_uom="lbs",175,80),1.25,IF(_uom="lbs",5,2.5))))),"")</f>
        <v/>
      </c>
      <c s="70"/>
      <c s="63"/>
      <c s="97"/>
      <c s="44" t="str">
        <f>IFERROR(__xludf.DUMMYFUNCTION("IF(AY126=MAX(FILTER(AY$10:AY$199,LOOKUP(ROW(AS$10:AS$199),FILTER(ROW(AS$10:AS$199),AS$10:AS$199&lt;&gt;AS$9:AS$198))=LOOKUP(ROW(AS126),FILTER(ROW(AS$10:AS$199),AS$10:AS$199&lt;&gt;AS$9:AS$198)))),AZ126,)"),"")</f>
        <v/>
      </c>
      <c s="42"/>
      <c s="63"/>
      <c s="64" t="str">
        <f t="shared" si="19"/>
        <v/>
      </c>
      <c s="65" t="str">
        <f>IFERROR(__xludf.DUMMYFUNCTION("""COMPUTED_VALUE"""),"")</f>
        <v/>
      </c>
      <c s="66">
        <f ca="1"/>
        <v>45236</v>
      </c>
      <c s="93" t="str">
        <f t="shared" si="20"/>
        <v/>
      </c>
      <c s="94" t="str">
        <f t="shared" si="425"/>
        <v/>
      </c>
      <c s="95" t="str">
        <f t="shared" si="411"/>
        <v/>
      </c>
      <c s="98" t="str">
        <f t="shared" si="412"/>
        <v/>
      </c>
      <c s="97" t="str">
        <f t="array" ref="BM126">IFERROR(IF(BG126="ac"+ISNUMBER(SEARCH("'",BL126))+BK126="","",IF(ISNUMBER(SEARCH("lw",BL126)),AY126+SUBSTITUTE(BL126,"lw+",""),MROUND(_xlfn.SWITCH(BG126,"sq",BK$7,"bn",BL$7,"dl",BM$7,"")*IF(BL126&gt;10,BL126/100,VLOOKUP(BL126,_rpe,SUBSTITUTE(BK126,"+","")+1,0)),IF(_xlfn.SWITCH(BG126,"sq",BK$7,"bn",BL$7,"dl",BM$7,"")&lt;IF(_uom="lbs",175,80),1.25,IF(_uom="lbs",5,2.5))))),"")</f>
        <v/>
      </c>
      <c s="70"/>
      <c s="63"/>
      <c s="97"/>
      <c s="44" t="str">
        <f>IFERROR(__xludf.DUMMYFUNCTION("IF(BM126=MAX(FILTER(BM$10:BM$199,LOOKUP(ROW(BG$10:BG$199),FILTER(ROW(BG$10:BG$199),BG$10:BG$199&lt;&gt;BG$9:BG$198))=LOOKUP(ROW(BG126),FILTER(ROW(BG$10:BG$199),BG$10:BG$199&lt;&gt;BG$9:BG$198)))),BN126,)"),"")</f>
        <v/>
      </c>
      <c s="42"/>
      <c s="63"/>
      <c s="64" t="str">
        <f t="shared" si="21"/>
        <v/>
      </c>
      <c s="65" t="str">
        <f>IFERROR(__xludf.DUMMYFUNCTION("""COMPUTED_VALUE"""),"")</f>
        <v/>
      </c>
      <c s="66">
        <f ca="1"/>
        <v>45243</v>
      </c>
      <c s="93" t="str">
        <f t="shared" si="22"/>
        <v/>
      </c>
      <c s="94" t="str">
        <f t="shared" si="426"/>
        <v/>
      </c>
      <c s="95" t="str">
        <f t="shared" si="414"/>
        <v/>
      </c>
      <c s="98" t="str">
        <f t="shared" si="415"/>
        <v/>
      </c>
      <c s="97" t="str">
        <f t="array" ref="CA126">IFERROR(IF(BU126="ac"+ISNUMBER(SEARCH("'",BZ126))+BY126="","",IF(ISNUMBER(SEARCH("lw",BZ126)),BM126+SUBSTITUTE(BZ126,"lw+",""),MROUND(_xlfn.SWITCH(BU126,"sq",BY$7,"bn",BZ$7,"dl",CA$7,"")*IF(BZ126&gt;10,BZ126/100,VLOOKUP(BZ126,_rpe,SUBSTITUTE(BY126,"+","")+1,0)),IF(_xlfn.SWITCH(BU126,"sq",BY$7,"bn",BZ$7,"dl",CA$7,"")&lt;IF(_uom="lbs",175,80),1.25,IF(_uom="lbs",5,2.5))))),"")</f>
        <v/>
      </c>
      <c s="70"/>
      <c s="63"/>
      <c s="97"/>
      <c s="44" t="str">
        <f>IFERROR(__xludf.DUMMYFUNCTION("IF(CA126=MAX(FILTER(CA$10:CA$199,LOOKUP(ROW(BU$10:BU$199),FILTER(ROW(BU$10:BU$199),BU$10:BU$199&lt;&gt;BU$9:BU$198))=LOOKUP(ROW(BU126),FILTER(ROW(BU$10:BU$199),BU$10:BU$199&lt;&gt;BU$9:BU$198)))),CB126,)"),"")</f>
        <v/>
      </c>
      <c s="42"/>
      <c s="63"/>
      <c s="64" t="str">
        <f t="shared" si="24"/>
        <v/>
      </c>
      <c s="65" t="str">
        <f>IFERROR(__xludf.DUMMYFUNCTION("""COMPUTED_VALUE"""),"")</f>
        <v/>
      </c>
      <c s="66">
        <f ca="1"/>
        <v>45250</v>
      </c>
      <c s="93" t="str">
        <f t="shared" si="44"/>
        <v/>
      </c>
      <c s="94" t="str">
        <f t="shared" si="392"/>
        <v/>
      </c>
      <c s="95" t="str">
        <f t="shared" si="416"/>
        <v/>
      </c>
      <c s="98" t="str">
        <f t="shared" si="417"/>
        <v/>
      </c>
      <c s="97" t="str">
        <f t="array" ref="CO126">IFERROR(IF(CI126="ac"+ISNUMBER(SEARCH("'",CN126))+CM126="","",IF(ISNUMBER(SEARCH("lw",CN126)),CA126+SUBSTITUTE(CN126,"lw+",""),MROUND(_xlfn.SWITCH(CI126,"sq",CM$7,"bn",CN$7,"dl",CO$7,"")*IF(CN126&gt;10,CN126/100,VLOOKUP(CN126,_rpe,SUBSTITUTE(CM126,"+","")+1,0)),IF(_xlfn.SWITCH(CI126,"sq",CM$7,"bn",CN$7,"dl",CO$7,"")&lt;IF(_uom="lbs",175,80),1.25,IF(_uom="lbs",5,2.5))))),"")</f>
        <v/>
      </c>
      <c s="70"/>
      <c s="63"/>
      <c s="97"/>
      <c s="44" t="str">
        <f>IFERROR(__xludf.DUMMYFUNCTION("IF(CO126=MAX(FILTER(CO$10:CO$199,LOOKUP(ROW(CI$10:CI$199),FILTER(ROW(CI$10:CI$199),CI$10:CI$199&lt;&gt;CI$9:CI$198))=LOOKUP(ROW(CI126),FILTER(ROW(CI$10:CI$199),CI$10:CI$199&lt;&gt;CI$9:CI$198)))),CP126,)"),"")</f>
        <v/>
      </c>
      <c s="42"/>
      <c s="63"/>
      <c s="64" t="str">
        <f t="shared" si="27"/>
        <v/>
      </c>
      <c s="65" t="str">
        <f>IFERROR(__xludf.DUMMYFUNCTION("""COMPUTED_VALUE"""),"")</f>
        <v/>
      </c>
      <c s="66">
        <f ca="1"/>
        <v>45257</v>
      </c>
      <c s="93" t="str">
        <f t="shared" si="45"/>
        <v/>
      </c>
      <c s="94" t="str">
        <f t="shared" si="393"/>
        <v/>
      </c>
      <c s="95" t="str">
        <f t="shared" si="418"/>
        <v/>
      </c>
      <c s="98" t="str">
        <f t="shared" si="401"/>
        <v/>
      </c>
      <c s="97" t="str">
        <f t="array" ref="DC126">IFERROR(IF(CW126="ac"+ISNUMBER(SEARCH("'",DB126))+DA126="","",IF(ISNUMBER(SEARCH("lw",DB126)),CO126+SUBSTITUTE(DB126,"lw+",""),MROUND(_xlfn.SWITCH(CW126,"sq",DA$7,"bn",DB$7,"dl",DC$7,"")*IF(DB126&gt;10,DB126/100,VLOOKUP(DB126,_rpe,SUBSTITUTE(DA126,"+","")+1,0)),IF(_xlfn.SWITCH(CW126,"sq",DA$7,"bn",DB$7,"dl",DC$7,"")&lt;IF(_uom="lbs",175,80),1.25,IF(_uom="lbs",5,2.5))))),"")</f>
        <v/>
      </c>
      <c s="70"/>
      <c s="63"/>
      <c s="97"/>
      <c s="44" t="str">
        <f>IFERROR(__xludf.DUMMYFUNCTION("IF(DC126=MAX(FILTER(DC$10:DC$199,LOOKUP(ROW(CW$10:CW$199),FILTER(ROW(CW$10:CW$199),CW$10:CW$199&lt;&gt;CW$9:CW$198))=LOOKUP(ROW(CW126),FILTER(ROW(CW$10:CW$199),CW$10:CW$199&lt;&gt;CW$9:CW$198)))),DD126,)"),"")</f>
        <v/>
      </c>
      <c s="42"/>
      <c s="63"/>
      <c s="64" t="str">
        <f t="shared" si="30"/>
        <v/>
      </c>
      <c s="65" t="str">
        <f>IFERROR(__xludf.DUMMYFUNCTION("""COMPUTED_VALUE"""),"")</f>
        <v/>
      </c>
      <c s="66">
        <f ca="1"/>
        <v>45264</v>
      </c>
      <c s="93" t="str">
        <f t="shared" si="46"/>
        <v/>
      </c>
      <c s="94" t="str">
        <f t="shared" si="394"/>
        <v/>
      </c>
      <c s="95" t="str">
        <f t="shared" si="419"/>
        <v/>
      </c>
      <c s="98" t="str">
        <f t="shared" si="420"/>
        <v/>
      </c>
      <c s="97" t="str">
        <f t="array" ref="DQ126">IFERROR(IF(DK126="ac"+ISNUMBER(SEARCH("'",DP126))+DO126="","",IF(ISNUMBER(SEARCH("lw",DP126)),DC126+SUBSTITUTE(DP126,"lw+",""),MROUND(_xlfn.SWITCH(DK126,"sq",DO$7,"bn",DP$7,"dl",DQ$7,"")*IF(DP126&gt;10,DP126/100,VLOOKUP(DP126,_rpe,SUBSTITUTE(DO126,"+","")+1,0)),IF(_xlfn.SWITCH(DK126,"sq",DO$7,"bn",DP$7,"dl",DQ$7,"")&lt;IF(_uom="lbs",175,80),1.25,IF(_uom="lbs",5,2.5))))),"")</f>
        <v/>
      </c>
      <c s="70"/>
      <c s="63"/>
      <c s="97"/>
      <c s="44" t="str">
        <f>IFERROR(__xludf.DUMMYFUNCTION("IF(DQ126=MAX(FILTER(DQ$10:DQ$199,LOOKUP(ROW(DK$10:DK$199),FILTER(ROW(DK$10:DK$199),DK$10:DK$199&lt;&gt;DK$9:DK$198))=LOOKUP(ROW(DK126),FILTER(ROW(DK$10:DK$199),DK$10:DK$199&lt;&gt;DK$9:DK$198)))),DR126,)"),"")</f>
        <v/>
      </c>
      <c s="42"/>
      <c s="63"/>
      <c s="64" t="str">
        <f t="shared" si="32"/>
        <v/>
      </c>
      <c s="65" t="str">
        <f>IFERROR(__xludf.DUMMYFUNCTION("""COMPUTED_VALUE"""),"")</f>
        <v/>
      </c>
      <c s="66">
        <f ca="1"/>
        <v>45271</v>
      </c>
      <c s="93" t="str">
        <f t="shared" si="47"/>
        <v/>
      </c>
      <c s="94" t="str">
        <f t="shared" si="405"/>
        <v/>
      </c>
      <c s="95" t="str">
        <f t="shared" si="421"/>
        <v/>
      </c>
      <c s="98" t="str">
        <f t="shared" si="422"/>
        <v/>
      </c>
      <c s="97" t="str">
        <f t="array" ref="EE126">IFERROR(IF(DY126="ac"+ISNUMBER(SEARCH("'",ED126))+EC126="","",IF(ISNUMBER(SEARCH("lw",ED126)),DQ126+SUBSTITUTE(ED126,"lw+",""),MROUND(_xlfn.SWITCH(DY126,"sq",EC$7,"bn",ED$7,"dl",EE$7,"")*IF(ED126&gt;10,ED126/100,VLOOKUP(ED126,_rpe,SUBSTITUTE(EC126,"+","")+1,0)),IF(_xlfn.SWITCH(DY126,"sq",EC$7,"bn",ED$7,"dl",EE$7,"")&lt;IF(_uom="lbs",175,80),1.25,IF(_uom="lbs",5,2.5))))),"")</f>
        <v/>
      </c>
      <c s="70"/>
      <c s="63"/>
      <c s="97"/>
      <c s="44" t="str">
        <f>IFERROR(__xludf.DUMMYFUNCTION("IF(EE126=MAX(FILTER(EE$10:EE$199,LOOKUP(ROW(DY$10:DY$199),FILTER(ROW(DY$10:DY$199),DY$10:DY$199&lt;&gt;DY$9:DY$198))=LOOKUP(ROW(DY126),FILTER(ROW(DY$10:DY$199),DY$10:DY$199&lt;&gt;DY$9:DY$198)))),EF126,)"),"")</f>
        <v/>
      </c>
      <c s="42"/>
      <c s="63"/>
      <c s="64" t="str">
        <f t="shared" si="34"/>
        <v/>
      </c>
      <c s="65" t="str">
        <f>IFERROR(__xludf.DUMMYFUNCTION("""COMPUTED_VALUE"""),"")</f>
        <v/>
      </c>
      <c s="66">
        <f ca="1"/>
        <v>45278</v>
      </c>
      <c s="93" t="str">
        <f t="shared" si="48"/>
        <v/>
      </c>
      <c s="94" t="str">
        <f t="shared" si="395"/>
        <v/>
      </c>
      <c s="95" t="str">
        <f t="shared" si="423"/>
        <v/>
      </c>
      <c s="98" t="str">
        <f t="shared" si="402"/>
        <v/>
      </c>
      <c s="97" t="str">
        <f t="array" ref="ES126">IFERROR(IF(EM126="ac"+ISNUMBER(SEARCH("'",ER126))+EQ126="","",IF(ISNUMBER(SEARCH("lw",ER126)),EE126+SUBSTITUTE(ER126,"lw+",""),MROUND(_xlfn.SWITCH(EM126,"sq",EQ$7,"bn",ER$7,"dl",ES$7,"")*IF(ER126&gt;10,ER126/100,VLOOKUP(ER126,_rpe,SUBSTITUTE(EQ126,"+","")+1,0)),IF(_xlfn.SWITCH(EM126,"sq",EQ$7,"bn",ER$7,"dl",ES$7,"")&lt;IF(_uom="lbs",175,80),1.25,IF(_uom="lbs",5,2.5))))),"")</f>
        <v/>
      </c>
      <c s="70"/>
      <c s="63"/>
      <c s="97"/>
      <c s="44" t="str">
        <f>IFERROR(__xludf.DUMMYFUNCTION("IF(ES126=MAX(FILTER(ES$10:ES$199,LOOKUP(ROW(EM$10:EM$199),FILTER(ROW(EM$10:EM$199),EM$10:EM$199&lt;&gt;EM$9:EM$198))=LOOKUP(ROW(EM126),FILTER(ROW(EM$10:EM$199),EM$10:EM$199&lt;&gt;EM$9:EM$198)))),ET126,)"),"")</f>
        <v/>
      </c>
      <c s="42"/>
      <c s="63"/>
      <c s="64" t="str">
        <f t="shared" si="36"/>
        <v/>
      </c>
      <c s="65" t="str">
        <f>IFERROR(__xludf.DUMMYFUNCTION("""COMPUTED_VALUE"""),"")</f>
        <v/>
      </c>
      <c s="66">
        <f ca="1"/>
        <v>45285</v>
      </c>
      <c s="93" t="str">
        <f t="shared" si="49"/>
        <v/>
      </c>
      <c s="94" t="str">
        <f t="shared" si="396"/>
        <v/>
      </c>
      <c s="95" t="str">
        <f t="shared" si="424"/>
        <v/>
      </c>
      <c s="98" t="str">
        <f t="shared" si="403"/>
        <v/>
      </c>
      <c s="97" t="str">
        <f t="array" ref="FG126">IFERROR(IF(FA126="ac"+ISNUMBER(SEARCH("'",FF126))+FE126="","",IF(ISNUMBER(SEARCH("lw",FF126)),ES126+SUBSTITUTE(FF126,"lw+",""),MROUND(_xlfn.SWITCH(FA126,"sq",FE$7,"bn",FF$7,"dl",FG$7,"")*IF(FF126&gt;10,FF126/100,VLOOKUP(FF126,_rpe,SUBSTITUTE(FE126,"+","")+1,0)),IF(_xlfn.SWITCH(FA126,"sq",FE$7,"bn",FF$7,"dl",FG$7,"")&lt;IF(_uom="lbs",175,80),1.25,IF(_uom="lbs",5,2.5))))),"")</f>
        <v/>
      </c>
      <c s="70"/>
      <c s="63"/>
      <c s="97"/>
      <c s="44" t="str">
        <f>IFERROR(__xludf.DUMMYFUNCTION("IF(FG126=MAX(FILTER(FG$10:FG$199,LOOKUP(ROW(FA$10:FA$199),FILTER(ROW(FA$10:FA$199),FA$10:FA$199&lt;&gt;FA$9:FA$198))=LOOKUP(ROW(FA126),FILTER(ROW(FA$10:FA$199),FA$10:FA$199&lt;&gt;FA$9:FA$198)))),FH126,)"),"")</f>
        <v/>
      </c>
      <c s="42"/>
      <c s="63"/>
      <c s="64" t="str">
        <f t="shared" si="38"/>
        <v/>
      </c>
      <c s="65" t="str">
        <f>IFERROR(__xludf.DUMMYFUNCTION("""COMPUTED_VALUE"""),"")</f>
        <v/>
      </c>
      <c s="66">
        <f ca="1"/>
        <v>45292</v>
      </c>
      <c s="93" t="str">
        <f t="shared" si="470" ref="FQ126:FR126">IF(ISBLANK(FC126),"",FC126)</f>
        <v/>
      </c>
      <c s="94" t="str">
        <f t="shared" si="470"/>
        <v/>
      </c>
      <c s="95" t="str">
        <f t="shared" si="428"/>
        <v/>
      </c>
      <c s="98" t="str">
        <f t="shared" si="429"/>
        <v/>
      </c>
      <c s="97" t="str">
        <f t="array" ref="FU126">IFERROR(IF(FO126="ac"+ISNUMBER(SEARCH("'",FT126))+FS126="","",IF(ISNUMBER(SEARCH("lw",FT126)),FG126+SUBSTITUTE(FT126,"lw+",""),MROUND(_xlfn.SWITCH(FO126,"sq",FS$7,"bn",FT$7,"dl",FU$7,"")*IF(FT126&gt;10,FT126/100,VLOOKUP(FT126,_rpe,SUBSTITUTE(FS126,"+","")+1,0)),IF(_xlfn.SWITCH(FO126,"sq",FS$7,"bn",FT$7,"dl",FU$7,"")&lt;IF(_uom="lbs",175,80),1.25,IF(_uom="lbs",5,2.5))))),"")</f>
        <v/>
      </c>
      <c s="70"/>
      <c s="63"/>
      <c s="97"/>
      <c s="44" t="str">
        <f>IFERROR(__xludf.DUMMYFUNCTION("IF(FU126=MAX(FILTER(FU$10:FU$199,LOOKUP(ROW(FO$10:FO$199),FILTER(ROW(FO$10:FO$199),FO$10:FO$199&lt;&gt;FO$9:FO$198))=LOOKUP(ROW(FO126),FILTER(ROW(FO$10:FO$199),FO$10:FO$199&lt;&gt;FO$9:FO$198)))),FV126,)"),"")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27" spans="1:259" ht="15.75" hidden="1" outlineLevel="1">
      <c r="A127" s="63"/>
      <c s="107"/>
      <c s="65" t="str">
        <f>IFERROR(__xludf.DUMMYFUNCTION("""COMPUTED_VALUE"""),"")</f>
        <v/>
      </c>
      <c s="66">
        <f ca="1"/>
        <v>45208</v>
      </c>
      <c s="108"/>
      <c s="94"/>
      <c s="95"/>
      <c s="96"/>
      <c s="97" t="str">
        <f t="array" ref="I127">IFERROR(IF(C127="ac"+ISNUMBER(SEARCH("'",H127))+G127="","",MROUND(_xlfn.SWITCH(C127,"sq",'Personal Info'!$O$15,"bn",'Personal Info'!$S$15,"dl",'Personal Info'!$W$15,"")*IF(H127&gt;10,H127/100,VLOOKUP(H127,_rpe,SUBSTITUTE(G127,"+","")+1,0)),IF(_xlfn.SWITCH(C127:C210,"sq",'Personal Info'!$O$15,"bn",'Personal Info'!$S$15,"dl",'Personal Info'!$W$15,"")&lt;IF(_uom="lbs",175,80),1.25,IF(_uom="lbs",5,2.5)))),"")</f>
        <v/>
      </c>
      <c s="70"/>
      <c s="63"/>
      <c s="97"/>
      <c s="44" t="str">
        <f>IFERROR(__xludf.DUMMYFUNCTION("IF(I127=MAX(FILTER(I$10:I$199,LOOKUP(ROW(C$10:C$199),FILTER(ROW(C$10:C$199),C$10:C$199&lt;&gt;C$9:C$198))=LOOKUP(ROW(C127),FILTER(ROW(C$10:C$199),C$10:C$199&lt;&gt;C$9:C$198)))),J127,)"),"")</f>
        <v/>
      </c>
      <c s="42"/>
      <c s="63"/>
      <c s="64" t="str">
        <f t="shared" si="11"/>
        <v/>
      </c>
      <c s="65" t="str">
        <f>IFERROR(__xludf.DUMMYFUNCTION("""COMPUTED_VALUE"""),"")</f>
        <v/>
      </c>
      <c s="66">
        <f ca="1"/>
        <v>45215</v>
      </c>
      <c s="93" t="str">
        <f t="shared" si="12"/>
        <v/>
      </c>
      <c s="94" t="str">
        <f t="shared" si="404"/>
        <v/>
      </c>
      <c s="95" t="str">
        <f t="shared" si="406"/>
        <v/>
      </c>
      <c s="98" t="str">
        <f t="shared" si="407"/>
        <v/>
      </c>
      <c s="97" t="str">
        <f t="array" ref="W127">IFERROR(IF(Q127="ac"+ISNUMBER(SEARCH("'",V127))+U127="","",IF(ISNUMBER(SEARCH("lw",V127)),I127+SUBSTITUTE(V127,"lw+",""),MROUND(_xlfn.SWITCH(Q127,"sq",U$7,"bn",V$7,"dl",W$7,"")*IF(V127&gt;10,V127/100,VLOOKUP(V127,_rpe,SUBSTITUTE(U127,"+","")+1,0)),IF(_xlfn.SWITCH(Q127,"sq",U$7,"bn",V$7,"dl",W$7,"")&lt;IF(_uom="lbs",175,80),1.25,IF(_uom="lbs",5,2.5))))),"")</f>
        <v/>
      </c>
      <c s="70"/>
      <c s="63"/>
      <c s="97"/>
      <c s="44" t="str">
        <f>IFERROR(__xludf.DUMMYFUNCTION("IF(W127=MAX(FILTER(W$10:W$199,LOOKUP(ROW(Q$10:Q$199),FILTER(ROW(Q$10:Q$199),Q$10:Q$199&lt;&gt;Q$9:Q$198))=LOOKUP(ROW(Q127),FILTER(ROW(Q$10:Q$199),Q$10:Q$199&lt;&gt;Q$9:Q$198)))),X127,)"),"")</f>
        <v/>
      </c>
      <c s="42"/>
      <c s="63"/>
      <c s="64" t="str">
        <f t="shared" si="14"/>
        <v/>
      </c>
      <c s="65" t="str">
        <f>IFERROR(__xludf.DUMMYFUNCTION("""COMPUTED_VALUE"""),"")</f>
        <v/>
      </c>
      <c s="66">
        <f ca="1"/>
        <v>45222</v>
      </c>
      <c s="93" t="str">
        <f t="shared" si="156"/>
        <v/>
      </c>
      <c s="94" t="str">
        <f t="shared" si="397"/>
        <v/>
      </c>
      <c s="95" t="str">
        <f t="shared" si="408"/>
        <v/>
      </c>
      <c s="98" t="str">
        <f t="shared" si="398"/>
        <v/>
      </c>
      <c s="97" t="str">
        <f t="array" ref="AK127">IFERROR(IF(AE127="ac"+ISNUMBER(SEARCH("'",AJ127))+AI127="","",IF(ISNUMBER(SEARCH("lw",AJ127)),W127+SUBSTITUTE(AJ127,"lw+",""),MROUND(_xlfn.SWITCH(AE127,"sq",AI$7,"bn",AJ$7,"dl",AK$7,"")*IF(AJ127&gt;10,AJ127/100,VLOOKUP(AJ127,_rpe,SUBSTITUTE(AI127,"+","")+1,0)),IF(_xlfn.SWITCH(AE127,"sq",AI$7,"bn",AJ$7,"dl",AK$7,"")&lt;IF(_uom="lbs",175,80),1.25,IF(_uom="lbs",5,2.5))))),"")</f>
        <v/>
      </c>
      <c s="70"/>
      <c s="63"/>
      <c s="97"/>
      <c s="44" t="str">
        <f>IFERROR(__xludf.DUMMYFUNCTION("IF(AK127=MAX(FILTER(AK$10:AK$199,LOOKUP(ROW(AE$10:AE$199),FILTER(ROW(AE$10:AE$199),AE$10:AE$199&lt;&gt;AE$9:AE$198))=LOOKUP(ROW(AE127),FILTER(ROW(AE$10:AE$199),AE$10:AE$199&lt;&gt;AE$9:AE$198)))),AL127,)"),"")</f>
        <v/>
      </c>
      <c s="42"/>
      <c s="63"/>
      <c s="64" t="str">
        <f t="shared" si="17"/>
        <v/>
      </c>
      <c s="65" t="str">
        <f>IFERROR(__xludf.DUMMYFUNCTION("""COMPUTED_VALUE"""),"")</f>
        <v/>
      </c>
      <c s="66">
        <f ca="1"/>
        <v>45229</v>
      </c>
      <c s="93" t="str">
        <f t="shared" si="157"/>
        <v/>
      </c>
      <c s="94" t="str">
        <f t="shared" si="399"/>
        <v/>
      </c>
      <c s="95" t="str">
        <f t="shared" si="409"/>
        <v/>
      </c>
      <c s="98" t="str">
        <f t="shared" si="400"/>
        <v/>
      </c>
      <c s="97" t="str">
        <f t="array" ref="AY127">IFERROR(IF(AS127="ac"+ISNUMBER(SEARCH("'",AX127))+AW127="","",IF(ISNUMBER(SEARCH("lw",AX127)),AK127+SUBSTITUTE(AX127,"lw+",""),MROUND(_xlfn.SWITCH(AS127,"sq",AW$7,"bn",AX$7,"dl",AY$7,"")*IF(AX127&gt;10,AX127/100,VLOOKUP(AX127,_rpe,SUBSTITUTE(AW127,"+","")+1,0)),IF(_xlfn.SWITCH(AS127,"sq",AW$7,"bn",AX$7,"dl",AY$7,"")&lt;IF(_uom="lbs",175,80),1.25,IF(_uom="lbs",5,2.5))))),"")</f>
        <v/>
      </c>
      <c s="70"/>
      <c s="63"/>
      <c s="97"/>
      <c s="44" t="str">
        <f>IFERROR(__xludf.DUMMYFUNCTION("IF(AY127=MAX(FILTER(AY$10:AY$199,LOOKUP(ROW(AS$10:AS$199),FILTER(ROW(AS$10:AS$199),AS$10:AS$199&lt;&gt;AS$9:AS$198))=LOOKUP(ROW(AS127),FILTER(ROW(AS$10:AS$199),AS$10:AS$199&lt;&gt;AS$9:AS$198)))),AZ127,)"),"")</f>
        <v/>
      </c>
      <c s="42"/>
      <c s="63"/>
      <c s="64" t="str">
        <f t="shared" si="19"/>
        <v/>
      </c>
      <c s="65" t="str">
        <f>IFERROR(__xludf.DUMMYFUNCTION("""COMPUTED_VALUE"""),"")</f>
        <v/>
      </c>
      <c s="66">
        <f ca="1"/>
        <v>45236</v>
      </c>
      <c s="93" t="str">
        <f t="shared" si="20"/>
        <v/>
      </c>
      <c s="94" t="str">
        <f t="shared" si="425"/>
        <v/>
      </c>
      <c s="95" t="str">
        <f t="shared" si="411"/>
        <v/>
      </c>
      <c s="98" t="str">
        <f t="shared" si="412"/>
        <v/>
      </c>
      <c s="97" t="str">
        <f t="array" ref="BM127">IFERROR(IF(BG127="ac"+ISNUMBER(SEARCH("'",BL127))+BK127="","",IF(ISNUMBER(SEARCH("lw",BL127)),AY127+SUBSTITUTE(BL127,"lw+",""),MROUND(_xlfn.SWITCH(BG127,"sq",BK$7,"bn",BL$7,"dl",BM$7,"")*IF(BL127&gt;10,BL127/100,VLOOKUP(BL127,_rpe,SUBSTITUTE(BK127,"+","")+1,0)),IF(_xlfn.SWITCH(BG127,"sq",BK$7,"bn",BL$7,"dl",BM$7,"")&lt;IF(_uom="lbs",175,80),1.25,IF(_uom="lbs",5,2.5))))),"")</f>
        <v/>
      </c>
      <c s="70"/>
      <c s="63"/>
      <c s="97"/>
      <c s="44" t="str">
        <f>IFERROR(__xludf.DUMMYFUNCTION("IF(BM127=MAX(FILTER(BM$10:BM$199,LOOKUP(ROW(BG$10:BG$199),FILTER(ROW(BG$10:BG$199),BG$10:BG$199&lt;&gt;BG$9:BG$198))=LOOKUP(ROW(BG127),FILTER(ROW(BG$10:BG$199),BG$10:BG$199&lt;&gt;BG$9:BG$198)))),BN127,)"),"")</f>
        <v/>
      </c>
      <c s="42"/>
      <c s="63"/>
      <c s="64" t="str">
        <f t="shared" si="21"/>
        <v/>
      </c>
      <c s="65" t="str">
        <f>IFERROR(__xludf.DUMMYFUNCTION("""COMPUTED_VALUE"""),"")</f>
        <v/>
      </c>
      <c s="66">
        <f ca="1"/>
        <v>45243</v>
      </c>
      <c s="93" t="str">
        <f t="shared" si="22"/>
        <v/>
      </c>
      <c s="94" t="str">
        <f t="shared" si="426"/>
        <v/>
      </c>
      <c s="95" t="str">
        <f t="shared" si="414"/>
        <v/>
      </c>
      <c s="98" t="str">
        <f t="shared" si="415"/>
        <v/>
      </c>
      <c s="97" t="str">
        <f t="array" ref="CA127">IFERROR(IF(BU127="ac"+ISNUMBER(SEARCH("'",BZ127))+BY127="","",IF(ISNUMBER(SEARCH("lw",BZ127)),BM127+SUBSTITUTE(BZ127,"lw+",""),MROUND(_xlfn.SWITCH(BU127,"sq",BY$7,"bn",BZ$7,"dl",CA$7,"")*IF(BZ127&gt;10,BZ127/100,VLOOKUP(BZ127,_rpe,SUBSTITUTE(BY127,"+","")+1,0)),IF(_xlfn.SWITCH(BU127,"sq",BY$7,"bn",BZ$7,"dl",CA$7,"")&lt;IF(_uom="lbs",175,80),1.25,IF(_uom="lbs",5,2.5))))),"")</f>
        <v/>
      </c>
      <c s="70"/>
      <c s="63"/>
      <c s="97"/>
      <c s="44" t="str">
        <f>IFERROR(__xludf.DUMMYFUNCTION("IF(CA127=MAX(FILTER(CA$10:CA$199,LOOKUP(ROW(BU$10:BU$199),FILTER(ROW(BU$10:BU$199),BU$10:BU$199&lt;&gt;BU$9:BU$198))=LOOKUP(ROW(BU127),FILTER(ROW(BU$10:BU$199),BU$10:BU$199&lt;&gt;BU$9:BU$198)))),CB127,)"),"")</f>
        <v/>
      </c>
      <c s="42"/>
      <c s="63"/>
      <c s="64" t="str">
        <f t="shared" si="24"/>
        <v/>
      </c>
      <c s="65" t="str">
        <f>IFERROR(__xludf.DUMMYFUNCTION("""COMPUTED_VALUE"""),"")</f>
        <v/>
      </c>
      <c s="66">
        <f ca="1"/>
        <v>45250</v>
      </c>
      <c s="93" t="str">
        <f t="shared" si="44"/>
        <v/>
      </c>
      <c s="94" t="str">
        <f t="shared" si="392"/>
        <v/>
      </c>
      <c s="95" t="str">
        <f t="shared" si="416"/>
        <v/>
      </c>
      <c s="98" t="str">
        <f t="shared" si="417"/>
        <v/>
      </c>
      <c s="97" t="str">
        <f t="array" ref="CO127">IFERROR(IF(CI127="ac"+ISNUMBER(SEARCH("'",CN127))+CM127="","",IF(ISNUMBER(SEARCH("lw",CN127)),CA127+SUBSTITUTE(CN127,"lw+",""),MROUND(_xlfn.SWITCH(CI127,"sq",CM$7,"bn",CN$7,"dl",CO$7,"")*IF(CN127&gt;10,CN127/100,VLOOKUP(CN127,_rpe,SUBSTITUTE(CM127,"+","")+1,0)),IF(_xlfn.SWITCH(CI127,"sq",CM$7,"bn",CN$7,"dl",CO$7,"")&lt;IF(_uom="lbs",175,80),1.25,IF(_uom="lbs",5,2.5))))),"")</f>
        <v/>
      </c>
      <c s="70"/>
      <c s="63"/>
      <c s="97"/>
      <c s="44" t="str">
        <f>IFERROR(__xludf.DUMMYFUNCTION("IF(CO127=MAX(FILTER(CO$10:CO$199,LOOKUP(ROW(CI$10:CI$199),FILTER(ROW(CI$10:CI$199),CI$10:CI$199&lt;&gt;CI$9:CI$198))=LOOKUP(ROW(CI127),FILTER(ROW(CI$10:CI$199),CI$10:CI$199&lt;&gt;CI$9:CI$198)))),CP127,)"),"")</f>
        <v/>
      </c>
      <c s="42"/>
      <c s="63"/>
      <c s="64" t="str">
        <f t="shared" si="27"/>
        <v/>
      </c>
      <c s="65" t="str">
        <f>IFERROR(__xludf.DUMMYFUNCTION("""COMPUTED_VALUE"""),"")</f>
        <v/>
      </c>
      <c s="66">
        <f ca="1"/>
        <v>45257</v>
      </c>
      <c s="93" t="str">
        <f t="shared" si="45"/>
        <v/>
      </c>
      <c s="94" t="str">
        <f t="shared" si="393"/>
        <v/>
      </c>
      <c s="95" t="str">
        <f t="shared" si="418"/>
        <v/>
      </c>
      <c s="98" t="str">
        <f t="shared" si="401"/>
        <v/>
      </c>
      <c s="97" t="str">
        <f t="array" ref="DC127">IFERROR(IF(CW127="ac"+ISNUMBER(SEARCH("'",DB127))+DA127="","",IF(ISNUMBER(SEARCH("lw",DB127)),CO127+SUBSTITUTE(DB127,"lw+",""),MROUND(_xlfn.SWITCH(CW127,"sq",DA$7,"bn",DB$7,"dl",DC$7,"")*IF(DB127&gt;10,DB127/100,VLOOKUP(DB127,_rpe,SUBSTITUTE(DA127,"+","")+1,0)),IF(_xlfn.SWITCH(CW127,"sq",DA$7,"bn",DB$7,"dl",DC$7,"")&lt;IF(_uom="lbs",175,80),1.25,IF(_uom="lbs",5,2.5))))),"")</f>
        <v/>
      </c>
      <c s="70"/>
      <c s="63"/>
      <c s="97"/>
      <c s="44" t="str">
        <f>IFERROR(__xludf.DUMMYFUNCTION("IF(DC127=MAX(FILTER(DC$10:DC$199,LOOKUP(ROW(CW$10:CW$199),FILTER(ROW(CW$10:CW$199),CW$10:CW$199&lt;&gt;CW$9:CW$198))=LOOKUP(ROW(CW127),FILTER(ROW(CW$10:CW$199),CW$10:CW$199&lt;&gt;CW$9:CW$198)))),DD127,)"),"")</f>
        <v/>
      </c>
      <c s="42"/>
      <c s="63"/>
      <c s="64" t="str">
        <f t="shared" si="30"/>
        <v/>
      </c>
      <c s="65" t="str">
        <f>IFERROR(__xludf.DUMMYFUNCTION("""COMPUTED_VALUE"""),"")</f>
        <v/>
      </c>
      <c s="66">
        <f ca="1"/>
        <v>45264</v>
      </c>
      <c s="93" t="str">
        <f t="shared" si="46"/>
        <v/>
      </c>
      <c s="94" t="str">
        <f t="shared" si="394"/>
        <v/>
      </c>
      <c s="95" t="str">
        <f t="shared" si="419"/>
        <v/>
      </c>
      <c s="98" t="str">
        <f t="shared" si="420"/>
        <v/>
      </c>
      <c s="97" t="str">
        <f t="array" ref="DQ127">IFERROR(IF(DK127="ac"+ISNUMBER(SEARCH("'",DP127))+DO127="","",IF(ISNUMBER(SEARCH("lw",DP127)),DC127+SUBSTITUTE(DP127,"lw+",""),MROUND(_xlfn.SWITCH(DK127,"sq",DO$7,"bn",DP$7,"dl",DQ$7,"")*IF(DP127&gt;10,DP127/100,VLOOKUP(DP127,_rpe,SUBSTITUTE(DO127,"+","")+1,0)),IF(_xlfn.SWITCH(DK127,"sq",DO$7,"bn",DP$7,"dl",DQ$7,"")&lt;IF(_uom="lbs",175,80),1.25,IF(_uom="lbs",5,2.5))))),"")</f>
        <v/>
      </c>
      <c s="70"/>
      <c s="63"/>
      <c s="97"/>
      <c s="44" t="str">
        <f>IFERROR(__xludf.DUMMYFUNCTION("IF(DQ127=MAX(FILTER(DQ$10:DQ$199,LOOKUP(ROW(DK$10:DK$199),FILTER(ROW(DK$10:DK$199),DK$10:DK$199&lt;&gt;DK$9:DK$198))=LOOKUP(ROW(DK127),FILTER(ROW(DK$10:DK$199),DK$10:DK$199&lt;&gt;DK$9:DK$198)))),DR127,)"),"")</f>
        <v/>
      </c>
      <c s="42"/>
      <c s="63"/>
      <c s="64" t="str">
        <f t="shared" si="32"/>
        <v/>
      </c>
      <c s="65" t="str">
        <f>IFERROR(__xludf.DUMMYFUNCTION("""COMPUTED_VALUE"""),"")</f>
        <v/>
      </c>
      <c s="66">
        <f ca="1"/>
        <v>45271</v>
      </c>
      <c s="93" t="str">
        <f t="shared" si="47"/>
        <v/>
      </c>
      <c s="94" t="str">
        <f t="shared" si="405"/>
        <v/>
      </c>
      <c s="95" t="str">
        <f t="shared" si="421"/>
        <v/>
      </c>
      <c s="98" t="str">
        <f t="shared" si="422"/>
        <v/>
      </c>
      <c s="97" t="str">
        <f t="array" ref="EE127">IFERROR(IF(DY127="ac"+ISNUMBER(SEARCH("'",ED127))+EC127="","",IF(ISNUMBER(SEARCH("lw",ED127)),DQ127+SUBSTITUTE(ED127,"lw+",""),MROUND(_xlfn.SWITCH(DY127,"sq",EC$7,"bn",ED$7,"dl",EE$7,"")*IF(ED127&gt;10,ED127/100,VLOOKUP(ED127,_rpe,SUBSTITUTE(EC127,"+","")+1,0)),IF(_xlfn.SWITCH(DY127,"sq",EC$7,"bn",ED$7,"dl",EE$7,"")&lt;IF(_uom="lbs",175,80),1.25,IF(_uom="lbs",5,2.5))))),"")</f>
        <v/>
      </c>
      <c s="70"/>
      <c s="63"/>
      <c s="97"/>
      <c s="44" t="str">
        <f>IFERROR(__xludf.DUMMYFUNCTION("IF(EE127=MAX(FILTER(EE$10:EE$199,LOOKUP(ROW(DY$10:DY$199),FILTER(ROW(DY$10:DY$199),DY$10:DY$199&lt;&gt;DY$9:DY$198))=LOOKUP(ROW(DY127),FILTER(ROW(DY$10:DY$199),DY$10:DY$199&lt;&gt;DY$9:DY$198)))),EF127,)"),"")</f>
        <v/>
      </c>
      <c s="42"/>
      <c s="63"/>
      <c s="64" t="str">
        <f t="shared" si="34"/>
        <v/>
      </c>
      <c s="65" t="str">
        <f>IFERROR(__xludf.DUMMYFUNCTION("""COMPUTED_VALUE"""),"")</f>
        <v/>
      </c>
      <c s="66">
        <f ca="1"/>
        <v>45278</v>
      </c>
      <c s="93" t="str">
        <f t="shared" si="48"/>
        <v/>
      </c>
      <c s="94" t="str">
        <f t="shared" si="395"/>
        <v/>
      </c>
      <c s="95" t="str">
        <f t="shared" si="423"/>
        <v/>
      </c>
      <c s="98" t="str">
        <f t="shared" si="402"/>
        <v/>
      </c>
      <c s="97" t="str">
        <f t="array" ref="ES127">IFERROR(IF(EM127="ac"+ISNUMBER(SEARCH("'",ER127))+EQ127="","",IF(ISNUMBER(SEARCH("lw",ER127)),EE127+SUBSTITUTE(ER127,"lw+",""),MROUND(_xlfn.SWITCH(EM127,"sq",EQ$7,"bn",ER$7,"dl",ES$7,"")*IF(ER127&gt;10,ER127/100,VLOOKUP(ER127,_rpe,SUBSTITUTE(EQ127,"+","")+1,0)),IF(_xlfn.SWITCH(EM127,"sq",EQ$7,"bn",ER$7,"dl",ES$7,"")&lt;IF(_uom="lbs",175,80),1.25,IF(_uom="lbs",5,2.5))))),"")</f>
        <v/>
      </c>
      <c s="70"/>
      <c s="63"/>
      <c s="97"/>
      <c s="44" t="str">
        <f>IFERROR(__xludf.DUMMYFUNCTION("IF(ES127=MAX(FILTER(ES$10:ES$199,LOOKUP(ROW(EM$10:EM$199),FILTER(ROW(EM$10:EM$199),EM$10:EM$199&lt;&gt;EM$9:EM$198))=LOOKUP(ROW(EM127),FILTER(ROW(EM$10:EM$199),EM$10:EM$199&lt;&gt;EM$9:EM$198)))),ET127,)"),"")</f>
        <v/>
      </c>
      <c s="42"/>
      <c s="63"/>
      <c s="64" t="str">
        <f t="shared" si="36"/>
        <v/>
      </c>
      <c s="65" t="str">
        <f>IFERROR(__xludf.DUMMYFUNCTION("""COMPUTED_VALUE"""),"")</f>
        <v/>
      </c>
      <c s="66">
        <f ca="1"/>
        <v>45285</v>
      </c>
      <c s="93" t="str">
        <f t="shared" si="49"/>
        <v/>
      </c>
      <c s="94" t="str">
        <f t="shared" si="396"/>
        <v/>
      </c>
      <c s="95" t="str">
        <f t="shared" si="424"/>
        <v/>
      </c>
      <c s="98" t="str">
        <f t="shared" si="403"/>
        <v/>
      </c>
      <c s="97" t="str">
        <f t="array" ref="FG127">IFERROR(IF(FA127="ac"+ISNUMBER(SEARCH("'",FF127))+FE127="","",IF(ISNUMBER(SEARCH("lw",FF127)),ES127+SUBSTITUTE(FF127,"lw+",""),MROUND(_xlfn.SWITCH(FA127,"sq",FE$7,"bn",FF$7,"dl",FG$7,"")*IF(FF127&gt;10,FF127/100,VLOOKUP(FF127,_rpe,SUBSTITUTE(FE127,"+","")+1,0)),IF(_xlfn.SWITCH(FA127,"sq",FE$7,"bn",FF$7,"dl",FG$7,"")&lt;IF(_uom="lbs",175,80),1.25,IF(_uom="lbs",5,2.5))))),"")</f>
        <v/>
      </c>
      <c s="70"/>
      <c s="63"/>
      <c s="97"/>
      <c s="44" t="str">
        <f>IFERROR(__xludf.DUMMYFUNCTION("IF(FG127=MAX(FILTER(FG$10:FG$199,LOOKUP(ROW(FA$10:FA$199),FILTER(ROW(FA$10:FA$199),FA$10:FA$199&lt;&gt;FA$9:FA$198))=LOOKUP(ROW(FA127),FILTER(ROW(FA$10:FA$199),FA$10:FA$199&lt;&gt;FA$9:FA$198)))),FH127,)"),"")</f>
        <v/>
      </c>
      <c s="42"/>
      <c s="63"/>
      <c s="64" t="str">
        <f t="shared" si="38"/>
        <v/>
      </c>
      <c s="65" t="str">
        <f>IFERROR(__xludf.DUMMYFUNCTION("""COMPUTED_VALUE"""),"")</f>
        <v/>
      </c>
      <c s="66">
        <f ca="1"/>
        <v>45292</v>
      </c>
      <c s="93" t="str">
        <f t="shared" si="471" ref="FQ127:FR127">IF(ISBLANK(FC127),"",FC127)</f>
        <v/>
      </c>
      <c s="94" t="str">
        <f t="shared" si="471"/>
        <v/>
      </c>
      <c s="95" t="str">
        <f t="shared" si="428"/>
        <v/>
      </c>
      <c s="98" t="str">
        <f t="shared" si="429"/>
        <v/>
      </c>
      <c s="97" t="str">
        <f t="array" ref="FU127">IFERROR(IF(FO127="ac"+ISNUMBER(SEARCH("'",FT127))+FS127="","",IF(ISNUMBER(SEARCH("lw",FT127)),FG127+SUBSTITUTE(FT127,"lw+",""),MROUND(_xlfn.SWITCH(FO127,"sq",FS$7,"bn",FT$7,"dl",FU$7,"")*IF(FT127&gt;10,FT127/100,VLOOKUP(FT127,_rpe,SUBSTITUTE(FS127,"+","")+1,0)),IF(_xlfn.SWITCH(FO127,"sq",FS$7,"bn",FT$7,"dl",FU$7,"")&lt;IF(_uom="lbs",175,80),1.25,IF(_uom="lbs",5,2.5))))),"")</f>
        <v/>
      </c>
      <c s="70"/>
      <c s="63"/>
      <c s="97"/>
      <c s="44" t="str">
        <f>IFERROR(__xludf.DUMMYFUNCTION("IF(FU127=MAX(FILTER(FU$10:FU$199,LOOKUP(ROW(FO$10:FO$199),FILTER(ROW(FO$10:FO$199),FO$10:FO$199&lt;&gt;FO$9:FO$198))=LOOKUP(ROW(FO127),FILTER(ROW(FO$10:FO$199),FO$10:FO$199&lt;&gt;FO$9:FO$198)))),FV127,)"),"")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28" spans="1:259" ht="15.75" collapsed="1">
      <c r="A128" s="63"/>
      <c s="107"/>
      <c s="65" t="str">
        <f>IFERROR(__xludf.DUMMYFUNCTION("""COMPUTED_VALUE"""),"")</f>
        <v/>
      </c>
      <c s="66">
        <f ca="1"/>
        <v>45208</v>
      </c>
      <c s="108"/>
      <c s="94"/>
      <c s="95"/>
      <c s="96"/>
      <c s="97" t="str">
        <f t="array" ref="I128">IFERROR(IF(C128="ac"+ISNUMBER(SEARCH("'",H128))+G128="","",MROUND(_xlfn.SWITCH(C128,"sq",'Personal Info'!$O$15,"bn",'Personal Info'!$S$15,"dl",'Personal Info'!$W$15,"")*IF(H128&gt;10,H128/100,VLOOKUP(H128,_rpe,SUBSTITUTE(G128,"+","")+1,0)),IF(_xlfn.SWITCH(C128:C210,"sq",'Personal Info'!$O$15,"bn",'Personal Info'!$S$15,"dl",'Personal Info'!$W$15,"")&lt;IF(_uom="lbs",175,80),1.25,IF(_uom="lbs",5,2.5)))),"")</f>
        <v/>
      </c>
      <c s="70"/>
      <c s="63"/>
      <c s="97"/>
      <c s="44" t="str">
        <f>IFERROR(__xludf.DUMMYFUNCTION("IF(I128=MAX(FILTER(I$10:I$199,LOOKUP(ROW(C$10:C$199),FILTER(ROW(C$10:C$199),C$10:C$199&lt;&gt;C$9:C$198))=LOOKUP(ROW(C128),FILTER(ROW(C$10:C$199),C$10:C$199&lt;&gt;C$9:C$198)))),J128,)"),"")</f>
        <v/>
      </c>
      <c s="42"/>
      <c s="63"/>
      <c s="64" t="str">
        <f t="shared" si="11"/>
        <v/>
      </c>
      <c s="65" t="str">
        <f>IFERROR(__xludf.DUMMYFUNCTION("""COMPUTED_VALUE"""),"")</f>
        <v/>
      </c>
      <c s="66">
        <f ca="1"/>
        <v>45215</v>
      </c>
      <c s="93" t="str">
        <f t="shared" si="12"/>
        <v/>
      </c>
      <c s="94" t="str">
        <f t="shared" si="404"/>
        <v/>
      </c>
      <c s="95" t="str">
        <f t="shared" si="406"/>
        <v/>
      </c>
      <c s="98" t="str">
        <f t="shared" si="407"/>
        <v/>
      </c>
      <c s="97" t="str">
        <f t="array" ref="W128">IFERROR(IF(Q128="ac"+ISNUMBER(SEARCH("'",V128))+U128="","",IF(ISNUMBER(SEARCH("lw",V128)),I128+SUBSTITUTE(V128,"lw+",""),MROUND(_xlfn.SWITCH(Q128,"sq",U$7,"bn",V$7,"dl",W$7,"")*IF(V128&gt;10,V128/100,VLOOKUP(V128,_rpe,SUBSTITUTE(U128,"+","")+1,0)),IF(_xlfn.SWITCH(Q128,"sq",U$7,"bn",V$7,"dl",W$7,"")&lt;IF(_uom="lbs",175,80),1.25,IF(_uom="lbs",5,2.5))))),"")</f>
        <v/>
      </c>
      <c s="70"/>
      <c s="63"/>
      <c s="97"/>
      <c s="44" t="str">
        <f>IFERROR(__xludf.DUMMYFUNCTION("IF(W128=MAX(FILTER(W$10:W$199,LOOKUP(ROW(Q$10:Q$199),FILTER(ROW(Q$10:Q$199),Q$10:Q$199&lt;&gt;Q$9:Q$198))=LOOKUP(ROW(Q128),FILTER(ROW(Q$10:Q$199),Q$10:Q$199&lt;&gt;Q$9:Q$198)))),X128,)"),"")</f>
        <v/>
      </c>
      <c s="42"/>
      <c s="63"/>
      <c s="64" t="str">
        <f t="shared" si="14"/>
        <v/>
      </c>
      <c s="65" t="str">
        <f>IFERROR(__xludf.DUMMYFUNCTION("""COMPUTED_VALUE"""),"")</f>
        <v/>
      </c>
      <c s="66">
        <f ca="1"/>
        <v>45222</v>
      </c>
      <c s="93" t="str">
        <f t="shared" si="156"/>
        <v/>
      </c>
      <c s="94" t="str">
        <f t="shared" si="397"/>
        <v/>
      </c>
      <c s="95" t="str">
        <f t="shared" si="408"/>
        <v/>
      </c>
      <c s="98" t="str">
        <f t="shared" si="398"/>
        <v/>
      </c>
      <c s="97" t="str">
        <f t="array" ref="AK128">IFERROR(IF(AE128="ac"+ISNUMBER(SEARCH("'",AJ128))+AI128="","",IF(ISNUMBER(SEARCH("lw",AJ128)),W128+SUBSTITUTE(AJ128,"lw+",""),MROUND(_xlfn.SWITCH(AE128,"sq",AI$7,"bn",AJ$7,"dl",AK$7,"")*IF(AJ128&gt;10,AJ128/100,VLOOKUP(AJ128,_rpe,SUBSTITUTE(AI128,"+","")+1,0)),IF(_xlfn.SWITCH(AE128,"sq",AI$7,"bn",AJ$7,"dl",AK$7,"")&lt;IF(_uom="lbs",175,80),1.25,IF(_uom="lbs",5,2.5))))),"")</f>
        <v/>
      </c>
      <c s="70"/>
      <c s="63"/>
      <c s="97"/>
      <c s="44" t="str">
        <f>IFERROR(__xludf.DUMMYFUNCTION("IF(AK128=MAX(FILTER(AK$10:AK$199,LOOKUP(ROW(AE$10:AE$199),FILTER(ROW(AE$10:AE$199),AE$10:AE$199&lt;&gt;AE$9:AE$198))=LOOKUP(ROW(AE128),FILTER(ROW(AE$10:AE$199),AE$10:AE$199&lt;&gt;AE$9:AE$198)))),AL128,)"),"")</f>
        <v/>
      </c>
      <c s="42"/>
      <c s="63"/>
      <c s="64" t="str">
        <f t="shared" si="17"/>
        <v/>
      </c>
      <c s="65" t="str">
        <f>IFERROR(__xludf.DUMMYFUNCTION("""COMPUTED_VALUE"""),"")</f>
        <v/>
      </c>
      <c s="66">
        <f ca="1"/>
        <v>45229</v>
      </c>
      <c s="93" t="str">
        <f t="shared" si="157"/>
        <v/>
      </c>
      <c s="94" t="str">
        <f t="shared" si="399"/>
        <v/>
      </c>
      <c s="95" t="str">
        <f t="shared" si="409"/>
        <v/>
      </c>
      <c s="98" t="str">
        <f t="shared" si="400"/>
        <v/>
      </c>
      <c s="97" t="str">
        <f t="array" ref="AY128">IFERROR(IF(AS128="ac"+ISNUMBER(SEARCH("'",AX128))+AW128="","",IF(ISNUMBER(SEARCH("lw",AX128)),AK128+SUBSTITUTE(AX128,"lw+",""),MROUND(_xlfn.SWITCH(AS128,"sq",AW$7,"bn",AX$7,"dl",AY$7,"")*IF(AX128&gt;10,AX128/100,VLOOKUP(AX128,_rpe,SUBSTITUTE(AW128,"+","")+1,0)),IF(_xlfn.SWITCH(AS128,"sq",AW$7,"bn",AX$7,"dl",AY$7,"")&lt;IF(_uom="lbs",175,80),1.25,IF(_uom="lbs",5,2.5))))),"")</f>
        <v/>
      </c>
      <c s="70"/>
      <c s="63"/>
      <c s="97"/>
      <c s="44" t="str">
        <f>IFERROR(__xludf.DUMMYFUNCTION("IF(AY128=MAX(FILTER(AY$10:AY$199,LOOKUP(ROW(AS$10:AS$199),FILTER(ROW(AS$10:AS$199),AS$10:AS$199&lt;&gt;AS$9:AS$198))=LOOKUP(ROW(AS128),FILTER(ROW(AS$10:AS$199),AS$10:AS$199&lt;&gt;AS$9:AS$198)))),AZ128,)"),"")</f>
        <v/>
      </c>
      <c s="42"/>
      <c s="63"/>
      <c s="64" t="str">
        <f t="shared" si="19"/>
        <v/>
      </c>
      <c s="65" t="str">
        <f>IFERROR(__xludf.DUMMYFUNCTION("""COMPUTED_VALUE"""),"")</f>
        <v/>
      </c>
      <c s="66">
        <f ca="1"/>
        <v>45236</v>
      </c>
      <c s="93" t="str">
        <f t="shared" si="20"/>
        <v/>
      </c>
      <c s="94" t="str">
        <f t="shared" si="425"/>
        <v/>
      </c>
      <c s="95" t="str">
        <f t="shared" si="411"/>
        <v/>
      </c>
      <c s="98" t="str">
        <f t="shared" si="412"/>
        <v/>
      </c>
      <c s="97" t="str">
        <f t="array" ref="BM128">IFERROR(IF(BG128="ac"+ISNUMBER(SEARCH("'",BL128))+BK128="","",IF(ISNUMBER(SEARCH("lw",BL128)),AY128+SUBSTITUTE(BL128,"lw+",""),MROUND(_xlfn.SWITCH(BG128,"sq",BK$7,"bn",BL$7,"dl",BM$7,"")*IF(BL128&gt;10,BL128/100,VLOOKUP(BL128,_rpe,SUBSTITUTE(BK128,"+","")+1,0)),IF(_xlfn.SWITCH(BG128,"sq",BK$7,"bn",BL$7,"dl",BM$7,"")&lt;IF(_uom="lbs",175,80),1.25,IF(_uom="lbs",5,2.5))))),"")</f>
        <v/>
      </c>
      <c s="70"/>
      <c s="63"/>
      <c s="97"/>
      <c s="44" t="str">
        <f>IFERROR(__xludf.DUMMYFUNCTION("IF(BM128=MAX(FILTER(BM$10:BM$199,LOOKUP(ROW(BG$10:BG$199),FILTER(ROW(BG$10:BG$199),BG$10:BG$199&lt;&gt;BG$9:BG$198))=LOOKUP(ROW(BG128),FILTER(ROW(BG$10:BG$199),BG$10:BG$199&lt;&gt;BG$9:BG$198)))),BN128,)"),"")</f>
        <v/>
      </c>
      <c s="42"/>
      <c s="63"/>
      <c s="64" t="str">
        <f t="shared" si="21"/>
        <v/>
      </c>
      <c s="65" t="str">
        <f>IFERROR(__xludf.DUMMYFUNCTION("""COMPUTED_VALUE"""),"")</f>
        <v/>
      </c>
      <c s="66">
        <f ca="1"/>
        <v>45243</v>
      </c>
      <c s="93" t="str">
        <f t="shared" si="22"/>
        <v/>
      </c>
      <c s="94" t="str">
        <f t="shared" si="426"/>
        <v/>
      </c>
      <c s="95" t="str">
        <f t="shared" si="414"/>
        <v/>
      </c>
      <c s="98" t="str">
        <f t="shared" si="415"/>
        <v/>
      </c>
      <c s="97" t="str">
        <f t="array" ref="CA128">IFERROR(IF(BU128="ac"+ISNUMBER(SEARCH("'",BZ128))+BY128="","",IF(ISNUMBER(SEARCH("lw",BZ128)),BM128+SUBSTITUTE(BZ128,"lw+",""),MROUND(_xlfn.SWITCH(BU128,"sq",BY$7,"bn",BZ$7,"dl",CA$7,"")*IF(BZ128&gt;10,BZ128/100,VLOOKUP(BZ128,_rpe,SUBSTITUTE(BY128,"+","")+1,0)),IF(_xlfn.SWITCH(BU128,"sq",BY$7,"bn",BZ$7,"dl",CA$7,"")&lt;IF(_uom="lbs",175,80),1.25,IF(_uom="lbs",5,2.5))))),"")</f>
        <v/>
      </c>
      <c s="70"/>
      <c s="63"/>
      <c s="97"/>
      <c s="44" t="str">
        <f>IFERROR(__xludf.DUMMYFUNCTION("IF(CA128=MAX(FILTER(CA$10:CA$199,LOOKUP(ROW(BU$10:BU$199),FILTER(ROW(BU$10:BU$199),BU$10:BU$199&lt;&gt;BU$9:BU$198))=LOOKUP(ROW(BU128),FILTER(ROW(BU$10:BU$199),BU$10:BU$199&lt;&gt;BU$9:BU$198)))),CB128,)"),"")</f>
        <v/>
      </c>
      <c s="42"/>
      <c s="63"/>
      <c s="64" t="str">
        <f t="shared" si="24"/>
        <v/>
      </c>
      <c s="65" t="str">
        <f>IFERROR(__xludf.DUMMYFUNCTION("""COMPUTED_VALUE"""),"")</f>
        <v/>
      </c>
      <c s="66">
        <f ca="1"/>
        <v>45250</v>
      </c>
      <c s="93" t="str">
        <f t="shared" si="44"/>
        <v/>
      </c>
      <c s="94" t="str">
        <f t="shared" si="392"/>
        <v/>
      </c>
      <c s="95" t="str">
        <f t="shared" si="416"/>
        <v/>
      </c>
      <c s="98" t="str">
        <f t="shared" si="417"/>
        <v/>
      </c>
      <c s="97" t="str">
        <f t="array" ref="CO128">IFERROR(IF(CI128="ac"+ISNUMBER(SEARCH("'",CN128))+CM128="","",IF(ISNUMBER(SEARCH("lw",CN128)),CA128+SUBSTITUTE(CN128,"lw+",""),MROUND(_xlfn.SWITCH(CI128,"sq",CM$7,"bn",CN$7,"dl",CO$7,"")*IF(CN128&gt;10,CN128/100,VLOOKUP(CN128,_rpe,SUBSTITUTE(CM128,"+","")+1,0)),IF(_xlfn.SWITCH(CI128,"sq",CM$7,"bn",CN$7,"dl",CO$7,"")&lt;IF(_uom="lbs",175,80),1.25,IF(_uom="lbs",5,2.5))))),"")</f>
        <v/>
      </c>
      <c s="70"/>
      <c s="63"/>
      <c s="97"/>
      <c s="44" t="str">
        <f>IFERROR(__xludf.DUMMYFUNCTION("IF(CO128=MAX(FILTER(CO$10:CO$199,LOOKUP(ROW(CI$10:CI$199),FILTER(ROW(CI$10:CI$199),CI$10:CI$199&lt;&gt;CI$9:CI$198))=LOOKUP(ROW(CI128),FILTER(ROW(CI$10:CI$199),CI$10:CI$199&lt;&gt;CI$9:CI$198)))),CP128,)"),"")</f>
        <v/>
      </c>
      <c s="42"/>
      <c s="63"/>
      <c s="64" t="str">
        <f t="shared" si="27"/>
        <v/>
      </c>
      <c s="65" t="str">
        <f>IFERROR(__xludf.DUMMYFUNCTION("""COMPUTED_VALUE"""),"")</f>
        <v/>
      </c>
      <c s="66">
        <f ca="1"/>
        <v>45257</v>
      </c>
      <c s="93" t="str">
        <f t="shared" si="45"/>
        <v/>
      </c>
      <c s="94" t="str">
        <f t="shared" si="393"/>
        <v/>
      </c>
      <c s="95" t="str">
        <f t="shared" si="418"/>
        <v/>
      </c>
      <c s="98" t="str">
        <f t="shared" si="401"/>
        <v/>
      </c>
      <c s="97" t="str">
        <f t="array" ref="DC128">IFERROR(IF(CW128="ac"+ISNUMBER(SEARCH("'",DB128))+DA128="","",IF(ISNUMBER(SEARCH("lw",DB128)),CO128+SUBSTITUTE(DB128,"lw+",""),MROUND(_xlfn.SWITCH(CW128,"sq",DA$7,"bn",DB$7,"dl",DC$7,"")*IF(DB128&gt;10,DB128/100,VLOOKUP(DB128,_rpe,SUBSTITUTE(DA128,"+","")+1,0)),IF(_xlfn.SWITCH(CW128,"sq",DA$7,"bn",DB$7,"dl",DC$7,"")&lt;IF(_uom="lbs",175,80),1.25,IF(_uom="lbs",5,2.5))))),"")</f>
        <v/>
      </c>
      <c s="70"/>
      <c s="63"/>
      <c s="97"/>
      <c s="44" t="str">
        <f>IFERROR(__xludf.DUMMYFUNCTION("IF(DC128=MAX(FILTER(DC$10:DC$199,LOOKUP(ROW(CW$10:CW$199),FILTER(ROW(CW$10:CW$199),CW$10:CW$199&lt;&gt;CW$9:CW$198))=LOOKUP(ROW(CW128),FILTER(ROW(CW$10:CW$199),CW$10:CW$199&lt;&gt;CW$9:CW$198)))),DD128,)"),"")</f>
        <v/>
      </c>
      <c s="42"/>
      <c s="63"/>
      <c s="64" t="str">
        <f t="shared" si="30"/>
        <v/>
      </c>
      <c s="65" t="str">
        <f>IFERROR(__xludf.DUMMYFUNCTION("""COMPUTED_VALUE"""),"")</f>
        <v/>
      </c>
      <c s="66">
        <f ca="1"/>
        <v>45264</v>
      </c>
      <c s="93" t="str">
        <f t="shared" si="46"/>
        <v/>
      </c>
      <c s="94" t="str">
        <f t="shared" si="394"/>
        <v/>
      </c>
      <c s="95" t="str">
        <f t="shared" si="419"/>
        <v/>
      </c>
      <c s="98" t="str">
        <f t="shared" si="420"/>
        <v/>
      </c>
      <c s="97" t="str">
        <f t="array" ref="DQ128">IFERROR(IF(DK128="ac"+ISNUMBER(SEARCH("'",DP128))+DO128="","",IF(ISNUMBER(SEARCH("lw",DP128)),DC128+SUBSTITUTE(DP128,"lw+",""),MROUND(_xlfn.SWITCH(DK128,"sq",DO$7,"bn",DP$7,"dl",DQ$7,"")*IF(DP128&gt;10,DP128/100,VLOOKUP(DP128,_rpe,SUBSTITUTE(DO128,"+","")+1,0)),IF(_xlfn.SWITCH(DK128,"sq",DO$7,"bn",DP$7,"dl",DQ$7,"")&lt;IF(_uom="lbs",175,80),1.25,IF(_uom="lbs",5,2.5))))),"")</f>
        <v/>
      </c>
      <c s="70"/>
      <c s="63"/>
      <c s="97"/>
      <c s="44" t="str">
        <f>IFERROR(__xludf.DUMMYFUNCTION("IF(DQ128=MAX(FILTER(DQ$10:DQ$199,LOOKUP(ROW(DK$10:DK$199),FILTER(ROW(DK$10:DK$199),DK$10:DK$199&lt;&gt;DK$9:DK$198))=LOOKUP(ROW(DK128),FILTER(ROW(DK$10:DK$199),DK$10:DK$199&lt;&gt;DK$9:DK$198)))),DR128,)"),"")</f>
        <v/>
      </c>
      <c s="42"/>
      <c s="63"/>
      <c s="64" t="str">
        <f t="shared" si="32"/>
        <v/>
      </c>
      <c s="65" t="str">
        <f>IFERROR(__xludf.DUMMYFUNCTION("""COMPUTED_VALUE"""),"")</f>
        <v/>
      </c>
      <c s="66">
        <f ca="1"/>
        <v>45271</v>
      </c>
      <c s="93" t="str">
        <f t="shared" si="47"/>
        <v/>
      </c>
      <c s="94" t="str">
        <f t="shared" si="405"/>
        <v/>
      </c>
      <c s="95" t="str">
        <f t="shared" si="421"/>
        <v/>
      </c>
      <c s="98" t="str">
        <f t="shared" si="422"/>
        <v/>
      </c>
      <c s="97" t="str">
        <f t="array" ref="EE128">IFERROR(IF(DY128="ac"+ISNUMBER(SEARCH("'",ED128))+EC128="","",IF(ISNUMBER(SEARCH("lw",ED128)),DQ128+SUBSTITUTE(ED128,"lw+",""),MROUND(_xlfn.SWITCH(DY128,"sq",EC$7,"bn",ED$7,"dl",EE$7,"")*IF(ED128&gt;10,ED128/100,VLOOKUP(ED128,_rpe,SUBSTITUTE(EC128,"+","")+1,0)),IF(_xlfn.SWITCH(DY128,"sq",EC$7,"bn",ED$7,"dl",EE$7,"")&lt;IF(_uom="lbs",175,80),1.25,IF(_uom="lbs",5,2.5))))),"")</f>
        <v/>
      </c>
      <c s="70"/>
      <c s="63"/>
      <c s="97"/>
      <c s="44" t="str">
        <f>IFERROR(__xludf.DUMMYFUNCTION("IF(EE128=MAX(FILTER(EE$10:EE$199,LOOKUP(ROW(DY$10:DY$199),FILTER(ROW(DY$10:DY$199),DY$10:DY$199&lt;&gt;DY$9:DY$198))=LOOKUP(ROW(DY128),FILTER(ROW(DY$10:DY$199),DY$10:DY$199&lt;&gt;DY$9:DY$198)))),EF128,)"),"")</f>
        <v/>
      </c>
      <c s="42"/>
      <c s="63"/>
      <c s="64" t="str">
        <f t="shared" si="34"/>
        <v/>
      </c>
      <c s="65" t="str">
        <f>IFERROR(__xludf.DUMMYFUNCTION("""COMPUTED_VALUE"""),"")</f>
        <v/>
      </c>
      <c s="66">
        <f ca="1"/>
        <v>45278</v>
      </c>
      <c s="93" t="str">
        <f t="shared" si="48"/>
        <v/>
      </c>
      <c s="94" t="str">
        <f t="shared" si="395"/>
        <v/>
      </c>
      <c s="95" t="str">
        <f t="shared" si="423"/>
        <v/>
      </c>
      <c s="98" t="str">
        <f t="shared" si="402"/>
        <v/>
      </c>
      <c s="97" t="str">
        <f t="array" ref="ES128">IFERROR(IF(EM128="ac"+ISNUMBER(SEARCH("'",ER128))+EQ128="","",IF(ISNUMBER(SEARCH("lw",ER128)),EE128+SUBSTITUTE(ER128,"lw+",""),MROUND(_xlfn.SWITCH(EM128,"sq",EQ$7,"bn",ER$7,"dl",ES$7,"")*IF(ER128&gt;10,ER128/100,VLOOKUP(ER128,_rpe,SUBSTITUTE(EQ128,"+","")+1,0)),IF(_xlfn.SWITCH(EM128,"sq",EQ$7,"bn",ER$7,"dl",ES$7,"")&lt;IF(_uom="lbs",175,80),1.25,IF(_uom="lbs",5,2.5))))),"")</f>
        <v/>
      </c>
      <c s="70"/>
      <c s="63"/>
      <c s="97"/>
      <c s="44" t="str">
        <f>IFERROR(__xludf.DUMMYFUNCTION("IF(ES128=MAX(FILTER(ES$10:ES$199,LOOKUP(ROW(EM$10:EM$199),FILTER(ROW(EM$10:EM$199),EM$10:EM$199&lt;&gt;EM$9:EM$198))=LOOKUP(ROW(EM128),FILTER(ROW(EM$10:EM$199),EM$10:EM$199&lt;&gt;EM$9:EM$198)))),ET128,)"),"")</f>
        <v/>
      </c>
      <c s="42"/>
      <c s="63"/>
      <c s="64" t="str">
        <f t="shared" si="36"/>
        <v/>
      </c>
      <c s="65" t="str">
        <f>IFERROR(__xludf.DUMMYFUNCTION("""COMPUTED_VALUE"""),"")</f>
        <v/>
      </c>
      <c s="66">
        <f ca="1"/>
        <v>45285</v>
      </c>
      <c s="93" t="str">
        <f t="shared" si="49"/>
        <v/>
      </c>
      <c s="94" t="str">
        <f t="shared" si="396"/>
        <v/>
      </c>
      <c s="95" t="str">
        <f t="shared" si="424"/>
        <v/>
      </c>
      <c s="98" t="str">
        <f t="shared" si="403"/>
        <v/>
      </c>
      <c s="97" t="str">
        <f t="array" ref="FG128">IFERROR(IF(FA128="ac"+ISNUMBER(SEARCH("'",FF128))+FE128="","",IF(ISNUMBER(SEARCH("lw",FF128)),ES128+SUBSTITUTE(FF128,"lw+",""),MROUND(_xlfn.SWITCH(FA128,"sq",FE$7,"bn",FF$7,"dl",FG$7,"")*IF(FF128&gt;10,FF128/100,VLOOKUP(FF128,_rpe,SUBSTITUTE(FE128,"+","")+1,0)),IF(_xlfn.SWITCH(FA128,"sq",FE$7,"bn",FF$7,"dl",FG$7,"")&lt;IF(_uom="lbs",175,80),1.25,IF(_uom="lbs",5,2.5))))),"")</f>
        <v/>
      </c>
      <c s="70"/>
      <c s="63"/>
      <c s="97"/>
      <c s="44" t="str">
        <f>IFERROR(__xludf.DUMMYFUNCTION("IF(FG128=MAX(FILTER(FG$10:FG$199,LOOKUP(ROW(FA$10:FA$199),FILTER(ROW(FA$10:FA$199),FA$10:FA$199&lt;&gt;FA$9:FA$198))=LOOKUP(ROW(FA128),FILTER(ROW(FA$10:FA$199),FA$10:FA$199&lt;&gt;FA$9:FA$198)))),FH128,)"),"")</f>
        <v/>
      </c>
      <c s="42"/>
      <c s="63"/>
      <c s="64" t="str">
        <f t="shared" si="38"/>
        <v/>
      </c>
      <c s="65" t="str">
        <f>IFERROR(__xludf.DUMMYFUNCTION("""COMPUTED_VALUE"""),"")</f>
        <v/>
      </c>
      <c s="66">
        <f ca="1"/>
        <v>45292</v>
      </c>
      <c s="93" t="str">
        <f t="shared" si="472" ref="FQ128:FR128">IF(ISBLANK(FC128),"",FC128)</f>
        <v/>
      </c>
      <c s="94" t="str">
        <f t="shared" si="472"/>
        <v/>
      </c>
      <c s="95" t="str">
        <f t="shared" si="428"/>
        <v/>
      </c>
      <c s="98" t="str">
        <f t="shared" si="429"/>
        <v/>
      </c>
      <c s="97" t="str">
        <f t="array" ref="FU128">IFERROR(IF(FO128="ac"+ISNUMBER(SEARCH("'",FT128))+FS128="","",IF(ISNUMBER(SEARCH("lw",FT128)),FG128+SUBSTITUTE(FT128,"lw+",""),MROUND(_xlfn.SWITCH(FO128,"sq",FS$7,"bn",FT$7,"dl",FU$7,"")*IF(FT128&gt;10,FT128/100,VLOOKUP(FT128,_rpe,SUBSTITUTE(FS128,"+","")+1,0)),IF(_xlfn.SWITCH(FO128,"sq",FS$7,"bn",FT$7,"dl",FU$7,"")&lt;IF(_uom="lbs",175,80),1.25,IF(_uom="lbs",5,2.5))))),"")</f>
        <v/>
      </c>
      <c s="70"/>
      <c s="63"/>
      <c s="97"/>
      <c s="44" t="str">
        <f>IFERROR(__xludf.DUMMYFUNCTION("IF(FU128=MAX(FILTER(FU$10:FU$199,LOOKUP(ROW(FO$10:FO$199),FILTER(ROW(FO$10:FO$199),FO$10:FO$199&lt;&gt;FO$9:FO$198))=LOOKUP(ROW(FO128),FILTER(ROW(FO$10:FO$199),FO$10:FO$199&lt;&gt;FO$9:FO$198)))),FV128,)"),"")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29" spans="1:259" ht="15.75" hidden="1" outlineLevel="1">
      <c r="A129" s="63"/>
      <c s="107"/>
      <c s="65" t="str">
        <f>IFERROR(__xludf.DUMMYFUNCTION("""COMPUTED_VALUE"""),"")</f>
        <v/>
      </c>
      <c s="66">
        <f ca="1"/>
        <v>45208</v>
      </c>
      <c s="108"/>
      <c s="94"/>
      <c s="95"/>
      <c s="96"/>
      <c s="97" t="str">
        <f t="array" ref="I129">IFERROR(IF(C129="ac"+ISNUMBER(SEARCH("'",H129))+G129="","",MROUND(_xlfn.SWITCH(C129,"sq",'Personal Info'!$O$15,"bn",'Personal Info'!$S$15,"dl",'Personal Info'!$W$15,"")*IF(H129&gt;10,H129/100,VLOOKUP(H129,_rpe,SUBSTITUTE(G129,"+","")+1,0)),IF(_xlfn.SWITCH(C129:C210,"sq",'Personal Info'!$O$15,"bn",'Personal Info'!$S$15,"dl",'Personal Info'!$W$15,"")&lt;IF(_uom="lbs",175,80),1.25,IF(_uom="lbs",5,2.5)))),"")</f>
        <v/>
      </c>
      <c s="70"/>
      <c s="63"/>
      <c s="97"/>
      <c s="44" t="str">
        <f>IFERROR(__xludf.DUMMYFUNCTION("IF(I129=MAX(FILTER(I$10:I$199,LOOKUP(ROW(C$10:C$199),FILTER(ROW(C$10:C$199),C$10:C$199&lt;&gt;C$9:C$198))=LOOKUP(ROW(C129),FILTER(ROW(C$10:C$199),C$10:C$199&lt;&gt;C$9:C$198)))),J129,)"),"")</f>
        <v/>
      </c>
      <c s="42"/>
      <c s="63"/>
      <c s="64" t="str">
        <f t="shared" si="11"/>
        <v/>
      </c>
      <c s="65" t="str">
        <f>IFERROR(__xludf.DUMMYFUNCTION("""COMPUTED_VALUE"""),"")</f>
        <v/>
      </c>
      <c s="66">
        <f ca="1"/>
        <v>45215</v>
      </c>
      <c s="93" t="str">
        <f t="shared" si="12"/>
        <v/>
      </c>
      <c s="94" t="str">
        <f t="shared" si="404"/>
        <v/>
      </c>
      <c s="95" t="str">
        <f t="shared" si="406"/>
        <v/>
      </c>
      <c s="98" t="str">
        <f t="shared" si="407"/>
        <v/>
      </c>
      <c s="97" t="str">
        <f t="array" ref="W129">IFERROR(IF(Q129="ac"+ISNUMBER(SEARCH("'",V129))+U129="","",IF(ISNUMBER(SEARCH("lw",V129)),I129+SUBSTITUTE(V129,"lw+",""),MROUND(_xlfn.SWITCH(Q129,"sq",U$7,"bn",V$7,"dl",W$7,"")*IF(V129&gt;10,V129/100,VLOOKUP(V129,_rpe,SUBSTITUTE(U129,"+","")+1,0)),IF(_xlfn.SWITCH(Q129,"sq",U$7,"bn",V$7,"dl",W$7,"")&lt;IF(_uom="lbs",175,80),1.25,IF(_uom="lbs",5,2.5))))),"")</f>
        <v/>
      </c>
      <c s="70"/>
      <c s="63"/>
      <c s="97"/>
      <c s="44" t="str">
        <f>IFERROR(__xludf.DUMMYFUNCTION("IF(W129=MAX(FILTER(W$10:W$199,LOOKUP(ROW(Q$10:Q$199),FILTER(ROW(Q$10:Q$199),Q$10:Q$199&lt;&gt;Q$9:Q$198))=LOOKUP(ROW(Q129),FILTER(ROW(Q$10:Q$199),Q$10:Q$199&lt;&gt;Q$9:Q$198)))),X129,)"),"")</f>
        <v/>
      </c>
      <c s="42"/>
      <c s="63"/>
      <c s="64" t="str">
        <f t="shared" si="14"/>
        <v/>
      </c>
      <c s="65" t="str">
        <f>IFERROR(__xludf.DUMMYFUNCTION("""COMPUTED_VALUE"""),"")</f>
        <v/>
      </c>
      <c s="66">
        <f ca="1"/>
        <v>45222</v>
      </c>
      <c s="93" t="str">
        <f t="shared" si="156"/>
        <v/>
      </c>
      <c s="94" t="str">
        <f t="shared" si="397"/>
        <v/>
      </c>
      <c s="95" t="str">
        <f t="shared" si="408"/>
        <v/>
      </c>
      <c s="98" t="str">
        <f t="shared" si="398"/>
        <v/>
      </c>
      <c s="97" t="str">
        <f t="array" ref="AK129">IFERROR(IF(AE129="ac"+ISNUMBER(SEARCH("'",AJ129))+AI129="","",IF(ISNUMBER(SEARCH("lw",AJ129)),W129+SUBSTITUTE(AJ129,"lw+",""),MROUND(_xlfn.SWITCH(AE129,"sq",AI$7,"bn",AJ$7,"dl",AK$7,"")*IF(AJ129&gt;10,AJ129/100,VLOOKUP(AJ129,_rpe,SUBSTITUTE(AI129,"+","")+1,0)),IF(_xlfn.SWITCH(AE129,"sq",AI$7,"bn",AJ$7,"dl",AK$7,"")&lt;IF(_uom="lbs",175,80),1.25,IF(_uom="lbs",5,2.5))))),"")</f>
        <v/>
      </c>
      <c s="70"/>
      <c s="63"/>
      <c s="97"/>
      <c s="44" t="str">
        <f>IFERROR(__xludf.DUMMYFUNCTION("IF(AK129=MAX(FILTER(AK$10:AK$199,LOOKUP(ROW(AE$10:AE$199),FILTER(ROW(AE$10:AE$199),AE$10:AE$199&lt;&gt;AE$9:AE$198))=LOOKUP(ROW(AE129),FILTER(ROW(AE$10:AE$199),AE$10:AE$199&lt;&gt;AE$9:AE$198)))),AL129,)"),"")</f>
        <v/>
      </c>
      <c s="42"/>
      <c s="63"/>
      <c s="64" t="str">
        <f t="shared" si="17"/>
        <v/>
      </c>
      <c s="65" t="str">
        <f>IFERROR(__xludf.DUMMYFUNCTION("""COMPUTED_VALUE"""),"")</f>
        <v/>
      </c>
      <c s="66">
        <f ca="1"/>
        <v>45229</v>
      </c>
      <c s="93" t="str">
        <f t="shared" si="157"/>
        <v/>
      </c>
      <c s="94" t="str">
        <f t="shared" si="399"/>
        <v/>
      </c>
      <c s="95" t="str">
        <f t="shared" si="409"/>
        <v/>
      </c>
      <c s="98" t="str">
        <f t="shared" si="400"/>
        <v/>
      </c>
      <c s="97" t="str">
        <f t="array" ref="AY129">IFERROR(IF(AS129="ac"+ISNUMBER(SEARCH("'",AX129))+AW129="","",IF(ISNUMBER(SEARCH("lw",AX129)),AK129+SUBSTITUTE(AX129,"lw+",""),MROUND(_xlfn.SWITCH(AS129,"sq",AW$7,"bn",AX$7,"dl",AY$7,"")*IF(AX129&gt;10,AX129/100,VLOOKUP(AX129,_rpe,SUBSTITUTE(AW129,"+","")+1,0)),IF(_xlfn.SWITCH(AS129,"sq",AW$7,"bn",AX$7,"dl",AY$7,"")&lt;IF(_uom="lbs",175,80),1.25,IF(_uom="lbs",5,2.5))))),"")</f>
        <v/>
      </c>
      <c s="70"/>
      <c s="63"/>
      <c s="97"/>
      <c s="44" t="str">
        <f>IFERROR(__xludf.DUMMYFUNCTION("IF(AY129=MAX(FILTER(AY$10:AY$199,LOOKUP(ROW(AS$10:AS$199),FILTER(ROW(AS$10:AS$199),AS$10:AS$199&lt;&gt;AS$9:AS$198))=LOOKUP(ROW(AS129),FILTER(ROW(AS$10:AS$199),AS$10:AS$199&lt;&gt;AS$9:AS$198)))),AZ129,)"),"")</f>
        <v/>
      </c>
      <c s="42"/>
      <c s="63"/>
      <c s="64" t="str">
        <f t="shared" si="19"/>
        <v/>
      </c>
      <c s="65" t="str">
        <f>IFERROR(__xludf.DUMMYFUNCTION("""COMPUTED_VALUE"""),"")</f>
        <v/>
      </c>
      <c s="66">
        <f ca="1"/>
        <v>45236</v>
      </c>
      <c s="93" t="str">
        <f t="shared" si="20"/>
        <v/>
      </c>
      <c s="94" t="str">
        <f t="shared" si="425"/>
        <v/>
      </c>
      <c s="95" t="str">
        <f t="shared" si="411"/>
        <v/>
      </c>
      <c s="98" t="str">
        <f t="shared" si="412"/>
        <v/>
      </c>
      <c s="97" t="str">
        <f t="array" ref="BM129">IFERROR(IF(BG129="ac"+ISNUMBER(SEARCH("'",BL129))+BK129="","",IF(ISNUMBER(SEARCH("lw",BL129)),AY129+SUBSTITUTE(BL129,"lw+",""),MROUND(_xlfn.SWITCH(BG129,"sq",BK$7,"bn",BL$7,"dl",BM$7,"")*IF(BL129&gt;10,BL129/100,VLOOKUP(BL129,_rpe,SUBSTITUTE(BK129,"+","")+1,0)),IF(_xlfn.SWITCH(BG129,"sq",BK$7,"bn",BL$7,"dl",BM$7,"")&lt;IF(_uom="lbs",175,80),1.25,IF(_uom="lbs",5,2.5))))),"")</f>
        <v/>
      </c>
      <c s="70"/>
      <c s="63"/>
      <c s="97"/>
      <c s="44" t="str">
        <f>IFERROR(__xludf.DUMMYFUNCTION("IF(BM129=MAX(FILTER(BM$10:BM$199,LOOKUP(ROW(BG$10:BG$199),FILTER(ROW(BG$10:BG$199),BG$10:BG$199&lt;&gt;BG$9:BG$198))=LOOKUP(ROW(BG129),FILTER(ROW(BG$10:BG$199),BG$10:BG$199&lt;&gt;BG$9:BG$198)))),BN129,)"),"")</f>
        <v/>
      </c>
      <c s="42"/>
      <c s="63"/>
      <c s="64" t="str">
        <f t="shared" si="21"/>
        <v/>
      </c>
      <c s="65" t="str">
        <f>IFERROR(__xludf.DUMMYFUNCTION("""COMPUTED_VALUE"""),"")</f>
        <v/>
      </c>
      <c s="66">
        <f ca="1"/>
        <v>45243</v>
      </c>
      <c s="93" t="str">
        <f t="shared" si="22"/>
        <v/>
      </c>
      <c s="94" t="str">
        <f t="shared" si="426"/>
        <v/>
      </c>
      <c s="95" t="str">
        <f t="shared" si="414"/>
        <v/>
      </c>
      <c s="98" t="str">
        <f t="shared" si="415"/>
        <v/>
      </c>
      <c s="97" t="str">
        <f t="array" ref="CA129">IFERROR(IF(BU129="ac"+ISNUMBER(SEARCH("'",BZ129))+BY129="","",IF(ISNUMBER(SEARCH("lw",BZ129)),BM129+SUBSTITUTE(BZ129,"lw+",""),MROUND(_xlfn.SWITCH(BU129,"sq",BY$7,"bn",BZ$7,"dl",CA$7,"")*IF(BZ129&gt;10,BZ129/100,VLOOKUP(BZ129,_rpe,SUBSTITUTE(BY129,"+","")+1,0)),IF(_xlfn.SWITCH(BU129,"sq",BY$7,"bn",BZ$7,"dl",CA$7,"")&lt;IF(_uom="lbs",175,80),1.25,IF(_uom="lbs",5,2.5))))),"")</f>
        <v/>
      </c>
      <c s="70"/>
      <c s="63"/>
      <c s="97"/>
      <c s="44" t="str">
        <f>IFERROR(__xludf.DUMMYFUNCTION("IF(CA129=MAX(FILTER(CA$10:CA$199,LOOKUP(ROW(BU$10:BU$199),FILTER(ROW(BU$10:BU$199),BU$10:BU$199&lt;&gt;BU$9:BU$198))=LOOKUP(ROW(BU129),FILTER(ROW(BU$10:BU$199),BU$10:BU$199&lt;&gt;BU$9:BU$198)))),CB129,)"),"")</f>
        <v/>
      </c>
      <c s="42"/>
      <c s="63"/>
      <c s="64" t="str">
        <f t="shared" si="24"/>
        <v/>
      </c>
      <c s="65" t="str">
        <f>IFERROR(__xludf.DUMMYFUNCTION("""COMPUTED_VALUE"""),"")</f>
        <v/>
      </c>
      <c s="66">
        <f ca="1"/>
        <v>45250</v>
      </c>
      <c s="93" t="str">
        <f t="shared" si="44"/>
        <v/>
      </c>
      <c s="94" t="str">
        <f t="shared" si="392"/>
        <v/>
      </c>
      <c s="95" t="str">
        <f t="shared" si="416"/>
        <v/>
      </c>
      <c s="98" t="str">
        <f t="shared" si="417"/>
        <v/>
      </c>
      <c s="97" t="str">
        <f t="array" ref="CO129">IFERROR(IF(CI129="ac"+ISNUMBER(SEARCH("'",CN129))+CM129="","",IF(ISNUMBER(SEARCH("lw",CN129)),CA129+SUBSTITUTE(CN129,"lw+",""),MROUND(_xlfn.SWITCH(CI129,"sq",CM$7,"bn",CN$7,"dl",CO$7,"")*IF(CN129&gt;10,CN129/100,VLOOKUP(CN129,_rpe,SUBSTITUTE(CM129,"+","")+1,0)),IF(_xlfn.SWITCH(CI129,"sq",CM$7,"bn",CN$7,"dl",CO$7,"")&lt;IF(_uom="lbs",175,80),1.25,IF(_uom="lbs",5,2.5))))),"")</f>
        <v/>
      </c>
      <c s="70"/>
      <c s="63"/>
      <c s="97"/>
      <c s="44" t="str">
        <f>IFERROR(__xludf.DUMMYFUNCTION("IF(CO129=MAX(FILTER(CO$10:CO$199,LOOKUP(ROW(CI$10:CI$199),FILTER(ROW(CI$10:CI$199),CI$10:CI$199&lt;&gt;CI$9:CI$198))=LOOKUP(ROW(CI129),FILTER(ROW(CI$10:CI$199),CI$10:CI$199&lt;&gt;CI$9:CI$198)))),CP129,)"),"")</f>
        <v/>
      </c>
      <c s="42"/>
      <c s="63"/>
      <c s="64" t="str">
        <f t="shared" si="27"/>
        <v/>
      </c>
      <c s="65" t="str">
        <f>IFERROR(__xludf.DUMMYFUNCTION("""COMPUTED_VALUE"""),"")</f>
        <v/>
      </c>
      <c s="66">
        <f ca="1"/>
        <v>45257</v>
      </c>
      <c s="93" t="str">
        <f t="shared" si="45"/>
        <v/>
      </c>
      <c s="94" t="str">
        <f t="shared" si="393"/>
        <v/>
      </c>
      <c s="95" t="str">
        <f t="shared" si="418"/>
        <v/>
      </c>
      <c s="98" t="str">
        <f t="shared" si="401"/>
        <v/>
      </c>
      <c s="97" t="str">
        <f t="array" ref="DC129">IFERROR(IF(CW129="ac"+ISNUMBER(SEARCH("'",DB129))+DA129="","",IF(ISNUMBER(SEARCH("lw",DB129)),CO129+SUBSTITUTE(DB129,"lw+",""),MROUND(_xlfn.SWITCH(CW129,"sq",DA$7,"bn",DB$7,"dl",DC$7,"")*IF(DB129&gt;10,DB129/100,VLOOKUP(DB129,_rpe,SUBSTITUTE(DA129,"+","")+1,0)),IF(_xlfn.SWITCH(CW129,"sq",DA$7,"bn",DB$7,"dl",DC$7,"")&lt;IF(_uom="lbs",175,80),1.25,IF(_uom="lbs",5,2.5))))),"")</f>
        <v/>
      </c>
      <c s="70"/>
      <c s="63"/>
      <c s="97"/>
      <c s="44" t="str">
        <f>IFERROR(__xludf.DUMMYFUNCTION("IF(DC129=MAX(FILTER(DC$10:DC$199,LOOKUP(ROW(CW$10:CW$199),FILTER(ROW(CW$10:CW$199),CW$10:CW$199&lt;&gt;CW$9:CW$198))=LOOKUP(ROW(CW129),FILTER(ROW(CW$10:CW$199),CW$10:CW$199&lt;&gt;CW$9:CW$198)))),DD129,)"),"")</f>
        <v/>
      </c>
      <c s="42"/>
      <c s="63"/>
      <c s="64" t="str">
        <f t="shared" si="30"/>
        <v/>
      </c>
      <c s="65" t="str">
        <f>IFERROR(__xludf.DUMMYFUNCTION("""COMPUTED_VALUE"""),"")</f>
        <v/>
      </c>
      <c s="66">
        <f ca="1"/>
        <v>45264</v>
      </c>
      <c s="93" t="str">
        <f t="shared" si="46"/>
        <v/>
      </c>
      <c s="94" t="str">
        <f t="shared" si="394"/>
        <v/>
      </c>
      <c s="95" t="str">
        <f t="shared" si="419"/>
        <v/>
      </c>
      <c s="98" t="str">
        <f t="shared" si="420"/>
        <v/>
      </c>
      <c s="97" t="str">
        <f t="array" ref="DQ129">IFERROR(IF(DK129="ac"+ISNUMBER(SEARCH("'",DP129))+DO129="","",IF(ISNUMBER(SEARCH("lw",DP129)),DC129+SUBSTITUTE(DP129,"lw+",""),MROUND(_xlfn.SWITCH(DK129,"sq",DO$7,"bn",DP$7,"dl",DQ$7,"")*IF(DP129&gt;10,DP129/100,VLOOKUP(DP129,_rpe,SUBSTITUTE(DO129,"+","")+1,0)),IF(_xlfn.SWITCH(DK129,"sq",DO$7,"bn",DP$7,"dl",DQ$7,"")&lt;IF(_uom="lbs",175,80),1.25,IF(_uom="lbs",5,2.5))))),"")</f>
        <v/>
      </c>
      <c s="70"/>
      <c s="63"/>
      <c s="97"/>
      <c s="44" t="str">
        <f>IFERROR(__xludf.DUMMYFUNCTION("IF(DQ129=MAX(FILTER(DQ$10:DQ$199,LOOKUP(ROW(DK$10:DK$199),FILTER(ROW(DK$10:DK$199),DK$10:DK$199&lt;&gt;DK$9:DK$198))=LOOKUP(ROW(DK129),FILTER(ROW(DK$10:DK$199),DK$10:DK$199&lt;&gt;DK$9:DK$198)))),DR129,)"),"")</f>
        <v/>
      </c>
      <c s="42"/>
      <c s="63"/>
      <c s="64" t="str">
        <f t="shared" si="32"/>
        <v/>
      </c>
      <c s="65" t="str">
        <f>IFERROR(__xludf.DUMMYFUNCTION("""COMPUTED_VALUE"""),"")</f>
        <v/>
      </c>
      <c s="66">
        <f ca="1"/>
        <v>45271</v>
      </c>
      <c s="93" t="str">
        <f t="shared" si="47"/>
        <v/>
      </c>
      <c s="94" t="str">
        <f t="shared" si="405"/>
        <v/>
      </c>
      <c s="95" t="str">
        <f t="shared" si="421"/>
        <v/>
      </c>
      <c s="98" t="str">
        <f t="shared" si="422"/>
        <v/>
      </c>
      <c s="97" t="str">
        <f t="array" ref="EE129">IFERROR(IF(DY129="ac"+ISNUMBER(SEARCH("'",ED129))+EC129="","",IF(ISNUMBER(SEARCH("lw",ED129)),DQ129+SUBSTITUTE(ED129,"lw+",""),MROUND(_xlfn.SWITCH(DY129,"sq",EC$7,"bn",ED$7,"dl",EE$7,"")*IF(ED129&gt;10,ED129/100,VLOOKUP(ED129,_rpe,SUBSTITUTE(EC129,"+","")+1,0)),IF(_xlfn.SWITCH(DY129,"sq",EC$7,"bn",ED$7,"dl",EE$7,"")&lt;IF(_uom="lbs",175,80),1.25,IF(_uom="lbs",5,2.5))))),"")</f>
        <v/>
      </c>
      <c s="70"/>
      <c s="63"/>
      <c s="97"/>
      <c s="44" t="str">
        <f>IFERROR(__xludf.DUMMYFUNCTION("IF(EE129=MAX(FILTER(EE$10:EE$199,LOOKUP(ROW(DY$10:DY$199),FILTER(ROW(DY$10:DY$199),DY$10:DY$199&lt;&gt;DY$9:DY$198))=LOOKUP(ROW(DY129),FILTER(ROW(DY$10:DY$199),DY$10:DY$199&lt;&gt;DY$9:DY$198)))),EF129,)"),"")</f>
        <v/>
      </c>
      <c s="42"/>
      <c s="63"/>
      <c s="64" t="str">
        <f t="shared" si="34"/>
        <v/>
      </c>
      <c s="65" t="str">
        <f>IFERROR(__xludf.DUMMYFUNCTION("""COMPUTED_VALUE"""),"")</f>
        <v/>
      </c>
      <c s="66">
        <f ca="1"/>
        <v>45278</v>
      </c>
      <c s="93" t="str">
        <f t="shared" si="48"/>
        <v/>
      </c>
      <c s="94" t="str">
        <f t="shared" si="395"/>
        <v/>
      </c>
      <c s="95" t="str">
        <f t="shared" si="423"/>
        <v/>
      </c>
      <c s="98" t="str">
        <f t="shared" si="402"/>
        <v/>
      </c>
      <c s="97" t="str">
        <f t="array" ref="ES129">IFERROR(IF(EM129="ac"+ISNUMBER(SEARCH("'",ER129))+EQ129="","",IF(ISNUMBER(SEARCH("lw",ER129)),EE129+SUBSTITUTE(ER129,"lw+",""),MROUND(_xlfn.SWITCH(EM129,"sq",EQ$7,"bn",ER$7,"dl",ES$7,"")*IF(ER129&gt;10,ER129/100,VLOOKUP(ER129,_rpe,SUBSTITUTE(EQ129,"+","")+1,0)),IF(_xlfn.SWITCH(EM129,"sq",EQ$7,"bn",ER$7,"dl",ES$7,"")&lt;IF(_uom="lbs",175,80),1.25,IF(_uom="lbs",5,2.5))))),"")</f>
        <v/>
      </c>
      <c s="70"/>
      <c s="63"/>
      <c s="97"/>
      <c s="44" t="str">
        <f>IFERROR(__xludf.DUMMYFUNCTION("IF(ES129=MAX(FILTER(ES$10:ES$199,LOOKUP(ROW(EM$10:EM$199),FILTER(ROW(EM$10:EM$199),EM$10:EM$199&lt;&gt;EM$9:EM$198))=LOOKUP(ROW(EM129),FILTER(ROW(EM$10:EM$199),EM$10:EM$199&lt;&gt;EM$9:EM$198)))),ET129,)"),"")</f>
        <v/>
      </c>
      <c s="42"/>
      <c s="63"/>
      <c s="64" t="str">
        <f t="shared" si="36"/>
        <v/>
      </c>
      <c s="65" t="str">
        <f>IFERROR(__xludf.DUMMYFUNCTION("""COMPUTED_VALUE"""),"")</f>
        <v/>
      </c>
      <c s="66">
        <f ca="1"/>
        <v>45285</v>
      </c>
      <c s="93" t="str">
        <f t="shared" si="49"/>
        <v/>
      </c>
      <c s="94" t="str">
        <f t="shared" si="396"/>
        <v/>
      </c>
      <c s="95" t="str">
        <f t="shared" si="424"/>
        <v/>
      </c>
      <c s="98" t="str">
        <f t="shared" si="403"/>
        <v/>
      </c>
      <c s="97" t="str">
        <f t="array" ref="FG129">IFERROR(IF(FA129="ac"+ISNUMBER(SEARCH("'",FF129))+FE129="","",IF(ISNUMBER(SEARCH("lw",FF129)),ES129+SUBSTITUTE(FF129,"lw+",""),MROUND(_xlfn.SWITCH(FA129,"sq",FE$7,"bn",FF$7,"dl",FG$7,"")*IF(FF129&gt;10,FF129/100,VLOOKUP(FF129,_rpe,SUBSTITUTE(FE129,"+","")+1,0)),IF(_xlfn.SWITCH(FA129,"sq",FE$7,"bn",FF$7,"dl",FG$7,"")&lt;IF(_uom="lbs",175,80),1.25,IF(_uom="lbs",5,2.5))))),"")</f>
        <v/>
      </c>
      <c s="70"/>
      <c s="63"/>
      <c s="97"/>
      <c s="44" t="str">
        <f>IFERROR(__xludf.DUMMYFUNCTION("IF(FG129=MAX(FILTER(FG$10:FG$199,LOOKUP(ROW(FA$10:FA$199),FILTER(ROW(FA$10:FA$199),FA$10:FA$199&lt;&gt;FA$9:FA$198))=LOOKUP(ROW(FA129),FILTER(ROW(FA$10:FA$199),FA$10:FA$199&lt;&gt;FA$9:FA$198)))),FH129,)"),"")</f>
        <v/>
      </c>
      <c s="42"/>
      <c s="63"/>
      <c s="64" t="str">
        <f t="shared" si="38"/>
        <v/>
      </c>
      <c s="65" t="str">
        <f>IFERROR(__xludf.DUMMYFUNCTION("""COMPUTED_VALUE"""),"")</f>
        <v/>
      </c>
      <c s="66">
        <f ca="1"/>
        <v>45292</v>
      </c>
      <c s="93" t="str">
        <f t="shared" si="473" ref="FQ129:FR129">IF(ISBLANK(FC129),"",FC129)</f>
        <v/>
      </c>
      <c s="94" t="str">
        <f t="shared" si="473"/>
        <v/>
      </c>
      <c s="95" t="str">
        <f t="shared" si="428"/>
        <v/>
      </c>
      <c s="98" t="str">
        <f t="shared" si="429"/>
        <v/>
      </c>
      <c s="97" t="str">
        <f t="array" ref="FU129">IFERROR(IF(FO129="ac"+ISNUMBER(SEARCH("'",FT129))+FS129="","",IF(ISNUMBER(SEARCH("lw",FT129)),FG129+SUBSTITUTE(FT129,"lw+",""),MROUND(_xlfn.SWITCH(FO129,"sq",FS$7,"bn",FT$7,"dl",FU$7,"")*IF(FT129&gt;10,FT129/100,VLOOKUP(FT129,_rpe,SUBSTITUTE(FS129,"+","")+1,0)),IF(_xlfn.SWITCH(FO129,"sq",FS$7,"bn",FT$7,"dl",FU$7,"")&lt;IF(_uom="lbs",175,80),1.25,IF(_uom="lbs",5,2.5))))),"")</f>
        <v/>
      </c>
      <c s="70"/>
      <c s="63"/>
      <c s="97"/>
      <c s="44" t="str">
        <f>IFERROR(__xludf.DUMMYFUNCTION("IF(FU129=MAX(FILTER(FU$10:FU$199,LOOKUP(ROW(FO$10:FO$199),FILTER(ROW(FO$10:FO$199),FO$10:FO$199&lt;&gt;FO$9:FO$198))=LOOKUP(ROW(FO129),FILTER(ROW(FO$10:FO$199),FO$10:FO$199&lt;&gt;FO$9:FO$198)))),FV129,)"),"")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30" spans="1:259" ht="15.75" hidden="1" outlineLevel="1">
      <c r="A130" s="63"/>
      <c s="107"/>
      <c s="65" t="str">
        <f>IFERROR(__xludf.DUMMYFUNCTION("""COMPUTED_VALUE"""),"")</f>
        <v/>
      </c>
      <c s="66">
        <f ca="1"/>
        <v>45208</v>
      </c>
      <c s="108"/>
      <c s="94"/>
      <c s="95"/>
      <c s="96"/>
      <c s="97" t="str">
        <f t="array" ref="I130">IFERROR(IF(C130="ac"+ISNUMBER(SEARCH("'",H130))+G130="","",MROUND(_xlfn.SWITCH(C130,"sq",'Personal Info'!$O$15,"bn",'Personal Info'!$S$15,"dl",'Personal Info'!$W$15,"")*IF(H130&gt;10,H130/100,VLOOKUP(H130,_rpe,SUBSTITUTE(G130,"+","")+1,0)),IF(_xlfn.SWITCH(C130:C210,"sq",'Personal Info'!$O$15,"bn",'Personal Info'!$S$15,"dl",'Personal Info'!$W$15,"")&lt;IF(_uom="lbs",175,80),1.25,IF(_uom="lbs",5,2.5)))),"")</f>
        <v/>
      </c>
      <c s="70"/>
      <c s="63"/>
      <c s="97"/>
      <c s="44" t="str">
        <f>IFERROR(__xludf.DUMMYFUNCTION("IF(I130=MAX(FILTER(I$10:I$199,LOOKUP(ROW(C$10:C$199),FILTER(ROW(C$10:C$199),C$10:C$199&lt;&gt;C$9:C$198))=LOOKUP(ROW(C130),FILTER(ROW(C$10:C$199),C$10:C$199&lt;&gt;C$9:C$198)))),J130,)"),"")</f>
        <v/>
      </c>
      <c s="42"/>
      <c s="63"/>
      <c s="64" t="str">
        <f t="shared" si="11"/>
        <v/>
      </c>
      <c s="65" t="str">
        <f>IFERROR(__xludf.DUMMYFUNCTION("""COMPUTED_VALUE"""),"")</f>
        <v/>
      </c>
      <c s="66">
        <f ca="1"/>
        <v>45215</v>
      </c>
      <c s="93" t="str">
        <f t="shared" si="12"/>
        <v/>
      </c>
      <c s="94" t="str">
        <f t="shared" si="404"/>
        <v/>
      </c>
      <c s="95" t="str">
        <f t="shared" si="406"/>
        <v/>
      </c>
      <c s="98" t="str">
        <f t="shared" si="407"/>
        <v/>
      </c>
      <c s="97" t="str">
        <f t="array" ref="W130">IFERROR(IF(Q130="ac"+ISNUMBER(SEARCH("'",V130))+U130="","",IF(ISNUMBER(SEARCH("lw",V130)),I130+SUBSTITUTE(V130,"lw+",""),MROUND(_xlfn.SWITCH(Q130,"sq",U$7,"bn",V$7,"dl",W$7,"")*IF(V130&gt;10,V130/100,VLOOKUP(V130,_rpe,SUBSTITUTE(U130,"+","")+1,0)),IF(_xlfn.SWITCH(Q130,"sq",U$7,"bn",V$7,"dl",W$7,"")&lt;IF(_uom="lbs",175,80),1.25,IF(_uom="lbs",5,2.5))))),"")</f>
        <v/>
      </c>
      <c s="70"/>
      <c s="63"/>
      <c s="97"/>
      <c s="44" t="str">
        <f>IFERROR(__xludf.DUMMYFUNCTION("IF(W130=MAX(FILTER(W$10:W$199,LOOKUP(ROW(Q$10:Q$199),FILTER(ROW(Q$10:Q$199),Q$10:Q$199&lt;&gt;Q$9:Q$198))=LOOKUP(ROW(Q130),FILTER(ROW(Q$10:Q$199),Q$10:Q$199&lt;&gt;Q$9:Q$198)))),X130,)"),"")</f>
        <v/>
      </c>
      <c s="42"/>
      <c s="63"/>
      <c s="64" t="str">
        <f t="shared" si="14"/>
        <v/>
      </c>
      <c s="65" t="str">
        <f>IFERROR(__xludf.DUMMYFUNCTION("""COMPUTED_VALUE"""),"")</f>
        <v/>
      </c>
      <c s="66">
        <f ca="1"/>
        <v>45222</v>
      </c>
      <c s="93" t="str">
        <f t="shared" si="156"/>
        <v/>
      </c>
      <c s="94" t="str">
        <f t="shared" si="397"/>
        <v/>
      </c>
      <c s="95" t="str">
        <f t="shared" si="408"/>
        <v/>
      </c>
      <c s="98" t="str">
        <f t="shared" si="398"/>
        <v/>
      </c>
      <c s="97" t="str">
        <f t="array" ref="AK130">IFERROR(IF(AE130="ac"+ISNUMBER(SEARCH("'",AJ130))+AI130="","",IF(ISNUMBER(SEARCH("lw",AJ130)),W130+SUBSTITUTE(AJ130,"lw+",""),MROUND(_xlfn.SWITCH(AE130,"sq",AI$7,"bn",AJ$7,"dl",AK$7,"")*IF(AJ130&gt;10,AJ130/100,VLOOKUP(AJ130,_rpe,SUBSTITUTE(AI130,"+","")+1,0)),IF(_xlfn.SWITCH(AE130,"sq",AI$7,"bn",AJ$7,"dl",AK$7,"")&lt;IF(_uom="lbs",175,80),1.25,IF(_uom="lbs",5,2.5))))),"")</f>
        <v/>
      </c>
      <c s="70"/>
      <c s="63"/>
      <c s="97"/>
      <c s="44" t="str">
        <f>IFERROR(__xludf.DUMMYFUNCTION("IF(AK130=MAX(FILTER(AK$10:AK$199,LOOKUP(ROW(AE$10:AE$199),FILTER(ROW(AE$10:AE$199),AE$10:AE$199&lt;&gt;AE$9:AE$198))=LOOKUP(ROW(AE130),FILTER(ROW(AE$10:AE$199),AE$10:AE$199&lt;&gt;AE$9:AE$198)))),AL130,)"),"")</f>
        <v/>
      </c>
      <c s="42"/>
      <c s="63"/>
      <c s="64" t="str">
        <f t="shared" si="17"/>
        <v/>
      </c>
      <c s="65" t="str">
        <f>IFERROR(__xludf.DUMMYFUNCTION("""COMPUTED_VALUE"""),"")</f>
        <v/>
      </c>
      <c s="66">
        <f ca="1"/>
        <v>45229</v>
      </c>
      <c s="93" t="str">
        <f t="shared" si="157"/>
        <v/>
      </c>
      <c s="94" t="str">
        <f t="shared" si="399"/>
        <v/>
      </c>
      <c s="95" t="str">
        <f t="shared" si="409"/>
        <v/>
      </c>
      <c s="98" t="str">
        <f t="shared" si="400"/>
        <v/>
      </c>
      <c s="97" t="str">
        <f t="array" ref="AY130">IFERROR(IF(AS130="ac"+ISNUMBER(SEARCH("'",AX130))+AW130="","",IF(ISNUMBER(SEARCH("lw",AX130)),AK130+SUBSTITUTE(AX130,"lw+",""),MROUND(_xlfn.SWITCH(AS130,"sq",AW$7,"bn",AX$7,"dl",AY$7,"")*IF(AX130&gt;10,AX130/100,VLOOKUP(AX130,_rpe,SUBSTITUTE(AW130,"+","")+1,0)),IF(_xlfn.SWITCH(AS130,"sq",AW$7,"bn",AX$7,"dl",AY$7,"")&lt;IF(_uom="lbs",175,80),1.25,IF(_uom="lbs",5,2.5))))),"")</f>
        <v/>
      </c>
      <c s="70"/>
      <c s="63"/>
      <c s="97"/>
      <c s="44" t="str">
        <f>IFERROR(__xludf.DUMMYFUNCTION("IF(AY130=MAX(FILTER(AY$10:AY$199,LOOKUP(ROW(AS$10:AS$199),FILTER(ROW(AS$10:AS$199),AS$10:AS$199&lt;&gt;AS$9:AS$198))=LOOKUP(ROW(AS130),FILTER(ROW(AS$10:AS$199),AS$10:AS$199&lt;&gt;AS$9:AS$198)))),AZ130,)"),"")</f>
        <v/>
      </c>
      <c s="42"/>
      <c s="63"/>
      <c s="64" t="str">
        <f t="shared" si="19"/>
        <v/>
      </c>
      <c s="65" t="str">
        <f>IFERROR(__xludf.DUMMYFUNCTION("""COMPUTED_VALUE"""),"")</f>
        <v/>
      </c>
      <c s="66">
        <f ca="1"/>
        <v>45236</v>
      </c>
      <c s="93" t="str">
        <f t="shared" si="20"/>
        <v/>
      </c>
      <c s="94" t="str">
        <f t="shared" si="425"/>
        <v/>
      </c>
      <c s="95" t="str">
        <f t="shared" si="411"/>
        <v/>
      </c>
      <c s="98" t="str">
        <f t="shared" si="412"/>
        <v/>
      </c>
      <c s="97" t="str">
        <f t="array" ref="BM130">IFERROR(IF(BG130="ac"+ISNUMBER(SEARCH("'",BL130))+BK130="","",IF(ISNUMBER(SEARCH("lw",BL130)),AY130+SUBSTITUTE(BL130,"lw+",""),MROUND(_xlfn.SWITCH(BG130,"sq",BK$7,"bn",BL$7,"dl",BM$7,"")*IF(BL130&gt;10,BL130/100,VLOOKUP(BL130,_rpe,SUBSTITUTE(BK130,"+","")+1,0)),IF(_xlfn.SWITCH(BG130,"sq",BK$7,"bn",BL$7,"dl",BM$7,"")&lt;IF(_uom="lbs",175,80),1.25,IF(_uom="lbs",5,2.5))))),"")</f>
        <v/>
      </c>
      <c s="70"/>
      <c s="63"/>
      <c s="97"/>
      <c s="44" t="str">
        <f>IFERROR(__xludf.DUMMYFUNCTION("IF(BM130=MAX(FILTER(BM$10:BM$199,LOOKUP(ROW(BG$10:BG$199),FILTER(ROW(BG$10:BG$199),BG$10:BG$199&lt;&gt;BG$9:BG$198))=LOOKUP(ROW(BG130),FILTER(ROW(BG$10:BG$199),BG$10:BG$199&lt;&gt;BG$9:BG$198)))),BN130,)"),"")</f>
        <v/>
      </c>
      <c s="42"/>
      <c s="63"/>
      <c s="64" t="str">
        <f t="shared" si="21"/>
        <v/>
      </c>
      <c s="65" t="str">
        <f>IFERROR(__xludf.DUMMYFUNCTION("""COMPUTED_VALUE"""),"")</f>
        <v/>
      </c>
      <c s="66">
        <f ca="1"/>
        <v>45243</v>
      </c>
      <c s="93" t="str">
        <f t="shared" si="22"/>
        <v/>
      </c>
      <c s="94" t="str">
        <f t="shared" si="426"/>
        <v/>
      </c>
      <c s="95" t="str">
        <f t="shared" si="414"/>
        <v/>
      </c>
      <c s="98" t="str">
        <f t="shared" si="415"/>
        <v/>
      </c>
      <c s="97" t="str">
        <f t="array" ref="CA130">IFERROR(IF(BU130="ac"+ISNUMBER(SEARCH("'",BZ130))+BY130="","",IF(ISNUMBER(SEARCH("lw",BZ130)),BM130+SUBSTITUTE(BZ130,"lw+",""),MROUND(_xlfn.SWITCH(BU130,"sq",BY$7,"bn",BZ$7,"dl",CA$7,"")*IF(BZ130&gt;10,BZ130/100,VLOOKUP(BZ130,_rpe,SUBSTITUTE(BY130,"+","")+1,0)),IF(_xlfn.SWITCH(BU130,"sq",BY$7,"bn",BZ$7,"dl",CA$7,"")&lt;IF(_uom="lbs",175,80),1.25,IF(_uom="lbs",5,2.5))))),"")</f>
        <v/>
      </c>
      <c s="70"/>
      <c s="63"/>
      <c s="97"/>
      <c s="44" t="str">
        <f>IFERROR(__xludf.DUMMYFUNCTION("IF(CA130=MAX(FILTER(CA$10:CA$199,LOOKUP(ROW(BU$10:BU$199),FILTER(ROW(BU$10:BU$199),BU$10:BU$199&lt;&gt;BU$9:BU$198))=LOOKUP(ROW(BU130),FILTER(ROW(BU$10:BU$199),BU$10:BU$199&lt;&gt;BU$9:BU$198)))),CB130,)"),"")</f>
        <v/>
      </c>
      <c s="42"/>
      <c s="63"/>
      <c s="64" t="str">
        <f t="shared" si="24"/>
        <v/>
      </c>
      <c s="65" t="str">
        <f>IFERROR(__xludf.DUMMYFUNCTION("""COMPUTED_VALUE"""),"")</f>
        <v/>
      </c>
      <c s="66">
        <f ca="1"/>
        <v>45250</v>
      </c>
      <c s="93" t="str">
        <f t="shared" si="44"/>
        <v/>
      </c>
      <c s="94" t="str">
        <f t="shared" si="392"/>
        <v/>
      </c>
      <c s="95" t="str">
        <f t="shared" si="416"/>
        <v/>
      </c>
      <c s="98" t="str">
        <f t="shared" si="417"/>
        <v/>
      </c>
      <c s="97" t="str">
        <f t="array" ref="CO130">IFERROR(IF(CI130="ac"+ISNUMBER(SEARCH("'",CN130))+CM130="","",IF(ISNUMBER(SEARCH("lw",CN130)),CA130+SUBSTITUTE(CN130,"lw+",""),MROUND(_xlfn.SWITCH(CI130,"sq",CM$7,"bn",CN$7,"dl",CO$7,"")*IF(CN130&gt;10,CN130/100,VLOOKUP(CN130,_rpe,SUBSTITUTE(CM130,"+","")+1,0)),IF(_xlfn.SWITCH(CI130,"sq",CM$7,"bn",CN$7,"dl",CO$7,"")&lt;IF(_uom="lbs",175,80),1.25,IF(_uom="lbs",5,2.5))))),"")</f>
        <v/>
      </c>
      <c s="70"/>
      <c s="63"/>
      <c s="97"/>
      <c s="44" t="str">
        <f>IFERROR(__xludf.DUMMYFUNCTION("IF(CO130=MAX(FILTER(CO$10:CO$199,LOOKUP(ROW(CI$10:CI$199),FILTER(ROW(CI$10:CI$199),CI$10:CI$199&lt;&gt;CI$9:CI$198))=LOOKUP(ROW(CI130),FILTER(ROW(CI$10:CI$199),CI$10:CI$199&lt;&gt;CI$9:CI$198)))),CP130,)"),"")</f>
        <v/>
      </c>
      <c s="42"/>
      <c s="63"/>
      <c s="64" t="str">
        <f t="shared" si="27"/>
        <v/>
      </c>
      <c s="65" t="str">
        <f>IFERROR(__xludf.DUMMYFUNCTION("""COMPUTED_VALUE"""),"")</f>
        <v/>
      </c>
      <c s="66">
        <f ca="1"/>
        <v>45257</v>
      </c>
      <c s="93" t="str">
        <f t="shared" si="45"/>
        <v/>
      </c>
      <c s="94" t="str">
        <f t="shared" si="393"/>
        <v/>
      </c>
      <c s="95" t="str">
        <f t="shared" si="418"/>
        <v/>
      </c>
      <c s="98" t="str">
        <f t="shared" si="401"/>
        <v/>
      </c>
      <c s="97" t="str">
        <f t="array" ref="DC130">IFERROR(IF(CW130="ac"+ISNUMBER(SEARCH("'",DB130))+DA130="","",IF(ISNUMBER(SEARCH("lw",DB130)),CO130+SUBSTITUTE(DB130,"lw+",""),MROUND(_xlfn.SWITCH(CW130,"sq",DA$7,"bn",DB$7,"dl",DC$7,"")*IF(DB130&gt;10,DB130/100,VLOOKUP(DB130,_rpe,SUBSTITUTE(DA130,"+","")+1,0)),IF(_xlfn.SWITCH(CW130,"sq",DA$7,"bn",DB$7,"dl",DC$7,"")&lt;IF(_uom="lbs",175,80),1.25,IF(_uom="lbs",5,2.5))))),"")</f>
        <v/>
      </c>
      <c s="70"/>
      <c s="63"/>
      <c s="97"/>
      <c s="44" t="str">
        <f>IFERROR(__xludf.DUMMYFUNCTION("IF(DC130=MAX(FILTER(DC$10:DC$199,LOOKUP(ROW(CW$10:CW$199),FILTER(ROW(CW$10:CW$199),CW$10:CW$199&lt;&gt;CW$9:CW$198))=LOOKUP(ROW(CW130),FILTER(ROW(CW$10:CW$199),CW$10:CW$199&lt;&gt;CW$9:CW$198)))),DD130,)"),"")</f>
        <v/>
      </c>
      <c s="42"/>
      <c s="63"/>
      <c s="64" t="str">
        <f t="shared" si="30"/>
        <v/>
      </c>
      <c s="65" t="str">
        <f>IFERROR(__xludf.DUMMYFUNCTION("""COMPUTED_VALUE"""),"")</f>
        <v/>
      </c>
      <c s="66">
        <f ca="1"/>
        <v>45264</v>
      </c>
      <c s="93" t="str">
        <f t="shared" si="46"/>
        <v/>
      </c>
      <c s="94" t="str">
        <f t="shared" si="394"/>
        <v/>
      </c>
      <c s="95" t="str">
        <f t="shared" si="419"/>
        <v/>
      </c>
      <c s="98" t="str">
        <f t="shared" si="420"/>
        <v/>
      </c>
      <c s="97" t="str">
        <f t="array" ref="DQ130">IFERROR(IF(DK130="ac"+ISNUMBER(SEARCH("'",DP130))+DO130="","",IF(ISNUMBER(SEARCH("lw",DP130)),DC130+SUBSTITUTE(DP130,"lw+",""),MROUND(_xlfn.SWITCH(DK130,"sq",DO$7,"bn",DP$7,"dl",DQ$7,"")*IF(DP130&gt;10,DP130/100,VLOOKUP(DP130,_rpe,SUBSTITUTE(DO130,"+","")+1,0)),IF(_xlfn.SWITCH(DK130,"sq",DO$7,"bn",DP$7,"dl",DQ$7,"")&lt;IF(_uom="lbs",175,80),1.25,IF(_uom="lbs",5,2.5))))),"")</f>
        <v/>
      </c>
      <c s="70"/>
      <c s="63"/>
      <c s="97"/>
      <c s="44" t="str">
        <f>IFERROR(__xludf.DUMMYFUNCTION("IF(DQ130=MAX(FILTER(DQ$10:DQ$199,LOOKUP(ROW(DK$10:DK$199),FILTER(ROW(DK$10:DK$199),DK$10:DK$199&lt;&gt;DK$9:DK$198))=LOOKUP(ROW(DK130),FILTER(ROW(DK$10:DK$199),DK$10:DK$199&lt;&gt;DK$9:DK$198)))),DR130,)"),"")</f>
        <v/>
      </c>
      <c s="42"/>
      <c s="63"/>
      <c s="64" t="str">
        <f t="shared" si="32"/>
        <v/>
      </c>
      <c s="65" t="str">
        <f>IFERROR(__xludf.DUMMYFUNCTION("""COMPUTED_VALUE"""),"")</f>
        <v/>
      </c>
      <c s="66">
        <f ca="1"/>
        <v>45271</v>
      </c>
      <c s="93" t="str">
        <f t="shared" si="47"/>
        <v/>
      </c>
      <c s="94" t="str">
        <f t="shared" si="405"/>
        <v/>
      </c>
      <c s="95" t="str">
        <f t="shared" si="421"/>
        <v/>
      </c>
      <c s="98" t="str">
        <f t="shared" si="422"/>
        <v/>
      </c>
      <c s="97" t="str">
        <f t="array" ref="EE130">IFERROR(IF(DY130="ac"+ISNUMBER(SEARCH("'",ED130))+EC130="","",IF(ISNUMBER(SEARCH("lw",ED130)),DQ130+SUBSTITUTE(ED130,"lw+",""),MROUND(_xlfn.SWITCH(DY130,"sq",EC$7,"bn",ED$7,"dl",EE$7,"")*IF(ED130&gt;10,ED130/100,VLOOKUP(ED130,_rpe,SUBSTITUTE(EC130,"+","")+1,0)),IF(_xlfn.SWITCH(DY130,"sq",EC$7,"bn",ED$7,"dl",EE$7,"")&lt;IF(_uom="lbs",175,80),1.25,IF(_uom="lbs",5,2.5))))),"")</f>
        <v/>
      </c>
      <c s="70"/>
      <c s="63"/>
      <c s="97"/>
      <c s="44" t="str">
        <f>IFERROR(__xludf.DUMMYFUNCTION("IF(EE130=MAX(FILTER(EE$10:EE$199,LOOKUP(ROW(DY$10:DY$199),FILTER(ROW(DY$10:DY$199),DY$10:DY$199&lt;&gt;DY$9:DY$198))=LOOKUP(ROW(DY130),FILTER(ROW(DY$10:DY$199),DY$10:DY$199&lt;&gt;DY$9:DY$198)))),EF130,)"),"")</f>
        <v/>
      </c>
      <c s="42"/>
      <c s="63"/>
      <c s="64" t="str">
        <f t="shared" si="34"/>
        <v/>
      </c>
      <c s="65" t="str">
        <f>IFERROR(__xludf.DUMMYFUNCTION("""COMPUTED_VALUE"""),"")</f>
        <v/>
      </c>
      <c s="66">
        <f ca="1"/>
        <v>45278</v>
      </c>
      <c s="93" t="str">
        <f t="shared" si="48"/>
        <v/>
      </c>
      <c s="94" t="str">
        <f t="shared" si="395"/>
        <v/>
      </c>
      <c s="95" t="str">
        <f t="shared" si="423"/>
        <v/>
      </c>
      <c s="98" t="str">
        <f t="shared" si="402"/>
        <v/>
      </c>
      <c s="97" t="str">
        <f t="array" ref="ES130">IFERROR(IF(EM130="ac"+ISNUMBER(SEARCH("'",ER130))+EQ130="","",IF(ISNUMBER(SEARCH("lw",ER130)),EE130+SUBSTITUTE(ER130,"lw+",""),MROUND(_xlfn.SWITCH(EM130,"sq",EQ$7,"bn",ER$7,"dl",ES$7,"")*IF(ER130&gt;10,ER130/100,VLOOKUP(ER130,_rpe,SUBSTITUTE(EQ130,"+","")+1,0)),IF(_xlfn.SWITCH(EM130,"sq",EQ$7,"bn",ER$7,"dl",ES$7,"")&lt;IF(_uom="lbs",175,80),1.25,IF(_uom="lbs",5,2.5))))),"")</f>
        <v/>
      </c>
      <c s="70"/>
      <c s="63"/>
      <c s="97"/>
      <c s="44" t="str">
        <f>IFERROR(__xludf.DUMMYFUNCTION("IF(ES130=MAX(FILTER(ES$10:ES$199,LOOKUP(ROW(EM$10:EM$199),FILTER(ROW(EM$10:EM$199),EM$10:EM$199&lt;&gt;EM$9:EM$198))=LOOKUP(ROW(EM130),FILTER(ROW(EM$10:EM$199),EM$10:EM$199&lt;&gt;EM$9:EM$198)))),ET130,)"),"")</f>
        <v/>
      </c>
      <c s="42"/>
      <c s="63"/>
      <c s="64" t="str">
        <f t="shared" si="36"/>
        <v/>
      </c>
      <c s="65" t="str">
        <f>IFERROR(__xludf.DUMMYFUNCTION("""COMPUTED_VALUE"""),"")</f>
        <v/>
      </c>
      <c s="66">
        <f ca="1"/>
        <v>45285</v>
      </c>
      <c s="93" t="str">
        <f t="shared" si="49"/>
        <v/>
      </c>
      <c s="94" t="str">
        <f t="shared" si="396"/>
        <v/>
      </c>
      <c s="95" t="str">
        <f t="shared" si="424"/>
        <v/>
      </c>
      <c s="98" t="str">
        <f t="shared" si="403"/>
        <v/>
      </c>
      <c s="97" t="str">
        <f t="array" ref="FG130">IFERROR(IF(FA130="ac"+ISNUMBER(SEARCH("'",FF130))+FE130="","",IF(ISNUMBER(SEARCH("lw",FF130)),ES130+SUBSTITUTE(FF130,"lw+",""),MROUND(_xlfn.SWITCH(FA130,"sq",FE$7,"bn",FF$7,"dl",FG$7,"")*IF(FF130&gt;10,FF130/100,VLOOKUP(FF130,_rpe,SUBSTITUTE(FE130,"+","")+1,0)),IF(_xlfn.SWITCH(FA130,"sq",FE$7,"bn",FF$7,"dl",FG$7,"")&lt;IF(_uom="lbs",175,80),1.25,IF(_uom="lbs",5,2.5))))),"")</f>
        <v/>
      </c>
      <c s="70"/>
      <c s="63"/>
      <c s="97"/>
      <c s="44" t="str">
        <f>IFERROR(__xludf.DUMMYFUNCTION("IF(FG130=MAX(FILTER(FG$10:FG$199,LOOKUP(ROW(FA$10:FA$199),FILTER(ROW(FA$10:FA$199),FA$10:FA$199&lt;&gt;FA$9:FA$198))=LOOKUP(ROW(FA130),FILTER(ROW(FA$10:FA$199),FA$10:FA$199&lt;&gt;FA$9:FA$198)))),FH130,)"),"")</f>
        <v/>
      </c>
      <c s="42"/>
      <c s="63"/>
      <c s="64" t="str">
        <f t="shared" si="38"/>
        <v/>
      </c>
      <c s="65" t="str">
        <f>IFERROR(__xludf.DUMMYFUNCTION("""COMPUTED_VALUE"""),"")</f>
        <v/>
      </c>
      <c s="66">
        <f ca="1"/>
        <v>45292</v>
      </c>
      <c s="93" t="str">
        <f t="shared" si="474" ref="FQ130:FR130">IF(ISBLANK(FC130),"",FC130)</f>
        <v/>
      </c>
      <c s="94" t="str">
        <f t="shared" si="474"/>
        <v/>
      </c>
      <c s="95" t="str">
        <f t="shared" si="428"/>
        <v/>
      </c>
      <c s="98" t="str">
        <f t="shared" si="429"/>
        <v/>
      </c>
      <c s="97" t="str">
        <f t="array" ref="FU130">IFERROR(IF(FO130="ac"+ISNUMBER(SEARCH("'",FT130))+FS130="","",IF(ISNUMBER(SEARCH("lw",FT130)),FG130+SUBSTITUTE(FT130,"lw+",""),MROUND(_xlfn.SWITCH(FO130,"sq",FS$7,"bn",FT$7,"dl",FU$7,"")*IF(FT130&gt;10,FT130/100,VLOOKUP(FT130,_rpe,SUBSTITUTE(FS130,"+","")+1,0)),IF(_xlfn.SWITCH(FO130,"sq",FS$7,"bn",FT$7,"dl",FU$7,"")&lt;IF(_uom="lbs",175,80),1.25,IF(_uom="lbs",5,2.5))))),"")</f>
        <v/>
      </c>
      <c s="70"/>
      <c s="63"/>
      <c s="97"/>
      <c s="44" t="str">
        <f>IFERROR(__xludf.DUMMYFUNCTION("IF(FU130=MAX(FILTER(FU$10:FU$199,LOOKUP(ROW(FO$10:FO$199),FILTER(ROW(FO$10:FO$199),FO$10:FO$199&lt;&gt;FO$9:FO$198))=LOOKUP(ROW(FO130),FILTER(ROW(FO$10:FO$199),FO$10:FO$199&lt;&gt;FO$9:FO$198)))),FV130,)"),"")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31" spans="1:259" ht="15.75" hidden="1" outlineLevel="1">
      <c r="A131" s="63"/>
      <c s="107"/>
      <c s="65" t="str">
        <f>IFERROR(__xludf.DUMMYFUNCTION("""COMPUTED_VALUE"""),"")</f>
        <v/>
      </c>
      <c s="66">
        <f ca="1"/>
        <v>45208</v>
      </c>
      <c s="108"/>
      <c s="94"/>
      <c s="95"/>
      <c s="96"/>
      <c s="97" t="str">
        <f t="array" ref="I131">IFERROR(IF(C131="ac"+ISNUMBER(SEARCH("'",H131))+G131="","",MROUND(_xlfn.SWITCH(C131,"sq",'Personal Info'!$O$15,"bn",'Personal Info'!$S$15,"dl",'Personal Info'!$W$15,"")*IF(H131&gt;10,H131/100,VLOOKUP(H131,_rpe,SUBSTITUTE(G131,"+","")+1,0)),IF(_xlfn.SWITCH(C131:C210,"sq",'Personal Info'!$O$15,"bn",'Personal Info'!$S$15,"dl",'Personal Info'!$W$15,"")&lt;IF(_uom="lbs",175,80),1.25,IF(_uom="lbs",5,2.5)))),"")</f>
        <v/>
      </c>
      <c s="70"/>
      <c s="63"/>
      <c s="97"/>
      <c s="44" t="str">
        <f>IFERROR(__xludf.DUMMYFUNCTION("IF(I131=MAX(FILTER(I$10:I$199,LOOKUP(ROW(C$10:C$199),FILTER(ROW(C$10:C$199),C$10:C$199&lt;&gt;C$9:C$198))=LOOKUP(ROW(C131),FILTER(ROW(C$10:C$199),C$10:C$199&lt;&gt;C$9:C$198)))),J131,)"),"")</f>
        <v/>
      </c>
      <c s="42"/>
      <c s="63"/>
      <c s="64" t="str">
        <f t="shared" si="11"/>
        <v/>
      </c>
      <c s="65" t="str">
        <f>IFERROR(__xludf.DUMMYFUNCTION("""COMPUTED_VALUE"""),"")</f>
        <v/>
      </c>
      <c s="66">
        <f ca="1"/>
        <v>45215</v>
      </c>
      <c s="93" t="str">
        <f t="shared" si="12"/>
        <v/>
      </c>
      <c s="94" t="str">
        <f t="shared" si="404"/>
        <v/>
      </c>
      <c s="95" t="str">
        <f t="shared" si="406"/>
        <v/>
      </c>
      <c s="98" t="str">
        <f t="shared" si="407"/>
        <v/>
      </c>
      <c s="97" t="str">
        <f t="array" ref="W131">IFERROR(IF(Q131="ac"+ISNUMBER(SEARCH("'",V131))+U131="","",IF(ISNUMBER(SEARCH("lw",V131)),I131+SUBSTITUTE(V131,"lw+",""),MROUND(_xlfn.SWITCH(Q131,"sq",U$7,"bn",V$7,"dl",W$7,"")*IF(V131&gt;10,V131/100,VLOOKUP(V131,_rpe,SUBSTITUTE(U131,"+","")+1,0)),IF(_xlfn.SWITCH(Q131,"sq",U$7,"bn",V$7,"dl",W$7,"")&lt;IF(_uom="lbs",175,80),1.25,IF(_uom="lbs",5,2.5))))),"")</f>
        <v/>
      </c>
      <c s="70"/>
      <c s="63"/>
      <c s="97"/>
      <c s="44" t="str">
        <f>IFERROR(__xludf.DUMMYFUNCTION("IF(W131=MAX(FILTER(W$10:W$199,LOOKUP(ROW(Q$10:Q$199),FILTER(ROW(Q$10:Q$199),Q$10:Q$199&lt;&gt;Q$9:Q$198))=LOOKUP(ROW(Q131),FILTER(ROW(Q$10:Q$199),Q$10:Q$199&lt;&gt;Q$9:Q$198)))),X131,)"),"")</f>
        <v/>
      </c>
      <c s="42"/>
      <c s="63"/>
      <c s="64" t="str">
        <f t="shared" si="14"/>
        <v/>
      </c>
      <c s="65" t="str">
        <f>IFERROR(__xludf.DUMMYFUNCTION("""COMPUTED_VALUE"""),"")</f>
        <v/>
      </c>
      <c s="66">
        <f ca="1"/>
        <v>45222</v>
      </c>
      <c s="93" t="str">
        <f t="shared" si="156"/>
        <v/>
      </c>
      <c s="94" t="str">
        <f t="shared" si="397"/>
        <v/>
      </c>
      <c s="95" t="str">
        <f t="shared" si="408"/>
        <v/>
      </c>
      <c s="98" t="str">
        <f t="shared" si="398"/>
        <v/>
      </c>
      <c s="97" t="str">
        <f t="array" ref="AK131">IFERROR(IF(AE131="ac"+ISNUMBER(SEARCH("'",AJ131))+AI131="","",IF(ISNUMBER(SEARCH("lw",AJ131)),W131+SUBSTITUTE(AJ131,"lw+",""),MROUND(_xlfn.SWITCH(AE131,"sq",AI$7,"bn",AJ$7,"dl",AK$7,"")*IF(AJ131&gt;10,AJ131/100,VLOOKUP(AJ131,_rpe,SUBSTITUTE(AI131,"+","")+1,0)),IF(_xlfn.SWITCH(AE131,"sq",AI$7,"bn",AJ$7,"dl",AK$7,"")&lt;IF(_uom="lbs",175,80),1.25,IF(_uom="lbs",5,2.5))))),"")</f>
        <v/>
      </c>
      <c s="70"/>
      <c s="63"/>
      <c s="97"/>
      <c s="44" t="str">
        <f>IFERROR(__xludf.DUMMYFUNCTION("IF(AK131=MAX(FILTER(AK$10:AK$199,LOOKUP(ROW(AE$10:AE$199),FILTER(ROW(AE$10:AE$199),AE$10:AE$199&lt;&gt;AE$9:AE$198))=LOOKUP(ROW(AE131),FILTER(ROW(AE$10:AE$199),AE$10:AE$199&lt;&gt;AE$9:AE$198)))),AL131,)"),"")</f>
        <v/>
      </c>
      <c s="42"/>
      <c s="63"/>
      <c s="64" t="str">
        <f t="shared" si="17"/>
        <v/>
      </c>
      <c s="65" t="str">
        <f>IFERROR(__xludf.DUMMYFUNCTION("""COMPUTED_VALUE"""),"")</f>
        <v/>
      </c>
      <c s="66">
        <f ca="1"/>
        <v>45229</v>
      </c>
      <c s="93" t="str">
        <f t="shared" si="157"/>
        <v/>
      </c>
      <c s="94" t="str">
        <f t="shared" si="399"/>
        <v/>
      </c>
      <c s="95" t="str">
        <f t="shared" si="409"/>
        <v/>
      </c>
      <c s="98" t="str">
        <f t="shared" si="400"/>
        <v/>
      </c>
      <c s="97" t="str">
        <f t="array" ref="AY131">IFERROR(IF(AS131="ac"+ISNUMBER(SEARCH("'",AX131))+AW131="","",IF(ISNUMBER(SEARCH("lw",AX131)),AK131+SUBSTITUTE(AX131,"lw+",""),MROUND(_xlfn.SWITCH(AS131,"sq",AW$7,"bn",AX$7,"dl",AY$7,"")*IF(AX131&gt;10,AX131/100,VLOOKUP(AX131,_rpe,SUBSTITUTE(AW131,"+","")+1,0)),IF(_xlfn.SWITCH(AS131,"sq",AW$7,"bn",AX$7,"dl",AY$7,"")&lt;IF(_uom="lbs",175,80),1.25,IF(_uom="lbs",5,2.5))))),"")</f>
        <v/>
      </c>
      <c s="70"/>
      <c s="63"/>
      <c s="97"/>
      <c s="44" t="str">
        <f>IFERROR(__xludf.DUMMYFUNCTION("IF(AY131=MAX(FILTER(AY$10:AY$199,LOOKUP(ROW(AS$10:AS$199),FILTER(ROW(AS$10:AS$199),AS$10:AS$199&lt;&gt;AS$9:AS$198))=LOOKUP(ROW(AS131),FILTER(ROW(AS$10:AS$199),AS$10:AS$199&lt;&gt;AS$9:AS$198)))),AZ131,)"),"")</f>
        <v/>
      </c>
      <c s="42"/>
      <c s="63"/>
      <c s="64" t="str">
        <f t="shared" si="19"/>
        <v/>
      </c>
      <c s="65" t="str">
        <f>IFERROR(__xludf.DUMMYFUNCTION("""COMPUTED_VALUE"""),"")</f>
        <v/>
      </c>
      <c s="66">
        <f ca="1"/>
        <v>45236</v>
      </c>
      <c s="93" t="str">
        <f t="shared" si="20"/>
        <v/>
      </c>
      <c s="94" t="str">
        <f t="shared" si="425"/>
        <v/>
      </c>
      <c s="95" t="str">
        <f t="shared" si="411"/>
        <v/>
      </c>
      <c s="98" t="str">
        <f t="shared" si="412"/>
        <v/>
      </c>
      <c s="97" t="str">
        <f t="array" ref="BM131">IFERROR(IF(BG131="ac"+ISNUMBER(SEARCH("'",BL131))+BK131="","",IF(ISNUMBER(SEARCH("lw",BL131)),AY131+SUBSTITUTE(BL131,"lw+",""),MROUND(_xlfn.SWITCH(BG131,"sq",BK$7,"bn",BL$7,"dl",BM$7,"")*IF(BL131&gt;10,BL131/100,VLOOKUP(BL131,_rpe,SUBSTITUTE(BK131,"+","")+1,0)),IF(_xlfn.SWITCH(BG131,"sq",BK$7,"bn",BL$7,"dl",BM$7,"")&lt;IF(_uom="lbs",175,80),1.25,IF(_uom="lbs",5,2.5))))),"")</f>
        <v/>
      </c>
      <c s="70"/>
      <c s="63"/>
      <c s="97"/>
      <c s="44" t="str">
        <f>IFERROR(__xludf.DUMMYFUNCTION("IF(BM131=MAX(FILTER(BM$10:BM$199,LOOKUP(ROW(BG$10:BG$199),FILTER(ROW(BG$10:BG$199),BG$10:BG$199&lt;&gt;BG$9:BG$198))=LOOKUP(ROW(BG131),FILTER(ROW(BG$10:BG$199),BG$10:BG$199&lt;&gt;BG$9:BG$198)))),BN131,)"),"")</f>
        <v/>
      </c>
      <c s="42"/>
      <c s="63"/>
      <c s="64" t="str">
        <f t="shared" si="21"/>
        <v/>
      </c>
      <c s="65" t="str">
        <f>IFERROR(__xludf.DUMMYFUNCTION("""COMPUTED_VALUE"""),"")</f>
        <v/>
      </c>
      <c s="66">
        <f ca="1"/>
        <v>45243</v>
      </c>
      <c s="93" t="str">
        <f t="shared" si="22"/>
        <v/>
      </c>
      <c s="94" t="str">
        <f t="shared" si="426"/>
        <v/>
      </c>
      <c s="95" t="str">
        <f t="shared" si="414"/>
        <v/>
      </c>
      <c s="98" t="str">
        <f t="shared" si="415"/>
        <v/>
      </c>
      <c s="97" t="str">
        <f t="array" ref="CA131">IFERROR(IF(BU131="ac"+ISNUMBER(SEARCH("'",BZ131))+BY131="","",IF(ISNUMBER(SEARCH("lw",BZ131)),BM131+SUBSTITUTE(BZ131,"lw+",""),MROUND(_xlfn.SWITCH(BU131,"sq",BY$7,"bn",BZ$7,"dl",CA$7,"")*IF(BZ131&gt;10,BZ131/100,VLOOKUP(BZ131,_rpe,SUBSTITUTE(BY131,"+","")+1,0)),IF(_xlfn.SWITCH(BU131,"sq",BY$7,"bn",BZ$7,"dl",CA$7,"")&lt;IF(_uom="lbs",175,80),1.25,IF(_uom="lbs",5,2.5))))),"")</f>
        <v/>
      </c>
      <c s="70"/>
      <c s="63"/>
      <c s="97"/>
      <c s="44" t="str">
        <f>IFERROR(__xludf.DUMMYFUNCTION("IF(CA131=MAX(FILTER(CA$10:CA$199,LOOKUP(ROW(BU$10:BU$199),FILTER(ROW(BU$10:BU$199),BU$10:BU$199&lt;&gt;BU$9:BU$198))=LOOKUP(ROW(BU131),FILTER(ROW(BU$10:BU$199),BU$10:BU$199&lt;&gt;BU$9:BU$198)))),CB131,)"),"")</f>
        <v/>
      </c>
      <c s="42"/>
      <c s="63"/>
      <c s="64" t="str">
        <f t="shared" si="24"/>
        <v/>
      </c>
      <c s="65" t="str">
        <f>IFERROR(__xludf.DUMMYFUNCTION("""COMPUTED_VALUE"""),"")</f>
        <v/>
      </c>
      <c s="66">
        <f ca="1"/>
        <v>45250</v>
      </c>
      <c s="93" t="str">
        <f t="shared" si="44"/>
        <v/>
      </c>
      <c s="94" t="str">
        <f t="shared" si="392"/>
        <v/>
      </c>
      <c s="95" t="str">
        <f t="shared" si="416"/>
        <v/>
      </c>
      <c s="98" t="str">
        <f t="shared" si="417"/>
        <v/>
      </c>
      <c s="97" t="str">
        <f t="array" ref="CO131">IFERROR(IF(CI131="ac"+ISNUMBER(SEARCH("'",CN131))+CM131="","",IF(ISNUMBER(SEARCH("lw",CN131)),CA131+SUBSTITUTE(CN131,"lw+",""),MROUND(_xlfn.SWITCH(CI131,"sq",CM$7,"bn",CN$7,"dl",CO$7,"")*IF(CN131&gt;10,CN131/100,VLOOKUP(CN131,_rpe,SUBSTITUTE(CM131,"+","")+1,0)),IF(_xlfn.SWITCH(CI131,"sq",CM$7,"bn",CN$7,"dl",CO$7,"")&lt;IF(_uom="lbs",175,80),1.25,IF(_uom="lbs",5,2.5))))),"")</f>
        <v/>
      </c>
      <c s="70"/>
      <c s="63"/>
      <c s="97"/>
      <c s="44" t="str">
        <f>IFERROR(__xludf.DUMMYFUNCTION("IF(CO131=MAX(FILTER(CO$10:CO$199,LOOKUP(ROW(CI$10:CI$199),FILTER(ROW(CI$10:CI$199),CI$10:CI$199&lt;&gt;CI$9:CI$198))=LOOKUP(ROW(CI131),FILTER(ROW(CI$10:CI$199),CI$10:CI$199&lt;&gt;CI$9:CI$198)))),CP131,)"),"")</f>
        <v/>
      </c>
      <c s="42"/>
      <c s="63"/>
      <c s="64" t="str">
        <f t="shared" si="27"/>
        <v/>
      </c>
      <c s="65" t="str">
        <f>IFERROR(__xludf.DUMMYFUNCTION("""COMPUTED_VALUE"""),"")</f>
        <v/>
      </c>
      <c s="66">
        <f ca="1"/>
        <v>45257</v>
      </c>
      <c s="93" t="str">
        <f t="shared" si="45"/>
        <v/>
      </c>
      <c s="94" t="str">
        <f t="shared" si="393"/>
        <v/>
      </c>
      <c s="95" t="str">
        <f t="shared" si="418"/>
        <v/>
      </c>
      <c s="98" t="str">
        <f t="shared" si="401"/>
        <v/>
      </c>
      <c s="97" t="str">
        <f t="array" ref="DC131">IFERROR(IF(CW131="ac"+ISNUMBER(SEARCH("'",DB131))+DA131="","",IF(ISNUMBER(SEARCH("lw",DB131)),CO131+SUBSTITUTE(DB131,"lw+",""),MROUND(_xlfn.SWITCH(CW131,"sq",DA$7,"bn",DB$7,"dl",DC$7,"")*IF(DB131&gt;10,DB131/100,VLOOKUP(DB131,_rpe,SUBSTITUTE(DA131,"+","")+1,0)),IF(_xlfn.SWITCH(CW131,"sq",DA$7,"bn",DB$7,"dl",DC$7,"")&lt;IF(_uom="lbs",175,80),1.25,IF(_uom="lbs",5,2.5))))),"")</f>
        <v/>
      </c>
      <c s="70"/>
      <c s="63"/>
      <c s="97"/>
      <c s="44" t="str">
        <f>IFERROR(__xludf.DUMMYFUNCTION("IF(DC131=MAX(FILTER(DC$10:DC$199,LOOKUP(ROW(CW$10:CW$199),FILTER(ROW(CW$10:CW$199),CW$10:CW$199&lt;&gt;CW$9:CW$198))=LOOKUP(ROW(CW131),FILTER(ROW(CW$10:CW$199),CW$10:CW$199&lt;&gt;CW$9:CW$198)))),DD131,)"),"")</f>
        <v/>
      </c>
      <c s="42"/>
      <c s="63"/>
      <c s="64" t="str">
        <f t="shared" si="30"/>
        <v/>
      </c>
      <c s="65" t="str">
        <f>IFERROR(__xludf.DUMMYFUNCTION("""COMPUTED_VALUE"""),"")</f>
        <v/>
      </c>
      <c s="66">
        <f ca="1"/>
        <v>45264</v>
      </c>
      <c s="93" t="str">
        <f t="shared" si="46"/>
        <v/>
      </c>
      <c s="94" t="str">
        <f t="shared" si="394"/>
        <v/>
      </c>
      <c s="95" t="str">
        <f t="shared" si="419"/>
        <v/>
      </c>
      <c s="98" t="str">
        <f t="shared" si="420"/>
        <v/>
      </c>
      <c s="97" t="str">
        <f t="array" ref="DQ131">IFERROR(IF(DK131="ac"+ISNUMBER(SEARCH("'",DP131))+DO131="","",IF(ISNUMBER(SEARCH("lw",DP131)),DC131+SUBSTITUTE(DP131,"lw+",""),MROUND(_xlfn.SWITCH(DK131,"sq",DO$7,"bn",DP$7,"dl",DQ$7,"")*IF(DP131&gt;10,DP131/100,VLOOKUP(DP131,_rpe,SUBSTITUTE(DO131,"+","")+1,0)),IF(_xlfn.SWITCH(DK131,"sq",DO$7,"bn",DP$7,"dl",DQ$7,"")&lt;IF(_uom="lbs",175,80),1.25,IF(_uom="lbs",5,2.5))))),"")</f>
        <v/>
      </c>
      <c s="70"/>
      <c s="63"/>
      <c s="97"/>
      <c s="44" t="str">
        <f>IFERROR(__xludf.DUMMYFUNCTION("IF(DQ131=MAX(FILTER(DQ$10:DQ$199,LOOKUP(ROW(DK$10:DK$199),FILTER(ROW(DK$10:DK$199),DK$10:DK$199&lt;&gt;DK$9:DK$198))=LOOKUP(ROW(DK131),FILTER(ROW(DK$10:DK$199),DK$10:DK$199&lt;&gt;DK$9:DK$198)))),DR131,)"),"")</f>
        <v/>
      </c>
      <c s="42"/>
      <c s="63"/>
      <c s="64" t="str">
        <f t="shared" si="32"/>
        <v/>
      </c>
      <c s="65" t="str">
        <f>IFERROR(__xludf.DUMMYFUNCTION("""COMPUTED_VALUE"""),"")</f>
        <v/>
      </c>
      <c s="66">
        <f ca="1"/>
        <v>45271</v>
      </c>
      <c s="93" t="str">
        <f t="shared" si="47"/>
        <v/>
      </c>
      <c s="94" t="str">
        <f t="shared" si="405"/>
        <v/>
      </c>
      <c s="95" t="str">
        <f t="shared" si="421"/>
        <v/>
      </c>
      <c s="98" t="str">
        <f t="shared" si="422"/>
        <v/>
      </c>
      <c s="97" t="str">
        <f t="array" ref="EE131">IFERROR(IF(DY131="ac"+ISNUMBER(SEARCH("'",ED131))+EC131="","",IF(ISNUMBER(SEARCH("lw",ED131)),DQ131+SUBSTITUTE(ED131,"lw+",""),MROUND(_xlfn.SWITCH(DY131,"sq",EC$7,"bn",ED$7,"dl",EE$7,"")*IF(ED131&gt;10,ED131/100,VLOOKUP(ED131,_rpe,SUBSTITUTE(EC131,"+","")+1,0)),IF(_xlfn.SWITCH(DY131,"sq",EC$7,"bn",ED$7,"dl",EE$7,"")&lt;IF(_uom="lbs",175,80),1.25,IF(_uom="lbs",5,2.5))))),"")</f>
        <v/>
      </c>
      <c s="70"/>
      <c s="63"/>
      <c s="97"/>
      <c s="44" t="str">
        <f>IFERROR(__xludf.DUMMYFUNCTION("IF(EE131=MAX(FILTER(EE$10:EE$199,LOOKUP(ROW(DY$10:DY$199),FILTER(ROW(DY$10:DY$199),DY$10:DY$199&lt;&gt;DY$9:DY$198))=LOOKUP(ROW(DY131),FILTER(ROW(DY$10:DY$199),DY$10:DY$199&lt;&gt;DY$9:DY$198)))),EF131,)"),"")</f>
        <v/>
      </c>
      <c s="42"/>
      <c s="63"/>
      <c s="64" t="str">
        <f t="shared" si="34"/>
        <v/>
      </c>
      <c s="65" t="str">
        <f>IFERROR(__xludf.DUMMYFUNCTION("""COMPUTED_VALUE"""),"")</f>
        <v/>
      </c>
      <c s="66">
        <f ca="1"/>
        <v>45278</v>
      </c>
      <c s="93" t="str">
        <f t="shared" si="48"/>
        <v/>
      </c>
      <c s="94" t="str">
        <f t="shared" si="395"/>
        <v/>
      </c>
      <c s="95" t="str">
        <f t="shared" si="423"/>
        <v/>
      </c>
      <c s="98" t="str">
        <f t="shared" si="402"/>
        <v/>
      </c>
      <c s="97" t="str">
        <f t="array" ref="ES131">IFERROR(IF(EM131="ac"+ISNUMBER(SEARCH("'",ER131))+EQ131="","",IF(ISNUMBER(SEARCH("lw",ER131)),EE131+SUBSTITUTE(ER131,"lw+",""),MROUND(_xlfn.SWITCH(EM131,"sq",EQ$7,"bn",ER$7,"dl",ES$7,"")*IF(ER131&gt;10,ER131/100,VLOOKUP(ER131,_rpe,SUBSTITUTE(EQ131,"+","")+1,0)),IF(_xlfn.SWITCH(EM131,"sq",EQ$7,"bn",ER$7,"dl",ES$7,"")&lt;IF(_uom="lbs",175,80),1.25,IF(_uom="lbs",5,2.5))))),"")</f>
        <v/>
      </c>
      <c s="70"/>
      <c s="63"/>
      <c s="97"/>
      <c s="44" t="str">
        <f>IFERROR(__xludf.DUMMYFUNCTION("IF(ES131=MAX(FILTER(ES$10:ES$199,LOOKUP(ROW(EM$10:EM$199),FILTER(ROW(EM$10:EM$199),EM$10:EM$199&lt;&gt;EM$9:EM$198))=LOOKUP(ROW(EM131),FILTER(ROW(EM$10:EM$199),EM$10:EM$199&lt;&gt;EM$9:EM$198)))),ET131,)"),"")</f>
        <v/>
      </c>
      <c s="42"/>
      <c s="63"/>
      <c s="64" t="str">
        <f t="shared" si="36"/>
        <v/>
      </c>
      <c s="65" t="str">
        <f>IFERROR(__xludf.DUMMYFUNCTION("""COMPUTED_VALUE"""),"")</f>
        <v/>
      </c>
      <c s="66">
        <f ca="1"/>
        <v>45285</v>
      </c>
      <c s="93" t="str">
        <f t="shared" si="49"/>
        <v/>
      </c>
      <c s="94" t="str">
        <f t="shared" si="396"/>
        <v/>
      </c>
      <c s="95" t="str">
        <f t="shared" si="424"/>
        <v/>
      </c>
      <c s="98" t="str">
        <f t="shared" si="403"/>
        <v/>
      </c>
      <c s="97" t="str">
        <f t="array" ref="FG131">IFERROR(IF(FA131="ac"+ISNUMBER(SEARCH("'",FF131))+FE131="","",IF(ISNUMBER(SEARCH("lw",FF131)),ES131+SUBSTITUTE(FF131,"lw+",""),MROUND(_xlfn.SWITCH(FA131,"sq",FE$7,"bn",FF$7,"dl",FG$7,"")*IF(FF131&gt;10,FF131/100,VLOOKUP(FF131,_rpe,SUBSTITUTE(FE131,"+","")+1,0)),IF(_xlfn.SWITCH(FA131,"sq",FE$7,"bn",FF$7,"dl",FG$7,"")&lt;IF(_uom="lbs",175,80),1.25,IF(_uom="lbs",5,2.5))))),"")</f>
        <v/>
      </c>
      <c s="70"/>
      <c s="63"/>
      <c s="97"/>
      <c s="44" t="str">
        <f>IFERROR(__xludf.DUMMYFUNCTION("IF(FG131=MAX(FILTER(FG$10:FG$199,LOOKUP(ROW(FA$10:FA$199),FILTER(ROW(FA$10:FA$199),FA$10:FA$199&lt;&gt;FA$9:FA$198))=LOOKUP(ROW(FA131),FILTER(ROW(FA$10:FA$199),FA$10:FA$199&lt;&gt;FA$9:FA$198)))),FH131,)"),"")</f>
        <v/>
      </c>
      <c s="42"/>
      <c s="63"/>
      <c s="64" t="str">
        <f t="shared" si="38"/>
        <v/>
      </c>
      <c s="65" t="str">
        <f>IFERROR(__xludf.DUMMYFUNCTION("""COMPUTED_VALUE"""),"")</f>
        <v/>
      </c>
      <c s="66">
        <f ca="1"/>
        <v>45292</v>
      </c>
      <c s="93" t="str">
        <f t="shared" si="475" ref="FQ131:FR131">IF(ISBLANK(FC131),"",FC131)</f>
        <v/>
      </c>
      <c s="94" t="str">
        <f t="shared" si="475"/>
        <v/>
      </c>
      <c s="95" t="str">
        <f t="shared" si="428"/>
        <v/>
      </c>
      <c s="98" t="str">
        <f t="shared" si="429"/>
        <v/>
      </c>
      <c s="97" t="str">
        <f t="array" ref="FU131">IFERROR(IF(FO131="ac"+ISNUMBER(SEARCH("'",FT131))+FS131="","",IF(ISNUMBER(SEARCH("lw",FT131)),FG131+SUBSTITUTE(FT131,"lw+",""),MROUND(_xlfn.SWITCH(FO131,"sq",FS$7,"bn",FT$7,"dl",FU$7,"")*IF(FT131&gt;10,FT131/100,VLOOKUP(FT131,_rpe,SUBSTITUTE(FS131,"+","")+1,0)),IF(_xlfn.SWITCH(FO131,"sq",FS$7,"bn",FT$7,"dl",FU$7,"")&lt;IF(_uom="lbs",175,80),1.25,IF(_uom="lbs",5,2.5))))),"")</f>
        <v/>
      </c>
      <c s="70"/>
      <c s="63"/>
      <c s="97"/>
      <c s="44" t="str">
        <f>IFERROR(__xludf.DUMMYFUNCTION("IF(FU131=MAX(FILTER(FU$10:FU$199,LOOKUP(ROW(FO$10:FO$199),FILTER(ROW(FO$10:FO$199),FO$10:FO$199&lt;&gt;FO$9:FO$198))=LOOKUP(ROW(FO131),FILTER(ROW(FO$10:FO$199),FO$10:FO$199&lt;&gt;FO$9:FO$198)))),FV131,)"),"")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32" spans="1:259" ht="15.75">
      <c r="A132" s="63"/>
      <c s="107"/>
      <c s="65" t="str">
        <f>IFERROR(__xludf.DUMMYFUNCTION("""COMPUTED_VALUE"""),"")</f>
        <v/>
      </c>
      <c s="66">
        <f ca="1"/>
        <v>45208</v>
      </c>
      <c s="93"/>
      <c s="94"/>
      <c s="95"/>
      <c s="96"/>
      <c s="97" t="str">
        <f t="array" ref="I132">IFERROR(IF(C132="ac"+ISNUMBER(SEARCH("'",H132))+G132="","",MROUND(_xlfn.SWITCH(C132,"sq",'Personal Info'!$O$15,"bn",'Personal Info'!$S$15,"dl",'Personal Info'!$W$15,"")*IF(H132&gt;10,H132/100,VLOOKUP(H132,_rpe,SUBSTITUTE(G132,"+","")+1,0)),IF(_xlfn.SWITCH(C132:C210,"sq",'Personal Info'!$O$15,"bn",'Personal Info'!$S$15,"dl",'Personal Info'!$W$15,"")&lt;IF(_uom="lbs",175,80),1.25,IF(_uom="lbs",5,2.5)))),"")</f>
        <v/>
      </c>
      <c s="70"/>
      <c s="63"/>
      <c s="97"/>
      <c s="44" t="str">
        <f>IFERROR(__xludf.DUMMYFUNCTION("IF(I132=MAX(FILTER(I$10:I$199,LOOKUP(ROW(C$10:C$199),FILTER(ROW(C$10:C$199),C$10:C$199&lt;&gt;C$9:C$198))=LOOKUP(ROW(C132),FILTER(ROW(C$10:C$199),C$10:C$199&lt;&gt;C$9:C$198)))),J132,)"),"")</f>
        <v/>
      </c>
      <c s="42"/>
      <c s="63"/>
      <c s="64" t="str">
        <f t="shared" si="11"/>
        <v/>
      </c>
      <c s="65" t="str">
        <f>IFERROR(__xludf.DUMMYFUNCTION("""COMPUTED_VALUE"""),"")</f>
        <v/>
      </c>
      <c s="66">
        <f ca="1"/>
        <v>45215</v>
      </c>
      <c s="93" t="str">
        <f t="shared" si="12"/>
        <v/>
      </c>
      <c s="94" t="str">
        <f t="shared" si="404"/>
        <v/>
      </c>
      <c s="95" t="str">
        <f t="shared" si="406"/>
        <v/>
      </c>
      <c s="98" t="str">
        <f t="shared" si="407"/>
        <v/>
      </c>
      <c s="97" t="str">
        <f t="array" ref="W132">IFERROR(IF(Q132="ac"+ISNUMBER(SEARCH("'",V132))+U132="","",IF(ISNUMBER(SEARCH("lw",V132)),I132+SUBSTITUTE(V132,"lw+",""),MROUND(_xlfn.SWITCH(Q132,"sq",U$7,"bn",V$7,"dl",W$7,"")*IF(V132&gt;10,V132/100,VLOOKUP(V132,_rpe,SUBSTITUTE(U132,"+","")+1,0)),IF(_xlfn.SWITCH(Q132,"sq",U$7,"bn",V$7,"dl",W$7,"")&lt;IF(_uom="lbs",175,80),1.25,IF(_uom="lbs",5,2.5))))),"")</f>
        <v/>
      </c>
      <c s="70"/>
      <c s="63"/>
      <c s="97"/>
      <c s="44" t="str">
        <f>IFERROR(__xludf.DUMMYFUNCTION("IF(W132=MAX(FILTER(W$10:W$199,LOOKUP(ROW(Q$10:Q$199),FILTER(ROW(Q$10:Q$199),Q$10:Q$199&lt;&gt;Q$9:Q$198))=LOOKUP(ROW(Q132),FILTER(ROW(Q$10:Q$199),Q$10:Q$199&lt;&gt;Q$9:Q$198)))),X132,)"),"")</f>
        <v/>
      </c>
      <c s="42"/>
      <c s="63"/>
      <c s="64" t="str">
        <f t="shared" si="14"/>
        <v/>
      </c>
      <c s="65" t="str">
        <f>IFERROR(__xludf.DUMMYFUNCTION("""COMPUTED_VALUE"""),"")</f>
        <v/>
      </c>
      <c s="66">
        <f ca="1"/>
        <v>45222</v>
      </c>
      <c s="93" t="str">
        <f t="shared" si="156"/>
        <v/>
      </c>
      <c s="94" t="str">
        <f t="shared" si="397"/>
        <v/>
      </c>
      <c s="95" t="str">
        <f t="shared" si="408"/>
        <v/>
      </c>
      <c s="98" t="str">
        <f t="shared" si="398"/>
        <v/>
      </c>
      <c s="97" t="str">
        <f t="array" ref="AK132">IFERROR(IF(AE132="ac"+ISNUMBER(SEARCH("'",AJ132))+AI132="","",IF(ISNUMBER(SEARCH("lw",AJ132)),W132+SUBSTITUTE(AJ132,"lw+",""),MROUND(_xlfn.SWITCH(AE132,"sq",AI$7,"bn",AJ$7,"dl",AK$7,"")*IF(AJ132&gt;10,AJ132/100,VLOOKUP(AJ132,_rpe,SUBSTITUTE(AI132,"+","")+1,0)),IF(_xlfn.SWITCH(AE132,"sq",AI$7,"bn",AJ$7,"dl",AK$7,"")&lt;IF(_uom="lbs",175,80),1.25,IF(_uom="lbs",5,2.5))))),"")</f>
        <v/>
      </c>
      <c s="70"/>
      <c s="63"/>
      <c s="97"/>
      <c s="44" t="str">
        <f>IFERROR(__xludf.DUMMYFUNCTION("IF(AK132=MAX(FILTER(AK$10:AK$199,LOOKUP(ROW(AE$10:AE$199),FILTER(ROW(AE$10:AE$199),AE$10:AE$199&lt;&gt;AE$9:AE$198))=LOOKUP(ROW(AE132),FILTER(ROW(AE$10:AE$199),AE$10:AE$199&lt;&gt;AE$9:AE$198)))),AL132,)"),"")</f>
        <v/>
      </c>
      <c s="42"/>
      <c s="63"/>
      <c s="64" t="str">
        <f t="shared" si="17"/>
        <v/>
      </c>
      <c s="65" t="str">
        <f>IFERROR(__xludf.DUMMYFUNCTION("""COMPUTED_VALUE"""),"")</f>
        <v/>
      </c>
      <c s="66">
        <f ca="1"/>
        <v>45229</v>
      </c>
      <c s="93" t="str">
        <f t="shared" si="157"/>
        <v/>
      </c>
      <c s="94" t="str">
        <f t="shared" si="399"/>
        <v/>
      </c>
      <c s="95" t="str">
        <f t="shared" si="409"/>
        <v/>
      </c>
      <c s="98" t="str">
        <f t="shared" si="400"/>
        <v/>
      </c>
      <c s="97" t="str">
        <f t="array" ref="AY132">IFERROR(IF(AS132="ac"+ISNUMBER(SEARCH("'",AX132))+AW132="","",IF(ISNUMBER(SEARCH("lw",AX132)),AK132+SUBSTITUTE(AX132,"lw+",""),MROUND(_xlfn.SWITCH(AS132,"sq",AW$7,"bn",AX$7,"dl",AY$7,"")*IF(AX132&gt;10,AX132/100,VLOOKUP(AX132,_rpe,SUBSTITUTE(AW132,"+","")+1,0)),IF(_xlfn.SWITCH(AS132,"sq",AW$7,"bn",AX$7,"dl",AY$7,"")&lt;IF(_uom="lbs",175,80),1.25,IF(_uom="lbs",5,2.5))))),"")</f>
        <v/>
      </c>
      <c s="70"/>
      <c s="63"/>
      <c s="97"/>
      <c s="44" t="str">
        <f>IFERROR(__xludf.DUMMYFUNCTION("IF(AY132=MAX(FILTER(AY$10:AY$199,LOOKUP(ROW(AS$10:AS$199),FILTER(ROW(AS$10:AS$199),AS$10:AS$199&lt;&gt;AS$9:AS$198))=LOOKUP(ROW(AS132),FILTER(ROW(AS$10:AS$199),AS$10:AS$199&lt;&gt;AS$9:AS$198)))),AZ132,)"),"")</f>
        <v/>
      </c>
      <c s="42"/>
      <c s="63"/>
      <c s="64" t="str">
        <f t="shared" si="19"/>
        <v/>
      </c>
      <c s="65" t="str">
        <f>IFERROR(__xludf.DUMMYFUNCTION("""COMPUTED_VALUE"""),"")</f>
        <v/>
      </c>
      <c s="66">
        <f ca="1"/>
        <v>45236</v>
      </c>
      <c s="93" t="str">
        <f t="shared" si="20"/>
        <v/>
      </c>
      <c s="94" t="str">
        <f t="shared" si="425"/>
        <v/>
      </c>
      <c s="95" t="str">
        <f t="shared" si="411"/>
        <v/>
      </c>
      <c s="98" t="str">
        <f t="shared" si="412"/>
        <v/>
      </c>
      <c s="97" t="str">
        <f t="array" ref="BM132">IFERROR(IF(BG132="ac"+ISNUMBER(SEARCH("'",BL132))+BK132="","",IF(ISNUMBER(SEARCH("lw",BL132)),AY132+SUBSTITUTE(BL132,"lw+",""),MROUND(_xlfn.SWITCH(BG132,"sq",BK$7,"bn",BL$7,"dl",BM$7,"")*IF(BL132&gt;10,BL132/100,VLOOKUP(BL132,_rpe,SUBSTITUTE(BK132,"+","")+1,0)),IF(_xlfn.SWITCH(BG132,"sq",BK$7,"bn",BL$7,"dl",BM$7,"")&lt;IF(_uom="lbs",175,80),1.25,IF(_uom="lbs",5,2.5))))),"")</f>
        <v/>
      </c>
      <c s="70"/>
      <c s="63"/>
      <c s="97"/>
      <c s="44" t="str">
        <f>IFERROR(__xludf.DUMMYFUNCTION("IF(BM132=MAX(FILTER(BM$10:BM$199,LOOKUP(ROW(BG$10:BG$199),FILTER(ROW(BG$10:BG$199),BG$10:BG$199&lt;&gt;BG$9:BG$198))=LOOKUP(ROW(BG132),FILTER(ROW(BG$10:BG$199),BG$10:BG$199&lt;&gt;BG$9:BG$198)))),BN132,)"),"")</f>
        <v/>
      </c>
      <c s="42"/>
      <c s="63"/>
      <c s="64" t="str">
        <f t="shared" si="21"/>
        <v/>
      </c>
      <c s="65" t="str">
        <f>IFERROR(__xludf.DUMMYFUNCTION("""COMPUTED_VALUE"""),"")</f>
        <v/>
      </c>
      <c s="66">
        <f ca="1"/>
        <v>45243</v>
      </c>
      <c s="93" t="str">
        <f t="shared" si="22"/>
        <v/>
      </c>
      <c s="94" t="str">
        <f t="shared" si="426"/>
        <v/>
      </c>
      <c s="95" t="str">
        <f t="shared" si="414"/>
        <v/>
      </c>
      <c s="98" t="str">
        <f t="shared" si="415"/>
        <v/>
      </c>
      <c s="97" t="str">
        <f t="array" ref="CA132">IFERROR(IF(BU132="ac"+ISNUMBER(SEARCH("'",BZ132))+BY132="","",IF(ISNUMBER(SEARCH("lw",BZ132)),BM132+SUBSTITUTE(BZ132,"lw+",""),MROUND(_xlfn.SWITCH(BU132,"sq",BY$7,"bn",BZ$7,"dl",CA$7,"")*IF(BZ132&gt;10,BZ132/100,VLOOKUP(BZ132,_rpe,SUBSTITUTE(BY132,"+","")+1,0)),IF(_xlfn.SWITCH(BU132,"sq",BY$7,"bn",BZ$7,"dl",CA$7,"")&lt;IF(_uom="lbs",175,80),1.25,IF(_uom="lbs",5,2.5))))),"")</f>
        <v/>
      </c>
      <c s="70"/>
      <c s="63"/>
      <c s="97"/>
      <c s="44" t="str">
        <f>IFERROR(__xludf.DUMMYFUNCTION("IF(CA132=MAX(FILTER(CA$10:CA$199,LOOKUP(ROW(BU$10:BU$199),FILTER(ROW(BU$10:BU$199),BU$10:BU$199&lt;&gt;BU$9:BU$198))=LOOKUP(ROW(BU132),FILTER(ROW(BU$10:BU$199),BU$10:BU$199&lt;&gt;BU$9:BU$198)))),CB132,)"),"")</f>
        <v/>
      </c>
      <c s="42"/>
      <c s="63"/>
      <c s="64" t="str">
        <f t="shared" si="24"/>
        <v/>
      </c>
      <c s="65" t="str">
        <f>IFERROR(__xludf.DUMMYFUNCTION("""COMPUTED_VALUE"""),"")</f>
        <v/>
      </c>
      <c s="66">
        <f ca="1"/>
        <v>45250</v>
      </c>
      <c s="93" t="str">
        <f t="shared" si="44"/>
        <v/>
      </c>
      <c s="94" t="str">
        <f t="shared" si="392"/>
        <v/>
      </c>
      <c s="95" t="str">
        <f t="shared" si="416"/>
        <v/>
      </c>
      <c s="98" t="str">
        <f t="shared" si="417"/>
        <v/>
      </c>
      <c s="97" t="str">
        <f t="array" ref="CO132">IFERROR(IF(CI132="ac"+ISNUMBER(SEARCH("'",CN132))+CM132="","",IF(ISNUMBER(SEARCH("lw",CN132)),CA132+SUBSTITUTE(CN132,"lw+",""),MROUND(_xlfn.SWITCH(CI132,"sq",CM$7,"bn",CN$7,"dl",CO$7,"")*IF(CN132&gt;10,CN132/100,VLOOKUP(CN132,_rpe,SUBSTITUTE(CM132,"+","")+1,0)),IF(_xlfn.SWITCH(CI132,"sq",CM$7,"bn",CN$7,"dl",CO$7,"")&lt;IF(_uom="lbs",175,80),1.25,IF(_uom="lbs",5,2.5))))),"")</f>
        <v/>
      </c>
      <c s="70"/>
      <c s="63"/>
      <c s="97"/>
      <c s="44" t="str">
        <f>IFERROR(__xludf.DUMMYFUNCTION("IF(CO132=MAX(FILTER(CO$10:CO$199,LOOKUP(ROW(CI$10:CI$199),FILTER(ROW(CI$10:CI$199),CI$10:CI$199&lt;&gt;CI$9:CI$198))=LOOKUP(ROW(CI132),FILTER(ROW(CI$10:CI$199),CI$10:CI$199&lt;&gt;CI$9:CI$198)))),CP132,)"),"")</f>
        <v/>
      </c>
      <c s="42"/>
      <c s="63"/>
      <c s="64" t="str">
        <f t="shared" si="27"/>
        <v/>
      </c>
      <c s="65" t="str">
        <f>IFERROR(__xludf.DUMMYFUNCTION("""COMPUTED_VALUE"""),"")</f>
        <v/>
      </c>
      <c s="66">
        <f ca="1"/>
        <v>45257</v>
      </c>
      <c s="93" t="str">
        <f t="shared" si="45"/>
        <v/>
      </c>
      <c s="94" t="str">
        <f t="shared" si="393"/>
        <v/>
      </c>
      <c s="95" t="str">
        <f t="shared" si="418"/>
        <v/>
      </c>
      <c s="98" t="str">
        <f t="shared" si="401"/>
        <v/>
      </c>
      <c s="97" t="str">
        <f t="array" ref="DC132">IFERROR(IF(CW132="ac"+ISNUMBER(SEARCH("'",DB132))+DA132="","",IF(ISNUMBER(SEARCH("lw",DB132)),CO132+SUBSTITUTE(DB132,"lw+",""),MROUND(_xlfn.SWITCH(CW132,"sq",DA$7,"bn",DB$7,"dl",DC$7,"")*IF(DB132&gt;10,DB132/100,VLOOKUP(DB132,_rpe,SUBSTITUTE(DA132,"+","")+1,0)),IF(_xlfn.SWITCH(CW132,"sq",DA$7,"bn",DB$7,"dl",DC$7,"")&lt;IF(_uom="lbs",175,80),1.25,IF(_uom="lbs",5,2.5))))),"")</f>
        <v/>
      </c>
      <c s="70"/>
      <c s="63"/>
      <c s="97"/>
      <c s="44" t="str">
        <f>IFERROR(__xludf.DUMMYFUNCTION("IF(DC132=MAX(FILTER(DC$10:DC$199,LOOKUP(ROW(CW$10:CW$199),FILTER(ROW(CW$10:CW$199),CW$10:CW$199&lt;&gt;CW$9:CW$198))=LOOKUP(ROW(CW132),FILTER(ROW(CW$10:CW$199),CW$10:CW$199&lt;&gt;CW$9:CW$198)))),DD132,)"),"")</f>
        <v/>
      </c>
      <c s="42"/>
      <c s="63"/>
      <c s="64" t="str">
        <f t="shared" si="30"/>
        <v/>
      </c>
      <c s="65" t="str">
        <f>IFERROR(__xludf.DUMMYFUNCTION("""COMPUTED_VALUE"""),"")</f>
        <v/>
      </c>
      <c s="66">
        <f ca="1"/>
        <v>45264</v>
      </c>
      <c s="93" t="str">
        <f t="shared" si="46"/>
        <v/>
      </c>
      <c s="94" t="str">
        <f t="shared" si="394"/>
        <v/>
      </c>
      <c s="95" t="str">
        <f t="shared" si="419"/>
        <v/>
      </c>
      <c s="98" t="str">
        <f t="shared" si="420"/>
        <v/>
      </c>
      <c s="97" t="str">
        <f t="array" ref="DQ132">IFERROR(IF(DK132="ac"+ISNUMBER(SEARCH("'",DP132))+DO132="","",IF(ISNUMBER(SEARCH("lw",DP132)),DC132+SUBSTITUTE(DP132,"lw+",""),MROUND(_xlfn.SWITCH(DK132,"sq",DO$7,"bn",DP$7,"dl",DQ$7,"")*IF(DP132&gt;10,DP132/100,VLOOKUP(DP132,_rpe,SUBSTITUTE(DO132,"+","")+1,0)),IF(_xlfn.SWITCH(DK132,"sq",DO$7,"bn",DP$7,"dl",DQ$7,"")&lt;IF(_uom="lbs",175,80),1.25,IF(_uom="lbs",5,2.5))))),"")</f>
        <v/>
      </c>
      <c s="70"/>
      <c s="63"/>
      <c s="97"/>
      <c s="44" t="str">
        <f>IFERROR(__xludf.DUMMYFUNCTION("IF(DQ132=MAX(FILTER(DQ$10:DQ$199,LOOKUP(ROW(DK$10:DK$199),FILTER(ROW(DK$10:DK$199),DK$10:DK$199&lt;&gt;DK$9:DK$198))=LOOKUP(ROW(DK132),FILTER(ROW(DK$10:DK$199),DK$10:DK$199&lt;&gt;DK$9:DK$198)))),DR132,)"),"")</f>
        <v/>
      </c>
      <c s="42"/>
      <c s="63"/>
      <c s="64" t="str">
        <f t="shared" si="32"/>
        <v/>
      </c>
      <c s="65" t="str">
        <f>IFERROR(__xludf.DUMMYFUNCTION("""COMPUTED_VALUE"""),"")</f>
        <v/>
      </c>
      <c s="66">
        <f ca="1"/>
        <v>45271</v>
      </c>
      <c s="93" t="str">
        <f t="shared" si="47"/>
        <v/>
      </c>
      <c s="94" t="str">
        <f t="shared" si="405"/>
        <v/>
      </c>
      <c s="95" t="str">
        <f t="shared" si="421"/>
        <v/>
      </c>
      <c s="98" t="str">
        <f t="shared" si="422"/>
        <v/>
      </c>
      <c s="97" t="str">
        <f t="array" ref="EE132">IFERROR(IF(DY132="ac"+ISNUMBER(SEARCH("'",ED132))+EC132="","",IF(ISNUMBER(SEARCH("lw",ED132)),DQ132+SUBSTITUTE(ED132,"lw+",""),MROUND(_xlfn.SWITCH(DY132,"sq",EC$7,"bn",ED$7,"dl",EE$7,"")*IF(ED132&gt;10,ED132/100,VLOOKUP(ED132,_rpe,SUBSTITUTE(EC132,"+","")+1,0)),IF(_xlfn.SWITCH(DY132,"sq",EC$7,"bn",ED$7,"dl",EE$7,"")&lt;IF(_uom="lbs",175,80),1.25,IF(_uom="lbs",5,2.5))))),"")</f>
        <v/>
      </c>
      <c s="70"/>
      <c s="63"/>
      <c s="97"/>
      <c s="44" t="str">
        <f>IFERROR(__xludf.DUMMYFUNCTION("IF(EE132=MAX(FILTER(EE$10:EE$199,LOOKUP(ROW(DY$10:DY$199),FILTER(ROW(DY$10:DY$199),DY$10:DY$199&lt;&gt;DY$9:DY$198))=LOOKUP(ROW(DY132),FILTER(ROW(DY$10:DY$199),DY$10:DY$199&lt;&gt;DY$9:DY$198)))),EF132,)"),"")</f>
        <v/>
      </c>
      <c s="42"/>
      <c s="63"/>
      <c s="64" t="str">
        <f t="shared" si="34"/>
        <v/>
      </c>
      <c s="65" t="str">
        <f>IFERROR(__xludf.DUMMYFUNCTION("""COMPUTED_VALUE"""),"")</f>
        <v/>
      </c>
      <c s="66">
        <f ca="1"/>
        <v>45278</v>
      </c>
      <c s="93" t="str">
        <f t="shared" si="48"/>
        <v/>
      </c>
      <c s="94" t="str">
        <f t="shared" si="395"/>
        <v/>
      </c>
      <c s="95" t="str">
        <f t="shared" si="423"/>
        <v/>
      </c>
      <c s="98" t="str">
        <f t="shared" si="402"/>
        <v/>
      </c>
      <c s="97" t="str">
        <f t="array" ref="ES132">IFERROR(IF(EM132="ac"+ISNUMBER(SEARCH("'",ER132))+EQ132="","",IF(ISNUMBER(SEARCH("lw",ER132)),EE132+SUBSTITUTE(ER132,"lw+",""),MROUND(_xlfn.SWITCH(EM132,"sq",EQ$7,"bn",ER$7,"dl",ES$7,"")*IF(ER132&gt;10,ER132/100,VLOOKUP(ER132,_rpe,SUBSTITUTE(EQ132,"+","")+1,0)),IF(_xlfn.SWITCH(EM132,"sq",EQ$7,"bn",ER$7,"dl",ES$7,"")&lt;IF(_uom="lbs",175,80),1.25,IF(_uom="lbs",5,2.5))))),"")</f>
        <v/>
      </c>
      <c s="70"/>
      <c s="63"/>
      <c s="97"/>
      <c s="44" t="str">
        <f>IFERROR(__xludf.DUMMYFUNCTION("IF(ES132=MAX(FILTER(ES$10:ES$199,LOOKUP(ROW(EM$10:EM$199),FILTER(ROW(EM$10:EM$199),EM$10:EM$199&lt;&gt;EM$9:EM$198))=LOOKUP(ROW(EM132),FILTER(ROW(EM$10:EM$199),EM$10:EM$199&lt;&gt;EM$9:EM$198)))),ET132,)"),"")</f>
        <v/>
      </c>
      <c s="42"/>
      <c s="63"/>
      <c s="64" t="str">
        <f t="shared" si="36"/>
        <v/>
      </c>
      <c s="65" t="str">
        <f>IFERROR(__xludf.DUMMYFUNCTION("""COMPUTED_VALUE"""),"")</f>
        <v/>
      </c>
      <c s="66">
        <f ca="1"/>
        <v>45285</v>
      </c>
      <c s="93" t="str">
        <f t="shared" si="49"/>
        <v/>
      </c>
      <c s="94" t="str">
        <f t="shared" si="396"/>
        <v/>
      </c>
      <c s="95" t="str">
        <f t="shared" si="424"/>
        <v/>
      </c>
      <c s="98" t="str">
        <f t="shared" si="403"/>
        <v/>
      </c>
      <c s="97" t="str">
        <f t="array" ref="FG132">IFERROR(IF(FA132="ac"+ISNUMBER(SEARCH("'",FF132))+FE132="","",IF(ISNUMBER(SEARCH("lw",FF132)),ES132+SUBSTITUTE(FF132,"lw+",""),MROUND(_xlfn.SWITCH(FA132,"sq",FE$7,"bn",FF$7,"dl",FG$7,"")*IF(FF132&gt;10,FF132/100,VLOOKUP(FF132,_rpe,SUBSTITUTE(FE132,"+","")+1,0)),IF(_xlfn.SWITCH(FA132,"sq",FE$7,"bn",FF$7,"dl",FG$7,"")&lt;IF(_uom="lbs",175,80),1.25,IF(_uom="lbs",5,2.5))))),"")</f>
        <v/>
      </c>
      <c s="70"/>
      <c s="63"/>
      <c s="97"/>
      <c s="44" t="str">
        <f>IFERROR(__xludf.DUMMYFUNCTION("IF(FG132=MAX(FILTER(FG$10:FG$199,LOOKUP(ROW(FA$10:FA$199),FILTER(ROW(FA$10:FA$199),FA$10:FA$199&lt;&gt;FA$9:FA$198))=LOOKUP(ROW(FA132),FILTER(ROW(FA$10:FA$199),FA$10:FA$199&lt;&gt;FA$9:FA$198)))),FH132,)"),"")</f>
        <v/>
      </c>
      <c s="42"/>
      <c s="63"/>
      <c s="64" t="str">
        <f t="shared" si="38"/>
        <v/>
      </c>
      <c s="65" t="str">
        <f>IFERROR(__xludf.DUMMYFUNCTION("""COMPUTED_VALUE"""),"")</f>
        <v/>
      </c>
      <c s="66">
        <f ca="1"/>
        <v>45292</v>
      </c>
      <c s="93" t="str">
        <f t="shared" si="476" ref="FQ132:FR132">IF(ISBLANK(FC132),"",FC132)</f>
        <v/>
      </c>
      <c s="94" t="str">
        <f t="shared" si="476"/>
        <v/>
      </c>
      <c s="95" t="str">
        <f t="shared" si="428"/>
        <v/>
      </c>
      <c s="98" t="str">
        <f t="shared" si="429"/>
        <v/>
      </c>
      <c s="97" t="str">
        <f t="array" ref="FU132">IFERROR(IF(FO132="ac"+ISNUMBER(SEARCH("'",FT132))+FS132="","",IF(ISNUMBER(SEARCH("lw",FT132)),FG132+SUBSTITUTE(FT132,"lw+",""),MROUND(_xlfn.SWITCH(FO132,"sq",FS$7,"bn",FT$7,"dl",FU$7,"")*IF(FT132&gt;10,FT132/100,VLOOKUP(FT132,_rpe,SUBSTITUTE(FS132,"+","")+1,0)),IF(_xlfn.SWITCH(FO132,"sq",FS$7,"bn",FT$7,"dl",FU$7,"")&lt;IF(_uom="lbs",175,80),1.25,IF(_uom="lbs",5,2.5))))),"")</f>
        <v/>
      </c>
      <c s="70"/>
      <c s="63"/>
      <c s="97"/>
      <c s="44" t="str">
        <f>IFERROR(__xludf.DUMMYFUNCTION("IF(FU132=MAX(FILTER(FU$10:FU$199,LOOKUP(ROW(FO$10:FO$199),FILTER(ROW(FO$10:FO$199),FO$10:FO$199&lt;&gt;FO$9:FO$198))=LOOKUP(ROW(FO132),FILTER(ROW(FO$10:FO$199),FO$10:FO$199&lt;&gt;FO$9:FO$198)))),FV132,)"),"")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33" spans="1:259" ht="15.75">
      <c r="A133" s="63"/>
      <c s="107"/>
      <c s="65" t="str">
        <f>IFERROR(__xludf.DUMMYFUNCTION("""COMPUTED_VALUE"""),"")</f>
        <v/>
      </c>
      <c s="66">
        <f ca="1"/>
        <v>45208</v>
      </c>
      <c s="93"/>
      <c s="94"/>
      <c s="95"/>
      <c s="96"/>
      <c s="97" t="str">
        <f t="array" ref="I133">IFERROR(IF(C133="ac"+ISNUMBER(SEARCH("'",H133))+G133="","",MROUND(_xlfn.SWITCH(C133,"sq",'Personal Info'!$O$15,"bn",'Personal Info'!$S$15,"dl",'Personal Info'!$W$15,"")*IF(H133&gt;10,H133/100,VLOOKUP(H133,_rpe,SUBSTITUTE(G133,"+","")+1,0)),IF(_xlfn.SWITCH(C133:C210,"sq",'Personal Info'!$O$15,"bn",'Personal Info'!$S$15,"dl",'Personal Info'!$W$15,"")&lt;IF(_uom="lbs",175,80),1.25,IF(_uom="lbs",5,2.5)))),"")</f>
        <v/>
      </c>
      <c s="70"/>
      <c s="63"/>
      <c s="97"/>
      <c s="44" t="str">
        <f>IFERROR(__xludf.DUMMYFUNCTION("IF(I133=MAX(FILTER(I$10:I$199,LOOKUP(ROW(C$10:C$199),FILTER(ROW(C$10:C$199),C$10:C$199&lt;&gt;C$9:C$198))=LOOKUP(ROW(C133),FILTER(ROW(C$10:C$199),C$10:C$199&lt;&gt;C$9:C$198)))),J133,)"),"")</f>
        <v/>
      </c>
      <c s="42"/>
      <c s="63"/>
      <c s="64" t="str">
        <f t="shared" si="11"/>
        <v/>
      </c>
      <c s="65" t="str">
        <f>IFERROR(__xludf.DUMMYFUNCTION("""COMPUTED_VALUE"""),"")</f>
        <v/>
      </c>
      <c s="66">
        <f ca="1"/>
        <v>45215</v>
      </c>
      <c s="93" t="str">
        <f t="shared" si="12"/>
        <v/>
      </c>
      <c s="94" t="str">
        <f t="shared" si="404"/>
        <v/>
      </c>
      <c s="95" t="str">
        <f t="shared" si="406"/>
        <v/>
      </c>
      <c s="98" t="str">
        <f t="shared" si="407"/>
        <v/>
      </c>
      <c s="97" t="str">
        <f t="array" ref="W133">IFERROR(IF(Q133="ac"+ISNUMBER(SEARCH("'",V133))+U133="","",IF(ISNUMBER(SEARCH("lw",V133)),I133+SUBSTITUTE(V133,"lw+",""),MROUND(_xlfn.SWITCH(Q133,"sq",U$7,"bn",V$7,"dl",W$7,"")*IF(V133&gt;10,V133/100,VLOOKUP(V133,_rpe,SUBSTITUTE(U133,"+","")+1,0)),IF(_xlfn.SWITCH(Q133,"sq",U$7,"bn",V$7,"dl",W$7,"")&lt;IF(_uom="lbs",175,80),1.25,IF(_uom="lbs",5,2.5))))),"")</f>
        <v/>
      </c>
      <c s="70"/>
      <c s="63"/>
      <c s="97"/>
      <c s="44" t="str">
        <f>IFERROR(__xludf.DUMMYFUNCTION("IF(W133=MAX(FILTER(W$10:W$199,LOOKUP(ROW(Q$10:Q$199),FILTER(ROW(Q$10:Q$199),Q$10:Q$199&lt;&gt;Q$9:Q$198))=LOOKUP(ROW(Q133),FILTER(ROW(Q$10:Q$199),Q$10:Q$199&lt;&gt;Q$9:Q$198)))),X133,)"),"")</f>
        <v/>
      </c>
      <c s="42"/>
      <c s="63"/>
      <c s="64" t="str">
        <f t="shared" si="14"/>
        <v/>
      </c>
      <c s="65" t="str">
        <f>IFERROR(__xludf.DUMMYFUNCTION("""COMPUTED_VALUE"""),"")</f>
        <v/>
      </c>
      <c s="66">
        <f ca="1"/>
        <v>45222</v>
      </c>
      <c s="93" t="str">
        <f t="shared" si="156"/>
        <v/>
      </c>
      <c s="94" t="str">
        <f t="shared" si="397"/>
        <v/>
      </c>
      <c s="95" t="str">
        <f t="shared" si="408"/>
        <v/>
      </c>
      <c s="98" t="str">
        <f t="shared" si="398"/>
        <v/>
      </c>
      <c s="97" t="str">
        <f t="array" ref="AK133">IFERROR(IF(AE133="ac"+ISNUMBER(SEARCH("'",AJ133))+AI133="","",IF(ISNUMBER(SEARCH("lw",AJ133)),W133+SUBSTITUTE(AJ133,"lw+",""),MROUND(_xlfn.SWITCH(AE133,"sq",AI$7,"bn",AJ$7,"dl",AK$7,"")*IF(AJ133&gt;10,AJ133/100,VLOOKUP(AJ133,_rpe,SUBSTITUTE(AI133,"+","")+1,0)),IF(_xlfn.SWITCH(AE133,"sq",AI$7,"bn",AJ$7,"dl",AK$7,"")&lt;IF(_uom="lbs",175,80),1.25,IF(_uom="lbs",5,2.5))))),"")</f>
        <v/>
      </c>
      <c s="70"/>
      <c s="63"/>
      <c s="97"/>
      <c s="44" t="str">
        <f>IFERROR(__xludf.DUMMYFUNCTION("IF(AK133=MAX(FILTER(AK$10:AK$199,LOOKUP(ROW(AE$10:AE$199),FILTER(ROW(AE$10:AE$199),AE$10:AE$199&lt;&gt;AE$9:AE$198))=LOOKUP(ROW(AE133),FILTER(ROW(AE$10:AE$199),AE$10:AE$199&lt;&gt;AE$9:AE$198)))),AL133,)"),"")</f>
        <v/>
      </c>
      <c s="42"/>
      <c s="63"/>
      <c s="64" t="str">
        <f t="shared" si="17"/>
        <v/>
      </c>
      <c s="65" t="str">
        <f>IFERROR(__xludf.DUMMYFUNCTION("""COMPUTED_VALUE"""),"")</f>
        <v/>
      </c>
      <c s="66">
        <f ca="1"/>
        <v>45229</v>
      </c>
      <c s="93" t="str">
        <f t="shared" si="157"/>
        <v/>
      </c>
      <c s="94" t="str">
        <f t="shared" si="399"/>
        <v/>
      </c>
      <c s="95" t="str">
        <f t="shared" si="409"/>
        <v/>
      </c>
      <c s="98" t="str">
        <f t="shared" si="400"/>
        <v/>
      </c>
      <c s="97" t="str">
        <f t="array" ref="AY133">IFERROR(IF(AS133="ac"+ISNUMBER(SEARCH("'",AX133))+AW133="","",IF(ISNUMBER(SEARCH("lw",AX133)),AK133+SUBSTITUTE(AX133,"lw+",""),MROUND(_xlfn.SWITCH(AS133,"sq",AW$7,"bn",AX$7,"dl",AY$7,"")*IF(AX133&gt;10,AX133/100,VLOOKUP(AX133,_rpe,SUBSTITUTE(AW133,"+","")+1,0)),IF(_xlfn.SWITCH(AS133,"sq",AW$7,"bn",AX$7,"dl",AY$7,"")&lt;IF(_uom="lbs",175,80),1.25,IF(_uom="lbs",5,2.5))))),"")</f>
        <v/>
      </c>
      <c s="70"/>
      <c s="63"/>
      <c s="97"/>
      <c s="44" t="str">
        <f>IFERROR(__xludf.DUMMYFUNCTION("IF(AY133=MAX(FILTER(AY$10:AY$199,LOOKUP(ROW(AS$10:AS$199),FILTER(ROW(AS$10:AS$199),AS$10:AS$199&lt;&gt;AS$9:AS$198))=LOOKUP(ROW(AS133),FILTER(ROW(AS$10:AS$199),AS$10:AS$199&lt;&gt;AS$9:AS$198)))),AZ133,)"),"")</f>
        <v/>
      </c>
      <c s="42"/>
      <c s="63"/>
      <c s="64" t="str">
        <f t="shared" si="19"/>
        <v/>
      </c>
      <c s="65" t="str">
        <f>IFERROR(__xludf.DUMMYFUNCTION("""COMPUTED_VALUE"""),"")</f>
        <v/>
      </c>
      <c s="66">
        <f ca="1"/>
        <v>45236</v>
      </c>
      <c s="93" t="str">
        <f t="shared" si="20"/>
        <v/>
      </c>
      <c s="94" t="str">
        <f t="shared" si="425"/>
        <v/>
      </c>
      <c s="95" t="str">
        <f t="shared" si="411"/>
        <v/>
      </c>
      <c s="98" t="str">
        <f t="shared" si="412"/>
        <v/>
      </c>
      <c s="97" t="str">
        <f t="array" ref="BM133">IFERROR(IF(BG133="ac"+ISNUMBER(SEARCH("'",BL133))+BK133="","",IF(ISNUMBER(SEARCH("lw",BL133)),AY133+SUBSTITUTE(BL133,"lw+",""),MROUND(_xlfn.SWITCH(BG133,"sq",BK$7,"bn",BL$7,"dl",BM$7,"")*IF(BL133&gt;10,BL133/100,VLOOKUP(BL133,_rpe,SUBSTITUTE(BK133,"+","")+1,0)),IF(_xlfn.SWITCH(BG133,"sq",BK$7,"bn",BL$7,"dl",BM$7,"")&lt;IF(_uom="lbs",175,80),1.25,IF(_uom="lbs",5,2.5))))),"")</f>
        <v/>
      </c>
      <c s="70"/>
      <c s="63"/>
      <c s="97"/>
      <c s="44" t="str">
        <f>IFERROR(__xludf.DUMMYFUNCTION("IF(BM133=MAX(FILTER(BM$10:BM$199,LOOKUP(ROW(BG$10:BG$199),FILTER(ROW(BG$10:BG$199),BG$10:BG$199&lt;&gt;BG$9:BG$198))=LOOKUP(ROW(BG133),FILTER(ROW(BG$10:BG$199),BG$10:BG$199&lt;&gt;BG$9:BG$198)))),BN133,)"),"")</f>
        <v/>
      </c>
      <c s="42"/>
      <c s="63"/>
      <c s="64" t="str">
        <f t="shared" si="21"/>
        <v/>
      </c>
      <c s="65" t="str">
        <f>IFERROR(__xludf.DUMMYFUNCTION("""COMPUTED_VALUE"""),"")</f>
        <v/>
      </c>
      <c s="66">
        <f ca="1"/>
        <v>45243</v>
      </c>
      <c s="93" t="str">
        <f t="shared" si="22"/>
        <v/>
      </c>
      <c s="94" t="str">
        <f t="shared" si="426"/>
        <v/>
      </c>
      <c s="95" t="str">
        <f t="shared" si="414"/>
        <v/>
      </c>
      <c s="98" t="str">
        <f t="shared" si="415"/>
        <v/>
      </c>
      <c s="97" t="str">
        <f t="array" ref="CA133">IFERROR(IF(BU133="ac"+ISNUMBER(SEARCH("'",BZ133))+BY133="","",IF(ISNUMBER(SEARCH("lw",BZ133)),BM133+SUBSTITUTE(BZ133,"lw+",""),MROUND(_xlfn.SWITCH(BU133,"sq",BY$7,"bn",BZ$7,"dl",CA$7,"")*IF(BZ133&gt;10,BZ133/100,VLOOKUP(BZ133,_rpe,SUBSTITUTE(BY133,"+","")+1,0)),IF(_xlfn.SWITCH(BU133,"sq",BY$7,"bn",BZ$7,"dl",CA$7,"")&lt;IF(_uom="lbs",175,80),1.25,IF(_uom="lbs",5,2.5))))),"")</f>
        <v/>
      </c>
      <c s="70"/>
      <c s="63"/>
      <c s="97"/>
      <c s="44" t="str">
        <f>IFERROR(__xludf.DUMMYFUNCTION("IF(CA133=MAX(FILTER(CA$10:CA$199,LOOKUP(ROW(BU$10:BU$199),FILTER(ROW(BU$10:BU$199),BU$10:BU$199&lt;&gt;BU$9:BU$198))=LOOKUP(ROW(BU133),FILTER(ROW(BU$10:BU$199),BU$10:BU$199&lt;&gt;BU$9:BU$198)))),CB133,)"),"")</f>
        <v/>
      </c>
      <c s="42"/>
      <c s="63"/>
      <c s="64" t="str">
        <f t="shared" si="24"/>
        <v/>
      </c>
      <c s="65" t="str">
        <f>IFERROR(__xludf.DUMMYFUNCTION("""COMPUTED_VALUE"""),"")</f>
        <v/>
      </c>
      <c s="66">
        <f ca="1"/>
        <v>45250</v>
      </c>
      <c s="93" t="str">
        <f t="shared" si="44"/>
        <v/>
      </c>
      <c s="94" t="str">
        <f t="shared" si="392"/>
        <v/>
      </c>
      <c s="95" t="str">
        <f t="shared" si="416"/>
        <v/>
      </c>
      <c s="98" t="str">
        <f t="shared" si="417"/>
        <v/>
      </c>
      <c s="97" t="str">
        <f t="array" ref="CO133">IFERROR(IF(CI133="ac"+ISNUMBER(SEARCH("'",CN133))+CM133="","",IF(ISNUMBER(SEARCH("lw",CN133)),CA133+SUBSTITUTE(CN133,"lw+",""),MROUND(_xlfn.SWITCH(CI133,"sq",CM$7,"bn",CN$7,"dl",CO$7,"")*IF(CN133&gt;10,CN133/100,VLOOKUP(CN133,_rpe,SUBSTITUTE(CM133,"+","")+1,0)),IF(_xlfn.SWITCH(CI133,"sq",CM$7,"bn",CN$7,"dl",CO$7,"")&lt;IF(_uom="lbs",175,80),1.25,IF(_uom="lbs",5,2.5))))),"")</f>
        <v/>
      </c>
      <c s="70"/>
      <c s="63"/>
      <c s="97"/>
      <c s="44" t="str">
        <f>IFERROR(__xludf.DUMMYFUNCTION("IF(CO133=MAX(FILTER(CO$10:CO$199,LOOKUP(ROW(CI$10:CI$199),FILTER(ROW(CI$10:CI$199),CI$10:CI$199&lt;&gt;CI$9:CI$198))=LOOKUP(ROW(CI133),FILTER(ROW(CI$10:CI$199),CI$10:CI$199&lt;&gt;CI$9:CI$198)))),CP133,)"),"")</f>
        <v/>
      </c>
      <c s="42"/>
      <c s="63"/>
      <c s="64" t="str">
        <f t="shared" si="27"/>
        <v/>
      </c>
      <c s="65" t="str">
        <f>IFERROR(__xludf.DUMMYFUNCTION("""COMPUTED_VALUE"""),"")</f>
        <v/>
      </c>
      <c s="66">
        <f ca="1"/>
        <v>45257</v>
      </c>
      <c s="93" t="str">
        <f t="shared" si="45"/>
        <v/>
      </c>
      <c s="94" t="str">
        <f t="shared" si="393"/>
        <v/>
      </c>
      <c s="95" t="str">
        <f t="shared" si="418"/>
        <v/>
      </c>
      <c s="98" t="str">
        <f t="shared" si="401"/>
        <v/>
      </c>
      <c s="97" t="str">
        <f t="array" ref="DC133">IFERROR(IF(CW133="ac"+ISNUMBER(SEARCH("'",DB133))+DA133="","",IF(ISNUMBER(SEARCH("lw",DB133)),CO133+SUBSTITUTE(DB133,"lw+",""),MROUND(_xlfn.SWITCH(CW133,"sq",DA$7,"bn",DB$7,"dl",DC$7,"")*IF(DB133&gt;10,DB133/100,VLOOKUP(DB133,_rpe,SUBSTITUTE(DA133,"+","")+1,0)),IF(_xlfn.SWITCH(CW133,"sq",DA$7,"bn",DB$7,"dl",DC$7,"")&lt;IF(_uom="lbs",175,80),1.25,IF(_uom="lbs",5,2.5))))),"")</f>
        <v/>
      </c>
      <c s="70"/>
      <c s="63"/>
      <c s="97"/>
      <c s="44" t="str">
        <f>IFERROR(__xludf.DUMMYFUNCTION("IF(DC133=MAX(FILTER(DC$10:DC$199,LOOKUP(ROW(CW$10:CW$199),FILTER(ROW(CW$10:CW$199),CW$10:CW$199&lt;&gt;CW$9:CW$198))=LOOKUP(ROW(CW133),FILTER(ROW(CW$10:CW$199),CW$10:CW$199&lt;&gt;CW$9:CW$198)))),DD133,)"),"")</f>
        <v/>
      </c>
      <c s="42"/>
      <c s="63"/>
      <c s="64" t="str">
        <f t="shared" si="30"/>
        <v/>
      </c>
      <c s="65" t="str">
        <f>IFERROR(__xludf.DUMMYFUNCTION("""COMPUTED_VALUE"""),"")</f>
        <v/>
      </c>
      <c s="66">
        <f ca="1"/>
        <v>45264</v>
      </c>
      <c s="93" t="str">
        <f t="shared" si="46"/>
        <v/>
      </c>
      <c s="94" t="str">
        <f t="shared" si="394"/>
        <v/>
      </c>
      <c s="95" t="str">
        <f t="shared" si="419"/>
        <v/>
      </c>
      <c s="98" t="str">
        <f t="shared" si="420"/>
        <v/>
      </c>
      <c s="97" t="str">
        <f t="array" ref="DQ133">IFERROR(IF(DK133="ac"+ISNUMBER(SEARCH("'",DP133))+DO133="","",IF(ISNUMBER(SEARCH("lw",DP133)),DC133+SUBSTITUTE(DP133,"lw+",""),MROUND(_xlfn.SWITCH(DK133,"sq",DO$7,"bn",DP$7,"dl",DQ$7,"")*IF(DP133&gt;10,DP133/100,VLOOKUP(DP133,_rpe,SUBSTITUTE(DO133,"+","")+1,0)),IF(_xlfn.SWITCH(DK133,"sq",DO$7,"bn",DP$7,"dl",DQ$7,"")&lt;IF(_uom="lbs",175,80),1.25,IF(_uom="lbs",5,2.5))))),"")</f>
        <v/>
      </c>
      <c s="70"/>
      <c s="63"/>
      <c s="97"/>
      <c s="44" t="str">
        <f>IFERROR(__xludf.DUMMYFUNCTION("IF(DQ133=MAX(FILTER(DQ$10:DQ$199,LOOKUP(ROW(DK$10:DK$199),FILTER(ROW(DK$10:DK$199),DK$10:DK$199&lt;&gt;DK$9:DK$198))=LOOKUP(ROW(DK133),FILTER(ROW(DK$10:DK$199),DK$10:DK$199&lt;&gt;DK$9:DK$198)))),DR133,)"),"")</f>
        <v/>
      </c>
      <c s="42"/>
      <c s="63"/>
      <c s="64" t="str">
        <f t="shared" si="32"/>
        <v/>
      </c>
      <c s="65" t="str">
        <f>IFERROR(__xludf.DUMMYFUNCTION("""COMPUTED_VALUE"""),"")</f>
        <v/>
      </c>
      <c s="66">
        <f ca="1"/>
        <v>45271</v>
      </c>
      <c s="93" t="str">
        <f t="shared" si="47"/>
        <v/>
      </c>
      <c s="94" t="str">
        <f t="shared" si="405"/>
        <v/>
      </c>
      <c s="95" t="str">
        <f t="shared" si="421"/>
        <v/>
      </c>
      <c s="98" t="str">
        <f t="shared" si="422"/>
        <v/>
      </c>
      <c s="97" t="str">
        <f t="array" ref="EE133">IFERROR(IF(DY133="ac"+ISNUMBER(SEARCH("'",ED133))+EC133="","",IF(ISNUMBER(SEARCH("lw",ED133)),DQ133+SUBSTITUTE(ED133,"lw+",""),MROUND(_xlfn.SWITCH(DY133,"sq",EC$7,"bn",ED$7,"dl",EE$7,"")*IF(ED133&gt;10,ED133/100,VLOOKUP(ED133,_rpe,SUBSTITUTE(EC133,"+","")+1,0)),IF(_xlfn.SWITCH(DY133,"sq",EC$7,"bn",ED$7,"dl",EE$7,"")&lt;IF(_uom="lbs",175,80),1.25,IF(_uom="lbs",5,2.5))))),"")</f>
        <v/>
      </c>
      <c s="70"/>
      <c s="63"/>
      <c s="97"/>
      <c s="44" t="str">
        <f>IFERROR(__xludf.DUMMYFUNCTION("IF(EE133=MAX(FILTER(EE$10:EE$199,LOOKUP(ROW(DY$10:DY$199),FILTER(ROW(DY$10:DY$199),DY$10:DY$199&lt;&gt;DY$9:DY$198))=LOOKUP(ROW(DY133),FILTER(ROW(DY$10:DY$199),DY$10:DY$199&lt;&gt;DY$9:DY$198)))),EF133,)"),"")</f>
        <v/>
      </c>
      <c s="42"/>
      <c s="63"/>
      <c s="64" t="str">
        <f t="shared" si="34"/>
        <v/>
      </c>
      <c s="65" t="str">
        <f>IFERROR(__xludf.DUMMYFUNCTION("""COMPUTED_VALUE"""),"")</f>
        <v/>
      </c>
      <c s="66">
        <f ca="1"/>
        <v>45278</v>
      </c>
      <c s="93" t="str">
        <f t="shared" si="48"/>
        <v/>
      </c>
      <c s="94" t="str">
        <f t="shared" si="395"/>
        <v/>
      </c>
      <c s="95" t="str">
        <f t="shared" si="423"/>
        <v/>
      </c>
      <c s="98" t="str">
        <f t="shared" si="402"/>
        <v/>
      </c>
      <c s="97" t="str">
        <f t="array" ref="ES133">IFERROR(IF(EM133="ac"+ISNUMBER(SEARCH("'",ER133))+EQ133="","",IF(ISNUMBER(SEARCH("lw",ER133)),EE133+SUBSTITUTE(ER133,"lw+",""),MROUND(_xlfn.SWITCH(EM133,"sq",EQ$7,"bn",ER$7,"dl",ES$7,"")*IF(ER133&gt;10,ER133/100,VLOOKUP(ER133,_rpe,SUBSTITUTE(EQ133,"+","")+1,0)),IF(_xlfn.SWITCH(EM133,"sq",EQ$7,"bn",ER$7,"dl",ES$7,"")&lt;IF(_uom="lbs",175,80),1.25,IF(_uom="lbs",5,2.5))))),"")</f>
        <v/>
      </c>
      <c s="70"/>
      <c s="63"/>
      <c s="97"/>
      <c s="44" t="str">
        <f>IFERROR(__xludf.DUMMYFUNCTION("IF(ES133=MAX(FILTER(ES$10:ES$199,LOOKUP(ROW(EM$10:EM$199),FILTER(ROW(EM$10:EM$199),EM$10:EM$199&lt;&gt;EM$9:EM$198))=LOOKUP(ROW(EM133),FILTER(ROW(EM$10:EM$199),EM$10:EM$199&lt;&gt;EM$9:EM$198)))),ET133,)"),"")</f>
        <v/>
      </c>
      <c s="42"/>
      <c s="63"/>
      <c s="64" t="str">
        <f t="shared" si="36"/>
        <v/>
      </c>
      <c s="65" t="str">
        <f>IFERROR(__xludf.DUMMYFUNCTION("""COMPUTED_VALUE"""),"")</f>
        <v/>
      </c>
      <c s="66">
        <f ca="1"/>
        <v>45285</v>
      </c>
      <c s="93" t="str">
        <f t="shared" si="49"/>
        <v/>
      </c>
      <c s="94" t="str">
        <f t="shared" si="396"/>
        <v/>
      </c>
      <c s="95" t="str">
        <f t="shared" si="424"/>
        <v/>
      </c>
      <c s="98" t="str">
        <f t="shared" si="403"/>
        <v/>
      </c>
      <c s="97" t="str">
        <f t="array" ref="FG133">IFERROR(IF(FA133="ac"+ISNUMBER(SEARCH("'",FF133))+FE133="","",IF(ISNUMBER(SEARCH("lw",FF133)),ES133+SUBSTITUTE(FF133,"lw+",""),MROUND(_xlfn.SWITCH(FA133,"sq",FE$7,"bn",FF$7,"dl",FG$7,"")*IF(FF133&gt;10,FF133/100,VLOOKUP(FF133,_rpe,SUBSTITUTE(FE133,"+","")+1,0)),IF(_xlfn.SWITCH(FA133,"sq",FE$7,"bn",FF$7,"dl",FG$7,"")&lt;IF(_uom="lbs",175,80),1.25,IF(_uom="lbs",5,2.5))))),"")</f>
        <v/>
      </c>
      <c s="70"/>
      <c s="63"/>
      <c s="97"/>
      <c s="44" t="str">
        <f>IFERROR(__xludf.DUMMYFUNCTION("IF(FG133=MAX(FILTER(FG$10:FG$199,LOOKUP(ROW(FA$10:FA$199),FILTER(ROW(FA$10:FA$199),FA$10:FA$199&lt;&gt;FA$9:FA$198))=LOOKUP(ROW(FA133),FILTER(ROW(FA$10:FA$199),FA$10:FA$199&lt;&gt;FA$9:FA$198)))),FH133,)"),"")</f>
        <v/>
      </c>
      <c s="42"/>
      <c s="63"/>
      <c s="64" t="str">
        <f t="shared" si="38"/>
        <v/>
      </c>
      <c s="65" t="str">
        <f>IFERROR(__xludf.DUMMYFUNCTION("""COMPUTED_VALUE"""),"")</f>
        <v/>
      </c>
      <c s="66">
        <f ca="1"/>
        <v>45292</v>
      </c>
      <c s="93" t="str">
        <f t="shared" si="477" ref="FQ133:FR133">IF(ISBLANK(FC133),"",FC133)</f>
        <v/>
      </c>
      <c s="94" t="str">
        <f t="shared" si="477"/>
        <v/>
      </c>
      <c s="95" t="str">
        <f t="shared" si="428"/>
        <v/>
      </c>
      <c s="98" t="str">
        <f t="shared" si="429"/>
        <v/>
      </c>
      <c s="97" t="str">
        <f t="array" ref="FU133">IFERROR(IF(FO133="ac"+ISNUMBER(SEARCH("'",FT133))+FS133="","",IF(ISNUMBER(SEARCH("lw",FT133)),FG133+SUBSTITUTE(FT133,"lw+",""),MROUND(_xlfn.SWITCH(FO133,"sq",FS$7,"bn",FT$7,"dl",FU$7,"")*IF(FT133&gt;10,FT133/100,VLOOKUP(FT133,_rpe,SUBSTITUTE(FS133,"+","")+1,0)),IF(_xlfn.SWITCH(FO133,"sq",FS$7,"bn",FT$7,"dl",FU$7,"")&lt;IF(_uom="lbs",175,80),1.25,IF(_uom="lbs",5,2.5))))),"")</f>
        <v/>
      </c>
      <c s="70"/>
      <c s="63"/>
      <c s="97"/>
      <c s="44" t="str">
        <f>IFERROR(__xludf.DUMMYFUNCTION("IF(FU133=MAX(FILTER(FU$10:FU$199,LOOKUP(ROW(FO$10:FO$199),FILTER(ROW(FO$10:FO$199),FO$10:FO$199&lt;&gt;FO$9:FO$198))=LOOKUP(ROW(FO133),FILTER(ROW(FO$10:FO$199),FO$10:FO$199&lt;&gt;FO$9:FO$198)))),FV133,)"),"")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34" spans="1:259" ht="15.75">
      <c r="A134" s="63"/>
      <c s="107"/>
      <c s="65" t="str">
        <f>IFERROR(__xludf.DUMMYFUNCTION("""COMPUTED_VALUE"""),"")</f>
        <v/>
      </c>
      <c s="66">
        <f ca="1"/>
        <v>45208</v>
      </c>
      <c s="93"/>
      <c s="94"/>
      <c s="95"/>
      <c s="96"/>
      <c s="97" t="str">
        <f t="array" ref="I134">IFERROR(IF(C134="ac"+ISNUMBER(SEARCH("'",H134))+G134="","",MROUND(_xlfn.SWITCH(C134,"sq",'Personal Info'!$O$15,"bn",'Personal Info'!$S$15,"dl",'Personal Info'!$W$15,"")*IF(H134&gt;10,H134/100,VLOOKUP(H134,_rpe,SUBSTITUTE(G134,"+","")+1,0)),IF(_xlfn.SWITCH(C134:C210,"sq",'Personal Info'!$O$15,"bn",'Personal Info'!$S$15,"dl",'Personal Info'!$W$15,"")&lt;IF(_uom="lbs",175,80),1.25,IF(_uom="lbs",5,2.5)))),"")</f>
        <v/>
      </c>
      <c s="70"/>
      <c s="63"/>
      <c s="97"/>
      <c s="44" t="str">
        <f>IFERROR(__xludf.DUMMYFUNCTION("IF(I134=MAX(FILTER(I$10:I$199,LOOKUP(ROW(C$10:C$199),FILTER(ROW(C$10:C$199),C$10:C$199&lt;&gt;C$9:C$198))=LOOKUP(ROW(C134),FILTER(ROW(C$10:C$199),C$10:C$199&lt;&gt;C$9:C$198)))),J134,)"),"")</f>
        <v/>
      </c>
      <c s="42"/>
      <c s="63"/>
      <c s="64" t="str">
        <f t="shared" si="11"/>
        <v/>
      </c>
      <c s="65" t="str">
        <f>IFERROR(__xludf.DUMMYFUNCTION("""COMPUTED_VALUE"""),"")</f>
        <v/>
      </c>
      <c s="66">
        <f ca="1"/>
        <v>45215</v>
      </c>
      <c s="93" t="str">
        <f t="shared" si="12"/>
        <v/>
      </c>
      <c s="94" t="str">
        <f t="shared" si="404"/>
        <v/>
      </c>
      <c s="95" t="str">
        <f t="shared" si="406"/>
        <v/>
      </c>
      <c s="98" t="str">
        <f t="shared" si="407"/>
        <v/>
      </c>
      <c s="97" t="str">
        <f t="array" ref="W134">IFERROR(IF(Q134="ac"+ISNUMBER(SEARCH("'",V134))+U134="","",IF(ISNUMBER(SEARCH("lw",V134)),I134+SUBSTITUTE(V134,"lw+",""),MROUND(_xlfn.SWITCH(Q134,"sq",U$7,"bn",V$7,"dl",W$7,"")*IF(V134&gt;10,V134/100,VLOOKUP(V134,_rpe,SUBSTITUTE(U134,"+","")+1,0)),IF(_xlfn.SWITCH(Q134,"sq",U$7,"bn",V$7,"dl",W$7,"")&lt;IF(_uom="lbs",175,80),1.25,IF(_uom="lbs",5,2.5))))),"")</f>
        <v/>
      </c>
      <c s="70"/>
      <c s="63"/>
      <c s="97"/>
      <c s="44" t="str">
        <f>IFERROR(__xludf.DUMMYFUNCTION("IF(W134=MAX(FILTER(W$10:W$199,LOOKUP(ROW(Q$10:Q$199),FILTER(ROW(Q$10:Q$199),Q$10:Q$199&lt;&gt;Q$9:Q$198))=LOOKUP(ROW(Q134),FILTER(ROW(Q$10:Q$199),Q$10:Q$199&lt;&gt;Q$9:Q$198)))),X134,)"),"")</f>
        <v/>
      </c>
      <c s="42"/>
      <c s="63"/>
      <c s="64" t="str">
        <f t="shared" si="14"/>
        <v/>
      </c>
      <c s="65" t="str">
        <f>IFERROR(__xludf.DUMMYFUNCTION("""COMPUTED_VALUE"""),"")</f>
        <v/>
      </c>
      <c s="66">
        <f ca="1"/>
        <v>45222</v>
      </c>
      <c s="93" t="str">
        <f t="shared" si="156"/>
        <v/>
      </c>
      <c s="94" t="str">
        <f t="shared" si="397"/>
        <v/>
      </c>
      <c s="95" t="str">
        <f t="shared" si="408"/>
        <v/>
      </c>
      <c s="98" t="str">
        <f t="shared" si="398"/>
        <v/>
      </c>
      <c s="97" t="str">
        <f t="array" ref="AK134">IFERROR(IF(AE134="ac"+ISNUMBER(SEARCH("'",AJ134))+AI134="","",IF(ISNUMBER(SEARCH("lw",AJ134)),W134+SUBSTITUTE(AJ134,"lw+",""),MROUND(_xlfn.SWITCH(AE134,"sq",AI$7,"bn",AJ$7,"dl",AK$7,"")*IF(AJ134&gt;10,AJ134/100,VLOOKUP(AJ134,_rpe,SUBSTITUTE(AI134,"+","")+1,0)),IF(_xlfn.SWITCH(AE134,"sq",AI$7,"bn",AJ$7,"dl",AK$7,"")&lt;IF(_uom="lbs",175,80),1.25,IF(_uom="lbs",5,2.5))))),"")</f>
        <v/>
      </c>
      <c s="70"/>
      <c s="63"/>
      <c s="97"/>
      <c s="44" t="str">
        <f>IFERROR(__xludf.DUMMYFUNCTION("IF(AK134=MAX(FILTER(AK$10:AK$199,LOOKUP(ROW(AE$10:AE$199),FILTER(ROW(AE$10:AE$199),AE$10:AE$199&lt;&gt;AE$9:AE$198))=LOOKUP(ROW(AE134),FILTER(ROW(AE$10:AE$199),AE$10:AE$199&lt;&gt;AE$9:AE$198)))),AL134,)"),"")</f>
        <v/>
      </c>
      <c s="42"/>
      <c s="63"/>
      <c s="64" t="str">
        <f t="shared" si="17"/>
        <v/>
      </c>
      <c s="65" t="str">
        <f>IFERROR(__xludf.DUMMYFUNCTION("""COMPUTED_VALUE"""),"")</f>
        <v/>
      </c>
      <c s="66">
        <f ca="1"/>
        <v>45229</v>
      </c>
      <c s="93" t="str">
        <f t="shared" si="157"/>
        <v/>
      </c>
      <c s="94" t="str">
        <f t="shared" si="399"/>
        <v/>
      </c>
      <c s="95" t="str">
        <f t="shared" si="409"/>
        <v/>
      </c>
      <c s="98" t="str">
        <f t="shared" si="400"/>
        <v/>
      </c>
      <c s="97" t="str">
        <f t="array" ref="AY134">IFERROR(IF(AS134="ac"+ISNUMBER(SEARCH("'",AX134))+AW134="","",IF(ISNUMBER(SEARCH("lw",AX134)),AK134+SUBSTITUTE(AX134,"lw+",""),MROUND(_xlfn.SWITCH(AS134,"sq",AW$7,"bn",AX$7,"dl",AY$7,"")*IF(AX134&gt;10,AX134/100,VLOOKUP(AX134,_rpe,SUBSTITUTE(AW134,"+","")+1,0)),IF(_xlfn.SWITCH(AS134,"sq",AW$7,"bn",AX$7,"dl",AY$7,"")&lt;IF(_uom="lbs",175,80),1.25,IF(_uom="lbs",5,2.5))))),"")</f>
        <v/>
      </c>
      <c s="70"/>
      <c s="63"/>
      <c s="97"/>
      <c s="44" t="str">
        <f>IFERROR(__xludf.DUMMYFUNCTION("IF(AY134=MAX(FILTER(AY$10:AY$199,LOOKUP(ROW(AS$10:AS$199),FILTER(ROW(AS$10:AS$199),AS$10:AS$199&lt;&gt;AS$9:AS$198))=LOOKUP(ROW(AS134),FILTER(ROW(AS$10:AS$199),AS$10:AS$199&lt;&gt;AS$9:AS$198)))),AZ134,)"),"")</f>
        <v/>
      </c>
      <c s="42"/>
      <c s="63"/>
      <c s="64" t="str">
        <f t="shared" si="19"/>
        <v/>
      </c>
      <c s="65" t="str">
        <f>IFERROR(__xludf.DUMMYFUNCTION("""COMPUTED_VALUE"""),"")</f>
        <v/>
      </c>
      <c s="66">
        <f ca="1"/>
        <v>45236</v>
      </c>
      <c s="93" t="str">
        <f t="shared" si="20"/>
        <v/>
      </c>
      <c s="94" t="str">
        <f t="shared" si="425"/>
        <v/>
      </c>
      <c s="95" t="str">
        <f t="shared" si="411"/>
        <v/>
      </c>
      <c s="98" t="str">
        <f t="shared" si="412"/>
        <v/>
      </c>
      <c s="97" t="str">
        <f t="array" ref="BM134">IFERROR(IF(BG134="ac"+ISNUMBER(SEARCH("'",BL134))+BK134="","",IF(ISNUMBER(SEARCH("lw",BL134)),AY134+SUBSTITUTE(BL134,"lw+",""),MROUND(_xlfn.SWITCH(BG134,"sq",BK$7,"bn",BL$7,"dl",BM$7,"")*IF(BL134&gt;10,BL134/100,VLOOKUP(BL134,_rpe,SUBSTITUTE(BK134,"+","")+1,0)),IF(_xlfn.SWITCH(BG134,"sq",BK$7,"bn",BL$7,"dl",BM$7,"")&lt;IF(_uom="lbs",175,80),1.25,IF(_uom="lbs",5,2.5))))),"")</f>
        <v/>
      </c>
      <c s="70"/>
      <c s="63"/>
      <c s="97"/>
      <c s="44" t="str">
        <f>IFERROR(__xludf.DUMMYFUNCTION("IF(BM134=MAX(FILTER(BM$10:BM$199,LOOKUP(ROW(BG$10:BG$199),FILTER(ROW(BG$10:BG$199),BG$10:BG$199&lt;&gt;BG$9:BG$198))=LOOKUP(ROW(BG134),FILTER(ROW(BG$10:BG$199),BG$10:BG$199&lt;&gt;BG$9:BG$198)))),BN134,)"),"")</f>
        <v/>
      </c>
      <c s="42"/>
      <c s="63"/>
      <c s="64" t="str">
        <f t="shared" si="21"/>
        <v/>
      </c>
      <c s="65" t="str">
        <f>IFERROR(__xludf.DUMMYFUNCTION("""COMPUTED_VALUE"""),"")</f>
        <v/>
      </c>
      <c s="66">
        <f ca="1"/>
        <v>45243</v>
      </c>
      <c s="93" t="str">
        <f t="shared" si="22"/>
        <v/>
      </c>
      <c s="94" t="str">
        <f t="shared" si="426"/>
        <v/>
      </c>
      <c s="95" t="str">
        <f t="shared" si="414"/>
        <v/>
      </c>
      <c s="98" t="str">
        <f t="shared" si="415"/>
        <v/>
      </c>
      <c s="97" t="str">
        <f t="array" ref="CA134">IFERROR(IF(BU134="ac"+ISNUMBER(SEARCH("'",BZ134))+BY134="","",IF(ISNUMBER(SEARCH("lw",BZ134)),BM134+SUBSTITUTE(BZ134,"lw+",""),MROUND(_xlfn.SWITCH(BU134,"sq",BY$7,"bn",BZ$7,"dl",CA$7,"")*IF(BZ134&gt;10,BZ134/100,VLOOKUP(BZ134,_rpe,SUBSTITUTE(BY134,"+","")+1,0)),IF(_xlfn.SWITCH(BU134,"sq",BY$7,"bn",BZ$7,"dl",CA$7,"")&lt;IF(_uom="lbs",175,80),1.25,IF(_uom="lbs",5,2.5))))),"")</f>
        <v/>
      </c>
      <c s="70"/>
      <c s="63"/>
      <c s="97"/>
      <c s="44" t="str">
        <f>IFERROR(__xludf.DUMMYFUNCTION("IF(CA134=MAX(FILTER(CA$10:CA$199,LOOKUP(ROW(BU$10:BU$199),FILTER(ROW(BU$10:BU$199),BU$10:BU$199&lt;&gt;BU$9:BU$198))=LOOKUP(ROW(BU134),FILTER(ROW(BU$10:BU$199),BU$10:BU$199&lt;&gt;BU$9:BU$198)))),CB134,)"),"")</f>
        <v/>
      </c>
      <c s="42"/>
      <c s="63"/>
      <c s="64" t="str">
        <f t="shared" si="24"/>
        <v/>
      </c>
      <c s="65" t="str">
        <f>IFERROR(__xludf.DUMMYFUNCTION("""COMPUTED_VALUE"""),"")</f>
        <v/>
      </c>
      <c s="66">
        <f ca="1"/>
        <v>45250</v>
      </c>
      <c s="93" t="str">
        <f t="shared" si="44"/>
        <v/>
      </c>
      <c s="94" t="str">
        <f t="shared" si="392"/>
        <v/>
      </c>
      <c s="95" t="str">
        <f t="shared" si="416"/>
        <v/>
      </c>
      <c s="98" t="str">
        <f t="shared" si="417"/>
        <v/>
      </c>
      <c s="97" t="str">
        <f t="array" ref="CO134">IFERROR(IF(CI134="ac"+ISNUMBER(SEARCH("'",CN134))+CM134="","",IF(ISNUMBER(SEARCH("lw",CN134)),CA134+SUBSTITUTE(CN134,"lw+",""),MROUND(_xlfn.SWITCH(CI134,"sq",CM$7,"bn",CN$7,"dl",CO$7,"")*IF(CN134&gt;10,CN134/100,VLOOKUP(CN134,_rpe,SUBSTITUTE(CM134,"+","")+1,0)),IF(_xlfn.SWITCH(CI134,"sq",CM$7,"bn",CN$7,"dl",CO$7,"")&lt;IF(_uom="lbs",175,80),1.25,IF(_uom="lbs",5,2.5))))),"")</f>
        <v/>
      </c>
      <c s="70"/>
      <c s="63"/>
      <c s="97"/>
      <c s="44" t="str">
        <f>IFERROR(__xludf.DUMMYFUNCTION("IF(CO134=MAX(FILTER(CO$10:CO$199,LOOKUP(ROW(CI$10:CI$199),FILTER(ROW(CI$10:CI$199),CI$10:CI$199&lt;&gt;CI$9:CI$198))=LOOKUP(ROW(CI134),FILTER(ROW(CI$10:CI$199),CI$10:CI$199&lt;&gt;CI$9:CI$198)))),CP134,)"),"")</f>
        <v/>
      </c>
      <c s="42"/>
      <c s="63"/>
      <c s="64" t="str">
        <f t="shared" si="27"/>
        <v/>
      </c>
      <c s="65" t="str">
        <f>IFERROR(__xludf.DUMMYFUNCTION("""COMPUTED_VALUE"""),"")</f>
        <v/>
      </c>
      <c s="66">
        <f ca="1"/>
        <v>45257</v>
      </c>
      <c s="93" t="str">
        <f t="shared" si="45"/>
        <v/>
      </c>
      <c s="94" t="str">
        <f t="shared" si="393"/>
        <v/>
      </c>
      <c s="95" t="str">
        <f t="shared" si="418"/>
        <v/>
      </c>
      <c s="98" t="str">
        <f t="shared" si="401"/>
        <v/>
      </c>
      <c s="97" t="str">
        <f t="array" ref="DC134">IFERROR(IF(CW134="ac"+ISNUMBER(SEARCH("'",DB134))+DA134="","",IF(ISNUMBER(SEARCH("lw",DB134)),CO134+SUBSTITUTE(DB134,"lw+",""),MROUND(_xlfn.SWITCH(CW134,"sq",DA$7,"bn",DB$7,"dl",DC$7,"")*IF(DB134&gt;10,DB134/100,VLOOKUP(DB134,_rpe,SUBSTITUTE(DA134,"+","")+1,0)),IF(_xlfn.SWITCH(CW134,"sq",DA$7,"bn",DB$7,"dl",DC$7,"")&lt;IF(_uom="lbs",175,80),1.25,IF(_uom="lbs",5,2.5))))),"")</f>
        <v/>
      </c>
      <c s="70"/>
      <c s="63"/>
      <c s="97"/>
      <c s="44" t="str">
        <f>IFERROR(__xludf.DUMMYFUNCTION("IF(DC134=MAX(FILTER(DC$10:DC$199,LOOKUP(ROW(CW$10:CW$199),FILTER(ROW(CW$10:CW$199),CW$10:CW$199&lt;&gt;CW$9:CW$198))=LOOKUP(ROW(CW134),FILTER(ROW(CW$10:CW$199),CW$10:CW$199&lt;&gt;CW$9:CW$198)))),DD134,)"),"")</f>
        <v/>
      </c>
      <c s="42"/>
      <c s="63"/>
      <c s="64" t="str">
        <f t="shared" si="30"/>
        <v/>
      </c>
      <c s="65" t="str">
        <f>IFERROR(__xludf.DUMMYFUNCTION("""COMPUTED_VALUE"""),"")</f>
        <v/>
      </c>
      <c s="66">
        <f ca="1"/>
        <v>45264</v>
      </c>
      <c s="93" t="str">
        <f t="shared" si="46"/>
        <v/>
      </c>
      <c s="94" t="str">
        <f t="shared" si="394"/>
        <v/>
      </c>
      <c s="95" t="str">
        <f t="shared" si="419"/>
        <v/>
      </c>
      <c s="98" t="str">
        <f t="shared" si="420"/>
        <v/>
      </c>
      <c s="97" t="str">
        <f t="array" ref="DQ134">IFERROR(IF(DK134="ac"+ISNUMBER(SEARCH("'",DP134))+DO134="","",IF(ISNUMBER(SEARCH("lw",DP134)),DC134+SUBSTITUTE(DP134,"lw+",""),MROUND(_xlfn.SWITCH(DK134,"sq",DO$7,"bn",DP$7,"dl",DQ$7,"")*IF(DP134&gt;10,DP134/100,VLOOKUP(DP134,_rpe,SUBSTITUTE(DO134,"+","")+1,0)),IF(_xlfn.SWITCH(DK134,"sq",DO$7,"bn",DP$7,"dl",DQ$7,"")&lt;IF(_uom="lbs",175,80),1.25,IF(_uom="lbs",5,2.5))))),"")</f>
        <v/>
      </c>
      <c s="70"/>
      <c s="63"/>
      <c s="97"/>
      <c s="44" t="str">
        <f>IFERROR(__xludf.DUMMYFUNCTION("IF(DQ134=MAX(FILTER(DQ$10:DQ$199,LOOKUP(ROW(DK$10:DK$199),FILTER(ROW(DK$10:DK$199),DK$10:DK$199&lt;&gt;DK$9:DK$198))=LOOKUP(ROW(DK134),FILTER(ROW(DK$10:DK$199),DK$10:DK$199&lt;&gt;DK$9:DK$198)))),DR134,)"),"")</f>
        <v/>
      </c>
      <c s="42"/>
      <c s="63"/>
      <c s="64" t="str">
        <f t="shared" si="32"/>
        <v/>
      </c>
      <c s="65" t="str">
        <f>IFERROR(__xludf.DUMMYFUNCTION("""COMPUTED_VALUE"""),"")</f>
        <v/>
      </c>
      <c s="66">
        <f ca="1"/>
        <v>45271</v>
      </c>
      <c s="93" t="str">
        <f t="shared" si="47"/>
        <v/>
      </c>
      <c s="94" t="str">
        <f t="shared" si="405"/>
        <v/>
      </c>
      <c s="95" t="str">
        <f t="shared" si="421"/>
        <v/>
      </c>
      <c s="98" t="str">
        <f t="shared" si="422"/>
        <v/>
      </c>
      <c s="97" t="str">
        <f t="array" ref="EE134">IFERROR(IF(DY134="ac"+ISNUMBER(SEARCH("'",ED134))+EC134="","",IF(ISNUMBER(SEARCH("lw",ED134)),DQ134+SUBSTITUTE(ED134,"lw+",""),MROUND(_xlfn.SWITCH(DY134,"sq",EC$7,"bn",ED$7,"dl",EE$7,"")*IF(ED134&gt;10,ED134/100,VLOOKUP(ED134,_rpe,SUBSTITUTE(EC134,"+","")+1,0)),IF(_xlfn.SWITCH(DY134,"sq",EC$7,"bn",ED$7,"dl",EE$7,"")&lt;IF(_uom="lbs",175,80),1.25,IF(_uom="lbs",5,2.5))))),"")</f>
        <v/>
      </c>
      <c s="70"/>
      <c s="63"/>
      <c s="97"/>
      <c s="44" t="str">
        <f>IFERROR(__xludf.DUMMYFUNCTION("IF(EE134=MAX(FILTER(EE$10:EE$199,LOOKUP(ROW(DY$10:DY$199),FILTER(ROW(DY$10:DY$199),DY$10:DY$199&lt;&gt;DY$9:DY$198))=LOOKUP(ROW(DY134),FILTER(ROW(DY$10:DY$199),DY$10:DY$199&lt;&gt;DY$9:DY$198)))),EF134,)"),"")</f>
        <v/>
      </c>
      <c s="42"/>
      <c s="63"/>
      <c s="64" t="str">
        <f t="shared" si="34"/>
        <v/>
      </c>
      <c s="65" t="str">
        <f>IFERROR(__xludf.DUMMYFUNCTION("""COMPUTED_VALUE"""),"")</f>
        <v/>
      </c>
      <c s="66">
        <f ca="1"/>
        <v>45278</v>
      </c>
      <c s="93" t="str">
        <f t="shared" si="48"/>
        <v/>
      </c>
      <c s="94" t="str">
        <f t="shared" si="395"/>
        <v/>
      </c>
      <c s="95" t="str">
        <f t="shared" si="423"/>
        <v/>
      </c>
      <c s="98" t="str">
        <f t="shared" si="402"/>
        <v/>
      </c>
      <c s="97" t="str">
        <f t="array" ref="ES134">IFERROR(IF(EM134="ac"+ISNUMBER(SEARCH("'",ER134))+EQ134="","",IF(ISNUMBER(SEARCH("lw",ER134)),EE134+SUBSTITUTE(ER134,"lw+",""),MROUND(_xlfn.SWITCH(EM134,"sq",EQ$7,"bn",ER$7,"dl",ES$7,"")*IF(ER134&gt;10,ER134/100,VLOOKUP(ER134,_rpe,SUBSTITUTE(EQ134,"+","")+1,0)),IF(_xlfn.SWITCH(EM134,"sq",EQ$7,"bn",ER$7,"dl",ES$7,"")&lt;IF(_uom="lbs",175,80),1.25,IF(_uom="lbs",5,2.5))))),"")</f>
        <v/>
      </c>
      <c s="70"/>
      <c s="63"/>
      <c s="97"/>
      <c s="44" t="str">
        <f>IFERROR(__xludf.DUMMYFUNCTION("IF(ES134=MAX(FILTER(ES$10:ES$199,LOOKUP(ROW(EM$10:EM$199),FILTER(ROW(EM$10:EM$199),EM$10:EM$199&lt;&gt;EM$9:EM$198))=LOOKUP(ROW(EM134),FILTER(ROW(EM$10:EM$199),EM$10:EM$199&lt;&gt;EM$9:EM$198)))),ET134,)"),"")</f>
        <v/>
      </c>
      <c s="42"/>
      <c s="63"/>
      <c s="64" t="str">
        <f t="shared" si="36"/>
        <v/>
      </c>
      <c s="65" t="str">
        <f>IFERROR(__xludf.DUMMYFUNCTION("""COMPUTED_VALUE"""),"")</f>
        <v/>
      </c>
      <c s="66">
        <f ca="1"/>
        <v>45285</v>
      </c>
      <c s="93" t="str">
        <f t="shared" si="49"/>
        <v/>
      </c>
      <c s="94" t="str">
        <f t="shared" si="396"/>
        <v/>
      </c>
      <c s="95" t="str">
        <f t="shared" si="424"/>
        <v/>
      </c>
      <c s="98" t="str">
        <f t="shared" si="403"/>
        <v/>
      </c>
      <c s="97" t="str">
        <f t="array" ref="FG134">IFERROR(IF(FA134="ac"+ISNUMBER(SEARCH("'",FF134))+FE134="","",IF(ISNUMBER(SEARCH("lw",FF134)),ES134+SUBSTITUTE(FF134,"lw+",""),MROUND(_xlfn.SWITCH(FA134,"sq",FE$7,"bn",FF$7,"dl",FG$7,"")*IF(FF134&gt;10,FF134/100,VLOOKUP(FF134,_rpe,SUBSTITUTE(FE134,"+","")+1,0)),IF(_xlfn.SWITCH(FA134,"sq",FE$7,"bn",FF$7,"dl",FG$7,"")&lt;IF(_uom="lbs",175,80),1.25,IF(_uom="lbs",5,2.5))))),"")</f>
        <v/>
      </c>
      <c s="70"/>
      <c s="63"/>
      <c s="97"/>
      <c s="44" t="str">
        <f>IFERROR(__xludf.DUMMYFUNCTION("IF(FG134=MAX(FILTER(FG$10:FG$199,LOOKUP(ROW(FA$10:FA$199),FILTER(ROW(FA$10:FA$199),FA$10:FA$199&lt;&gt;FA$9:FA$198))=LOOKUP(ROW(FA134),FILTER(ROW(FA$10:FA$199),FA$10:FA$199&lt;&gt;FA$9:FA$198)))),FH134,)"),"")</f>
        <v/>
      </c>
      <c s="42"/>
      <c s="63"/>
      <c s="64" t="str">
        <f t="shared" si="38"/>
        <v/>
      </c>
      <c s="65" t="str">
        <f>IFERROR(__xludf.DUMMYFUNCTION("""COMPUTED_VALUE"""),"")</f>
        <v/>
      </c>
      <c s="66">
        <f ca="1"/>
        <v>45292</v>
      </c>
      <c s="93" t="str">
        <f t="shared" si="478" ref="FQ134:FR134">IF(ISBLANK(FC134),"",FC134)</f>
        <v/>
      </c>
      <c s="94" t="str">
        <f t="shared" si="478"/>
        <v/>
      </c>
      <c s="95" t="str">
        <f t="shared" si="428"/>
        <v/>
      </c>
      <c s="98" t="str">
        <f t="shared" si="429"/>
        <v/>
      </c>
      <c s="97" t="str">
        <f t="array" ref="FU134">IFERROR(IF(FO134="ac"+ISNUMBER(SEARCH("'",FT134))+FS134="","",IF(ISNUMBER(SEARCH("lw",FT134)),FG134+SUBSTITUTE(FT134,"lw+",""),MROUND(_xlfn.SWITCH(FO134,"sq",FS$7,"bn",FT$7,"dl",FU$7,"")*IF(FT134&gt;10,FT134/100,VLOOKUP(FT134,_rpe,SUBSTITUTE(FS134,"+","")+1,0)),IF(_xlfn.SWITCH(FO134,"sq",FS$7,"bn",FT$7,"dl",FU$7,"")&lt;IF(_uom="lbs",175,80),1.25,IF(_uom="lbs",5,2.5))))),"")</f>
        <v/>
      </c>
      <c s="70"/>
      <c s="63"/>
      <c s="97"/>
      <c s="44" t="str">
        <f>IFERROR(__xludf.DUMMYFUNCTION("IF(FU134=MAX(FILTER(FU$10:FU$199,LOOKUP(ROW(FO$10:FO$199),FILTER(ROW(FO$10:FO$199),FO$10:FO$199&lt;&gt;FO$9:FO$198))=LOOKUP(ROW(FO134),FILTER(ROW(FO$10:FO$199),FO$10:FO$199&lt;&gt;FO$9:FO$198)))),FV134,)"),"")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35" spans="1:259" ht="15.75">
      <c r="A135" s="63"/>
      <c s="107"/>
      <c s="65" t="str">
        <f>IFERROR(__xludf.DUMMYFUNCTION("""COMPUTED_VALUE"""),"")</f>
        <v/>
      </c>
      <c s="66">
        <f ca="1"/>
        <v>45208</v>
      </c>
      <c s="93"/>
      <c s="94"/>
      <c s="95"/>
      <c s="96"/>
      <c s="97" t="str">
        <f t="array" ref="I135">IFERROR(IF(C135="ac"+ISNUMBER(SEARCH("'",H135))+G135="","",MROUND(_xlfn.SWITCH(C135,"sq",'Personal Info'!$O$15,"bn",'Personal Info'!$S$15,"dl",'Personal Info'!$W$15,"")*IF(H135&gt;10,H135/100,VLOOKUP(H135,_rpe,SUBSTITUTE(G135,"+","")+1,0)),IF(_xlfn.SWITCH(C135:C210,"sq",'Personal Info'!$O$15,"bn",'Personal Info'!$S$15,"dl",'Personal Info'!$W$15,"")&lt;IF(_uom="lbs",175,80),1.25,IF(_uom="lbs",5,2.5)))),"")</f>
        <v/>
      </c>
      <c s="70"/>
      <c s="63"/>
      <c s="97"/>
      <c s="44" t="str">
        <f>IFERROR(__xludf.DUMMYFUNCTION("IF(I135=MAX(FILTER(I$10:I$199,LOOKUP(ROW(C$10:C$199),FILTER(ROW(C$10:C$199),C$10:C$199&lt;&gt;C$9:C$198))=LOOKUP(ROW(C135),FILTER(ROW(C$10:C$199),C$10:C$199&lt;&gt;C$9:C$198)))),J135,)"),"")</f>
        <v/>
      </c>
      <c s="42"/>
      <c s="63"/>
      <c s="64" t="str">
        <f t="shared" si="11"/>
        <v/>
      </c>
      <c s="65" t="str">
        <f>IFERROR(__xludf.DUMMYFUNCTION("""COMPUTED_VALUE"""),"")</f>
        <v/>
      </c>
      <c s="66">
        <f ca="1"/>
        <v>45215</v>
      </c>
      <c s="93" t="str">
        <f t="shared" si="12"/>
        <v/>
      </c>
      <c s="94" t="str">
        <f t="shared" si="404"/>
        <v/>
      </c>
      <c s="95" t="str">
        <f t="shared" si="406"/>
        <v/>
      </c>
      <c s="98" t="str">
        <f t="shared" si="407"/>
        <v/>
      </c>
      <c s="97" t="str">
        <f t="array" ref="W135">IFERROR(IF(Q135="ac"+ISNUMBER(SEARCH("'",V135))+U135="","",IF(ISNUMBER(SEARCH("lw",V135)),I135+SUBSTITUTE(V135,"lw+",""),MROUND(_xlfn.SWITCH(Q135,"sq",U$7,"bn",V$7,"dl",W$7,"")*IF(V135&gt;10,V135/100,VLOOKUP(V135,_rpe,SUBSTITUTE(U135,"+","")+1,0)),IF(_xlfn.SWITCH(Q135,"sq",U$7,"bn",V$7,"dl",W$7,"")&lt;IF(_uom="lbs",175,80),1.25,IF(_uom="lbs",5,2.5))))),"")</f>
        <v/>
      </c>
      <c s="70"/>
      <c s="63"/>
      <c s="97"/>
      <c s="44" t="str">
        <f>IFERROR(__xludf.DUMMYFUNCTION("IF(W135=MAX(FILTER(W$10:W$199,LOOKUP(ROW(Q$10:Q$199),FILTER(ROW(Q$10:Q$199),Q$10:Q$199&lt;&gt;Q$9:Q$198))=LOOKUP(ROW(Q135),FILTER(ROW(Q$10:Q$199),Q$10:Q$199&lt;&gt;Q$9:Q$198)))),X135,)"),"")</f>
        <v/>
      </c>
      <c s="42"/>
      <c s="63"/>
      <c s="64" t="str">
        <f t="shared" si="14"/>
        <v/>
      </c>
      <c s="65" t="str">
        <f>IFERROR(__xludf.DUMMYFUNCTION("""COMPUTED_VALUE"""),"")</f>
        <v/>
      </c>
      <c s="66">
        <f ca="1"/>
        <v>45222</v>
      </c>
      <c s="93" t="str">
        <f t="shared" si="156"/>
        <v/>
      </c>
      <c s="94" t="str">
        <f t="shared" si="397"/>
        <v/>
      </c>
      <c s="95" t="str">
        <f t="shared" si="408"/>
        <v/>
      </c>
      <c s="98" t="str">
        <f t="shared" si="398"/>
        <v/>
      </c>
      <c s="97" t="str">
        <f t="array" ref="AK135">IFERROR(IF(AE135="ac"+ISNUMBER(SEARCH("'",AJ135))+AI135="","",IF(ISNUMBER(SEARCH("lw",AJ135)),W135+SUBSTITUTE(AJ135,"lw+",""),MROUND(_xlfn.SWITCH(AE135,"sq",AI$7,"bn",AJ$7,"dl",AK$7,"")*IF(AJ135&gt;10,AJ135/100,VLOOKUP(AJ135,_rpe,SUBSTITUTE(AI135,"+","")+1,0)),IF(_xlfn.SWITCH(AE135,"sq",AI$7,"bn",AJ$7,"dl",AK$7,"")&lt;IF(_uom="lbs",175,80),1.25,IF(_uom="lbs",5,2.5))))),"")</f>
        <v/>
      </c>
      <c s="70"/>
      <c s="63"/>
      <c s="97"/>
      <c s="44" t="str">
        <f>IFERROR(__xludf.DUMMYFUNCTION("IF(AK135=MAX(FILTER(AK$10:AK$199,LOOKUP(ROW(AE$10:AE$199),FILTER(ROW(AE$10:AE$199),AE$10:AE$199&lt;&gt;AE$9:AE$198))=LOOKUP(ROW(AE135),FILTER(ROW(AE$10:AE$199),AE$10:AE$199&lt;&gt;AE$9:AE$198)))),AL135,)"),"")</f>
        <v/>
      </c>
      <c s="42"/>
      <c s="63"/>
      <c s="64" t="str">
        <f t="shared" si="17"/>
        <v/>
      </c>
      <c s="65" t="str">
        <f>IFERROR(__xludf.DUMMYFUNCTION("""COMPUTED_VALUE"""),"")</f>
        <v/>
      </c>
      <c s="66">
        <f ca="1"/>
        <v>45229</v>
      </c>
      <c s="93" t="str">
        <f t="shared" si="157"/>
        <v/>
      </c>
      <c s="94" t="str">
        <f t="shared" si="399"/>
        <v/>
      </c>
      <c s="95" t="str">
        <f t="shared" si="409"/>
        <v/>
      </c>
      <c s="98" t="str">
        <f t="shared" si="400"/>
        <v/>
      </c>
      <c s="97" t="str">
        <f t="array" ref="AY135">IFERROR(IF(AS135="ac"+ISNUMBER(SEARCH("'",AX135))+AW135="","",IF(ISNUMBER(SEARCH("lw",AX135)),AK135+SUBSTITUTE(AX135,"lw+",""),MROUND(_xlfn.SWITCH(AS135,"sq",AW$7,"bn",AX$7,"dl",AY$7,"")*IF(AX135&gt;10,AX135/100,VLOOKUP(AX135,_rpe,SUBSTITUTE(AW135,"+","")+1,0)),IF(_xlfn.SWITCH(AS135,"sq",AW$7,"bn",AX$7,"dl",AY$7,"")&lt;IF(_uom="lbs",175,80),1.25,IF(_uom="lbs",5,2.5))))),"")</f>
        <v/>
      </c>
      <c s="70"/>
      <c s="63"/>
      <c s="97"/>
      <c s="44" t="str">
        <f>IFERROR(__xludf.DUMMYFUNCTION("IF(AY135=MAX(FILTER(AY$10:AY$199,LOOKUP(ROW(AS$10:AS$199),FILTER(ROW(AS$10:AS$199),AS$10:AS$199&lt;&gt;AS$9:AS$198))=LOOKUP(ROW(AS135),FILTER(ROW(AS$10:AS$199),AS$10:AS$199&lt;&gt;AS$9:AS$198)))),AZ135,)"),"")</f>
        <v/>
      </c>
      <c s="42"/>
      <c s="63"/>
      <c s="64" t="str">
        <f t="shared" si="19"/>
        <v/>
      </c>
      <c s="65" t="str">
        <f>IFERROR(__xludf.DUMMYFUNCTION("""COMPUTED_VALUE"""),"")</f>
        <v/>
      </c>
      <c s="66">
        <f ca="1"/>
        <v>45236</v>
      </c>
      <c s="93" t="str">
        <f t="shared" si="20"/>
        <v/>
      </c>
      <c s="94" t="str">
        <f t="shared" si="425"/>
        <v/>
      </c>
      <c s="95" t="str">
        <f t="shared" si="411"/>
        <v/>
      </c>
      <c s="98" t="str">
        <f t="shared" si="412"/>
        <v/>
      </c>
      <c s="97" t="str">
        <f t="array" ref="BM135">IFERROR(IF(BG135="ac"+ISNUMBER(SEARCH("'",BL135))+BK135="","",IF(ISNUMBER(SEARCH("lw",BL135)),AY135+SUBSTITUTE(BL135,"lw+",""),MROUND(_xlfn.SWITCH(BG135,"sq",BK$7,"bn",BL$7,"dl",BM$7,"")*IF(BL135&gt;10,BL135/100,VLOOKUP(BL135,_rpe,SUBSTITUTE(BK135,"+","")+1,0)),IF(_xlfn.SWITCH(BG135,"sq",BK$7,"bn",BL$7,"dl",BM$7,"")&lt;IF(_uom="lbs",175,80),1.25,IF(_uom="lbs",5,2.5))))),"")</f>
        <v/>
      </c>
      <c s="70"/>
      <c s="63"/>
      <c s="97"/>
      <c s="44" t="str">
        <f>IFERROR(__xludf.DUMMYFUNCTION("IF(BM135=MAX(FILTER(BM$10:BM$199,LOOKUP(ROW(BG$10:BG$199),FILTER(ROW(BG$10:BG$199),BG$10:BG$199&lt;&gt;BG$9:BG$198))=LOOKUP(ROW(BG135),FILTER(ROW(BG$10:BG$199),BG$10:BG$199&lt;&gt;BG$9:BG$198)))),BN135,)"),"")</f>
        <v/>
      </c>
      <c s="42"/>
      <c s="63"/>
      <c s="64" t="str">
        <f t="shared" si="21"/>
        <v/>
      </c>
      <c s="65" t="str">
        <f>IFERROR(__xludf.DUMMYFUNCTION("""COMPUTED_VALUE"""),"")</f>
        <v/>
      </c>
      <c s="66">
        <f ca="1"/>
        <v>45243</v>
      </c>
      <c s="93" t="str">
        <f t="shared" si="22"/>
        <v/>
      </c>
      <c s="94" t="str">
        <f t="shared" si="426"/>
        <v/>
      </c>
      <c s="95" t="str">
        <f t="shared" si="414"/>
        <v/>
      </c>
      <c s="98" t="str">
        <f t="shared" si="415"/>
        <v/>
      </c>
      <c s="97" t="str">
        <f t="array" ref="CA135">IFERROR(IF(BU135="ac"+ISNUMBER(SEARCH("'",BZ135))+BY135="","",IF(ISNUMBER(SEARCH("lw",BZ135)),BM135+SUBSTITUTE(BZ135,"lw+",""),MROUND(_xlfn.SWITCH(BU135,"sq",BY$7,"bn",BZ$7,"dl",CA$7,"")*IF(BZ135&gt;10,BZ135/100,VLOOKUP(BZ135,_rpe,SUBSTITUTE(BY135,"+","")+1,0)),IF(_xlfn.SWITCH(BU135,"sq",BY$7,"bn",BZ$7,"dl",CA$7,"")&lt;IF(_uom="lbs",175,80),1.25,IF(_uom="lbs",5,2.5))))),"")</f>
        <v/>
      </c>
      <c s="70"/>
      <c s="63"/>
      <c s="97"/>
      <c s="44" t="str">
        <f>IFERROR(__xludf.DUMMYFUNCTION("IF(CA135=MAX(FILTER(CA$10:CA$199,LOOKUP(ROW(BU$10:BU$199),FILTER(ROW(BU$10:BU$199),BU$10:BU$199&lt;&gt;BU$9:BU$198))=LOOKUP(ROW(BU135),FILTER(ROW(BU$10:BU$199),BU$10:BU$199&lt;&gt;BU$9:BU$198)))),CB135,)"),"")</f>
        <v/>
      </c>
      <c s="42"/>
      <c s="63"/>
      <c s="64" t="str">
        <f t="shared" si="24"/>
        <v/>
      </c>
      <c s="65" t="str">
        <f>IFERROR(__xludf.DUMMYFUNCTION("""COMPUTED_VALUE"""),"")</f>
        <v/>
      </c>
      <c s="66">
        <f ca="1"/>
        <v>45250</v>
      </c>
      <c s="93" t="str">
        <f t="shared" si="44"/>
        <v/>
      </c>
      <c s="94" t="str">
        <f t="shared" si="392"/>
        <v/>
      </c>
      <c s="95" t="str">
        <f t="shared" si="416"/>
        <v/>
      </c>
      <c s="98" t="str">
        <f t="shared" si="417"/>
        <v/>
      </c>
      <c s="97" t="str">
        <f t="array" ref="CO135">IFERROR(IF(CI135="ac"+ISNUMBER(SEARCH("'",CN135))+CM135="","",IF(ISNUMBER(SEARCH("lw",CN135)),CA135+SUBSTITUTE(CN135,"lw+",""),MROUND(_xlfn.SWITCH(CI135,"sq",CM$7,"bn",CN$7,"dl",CO$7,"")*IF(CN135&gt;10,CN135/100,VLOOKUP(CN135,_rpe,SUBSTITUTE(CM135,"+","")+1,0)),IF(_xlfn.SWITCH(CI135,"sq",CM$7,"bn",CN$7,"dl",CO$7,"")&lt;IF(_uom="lbs",175,80),1.25,IF(_uom="lbs",5,2.5))))),"")</f>
        <v/>
      </c>
      <c s="70"/>
      <c s="63"/>
      <c s="97"/>
      <c s="44" t="str">
        <f>IFERROR(__xludf.DUMMYFUNCTION("IF(CO135=MAX(FILTER(CO$10:CO$199,LOOKUP(ROW(CI$10:CI$199),FILTER(ROW(CI$10:CI$199),CI$10:CI$199&lt;&gt;CI$9:CI$198))=LOOKUP(ROW(CI135),FILTER(ROW(CI$10:CI$199),CI$10:CI$199&lt;&gt;CI$9:CI$198)))),CP135,)"),"")</f>
        <v/>
      </c>
      <c s="42"/>
      <c s="63"/>
      <c s="64" t="str">
        <f t="shared" si="27"/>
        <v/>
      </c>
      <c s="65" t="str">
        <f>IFERROR(__xludf.DUMMYFUNCTION("""COMPUTED_VALUE"""),"")</f>
        <v/>
      </c>
      <c s="66">
        <f ca="1"/>
        <v>45257</v>
      </c>
      <c s="93" t="str">
        <f t="shared" si="45"/>
        <v/>
      </c>
      <c s="94" t="str">
        <f t="shared" si="393"/>
        <v/>
      </c>
      <c s="95" t="str">
        <f t="shared" si="418"/>
        <v/>
      </c>
      <c s="98" t="str">
        <f t="shared" si="401"/>
        <v/>
      </c>
      <c s="97" t="str">
        <f t="array" ref="DC135">IFERROR(IF(CW135="ac"+ISNUMBER(SEARCH("'",DB135))+DA135="","",IF(ISNUMBER(SEARCH("lw",DB135)),CO135+SUBSTITUTE(DB135,"lw+",""),MROUND(_xlfn.SWITCH(CW135,"sq",DA$7,"bn",DB$7,"dl",DC$7,"")*IF(DB135&gt;10,DB135/100,VLOOKUP(DB135,_rpe,SUBSTITUTE(DA135,"+","")+1,0)),IF(_xlfn.SWITCH(CW135,"sq",DA$7,"bn",DB$7,"dl",DC$7,"")&lt;IF(_uom="lbs",175,80),1.25,IF(_uom="lbs",5,2.5))))),"")</f>
        <v/>
      </c>
      <c s="70"/>
      <c s="63"/>
      <c s="97"/>
      <c s="44" t="str">
        <f>IFERROR(__xludf.DUMMYFUNCTION("IF(DC135=MAX(FILTER(DC$10:DC$199,LOOKUP(ROW(CW$10:CW$199),FILTER(ROW(CW$10:CW$199),CW$10:CW$199&lt;&gt;CW$9:CW$198))=LOOKUP(ROW(CW135),FILTER(ROW(CW$10:CW$199),CW$10:CW$199&lt;&gt;CW$9:CW$198)))),DD135,)"),"")</f>
        <v/>
      </c>
      <c s="42"/>
      <c s="63"/>
      <c s="64" t="str">
        <f t="shared" si="30"/>
        <v/>
      </c>
      <c s="65" t="str">
        <f>IFERROR(__xludf.DUMMYFUNCTION("""COMPUTED_VALUE"""),"")</f>
        <v/>
      </c>
      <c s="66">
        <f ca="1"/>
        <v>45264</v>
      </c>
      <c s="93" t="str">
        <f t="shared" si="46"/>
        <v/>
      </c>
      <c s="94" t="str">
        <f t="shared" si="394"/>
        <v/>
      </c>
      <c s="95" t="str">
        <f t="shared" si="419"/>
        <v/>
      </c>
      <c s="98" t="str">
        <f t="shared" si="420"/>
        <v/>
      </c>
      <c s="97" t="str">
        <f t="array" ref="DQ135">IFERROR(IF(DK135="ac"+ISNUMBER(SEARCH("'",DP135))+DO135="","",IF(ISNUMBER(SEARCH("lw",DP135)),DC135+SUBSTITUTE(DP135,"lw+",""),MROUND(_xlfn.SWITCH(DK135,"sq",DO$7,"bn",DP$7,"dl",DQ$7,"")*IF(DP135&gt;10,DP135/100,VLOOKUP(DP135,_rpe,SUBSTITUTE(DO135,"+","")+1,0)),IF(_xlfn.SWITCH(DK135,"sq",DO$7,"bn",DP$7,"dl",DQ$7,"")&lt;IF(_uom="lbs",175,80),1.25,IF(_uom="lbs",5,2.5))))),"")</f>
        <v/>
      </c>
      <c s="70"/>
      <c s="63"/>
      <c s="97"/>
      <c s="44" t="str">
        <f>IFERROR(__xludf.DUMMYFUNCTION("IF(DQ135=MAX(FILTER(DQ$10:DQ$199,LOOKUP(ROW(DK$10:DK$199),FILTER(ROW(DK$10:DK$199),DK$10:DK$199&lt;&gt;DK$9:DK$198))=LOOKUP(ROW(DK135),FILTER(ROW(DK$10:DK$199),DK$10:DK$199&lt;&gt;DK$9:DK$198)))),DR135,)"),"")</f>
        <v/>
      </c>
      <c s="42"/>
      <c s="63"/>
      <c s="64" t="str">
        <f t="shared" si="32"/>
        <v/>
      </c>
      <c s="65" t="str">
        <f>IFERROR(__xludf.DUMMYFUNCTION("""COMPUTED_VALUE"""),"")</f>
        <v/>
      </c>
      <c s="66">
        <f ca="1"/>
        <v>45271</v>
      </c>
      <c s="93" t="str">
        <f t="shared" si="47"/>
        <v/>
      </c>
      <c s="94" t="str">
        <f t="shared" si="405"/>
        <v/>
      </c>
      <c s="95" t="str">
        <f t="shared" si="421"/>
        <v/>
      </c>
      <c s="98" t="str">
        <f t="shared" si="422"/>
        <v/>
      </c>
      <c s="97" t="str">
        <f t="array" ref="EE135">IFERROR(IF(DY135="ac"+ISNUMBER(SEARCH("'",ED135))+EC135="","",IF(ISNUMBER(SEARCH("lw",ED135)),DQ135+SUBSTITUTE(ED135,"lw+",""),MROUND(_xlfn.SWITCH(DY135,"sq",EC$7,"bn",ED$7,"dl",EE$7,"")*IF(ED135&gt;10,ED135/100,VLOOKUP(ED135,_rpe,SUBSTITUTE(EC135,"+","")+1,0)),IF(_xlfn.SWITCH(DY135,"sq",EC$7,"bn",ED$7,"dl",EE$7,"")&lt;IF(_uom="lbs",175,80),1.25,IF(_uom="lbs",5,2.5))))),"")</f>
        <v/>
      </c>
      <c s="70"/>
      <c s="63"/>
      <c s="97"/>
      <c s="44" t="str">
        <f>IFERROR(__xludf.DUMMYFUNCTION("IF(EE135=MAX(FILTER(EE$10:EE$199,LOOKUP(ROW(DY$10:DY$199),FILTER(ROW(DY$10:DY$199),DY$10:DY$199&lt;&gt;DY$9:DY$198))=LOOKUP(ROW(DY135),FILTER(ROW(DY$10:DY$199),DY$10:DY$199&lt;&gt;DY$9:DY$198)))),EF135,)"),"")</f>
        <v/>
      </c>
      <c s="42"/>
      <c s="63"/>
      <c s="64" t="str">
        <f t="shared" si="34"/>
        <v/>
      </c>
      <c s="65" t="str">
        <f>IFERROR(__xludf.DUMMYFUNCTION("""COMPUTED_VALUE"""),"")</f>
        <v/>
      </c>
      <c s="66">
        <f ca="1"/>
        <v>45278</v>
      </c>
      <c s="93" t="str">
        <f t="shared" si="48"/>
        <v/>
      </c>
      <c s="94" t="str">
        <f t="shared" si="395"/>
        <v/>
      </c>
      <c s="95" t="str">
        <f t="shared" si="423"/>
        <v/>
      </c>
      <c s="98" t="str">
        <f t="shared" si="402"/>
        <v/>
      </c>
      <c s="97" t="str">
        <f t="array" ref="ES135">IFERROR(IF(EM135="ac"+ISNUMBER(SEARCH("'",ER135))+EQ135="","",IF(ISNUMBER(SEARCH("lw",ER135)),EE135+SUBSTITUTE(ER135,"lw+",""),MROUND(_xlfn.SWITCH(EM135,"sq",EQ$7,"bn",ER$7,"dl",ES$7,"")*IF(ER135&gt;10,ER135/100,VLOOKUP(ER135,_rpe,SUBSTITUTE(EQ135,"+","")+1,0)),IF(_xlfn.SWITCH(EM135,"sq",EQ$7,"bn",ER$7,"dl",ES$7,"")&lt;IF(_uom="lbs",175,80),1.25,IF(_uom="lbs",5,2.5))))),"")</f>
        <v/>
      </c>
      <c s="70"/>
      <c s="63"/>
      <c s="97"/>
      <c s="44" t="str">
        <f>IFERROR(__xludf.DUMMYFUNCTION("IF(ES135=MAX(FILTER(ES$10:ES$199,LOOKUP(ROW(EM$10:EM$199),FILTER(ROW(EM$10:EM$199),EM$10:EM$199&lt;&gt;EM$9:EM$198))=LOOKUP(ROW(EM135),FILTER(ROW(EM$10:EM$199),EM$10:EM$199&lt;&gt;EM$9:EM$198)))),ET135,)"),"")</f>
        <v/>
      </c>
      <c s="42"/>
      <c s="63"/>
      <c s="64" t="str">
        <f t="shared" si="36"/>
        <v/>
      </c>
      <c s="65" t="str">
        <f>IFERROR(__xludf.DUMMYFUNCTION("""COMPUTED_VALUE"""),"")</f>
        <v/>
      </c>
      <c s="66">
        <f ca="1"/>
        <v>45285</v>
      </c>
      <c s="93" t="str">
        <f t="shared" si="49"/>
        <v/>
      </c>
      <c s="94" t="str">
        <f t="shared" si="396"/>
        <v/>
      </c>
      <c s="95" t="str">
        <f t="shared" si="424"/>
        <v/>
      </c>
      <c s="98" t="str">
        <f t="shared" si="403"/>
        <v/>
      </c>
      <c s="97" t="str">
        <f t="array" ref="FG135">IFERROR(IF(FA135="ac"+ISNUMBER(SEARCH("'",FF135))+FE135="","",IF(ISNUMBER(SEARCH("lw",FF135)),ES135+SUBSTITUTE(FF135,"lw+",""),MROUND(_xlfn.SWITCH(FA135,"sq",FE$7,"bn",FF$7,"dl",FG$7,"")*IF(FF135&gt;10,FF135/100,VLOOKUP(FF135,_rpe,SUBSTITUTE(FE135,"+","")+1,0)),IF(_xlfn.SWITCH(FA135,"sq",FE$7,"bn",FF$7,"dl",FG$7,"")&lt;IF(_uom="lbs",175,80),1.25,IF(_uom="lbs",5,2.5))))),"")</f>
        <v/>
      </c>
      <c s="70"/>
      <c s="63"/>
      <c s="97"/>
      <c s="44" t="str">
        <f>IFERROR(__xludf.DUMMYFUNCTION("IF(FG135=MAX(FILTER(FG$10:FG$199,LOOKUP(ROW(FA$10:FA$199),FILTER(ROW(FA$10:FA$199),FA$10:FA$199&lt;&gt;FA$9:FA$198))=LOOKUP(ROW(FA135),FILTER(ROW(FA$10:FA$199),FA$10:FA$199&lt;&gt;FA$9:FA$198)))),FH135,)"),"")</f>
        <v/>
      </c>
      <c s="42"/>
      <c s="63"/>
      <c s="64" t="str">
        <f t="shared" si="38"/>
        <v/>
      </c>
      <c s="65" t="str">
        <f>IFERROR(__xludf.DUMMYFUNCTION("""COMPUTED_VALUE"""),"")</f>
        <v/>
      </c>
      <c s="66">
        <f ca="1"/>
        <v>45292</v>
      </c>
      <c s="93" t="str">
        <f t="shared" si="479" ref="FQ135:FR135">IF(ISBLANK(FC135),"",FC135)</f>
        <v/>
      </c>
      <c s="94" t="str">
        <f t="shared" si="479"/>
        <v/>
      </c>
      <c s="95" t="str">
        <f t="shared" si="428"/>
        <v/>
      </c>
      <c s="98" t="str">
        <f t="shared" si="429"/>
        <v/>
      </c>
      <c s="97" t="str">
        <f t="array" ref="FU135">IFERROR(IF(FO135="ac"+ISNUMBER(SEARCH("'",FT135))+FS135="","",IF(ISNUMBER(SEARCH("lw",FT135)),FG135+SUBSTITUTE(FT135,"lw+",""),MROUND(_xlfn.SWITCH(FO135,"sq",FS$7,"bn",FT$7,"dl",FU$7,"")*IF(FT135&gt;10,FT135/100,VLOOKUP(FT135,_rpe,SUBSTITUTE(FS135,"+","")+1,0)),IF(_xlfn.SWITCH(FO135,"sq",FS$7,"bn",FT$7,"dl",FU$7,"")&lt;IF(_uom="lbs",175,80),1.25,IF(_uom="lbs",5,2.5))))),"")</f>
        <v/>
      </c>
      <c s="70"/>
      <c s="63"/>
      <c s="97"/>
      <c s="44" t="str">
        <f>IFERROR(__xludf.DUMMYFUNCTION("IF(FU135=MAX(FILTER(FU$10:FU$199,LOOKUP(ROW(FO$10:FO$199),FILTER(ROW(FO$10:FO$199),FO$10:FO$199&lt;&gt;FO$9:FO$198))=LOOKUP(ROW(FO135),FILTER(ROW(FO$10:FO$199),FO$10:FO$199&lt;&gt;FO$9:FO$198)))),FV135,)"),"")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36" spans="1:259" ht="15.75">
      <c r="A136" s="63"/>
      <c s="107"/>
      <c s="65" t="str">
        <f>IFERROR(__xludf.DUMMYFUNCTION("""COMPUTED_VALUE"""),"")</f>
        <v/>
      </c>
      <c s="66">
        <f ca="1"/>
        <v>45208</v>
      </c>
      <c s="93"/>
      <c s="94"/>
      <c s="95"/>
      <c s="96"/>
      <c s="97" t="str">
        <f t="array" ref="I136">IFERROR(IF(C136="ac"+ISNUMBER(SEARCH("'",H136))+G136="","",MROUND(_xlfn.SWITCH(C136,"sq",'Personal Info'!$O$15,"bn",'Personal Info'!$S$15,"dl",'Personal Info'!$W$15,"")*IF(H136&gt;10,H136/100,VLOOKUP(H136,_rpe,SUBSTITUTE(G136,"+","")+1,0)),IF(_xlfn.SWITCH(C136:C210,"sq",'Personal Info'!$O$15,"bn",'Personal Info'!$S$15,"dl",'Personal Info'!$W$15,"")&lt;IF(_uom="lbs",175,80),1.25,IF(_uom="lbs",5,2.5)))),"")</f>
        <v/>
      </c>
      <c s="70"/>
      <c s="63"/>
      <c s="97"/>
      <c s="44" t="str">
        <f>IFERROR(__xludf.DUMMYFUNCTION("IF(I136=MAX(FILTER(I$10:I$199,LOOKUP(ROW(C$10:C$199),FILTER(ROW(C$10:C$199),C$10:C$199&lt;&gt;C$9:C$198))=LOOKUP(ROW(C136),FILTER(ROW(C$10:C$199),C$10:C$199&lt;&gt;C$9:C$198)))),J136,)"),"")</f>
        <v/>
      </c>
      <c s="42"/>
      <c s="63"/>
      <c s="64" t="str">
        <f t="shared" si="11"/>
        <v/>
      </c>
      <c s="65" t="str">
        <f>IFERROR(__xludf.DUMMYFUNCTION("""COMPUTED_VALUE"""),"")</f>
        <v/>
      </c>
      <c s="66">
        <f ca="1"/>
        <v>45215</v>
      </c>
      <c s="93" t="str">
        <f t="shared" si="12"/>
        <v/>
      </c>
      <c s="94" t="str">
        <f t="shared" si="404"/>
        <v/>
      </c>
      <c s="95" t="str">
        <f t="shared" si="406"/>
        <v/>
      </c>
      <c s="98" t="str">
        <f t="shared" si="407"/>
        <v/>
      </c>
      <c s="97" t="str">
        <f t="array" ref="W136">IFERROR(IF(Q136="ac"+ISNUMBER(SEARCH("'",V136))+U136="","",IF(ISNUMBER(SEARCH("lw",V136)),I136+SUBSTITUTE(V136,"lw+",""),MROUND(_xlfn.SWITCH(Q136,"sq",U$7,"bn",V$7,"dl",W$7,"")*IF(V136&gt;10,V136/100,VLOOKUP(V136,_rpe,SUBSTITUTE(U136,"+","")+1,0)),IF(_xlfn.SWITCH(Q136,"sq",U$7,"bn",V$7,"dl",W$7,"")&lt;IF(_uom="lbs",175,80),1.25,IF(_uom="lbs",5,2.5))))),"")</f>
        <v/>
      </c>
      <c s="70"/>
      <c s="63"/>
      <c s="97"/>
      <c s="44" t="str">
        <f>IFERROR(__xludf.DUMMYFUNCTION("IF(W136=MAX(FILTER(W$10:W$199,LOOKUP(ROW(Q$10:Q$199),FILTER(ROW(Q$10:Q$199),Q$10:Q$199&lt;&gt;Q$9:Q$198))=LOOKUP(ROW(Q136),FILTER(ROW(Q$10:Q$199),Q$10:Q$199&lt;&gt;Q$9:Q$198)))),X136,)"),"")</f>
        <v/>
      </c>
      <c s="42"/>
      <c s="63"/>
      <c s="64" t="str">
        <f t="shared" si="14"/>
        <v/>
      </c>
      <c s="65" t="str">
        <f>IFERROR(__xludf.DUMMYFUNCTION("""COMPUTED_VALUE"""),"")</f>
        <v/>
      </c>
      <c s="66">
        <f ca="1"/>
        <v>45222</v>
      </c>
      <c s="93" t="str">
        <f t="shared" si="156"/>
        <v/>
      </c>
      <c s="94" t="str">
        <f t="shared" si="397"/>
        <v/>
      </c>
      <c s="95" t="str">
        <f t="shared" si="408"/>
        <v/>
      </c>
      <c s="98" t="str">
        <f t="shared" si="398"/>
        <v/>
      </c>
      <c s="97" t="str">
        <f t="array" ref="AK136">IFERROR(IF(AE136="ac"+ISNUMBER(SEARCH("'",AJ136))+AI136="","",IF(ISNUMBER(SEARCH("lw",AJ136)),W136+SUBSTITUTE(AJ136,"lw+",""),MROUND(_xlfn.SWITCH(AE136,"sq",AI$7,"bn",AJ$7,"dl",AK$7,"")*IF(AJ136&gt;10,AJ136/100,VLOOKUP(AJ136,_rpe,SUBSTITUTE(AI136,"+","")+1,0)),IF(_xlfn.SWITCH(AE136,"sq",AI$7,"bn",AJ$7,"dl",AK$7,"")&lt;IF(_uom="lbs",175,80),1.25,IF(_uom="lbs",5,2.5))))),"")</f>
        <v/>
      </c>
      <c s="70"/>
      <c s="63"/>
      <c s="97"/>
      <c s="44" t="str">
        <f>IFERROR(__xludf.DUMMYFUNCTION("IF(AK136=MAX(FILTER(AK$10:AK$199,LOOKUP(ROW(AE$10:AE$199),FILTER(ROW(AE$10:AE$199),AE$10:AE$199&lt;&gt;AE$9:AE$198))=LOOKUP(ROW(AE136),FILTER(ROW(AE$10:AE$199),AE$10:AE$199&lt;&gt;AE$9:AE$198)))),AL136,)"),"")</f>
        <v/>
      </c>
      <c s="42"/>
      <c s="63"/>
      <c s="64" t="str">
        <f t="shared" si="17"/>
        <v/>
      </c>
      <c s="65" t="str">
        <f>IFERROR(__xludf.DUMMYFUNCTION("""COMPUTED_VALUE"""),"")</f>
        <v/>
      </c>
      <c s="66">
        <f ca="1"/>
        <v>45229</v>
      </c>
      <c s="93" t="str">
        <f t="shared" si="157"/>
        <v/>
      </c>
      <c s="94" t="str">
        <f t="shared" si="399"/>
        <v/>
      </c>
      <c s="95" t="str">
        <f t="shared" si="409"/>
        <v/>
      </c>
      <c s="98" t="str">
        <f t="shared" si="400"/>
        <v/>
      </c>
      <c s="97" t="str">
        <f t="array" ref="AY136">IFERROR(IF(AS136="ac"+ISNUMBER(SEARCH("'",AX136))+AW136="","",IF(ISNUMBER(SEARCH("lw",AX136)),AK136+SUBSTITUTE(AX136,"lw+",""),MROUND(_xlfn.SWITCH(AS136,"sq",AW$7,"bn",AX$7,"dl",AY$7,"")*IF(AX136&gt;10,AX136/100,VLOOKUP(AX136,_rpe,SUBSTITUTE(AW136,"+","")+1,0)),IF(_xlfn.SWITCH(AS136,"sq",AW$7,"bn",AX$7,"dl",AY$7,"")&lt;IF(_uom="lbs",175,80),1.25,IF(_uom="lbs",5,2.5))))),"")</f>
        <v/>
      </c>
      <c s="70"/>
      <c s="63"/>
      <c s="97"/>
      <c s="44" t="str">
        <f>IFERROR(__xludf.DUMMYFUNCTION("IF(AY136=MAX(FILTER(AY$10:AY$199,LOOKUP(ROW(AS$10:AS$199),FILTER(ROW(AS$10:AS$199),AS$10:AS$199&lt;&gt;AS$9:AS$198))=LOOKUP(ROW(AS136),FILTER(ROW(AS$10:AS$199),AS$10:AS$199&lt;&gt;AS$9:AS$198)))),AZ136,)"),"")</f>
        <v/>
      </c>
      <c s="42"/>
      <c s="63"/>
      <c s="64" t="str">
        <f t="shared" si="19"/>
        <v/>
      </c>
      <c s="65" t="str">
        <f>IFERROR(__xludf.DUMMYFUNCTION("""COMPUTED_VALUE"""),"")</f>
        <v/>
      </c>
      <c s="66">
        <f ca="1"/>
        <v>45236</v>
      </c>
      <c s="93" t="str">
        <f t="shared" si="20"/>
        <v/>
      </c>
      <c s="94" t="str">
        <f t="shared" si="425"/>
        <v/>
      </c>
      <c s="95" t="str">
        <f t="shared" si="411"/>
        <v/>
      </c>
      <c s="98" t="str">
        <f t="shared" si="412"/>
        <v/>
      </c>
      <c s="97" t="str">
        <f t="array" ref="BM136">IFERROR(IF(BG136="ac"+ISNUMBER(SEARCH("'",BL136))+BK136="","",IF(ISNUMBER(SEARCH("lw",BL136)),AY136+SUBSTITUTE(BL136,"lw+",""),MROUND(_xlfn.SWITCH(BG136,"sq",BK$7,"bn",BL$7,"dl",BM$7,"")*IF(BL136&gt;10,BL136/100,VLOOKUP(BL136,_rpe,SUBSTITUTE(BK136,"+","")+1,0)),IF(_xlfn.SWITCH(BG136,"sq",BK$7,"bn",BL$7,"dl",BM$7,"")&lt;IF(_uom="lbs",175,80),1.25,IF(_uom="lbs",5,2.5))))),"")</f>
        <v/>
      </c>
      <c s="70"/>
      <c s="63"/>
      <c s="97"/>
      <c s="44" t="str">
        <f>IFERROR(__xludf.DUMMYFUNCTION("IF(BM136=MAX(FILTER(BM$10:BM$199,LOOKUP(ROW(BG$10:BG$199),FILTER(ROW(BG$10:BG$199),BG$10:BG$199&lt;&gt;BG$9:BG$198))=LOOKUP(ROW(BG136),FILTER(ROW(BG$10:BG$199),BG$10:BG$199&lt;&gt;BG$9:BG$198)))),BN136,)"),"")</f>
        <v/>
      </c>
      <c s="42"/>
      <c s="63"/>
      <c s="64" t="str">
        <f t="shared" si="21"/>
        <v/>
      </c>
      <c s="65" t="str">
        <f>IFERROR(__xludf.DUMMYFUNCTION("""COMPUTED_VALUE"""),"")</f>
        <v/>
      </c>
      <c s="66">
        <f ca="1"/>
        <v>45243</v>
      </c>
      <c s="93" t="str">
        <f t="shared" si="22"/>
        <v/>
      </c>
      <c s="94" t="str">
        <f t="shared" si="426"/>
        <v/>
      </c>
      <c s="95" t="str">
        <f t="shared" si="414"/>
        <v/>
      </c>
      <c s="98" t="str">
        <f t="shared" si="415"/>
        <v/>
      </c>
      <c s="97" t="str">
        <f t="array" ref="CA136">IFERROR(IF(BU136="ac"+ISNUMBER(SEARCH("'",BZ136))+BY136="","",IF(ISNUMBER(SEARCH("lw",BZ136)),BM136+SUBSTITUTE(BZ136,"lw+",""),MROUND(_xlfn.SWITCH(BU136,"sq",BY$7,"bn",BZ$7,"dl",CA$7,"")*IF(BZ136&gt;10,BZ136/100,VLOOKUP(BZ136,_rpe,SUBSTITUTE(BY136,"+","")+1,0)),IF(_xlfn.SWITCH(BU136,"sq",BY$7,"bn",BZ$7,"dl",CA$7,"")&lt;IF(_uom="lbs",175,80),1.25,IF(_uom="lbs",5,2.5))))),"")</f>
        <v/>
      </c>
      <c s="70"/>
      <c s="63"/>
      <c s="97"/>
      <c s="44" t="str">
        <f>IFERROR(__xludf.DUMMYFUNCTION("IF(CA136=MAX(FILTER(CA$10:CA$199,LOOKUP(ROW(BU$10:BU$199),FILTER(ROW(BU$10:BU$199),BU$10:BU$199&lt;&gt;BU$9:BU$198))=LOOKUP(ROW(BU136),FILTER(ROW(BU$10:BU$199),BU$10:BU$199&lt;&gt;BU$9:BU$198)))),CB136,)"),"")</f>
        <v/>
      </c>
      <c s="42"/>
      <c s="63"/>
      <c s="64" t="str">
        <f t="shared" si="24"/>
        <v/>
      </c>
      <c s="65" t="str">
        <f>IFERROR(__xludf.DUMMYFUNCTION("""COMPUTED_VALUE"""),"")</f>
        <v/>
      </c>
      <c s="66">
        <f ca="1"/>
        <v>45250</v>
      </c>
      <c s="93" t="str">
        <f t="shared" si="44"/>
        <v/>
      </c>
      <c s="94" t="str">
        <f t="shared" si="392"/>
        <v/>
      </c>
      <c s="95" t="str">
        <f t="shared" si="416"/>
        <v/>
      </c>
      <c s="98" t="str">
        <f t="shared" si="417"/>
        <v/>
      </c>
      <c s="97" t="str">
        <f t="array" ref="CO136">IFERROR(IF(CI136="ac"+ISNUMBER(SEARCH("'",CN136))+CM136="","",IF(ISNUMBER(SEARCH("lw",CN136)),CA136+SUBSTITUTE(CN136,"lw+",""),MROUND(_xlfn.SWITCH(CI136,"sq",CM$7,"bn",CN$7,"dl",CO$7,"")*IF(CN136&gt;10,CN136/100,VLOOKUP(CN136,_rpe,SUBSTITUTE(CM136,"+","")+1,0)),IF(_xlfn.SWITCH(CI136,"sq",CM$7,"bn",CN$7,"dl",CO$7,"")&lt;IF(_uom="lbs",175,80),1.25,IF(_uom="lbs",5,2.5))))),"")</f>
        <v/>
      </c>
      <c s="70"/>
      <c s="63"/>
      <c s="97"/>
      <c s="44" t="str">
        <f>IFERROR(__xludf.DUMMYFUNCTION("IF(CO136=MAX(FILTER(CO$10:CO$199,LOOKUP(ROW(CI$10:CI$199),FILTER(ROW(CI$10:CI$199),CI$10:CI$199&lt;&gt;CI$9:CI$198))=LOOKUP(ROW(CI136),FILTER(ROW(CI$10:CI$199),CI$10:CI$199&lt;&gt;CI$9:CI$198)))),CP136,)"),"")</f>
        <v/>
      </c>
      <c s="42"/>
      <c s="63"/>
      <c s="64" t="str">
        <f t="shared" si="27"/>
        <v/>
      </c>
      <c s="65" t="str">
        <f>IFERROR(__xludf.DUMMYFUNCTION("""COMPUTED_VALUE"""),"")</f>
        <v/>
      </c>
      <c s="66">
        <f ca="1"/>
        <v>45257</v>
      </c>
      <c s="93" t="str">
        <f t="shared" si="45"/>
        <v/>
      </c>
      <c s="94" t="str">
        <f t="shared" si="393"/>
        <v/>
      </c>
      <c s="95" t="str">
        <f t="shared" si="418"/>
        <v/>
      </c>
      <c s="98" t="str">
        <f t="shared" si="401"/>
        <v/>
      </c>
      <c s="97" t="str">
        <f t="array" ref="DC136">IFERROR(IF(CW136="ac"+ISNUMBER(SEARCH("'",DB136))+DA136="","",IF(ISNUMBER(SEARCH("lw",DB136)),CO136+SUBSTITUTE(DB136,"lw+",""),MROUND(_xlfn.SWITCH(CW136,"sq",DA$7,"bn",DB$7,"dl",DC$7,"")*IF(DB136&gt;10,DB136/100,VLOOKUP(DB136,_rpe,SUBSTITUTE(DA136,"+","")+1,0)),IF(_xlfn.SWITCH(CW136,"sq",DA$7,"bn",DB$7,"dl",DC$7,"")&lt;IF(_uom="lbs",175,80),1.25,IF(_uom="lbs",5,2.5))))),"")</f>
        <v/>
      </c>
      <c s="70"/>
      <c s="63"/>
      <c s="97"/>
      <c s="44" t="str">
        <f>IFERROR(__xludf.DUMMYFUNCTION("IF(DC136=MAX(FILTER(DC$10:DC$199,LOOKUP(ROW(CW$10:CW$199),FILTER(ROW(CW$10:CW$199),CW$10:CW$199&lt;&gt;CW$9:CW$198))=LOOKUP(ROW(CW136),FILTER(ROW(CW$10:CW$199),CW$10:CW$199&lt;&gt;CW$9:CW$198)))),DD136,)"),"")</f>
        <v/>
      </c>
      <c s="42"/>
      <c s="63"/>
      <c s="64" t="str">
        <f t="shared" si="30"/>
        <v/>
      </c>
      <c s="65" t="str">
        <f>IFERROR(__xludf.DUMMYFUNCTION("""COMPUTED_VALUE"""),"")</f>
        <v/>
      </c>
      <c s="66">
        <f ca="1"/>
        <v>45264</v>
      </c>
      <c s="93" t="str">
        <f t="shared" si="46"/>
        <v/>
      </c>
      <c s="94" t="str">
        <f t="shared" si="394"/>
        <v/>
      </c>
      <c s="95" t="str">
        <f t="shared" si="419"/>
        <v/>
      </c>
      <c s="98" t="str">
        <f t="shared" si="420"/>
        <v/>
      </c>
      <c s="97" t="str">
        <f t="array" ref="DQ136">IFERROR(IF(DK136="ac"+ISNUMBER(SEARCH("'",DP136))+DO136="","",IF(ISNUMBER(SEARCH("lw",DP136)),DC136+SUBSTITUTE(DP136,"lw+",""),MROUND(_xlfn.SWITCH(DK136,"sq",DO$7,"bn",DP$7,"dl",DQ$7,"")*IF(DP136&gt;10,DP136/100,VLOOKUP(DP136,_rpe,SUBSTITUTE(DO136,"+","")+1,0)),IF(_xlfn.SWITCH(DK136,"sq",DO$7,"bn",DP$7,"dl",DQ$7,"")&lt;IF(_uom="lbs",175,80),1.25,IF(_uom="lbs",5,2.5))))),"")</f>
        <v/>
      </c>
      <c s="70"/>
      <c s="63"/>
      <c s="97"/>
      <c s="44" t="str">
        <f>IFERROR(__xludf.DUMMYFUNCTION("IF(DQ136=MAX(FILTER(DQ$10:DQ$199,LOOKUP(ROW(DK$10:DK$199),FILTER(ROW(DK$10:DK$199),DK$10:DK$199&lt;&gt;DK$9:DK$198))=LOOKUP(ROW(DK136),FILTER(ROW(DK$10:DK$199),DK$10:DK$199&lt;&gt;DK$9:DK$198)))),DR136,)"),"")</f>
        <v/>
      </c>
      <c s="42"/>
      <c s="63"/>
      <c s="64" t="str">
        <f t="shared" si="32"/>
        <v/>
      </c>
      <c s="65" t="str">
        <f>IFERROR(__xludf.DUMMYFUNCTION("""COMPUTED_VALUE"""),"")</f>
        <v/>
      </c>
      <c s="66">
        <f ca="1"/>
        <v>45271</v>
      </c>
      <c s="93" t="str">
        <f t="shared" si="47"/>
        <v/>
      </c>
      <c s="94" t="str">
        <f t="shared" si="405"/>
        <v/>
      </c>
      <c s="95" t="str">
        <f t="shared" si="421"/>
        <v/>
      </c>
      <c s="98" t="str">
        <f t="shared" si="422"/>
        <v/>
      </c>
      <c s="97" t="str">
        <f t="array" ref="EE136">IFERROR(IF(DY136="ac"+ISNUMBER(SEARCH("'",ED136))+EC136="","",IF(ISNUMBER(SEARCH("lw",ED136)),DQ136+SUBSTITUTE(ED136,"lw+",""),MROUND(_xlfn.SWITCH(DY136,"sq",EC$7,"bn",ED$7,"dl",EE$7,"")*IF(ED136&gt;10,ED136/100,VLOOKUP(ED136,_rpe,SUBSTITUTE(EC136,"+","")+1,0)),IF(_xlfn.SWITCH(DY136,"sq",EC$7,"bn",ED$7,"dl",EE$7,"")&lt;IF(_uom="lbs",175,80),1.25,IF(_uom="lbs",5,2.5))))),"")</f>
        <v/>
      </c>
      <c s="70"/>
      <c s="63"/>
      <c s="97"/>
      <c s="44" t="str">
        <f>IFERROR(__xludf.DUMMYFUNCTION("IF(EE136=MAX(FILTER(EE$10:EE$199,LOOKUP(ROW(DY$10:DY$199),FILTER(ROW(DY$10:DY$199),DY$10:DY$199&lt;&gt;DY$9:DY$198))=LOOKUP(ROW(DY136),FILTER(ROW(DY$10:DY$199),DY$10:DY$199&lt;&gt;DY$9:DY$198)))),EF136,)"),"")</f>
        <v/>
      </c>
      <c s="42"/>
      <c s="63"/>
      <c s="64" t="str">
        <f t="shared" si="34"/>
        <v/>
      </c>
      <c s="65" t="str">
        <f>IFERROR(__xludf.DUMMYFUNCTION("""COMPUTED_VALUE"""),"")</f>
        <v/>
      </c>
      <c s="66">
        <f ca="1"/>
        <v>45278</v>
      </c>
      <c s="93" t="str">
        <f t="shared" si="48"/>
        <v/>
      </c>
      <c s="94" t="str">
        <f t="shared" si="395"/>
        <v/>
      </c>
      <c s="95" t="str">
        <f t="shared" si="423"/>
        <v/>
      </c>
      <c s="98" t="str">
        <f t="shared" si="402"/>
        <v/>
      </c>
      <c s="97" t="str">
        <f t="array" ref="ES136">IFERROR(IF(EM136="ac"+ISNUMBER(SEARCH("'",ER136))+EQ136="","",IF(ISNUMBER(SEARCH("lw",ER136)),EE136+SUBSTITUTE(ER136,"lw+",""),MROUND(_xlfn.SWITCH(EM136,"sq",EQ$7,"bn",ER$7,"dl",ES$7,"")*IF(ER136&gt;10,ER136/100,VLOOKUP(ER136,_rpe,SUBSTITUTE(EQ136,"+","")+1,0)),IF(_xlfn.SWITCH(EM136,"sq",EQ$7,"bn",ER$7,"dl",ES$7,"")&lt;IF(_uom="lbs",175,80),1.25,IF(_uom="lbs",5,2.5))))),"")</f>
        <v/>
      </c>
      <c s="70"/>
      <c s="63"/>
      <c s="97"/>
      <c s="44" t="str">
        <f>IFERROR(__xludf.DUMMYFUNCTION("IF(ES136=MAX(FILTER(ES$10:ES$199,LOOKUP(ROW(EM$10:EM$199),FILTER(ROW(EM$10:EM$199),EM$10:EM$199&lt;&gt;EM$9:EM$198))=LOOKUP(ROW(EM136),FILTER(ROW(EM$10:EM$199),EM$10:EM$199&lt;&gt;EM$9:EM$198)))),ET136,)"),"")</f>
        <v/>
      </c>
      <c s="42"/>
      <c s="63"/>
      <c s="64" t="str">
        <f t="shared" si="36"/>
        <v/>
      </c>
      <c s="65" t="str">
        <f>IFERROR(__xludf.DUMMYFUNCTION("""COMPUTED_VALUE"""),"")</f>
        <v/>
      </c>
      <c s="66">
        <f ca="1"/>
        <v>45285</v>
      </c>
      <c s="93" t="str">
        <f t="shared" si="49"/>
        <v/>
      </c>
      <c s="94" t="str">
        <f t="shared" si="396"/>
        <v/>
      </c>
      <c s="95" t="str">
        <f t="shared" si="424"/>
        <v/>
      </c>
      <c s="98" t="str">
        <f t="shared" si="403"/>
        <v/>
      </c>
      <c s="97" t="str">
        <f t="array" ref="FG136">IFERROR(IF(FA136="ac"+ISNUMBER(SEARCH("'",FF136))+FE136="","",IF(ISNUMBER(SEARCH("lw",FF136)),ES136+SUBSTITUTE(FF136,"lw+",""),MROUND(_xlfn.SWITCH(FA136,"sq",FE$7,"bn",FF$7,"dl",FG$7,"")*IF(FF136&gt;10,FF136/100,VLOOKUP(FF136,_rpe,SUBSTITUTE(FE136,"+","")+1,0)),IF(_xlfn.SWITCH(FA136,"sq",FE$7,"bn",FF$7,"dl",FG$7,"")&lt;IF(_uom="lbs",175,80),1.25,IF(_uom="lbs",5,2.5))))),"")</f>
        <v/>
      </c>
      <c s="70"/>
      <c s="63"/>
      <c s="97"/>
      <c s="44" t="str">
        <f>IFERROR(__xludf.DUMMYFUNCTION("IF(FG136=MAX(FILTER(FG$10:FG$199,LOOKUP(ROW(FA$10:FA$199),FILTER(ROW(FA$10:FA$199),FA$10:FA$199&lt;&gt;FA$9:FA$198))=LOOKUP(ROW(FA136),FILTER(ROW(FA$10:FA$199),FA$10:FA$199&lt;&gt;FA$9:FA$198)))),FH136,)"),"")</f>
        <v/>
      </c>
      <c s="42"/>
      <c s="63"/>
      <c s="64" t="str">
        <f t="shared" si="38"/>
        <v/>
      </c>
      <c s="65" t="str">
        <f>IFERROR(__xludf.DUMMYFUNCTION("""COMPUTED_VALUE"""),"")</f>
        <v/>
      </c>
      <c s="66">
        <f ca="1"/>
        <v>45292</v>
      </c>
      <c s="93" t="str">
        <f t="shared" si="480" ref="FQ136:FR136">IF(ISBLANK(FC136),"",FC136)</f>
        <v/>
      </c>
      <c s="94" t="str">
        <f t="shared" si="480"/>
        <v/>
      </c>
      <c s="95" t="str">
        <f t="shared" si="428"/>
        <v/>
      </c>
      <c s="98" t="str">
        <f t="shared" si="429"/>
        <v/>
      </c>
      <c s="97" t="str">
        <f t="array" ref="FU136">IFERROR(IF(FO136="ac"+ISNUMBER(SEARCH("'",FT136))+FS136="","",IF(ISNUMBER(SEARCH("lw",FT136)),FG136+SUBSTITUTE(FT136,"lw+",""),MROUND(_xlfn.SWITCH(FO136,"sq",FS$7,"bn",FT$7,"dl",FU$7,"")*IF(FT136&gt;10,FT136/100,VLOOKUP(FT136,_rpe,SUBSTITUTE(FS136,"+","")+1,0)),IF(_xlfn.SWITCH(FO136,"sq",FS$7,"bn",FT$7,"dl",FU$7,"")&lt;IF(_uom="lbs",175,80),1.25,IF(_uom="lbs",5,2.5))))),"")</f>
        <v/>
      </c>
      <c s="70"/>
      <c s="63"/>
      <c s="97"/>
      <c s="44" t="str">
        <f>IFERROR(__xludf.DUMMYFUNCTION("IF(FU136=MAX(FILTER(FU$10:FU$199,LOOKUP(ROW(FO$10:FO$199),FILTER(ROW(FO$10:FO$199),FO$10:FO$199&lt;&gt;FO$9:FO$198))=LOOKUP(ROW(FO136),FILTER(ROW(FO$10:FO$199),FO$10:FO$199&lt;&gt;FO$9:FO$198)))),FV136,)"),"")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37" spans="1:259" ht="15.75">
      <c r="A137" s="63"/>
      <c s="107"/>
      <c s="65" t="str">
        <f>IFERROR(__xludf.DUMMYFUNCTION("""COMPUTED_VALUE"""),"")</f>
        <v/>
      </c>
      <c s="66">
        <f ca="1"/>
        <v>45208</v>
      </c>
      <c s="93"/>
      <c s="94"/>
      <c s="95"/>
      <c s="96"/>
      <c s="97" t="str">
        <f t="array" ref="I137">IFERROR(IF(C137="ac"+ISNUMBER(SEARCH("'",H137))+G137="","",MROUND(_xlfn.SWITCH(C137,"sq",'Personal Info'!$O$15,"bn",'Personal Info'!$S$15,"dl",'Personal Info'!$W$15,"")*IF(H137&gt;10,H137/100,VLOOKUP(H137,_rpe,SUBSTITUTE(G137,"+","")+1,0)),IF(_xlfn.SWITCH(C137:C210,"sq",'Personal Info'!$O$15,"bn",'Personal Info'!$S$15,"dl",'Personal Info'!$W$15,"")&lt;IF(_uom="lbs",175,80),1.25,IF(_uom="lbs",5,2.5)))),"")</f>
        <v/>
      </c>
      <c s="70"/>
      <c s="63"/>
      <c s="97"/>
      <c s="44" t="str">
        <f>IFERROR(__xludf.DUMMYFUNCTION("IF(I137=MAX(FILTER(I$10:I$199,LOOKUP(ROW(C$10:C$199),FILTER(ROW(C$10:C$199),C$10:C$199&lt;&gt;C$9:C$198))=LOOKUP(ROW(C137),FILTER(ROW(C$10:C$199),C$10:C$199&lt;&gt;C$9:C$198)))),J137,)"),"")</f>
        <v/>
      </c>
      <c s="42"/>
      <c s="63"/>
      <c s="64" t="str">
        <f t="shared" si="11"/>
        <v/>
      </c>
      <c s="65" t="str">
        <f>IFERROR(__xludf.DUMMYFUNCTION("""COMPUTED_VALUE"""),"")</f>
        <v/>
      </c>
      <c s="66">
        <f ca="1"/>
        <v>45215</v>
      </c>
      <c s="93" t="str">
        <f t="shared" si="12"/>
        <v/>
      </c>
      <c s="94" t="str">
        <f t="shared" si="404"/>
        <v/>
      </c>
      <c s="95" t="str">
        <f t="shared" si="406"/>
        <v/>
      </c>
      <c s="98" t="str">
        <f t="shared" si="407"/>
        <v/>
      </c>
      <c s="97" t="str">
        <f t="array" ref="W137">IFERROR(IF(Q137="ac"+ISNUMBER(SEARCH("'",V137))+U137="","",IF(ISNUMBER(SEARCH("lw",V137)),I137+SUBSTITUTE(V137,"lw+",""),MROUND(_xlfn.SWITCH(Q137,"sq",U$7,"bn",V$7,"dl",W$7,"")*IF(V137&gt;10,V137/100,VLOOKUP(V137,_rpe,SUBSTITUTE(U137,"+","")+1,0)),IF(_xlfn.SWITCH(Q137,"sq",U$7,"bn",V$7,"dl",W$7,"")&lt;IF(_uom="lbs",175,80),1.25,IF(_uom="lbs",5,2.5))))),"")</f>
        <v/>
      </c>
      <c s="70"/>
      <c s="63"/>
      <c s="97"/>
      <c s="44" t="str">
        <f>IFERROR(__xludf.DUMMYFUNCTION("IF(W137=MAX(FILTER(W$10:W$199,LOOKUP(ROW(Q$10:Q$199),FILTER(ROW(Q$10:Q$199),Q$10:Q$199&lt;&gt;Q$9:Q$198))=LOOKUP(ROW(Q137),FILTER(ROW(Q$10:Q$199),Q$10:Q$199&lt;&gt;Q$9:Q$198)))),X137,)"),"")</f>
        <v/>
      </c>
      <c s="42"/>
      <c s="63"/>
      <c s="64" t="str">
        <f t="shared" si="14"/>
        <v/>
      </c>
      <c s="65" t="str">
        <f>IFERROR(__xludf.DUMMYFUNCTION("""COMPUTED_VALUE"""),"")</f>
        <v/>
      </c>
      <c s="66">
        <f ca="1"/>
        <v>45222</v>
      </c>
      <c s="93" t="str">
        <f t="shared" si="156"/>
        <v/>
      </c>
      <c s="94" t="str">
        <f t="shared" si="397"/>
        <v/>
      </c>
      <c s="95" t="str">
        <f t="shared" si="408"/>
        <v/>
      </c>
      <c s="98" t="str">
        <f t="shared" si="398"/>
        <v/>
      </c>
      <c s="97" t="str">
        <f t="array" ref="AK137">IFERROR(IF(AE137="ac"+ISNUMBER(SEARCH("'",AJ137))+AI137="","",IF(ISNUMBER(SEARCH("lw",AJ137)),W137+SUBSTITUTE(AJ137,"lw+",""),MROUND(_xlfn.SWITCH(AE137,"sq",AI$7,"bn",AJ$7,"dl",AK$7,"")*IF(AJ137&gt;10,AJ137/100,VLOOKUP(AJ137,_rpe,SUBSTITUTE(AI137,"+","")+1,0)),IF(_xlfn.SWITCH(AE137,"sq",AI$7,"bn",AJ$7,"dl",AK$7,"")&lt;IF(_uom="lbs",175,80),1.25,IF(_uom="lbs",5,2.5))))),"")</f>
        <v/>
      </c>
      <c s="70"/>
      <c s="63"/>
      <c s="97"/>
      <c s="44" t="str">
        <f>IFERROR(__xludf.DUMMYFUNCTION("IF(AK137=MAX(FILTER(AK$10:AK$199,LOOKUP(ROW(AE$10:AE$199),FILTER(ROW(AE$10:AE$199),AE$10:AE$199&lt;&gt;AE$9:AE$198))=LOOKUP(ROW(AE137),FILTER(ROW(AE$10:AE$199),AE$10:AE$199&lt;&gt;AE$9:AE$198)))),AL137,)"),"")</f>
        <v/>
      </c>
      <c s="42"/>
      <c s="63"/>
      <c s="64" t="str">
        <f t="shared" si="17"/>
        <v/>
      </c>
      <c s="65" t="str">
        <f>IFERROR(__xludf.DUMMYFUNCTION("""COMPUTED_VALUE"""),"")</f>
        <v/>
      </c>
      <c s="66">
        <f ca="1"/>
        <v>45229</v>
      </c>
      <c s="93" t="str">
        <f t="shared" si="157"/>
        <v/>
      </c>
      <c s="94" t="str">
        <f t="shared" si="399"/>
        <v/>
      </c>
      <c s="95" t="str">
        <f t="shared" si="409"/>
        <v/>
      </c>
      <c s="98" t="str">
        <f t="shared" si="400"/>
        <v/>
      </c>
      <c s="97" t="str">
        <f t="array" ref="AY137">IFERROR(IF(AS137="ac"+ISNUMBER(SEARCH("'",AX137))+AW137="","",IF(ISNUMBER(SEARCH("lw",AX137)),AK137+SUBSTITUTE(AX137,"lw+",""),MROUND(_xlfn.SWITCH(AS137,"sq",AW$7,"bn",AX$7,"dl",AY$7,"")*IF(AX137&gt;10,AX137/100,VLOOKUP(AX137,_rpe,SUBSTITUTE(AW137,"+","")+1,0)),IF(_xlfn.SWITCH(AS137,"sq",AW$7,"bn",AX$7,"dl",AY$7,"")&lt;IF(_uom="lbs",175,80),1.25,IF(_uom="lbs",5,2.5))))),"")</f>
        <v/>
      </c>
      <c s="70"/>
      <c s="63"/>
      <c s="97"/>
      <c s="44" t="str">
        <f>IFERROR(__xludf.DUMMYFUNCTION("IF(AY137=MAX(FILTER(AY$10:AY$199,LOOKUP(ROW(AS$10:AS$199),FILTER(ROW(AS$10:AS$199),AS$10:AS$199&lt;&gt;AS$9:AS$198))=LOOKUP(ROW(AS137),FILTER(ROW(AS$10:AS$199),AS$10:AS$199&lt;&gt;AS$9:AS$198)))),AZ137,)"),"")</f>
        <v/>
      </c>
      <c s="42"/>
      <c s="63"/>
      <c s="64" t="str">
        <f t="shared" si="19"/>
        <v/>
      </c>
      <c s="65" t="str">
        <f>IFERROR(__xludf.DUMMYFUNCTION("""COMPUTED_VALUE"""),"")</f>
        <v/>
      </c>
      <c s="66">
        <f ca="1"/>
        <v>45236</v>
      </c>
      <c s="93" t="str">
        <f t="shared" si="20"/>
        <v/>
      </c>
      <c s="94" t="str">
        <f t="shared" si="425"/>
        <v/>
      </c>
      <c s="95" t="str">
        <f t="shared" si="411"/>
        <v/>
      </c>
      <c s="98" t="str">
        <f t="shared" si="412"/>
        <v/>
      </c>
      <c s="97" t="str">
        <f t="array" ref="BM137">IFERROR(IF(BG137="ac"+ISNUMBER(SEARCH("'",BL137))+BK137="","",IF(ISNUMBER(SEARCH("lw",BL137)),AY137+SUBSTITUTE(BL137,"lw+",""),MROUND(_xlfn.SWITCH(BG137,"sq",BK$7,"bn",BL$7,"dl",BM$7,"")*IF(BL137&gt;10,BL137/100,VLOOKUP(BL137,_rpe,SUBSTITUTE(BK137,"+","")+1,0)),IF(_xlfn.SWITCH(BG137,"sq",BK$7,"bn",BL$7,"dl",BM$7,"")&lt;IF(_uom="lbs",175,80),1.25,IF(_uom="lbs",5,2.5))))),"")</f>
        <v/>
      </c>
      <c s="70"/>
      <c s="63"/>
      <c s="97"/>
      <c s="44" t="str">
        <f>IFERROR(__xludf.DUMMYFUNCTION("IF(BM137=MAX(FILTER(BM$10:BM$199,LOOKUP(ROW(BG$10:BG$199),FILTER(ROW(BG$10:BG$199),BG$10:BG$199&lt;&gt;BG$9:BG$198))=LOOKUP(ROW(BG137),FILTER(ROW(BG$10:BG$199),BG$10:BG$199&lt;&gt;BG$9:BG$198)))),BN137,)"),"")</f>
        <v/>
      </c>
      <c s="42"/>
      <c s="63"/>
      <c s="64" t="str">
        <f t="shared" si="21"/>
        <v/>
      </c>
      <c s="65" t="str">
        <f>IFERROR(__xludf.DUMMYFUNCTION("""COMPUTED_VALUE"""),"")</f>
        <v/>
      </c>
      <c s="66">
        <f ca="1"/>
        <v>45243</v>
      </c>
      <c s="93" t="str">
        <f t="shared" si="22"/>
        <v/>
      </c>
      <c s="94" t="str">
        <f t="shared" si="426"/>
        <v/>
      </c>
      <c s="95" t="str">
        <f t="shared" si="414"/>
        <v/>
      </c>
      <c s="98" t="str">
        <f t="shared" si="415"/>
        <v/>
      </c>
      <c s="97" t="str">
        <f t="array" ref="CA137">IFERROR(IF(BU137="ac"+ISNUMBER(SEARCH("'",BZ137))+BY137="","",IF(ISNUMBER(SEARCH("lw",BZ137)),BM137+SUBSTITUTE(BZ137,"lw+",""),MROUND(_xlfn.SWITCH(BU137,"sq",BY$7,"bn",BZ$7,"dl",CA$7,"")*IF(BZ137&gt;10,BZ137/100,VLOOKUP(BZ137,_rpe,SUBSTITUTE(BY137,"+","")+1,0)),IF(_xlfn.SWITCH(BU137,"sq",BY$7,"bn",BZ$7,"dl",CA$7,"")&lt;IF(_uom="lbs",175,80),1.25,IF(_uom="lbs",5,2.5))))),"")</f>
        <v/>
      </c>
      <c s="70"/>
      <c s="63"/>
      <c s="97"/>
      <c s="44" t="str">
        <f>IFERROR(__xludf.DUMMYFUNCTION("IF(CA137=MAX(FILTER(CA$10:CA$199,LOOKUP(ROW(BU$10:BU$199),FILTER(ROW(BU$10:BU$199),BU$10:BU$199&lt;&gt;BU$9:BU$198))=LOOKUP(ROW(BU137),FILTER(ROW(BU$10:BU$199),BU$10:BU$199&lt;&gt;BU$9:BU$198)))),CB137,)"),"")</f>
        <v/>
      </c>
      <c s="42"/>
      <c s="63"/>
      <c s="64" t="str">
        <f t="shared" si="24"/>
        <v/>
      </c>
      <c s="65" t="str">
        <f>IFERROR(__xludf.DUMMYFUNCTION("""COMPUTED_VALUE"""),"")</f>
        <v/>
      </c>
      <c s="66">
        <f ca="1"/>
        <v>45250</v>
      </c>
      <c s="93" t="str">
        <f t="shared" si="44"/>
        <v/>
      </c>
      <c s="94" t="str">
        <f t="shared" si="392"/>
        <v/>
      </c>
      <c s="95" t="str">
        <f t="shared" si="416"/>
        <v/>
      </c>
      <c s="98" t="str">
        <f t="shared" si="417"/>
        <v/>
      </c>
      <c s="97" t="str">
        <f t="array" ref="CO137">IFERROR(IF(CI137="ac"+ISNUMBER(SEARCH("'",CN137))+CM137="","",IF(ISNUMBER(SEARCH("lw",CN137)),CA137+SUBSTITUTE(CN137,"lw+",""),MROUND(_xlfn.SWITCH(CI137,"sq",CM$7,"bn",CN$7,"dl",CO$7,"")*IF(CN137&gt;10,CN137/100,VLOOKUP(CN137,_rpe,SUBSTITUTE(CM137,"+","")+1,0)),IF(_xlfn.SWITCH(CI137,"sq",CM$7,"bn",CN$7,"dl",CO$7,"")&lt;IF(_uom="lbs",175,80),1.25,IF(_uom="lbs",5,2.5))))),"")</f>
        <v/>
      </c>
      <c s="70"/>
      <c s="63"/>
      <c s="97"/>
      <c s="44" t="str">
        <f>IFERROR(__xludf.DUMMYFUNCTION("IF(CO137=MAX(FILTER(CO$10:CO$199,LOOKUP(ROW(CI$10:CI$199),FILTER(ROW(CI$10:CI$199),CI$10:CI$199&lt;&gt;CI$9:CI$198))=LOOKUP(ROW(CI137),FILTER(ROW(CI$10:CI$199),CI$10:CI$199&lt;&gt;CI$9:CI$198)))),CP137,)"),"")</f>
        <v/>
      </c>
      <c s="42"/>
      <c s="63"/>
      <c s="64" t="str">
        <f t="shared" si="27"/>
        <v/>
      </c>
      <c s="65" t="str">
        <f>IFERROR(__xludf.DUMMYFUNCTION("""COMPUTED_VALUE"""),"")</f>
        <v/>
      </c>
      <c s="66">
        <f ca="1"/>
        <v>45257</v>
      </c>
      <c s="93" t="str">
        <f t="shared" si="45"/>
        <v/>
      </c>
      <c s="94" t="str">
        <f t="shared" si="393"/>
        <v/>
      </c>
      <c s="95" t="str">
        <f t="shared" si="418"/>
        <v/>
      </c>
      <c s="98" t="str">
        <f t="shared" si="401"/>
        <v/>
      </c>
      <c s="97" t="str">
        <f t="array" ref="DC137">IFERROR(IF(CW137="ac"+ISNUMBER(SEARCH("'",DB137))+DA137="","",IF(ISNUMBER(SEARCH("lw",DB137)),CO137+SUBSTITUTE(DB137,"lw+",""),MROUND(_xlfn.SWITCH(CW137,"sq",DA$7,"bn",DB$7,"dl",DC$7,"")*IF(DB137&gt;10,DB137/100,VLOOKUP(DB137,_rpe,SUBSTITUTE(DA137,"+","")+1,0)),IF(_xlfn.SWITCH(CW137,"sq",DA$7,"bn",DB$7,"dl",DC$7,"")&lt;IF(_uom="lbs",175,80),1.25,IF(_uom="lbs",5,2.5))))),"")</f>
        <v/>
      </c>
      <c s="70"/>
      <c s="63"/>
      <c s="97"/>
      <c s="44" t="str">
        <f>IFERROR(__xludf.DUMMYFUNCTION("IF(DC137=MAX(FILTER(DC$10:DC$199,LOOKUP(ROW(CW$10:CW$199),FILTER(ROW(CW$10:CW$199),CW$10:CW$199&lt;&gt;CW$9:CW$198))=LOOKUP(ROW(CW137),FILTER(ROW(CW$10:CW$199),CW$10:CW$199&lt;&gt;CW$9:CW$198)))),DD137,)"),"")</f>
        <v/>
      </c>
      <c s="42"/>
      <c s="63"/>
      <c s="64" t="str">
        <f t="shared" si="30"/>
        <v/>
      </c>
      <c s="65" t="str">
        <f>IFERROR(__xludf.DUMMYFUNCTION("""COMPUTED_VALUE"""),"")</f>
        <v/>
      </c>
      <c s="66">
        <f ca="1"/>
        <v>45264</v>
      </c>
      <c s="93" t="str">
        <f t="shared" si="46"/>
        <v/>
      </c>
      <c s="94" t="str">
        <f t="shared" si="394"/>
        <v/>
      </c>
      <c s="95" t="str">
        <f t="shared" si="419"/>
        <v/>
      </c>
      <c s="98" t="str">
        <f t="shared" si="420"/>
        <v/>
      </c>
      <c s="97" t="str">
        <f t="array" ref="DQ137">IFERROR(IF(DK137="ac"+ISNUMBER(SEARCH("'",DP137))+DO137="","",IF(ISNUMBER(SEARCH("lw",DP137)),DC137+SUBSTITUTE(DP137,"lw+",""),MROUND(_xlfn.SWITCH(DK137,"sq",DO$7,"bn",DP$7,"dl",DQ$7,"")*IF(DP137&gt;10,DP137/100,VLOOKUP(DP137,_rpe,SUBSTITUTE(DO137,"+","")+1,0)),IF(_xlfn.SWITCH(DK137,"sq",DO$7,"bn",DP$7,"dl",DQ$7,"")&lt;IF(_uom="lbs",175,80),1.25,IF(_uom="lbs",5,2.5))))),"")</f>
        <v/>
      </c>
      <c s="70"/>
      <c s="63"/>
      <c s="97"/>
      <c s="44" t="str">
        <f>IFERROR(__xludf.DUMMYFUNCTION("IF(DQ137=MAX(FILTER(DQ$10:DQ$199,LOOKUP(ROW(DK$10:DK$199),FILTER(ROW(DK$10:DK$199),DK$10:DK$199&lt;&gt;DK$9:DK$198))=LOOKUP(ROW(DK137),FILTER(ROW(DK$10:DK$199),DK$10:DK$199&lt;&gt;DK$9:DK$198)))),DR137,)"),"")</f>
        <v/>
      </c>
      <c s="42"/>
      <c s="63"/>
      <c s="64" t="str">
        <f t="shared" si="32"/>
        <v/>
      </c>
      <c s="65" t="str">
        <f>IFERROR(__xludf.DUMMYFUNCTION("""COMPUTED_VALUE"""),"")</f>
        <v/>
      </c>
      <c s="66">
        <f ca="1"/>
        <v>45271</v>
      </c>
      <c s="93" t="str">
        <f t="shared" si="47"/>
        <v/>
      </c>
      <c s="94" t="str">
        <f t="shared" si="405"/>
        <v/>
      </c>
      <c s="95" t="str">
        <f t="shared" si="421"/>
        <v/>
      </c>
      <c s="98" t="str">
        <f t="shared" si="422"/>
        <v/>
      </c>
      <c s="97" t="str">
        <f t="array" ref="EE137">IFERROR(IF(DY137="ac"+ISNUMBER(SEARCH("'",ED137))+EC137="","",IF(ISNUMBER(SEARCH("lw",ED137)),DQ137+SUBSTITUTE(ED137,"lw+",""),MROUND(_xlfn.SWITCH(DY137,"sq",EC$7,"bn",ED$7,"dl",EE$7,"")*IF(ED137&gt;10,ED137/100,VLOOKUP(ED137,_rpe,SUBSTITUTE(EC137,"+","")+1,0)),IF(_xlfn.SWITCH(DY137,"sq",EC$7,"bn",ED$7,"dl",EE$7,"")&lt;IF(_uom="lbs",175,80),1.25,IF(_uom="lbs",5,2.5))))),"")</f>
        <v/>
      </c>
      <c s="70"/>
      <c s="63"/>
      <c s="97"/>
      <c s="44" t="str">
        <f>IFERROR(__xludf.DUMMYFUNCTION("IF(EE137=MAX(FILTER(EE$10:EE$199,LOOKUP(ROW(DY$10:DY$199),FILTER(ROW(DY$10:DY$199),DY$10:DY$199&lt;&gt;DY$9:DY$198))=LOOKUP(ROW(DY137),FILTER(ROW(DY$10:DY$199),DY$10:DY$199&lt;&gt;DY$9:DY$198)))),EF137,)"),"")</f>
        <v/>
      </c>
      <c s="42"/>
      <c s="63"/>
      <c s="64" t="str">
        <f t="shared" si="34"/>
        <v/>
      </c>
      <c s="65" t="str">
        <f>IFERROR(__xludf.DUMMYFUNCTION("""COMPUTED_VALUE"""),"")</f>
        <v/>
      </c>
      <c s="66">
        <f ca="1"/>
        <v>45278</v>
      </c>
      <c s="93" t="str">
        <f t="shared" si="48"/>
        <v/>
      </c>
      <c s="94" t="str">
        <f t="shared" si="395"/>
        <v/>
      </c>
      <c s="95" t="str">
        <f t="shared" si="423"/>
        <v/>
      </c>
      <c s="98" t="str">
        <f t="shared" si="402"/>
        <v/>
      </c>
      <c s="97" t="str">
        <f t="array" ref="ES137">IFERROR(IF(EM137="ac"+ISNUMBER(SEARCH("'",ER137))+EQ137="","",IF(ISNUMBER(SEARCH("lw",ER137)),EE137+SUBSTITUTE(ER137,"lw+",""),MROUND(_xlfn.SWITCH(EM137,"sq",EQ$7,"bn",ER$7,"dl",ES$7,"")*IF(ER137&gt;10,ER137/100,VLOOKUP(ER137,_rpe,SUBSTITUTE(EQ137,"+","")+1,0)),IF(_xlfn.SWITCH(EM137,"sq",EQ$7,"bn",ER$7,"dl",ES$7,"")&lt;IF(_uom="lbs",175,80),1.25,IF(_uom="lbs",5,2.5))))),"")</f>
        <v/>
      </c>
      <c s="70"/>
      <c s="63"/>
      <c s="97"/>
      <c s="44" t="str">
        <f>IFERROR(__xludf.DUMMYFUNCTION("IF(ES137=MAX(FILTER(ES$10:ES$199,LOOKUP(ROW(EM$10:EM$199),FILTER(ROW(EM$10:EM$199),EM$10:EM$199&lt;&gt;EM$9:EM$198))=LOOKUP(ROW(EM137),FILTER(ROW(EM$10:EM$199),EM$10:EM$199&lt;&gt;EM$9:EM$198)))),ET137,)"),"")</f>
        <v/>
      </c>
      <c s="42"/>
      <c s="63"/>
      <c s="64" t="str">
        <f t="shared" si="36"/>
        <v/>
      </c>
      <c s="65" t="str">
        <f>IFERROR(__xludf.DUMMYFUNCTION("""COMPUTED_VALUE"""),"")</f>
        <v/>
      </c>
      <c s="66">
        <f ca="1"/>
        <v>45285</v>
      </c>
      <c s="93" t="str">
        <f t="shared" si="49"/>
        <v/>
      </c>
      <c s="94" t="str">
        <f t="shared" si="396"/>
        <v/>
      </c>
      <c s="95" t="str">
        <f t="shared" si="424"/>
        <v/>
      </c>
      <c s="98" t="str">
        <f t="shared" si="403"/>
        <v/>
      </c>
      <c s="97" t="str">
        <f t="array" ref="FG137">IFERROR(IF(FA137="ac"+ISNUMBER(SEARCH("'",FF137))+FE137="","",IF(ISNUMBER(SEARCH("lw",FF137)),ES137+SUBSTITUTE(FF137,"lw+",""),MROUND(_xlfn.SWITCH(FA137,"sq",FE$7,"bn",FF$7,"dl",FG$7,"")*IF(FF137&gt;10,FF137/100,VLOOKUP(FF137,_rpe,SUBSTITUTE(FE137,"+","")+1,0)),IF(_xlfn.SWITCH(FA137,"sq",FE$7,"bn",FF$7,"dl",FG$7,"")&lt;IF(_uom="lbs",175,80),1.25,IF(_uom="lbs",5,2.5))))),"")</f>
        <v/>
      </c>
      <c s="70"/>
      <c s="63"/>
      <c s="97"/>
      <c s="44" t="str">
        <f>IFERROR(__xludf.DUMMYFUNCTION("IF(FG137=MAX(FILTER(FG$10:FG$199,LOOKUP(ROW(FA$10:FA$199),FILTER(ROW(FA$10:FA$199),FA$10:FA$199&lt;&gt;FA$9:FA$198))=LOOKUP(ROW(FA137),FILTER(ROW(FA$10:FA$199),FA$10:FA$199&lt;&gt;FA$9:FA$198)))),FH137,)"),"")</f>
        <v/>
      </c>
      <c s="42"/>
      <c s="63"/>
      <c s="64" t="str">
        <f t="shared" si="38"/>
        <v/>
      </c>
      <c s="65" t="str">
        <f>IFERROR(__xludf.DUMMYFUNCTION("""COMPUTED_VALUE"""),"")</f>
        <v/>
      </c>
      <c s="66">
        <f ca="1"/>
        <v>45292</v>
      </c>
      <c s="93" t="str">
        <f t="shared" si="481" ref="FQ137:FR137">IF(ISBLANK(FC137),"",FC137)</f>
        <v/>
      </c>
      <c s="94" t="str">
        <f t="shared" si="481"/>
        <v/>
      </c>
      <c s="95" t="str">
        <f t="shared" si="428"/>
        <v/>
      </c>
      <c s="98" t="str">
        <f t="shared" si="429"/>
        <v/>
      </c>
      <c s="97" t="str">
        <f t="array" ref="FU137">IFERROR(IF(FO137="ac"+ISNUMBER(SEARCH("'",FT137))+FS137="","",IF(ISNUMBER(SEARCH("lw",FT137)),FG137+SUBSTITUTE(FT137,"lw+",""),MROUND(_xlfn.SWITCH(FO137,"sq",FS$7,"bn",FT$7,"dl",FU$7,"")*IF(FT137&gt;10,FT137/100,VLOOKUP(FT137,_rpe,SUBSTITUTE(FS137,"+","")+1,0)),IF(_xlfn.SWITCH(FO137,"sq",FS$7,"bn",FT$7,"dl",FU$7,"")&lt;IF(_uom="lbs",175,80),1.25,IF(_uom="lbs",5,2.5))))),"")</f>
        <v/>
      </c>
      <c s="70"/>
      <c s="63"/>
      <c s="97"/>
      <c s="44" t="str">
        <f>IFERROR(__xludf.DUMMYFUNCTION("IF(FU137=MAX(FILTER(FU$10:FU$199,LOOKUP(ROW(FO$10:FO$199),FILTER(ROW(FO$10:FO$199),FO$10:FO$199&lt;&gt;FO$9:FO$198))=LOOKUP(ROW(FO137),FILTER(ROW(FO$10:FO$199),FO$10:FO$199&lt;&gt;FO$9:FO$198)))),FV137,)"),"")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38" spans="1:259" ht="15.75">
      <c r="A138" s="63"/>
      <c s="107"/>
      <c s="65" t="str">
        <f>IFERROR(__xludf.DUMMYFUNCTION("""COMPUTED_VALUE"""),"")</f>
        <v/>
      </c>
      <c s="66">
        <f ca="1"/>
        <v>45208</v>
      </c>
      <c s="93"/>
      <c s="94"/>
      <c s="95"/>
      <c s="96"/>
      <c s="97" t="str">
        <f t="array" ref="I138">IFERROR(IF(C138="ac"+ISNUMBER(SEARCH("'",H138))+G138="","",MROUND(_xlfn.SWITCH(C138,"sq",'Personal Info'!$O$15,"bn",'Personal Info'!$S$15,"dl",'Personal Info'!$W$15,"")*IF(H138&gt;10,H138/100,VLOOKUP(H138,_rpe,SUBSTITUTE(G138,"+","")+1,0)),IF(_xlfn.SWITCH(C138:C210,"sq",'Personal Info'!$O$15,"bn",'Personal Info'!$S$15,"dl",'Personal Info'!$W$15,"")&lt;IF(_uom="lbs",175,80),1.25,IF(_uom="lbs",5,2.5)))),"")</f>
        <v/>
      </c>
      <c s="70"/>
      <c s="63"/>
      <c s="97"/>
      <c s="44" t="str">
        <f>IFERROR(__xludf.DUMMYFUNCTION("IF(I138=MAX(FILTER(I$10:I$199,LOOKUP(ROW(C$10:C$199),FILTER(ROW(C$10:C$199),C$10:C$199&lt;&gt;C$9:C$198))=LOOKUP(ROW(C138),FILTER(ROW(C$10:C$199),C$10:C$199&lt;&gt;C$9:C$198)))),J138,)"),"")</f>
        <v/>
      </c>
      <c s="42"/>
      <c s="63"/>
      <c s="64" t="str">
        <f t="shared" si="11"/>
        <v/>
      </c>
      <c s="65" t="str">
        <f>IFERROR(__xludf.DUMMYFUNCTION("""COMPUTED_VALUE"""),"")</f>
        <v/>
      </c>
      <c s="66">
        <f ca="1"/>
        <v>45215</v>
      </c>
      <c s="93" t="str">
        <f t="shared" si="12"/>
        <v/>
      </c>
      <c s="94" t="str">
        <f t="shared" si="404"/>
        <v/>
      </c>
      <c s="95" t="str">
        <f t="shared" si="406"/>
        <v/>
      </c>
      <c s="98" t="str">
        <f t="shared" si="407"/>
        <v/>
      </c>
      <c s="97" t="str">
        <f t="array" ref="W138">IFERROR(IF(Q138="ac"+ISNUMBER(SEARCH("'",V138))+U138="","",IF(ISNUMBER(SEARCH("lw",V138)),I138+SUBSTITUTE(V138,"lw+",""),MROUND(_xlfn.SWITCH(Q138,"sq",U$7,"bn",V$7,"dl",W$7,"")*IF(V138&gt;10,V138/100,VLOOKUP(V138,_rpe,SUBSTITUTE(U138,"+","")+1,0)),IF(_xlfn.SWITCH(Q138,"sq",U$7,"bn",V$7,"dl",W$7,"")&lt;IF(_uom="lbs",175,80),1.25,IF(_uom="lbs",5,2.5))))),"")</f>
        <v/>
      </c>
      <c s="70"/>
      <c s="63"/>
      <c s="97"/>
      <c s="44" t="str">
        <f>IFERROR(__xludf.DUMMYFUNCTION("IF(W138=MAX(FILTER(W$10:W$199,LOOKUP(ROW(Q$10:Q$199),FILTER(ROW(Q$10:Q$199),Q$10:Q$199&lt;&gt;Q$9:Q$198))=LOOKUP(ROW(Q138),FILTER(ROW(Q$10:Q$199),Q$10:Q$199&lt;&gt;Q$9:Q$198)))),X138,)"),"")</f>
        <v/>
      </c>
      <c s="42"/>
      <c s="63"/>
      <c s="64" t="str">
        <f t="shared" si="14"/>
        <v/>
      </c>
      <c s="65" t="str">
        <f>IFERROR(__xludf.DUMMYFUNCTION("""COMPUTED_VALUE"""),"")</f>
        <v/>
      </c>
      <c s="66">
        <f ca="1"/>
        <v>45222</v>
      </c>
      <c s="93" t="str">
        <f t="shared" si="156"/>
        <v/>
      </c>
      <c s="94" t="str">
        <f t="shared" si="397"/>
        <v/>
      </c>
      <c s="95" t="str">
        <f t="shared" si="408"/>
        <v/>
      </c>
      <c s="98" t="str">
        <f t="shared" si="398"/>
        <v/>
      </c>
      <c s="97" t="str">
        <f t="array" ref="AK138">IFERROR(IF(AE138="ac"+ISNUMBER(SEARCH("'",AJ138))+AI138="","",IF(ISNUMBER(SEARCH("lw",AJ138)),W138+SUBSTITUTE(AJ138,"lw+",""),MROUND(_xlfn.SWITCH(AE138,"sq",AI$7,"bn",AJ$7,"dl",AK$7,"")*IF(AJ138&gt;10,AJ138/100,VLOOKUP(AJ138,_rpe,SUBSTITUTE(AI138,"+","")+1,0)),IF(_xlfn.SWITCH(AE138,"sq",AI$7,"bn",AJ$7,"dl",AK$7,"")&lt;IF(_uom="lbs",175,80),1.25,IF(_uom="lbs",5,2.5))))),"")</f>
        <v/>
      </c>
      <c s="70"/>
      <c s="63"/>
      <c s="97"/>
      <c s="44" t="str">
        <f>IFERROR(__xludf.DUMMYFUNCTION("IF(AK138=MAX(FILTER(AK$10:AK$199,LOOKUP(ROW(AE$10:AE$199),FILTER(ROW(AE$10:AE$199),AE$10:AE$199&lt;&gt;AE$9:AE$198))=LOOKUP(ROW(AE138),FILTER(ROW(AE$10:AE$199),AE$10:AE$199&lt;&gt;AE$9:AE$198)))),AL138,)"),"")</f>
        <v/>
      </c>
      <c s="42"/>
      <c s="63"/>
      <c s="64" t="str">
        <f t="shared" si="17"/>
        <v/>
      </c>
      <c s="65" t="str">
        <f>IFERROR(__xludf.DUMMYFUNCTION("""COMPUTED_VALUE"""),"")</f>
        <v/>
      </c>
      <c s="66">
        <f ca="1"/>
        <v>45229</v>
      </c>
      <c s="93" t="str">
        <f t="shared" si="157"/>
        <v/>
      </c>
      <c s="94" t="str">
        <f t="shared" si="399"/>
        <v/>
      </c>
      <c s="95" t="str">
        <f t="shared" si="409"/>
        <v/>
      </c>
      <c s="98" t="str">
        <f t="shared" si="400"/>
        <v/>
      </c>
      <c s="97" t="str">
        <f t="array" ref="AY138">IFERROR(IF(AS138="ac"+ISNUMBER(SEARCH("'",AX138))+AW138="","",IF(ISNUMBER(SEARCH("lw",AX138)),AK138+SUBSTITUTE(AX138,"lw+",""),MROUND(_xlfn.SWITCH(AS138,"sq",AW$7,"bn",AX$7,"dl",AY$7,"")*IF(AX138&gt;10,AX138/100,VLOOKUP(AX138,_rpe,SUBSTITUTE(AW138,"+","")+1,0)),IF(_xlfn.SWITCH(AS138,"sq",AW$7,"bn",AX$7,"dl",AY$7,"")&lt;IF(_uom="lbs",175,80),1.25,IF(_uom="lbs",5,2.5))))),"")</f>
        <v/>
      </c>
      <c s="70"/>
      <c s="63"/>
      <c s="97"/>
      <c s="44" t="str">
        <f>IFERROR(__xludf.DUMMYFUNCTION("IF(AY138=MAX(FILTER(AY$10:AY$199,LOOKUP(ROW(AS$10:AS$199),FILTER(ROW(AS$10:AS$199),AS$10:AS$199&lt;&gt;AS$9:AS$198))=LOOKUP(ROW(AS138),FILTER(ROW(AS$10:AS$199),AS$10:AS$199&lt;&gt;AS$9:AS$198)))),AZ138,)"),"")</f>
        <v/>
      </c>
      <c s="42"/>
      <c s="63"/>
      <c s="64" t="str">
        <f t="shared" si="19"/>
        <v/>
      </c>
      <c s="65" t="str">
        <f>IFERROR(__xludf.DUMMYFUNCTION("""COMPUTED_VALUE"""),"")</f>
        <v/>
      </c>
      <c s="66">
        <f ca="1"/>
        <v>45236</v>
      </c>
      <c s="93" t="str">
        <f t="shared" si="20"/>
        <v/>
      </c>
      <c s="94" t="str">
        <f t="shared" si="425"/>
        <v/>
      </c>
      <c s="95" t="str">
        <f t="shared" si="411"/>
        <v/>
      </c>
      <c s="98" t="str">
        <f t="shared" si="412"/>
        <v/>
      </c>
      <c s="97" t="str">
        <f t="array" ref="BM138">IFERROR(IF(BG138="ac"+ISNUMBER(SEARCH("'",BL138))+BK138="","",IF(ISNUMBER(SEARCH("lw",BL138)),AY138+SUBSTITUTE(BL138,"lw+",""),MROUND(_xlfn.SWITCH(BG138,"sq",BK$7,"bn",BL$7,"dl",BM$7,"")*IF(BL138&gt;10,BL138/100,VLOOKUP(BL138,_rpe,SUBSTITUTE(BK138,"+","")+1,0)),IF(_xlfn.SWITCH(BG138,"sq",BK$7,"bn",BL$7,"dl",BM$7,"")&lt;IF(_uom="lbs",175,80),1.25,IF(_uom="lbs",5,2.5))))),"")</f>
        <v/>
      </c>
      <c s="70"/>
      <c s="63"/>
      <c s="97"/>
      <c s="44" t="str">
        <f>IFERROR(__xludf.DUMMYFUNCTION("IF(BM138=MAX(FILTER(BM$10:BM$199,LOOKUP(ROW(BG$10:BG$199),FILTER(ROW(BG$10:BG$199),BG$10:BG$199&lt;&gt;BG$9:BG$198))=LOOKUP(ROW(BG138),FILTER(ROW(BG$10:BG$199),BG$10:BG$199&lt;&gt;BG$9:BG$198)))),BN138,)"),"")</f>
        <v/>
      </c>
      <c s="42"/>
      <c s="63"/>
      <c s="64" t="str">
        <f t="shared" si="21"/>
        <v/>
      </c>
      <c s="65" t="str">
        <f>IFERROR(__xludf.DUMMYFUNCTION("""COMPUTED_VALUE"""),"")</f>
        <v/>
      </c>
      <c s="66">
        <f ca="1"/>
        <v>45243</v>
      </c>
      <c s="93" t="str">
        <f t="shared" si="22"/>
        <v/>
      </c>
      <c s="94" t="str">
        <f t="shared" si="426"/>
        <v/>
      </c>
      <c s="95" t="str">
        <f t="shared" si="414"/>
        <v/>
      </c>
      <c s="98" t="str">
        <f t="shared" si="415"/>
        <v/>
      </c>
      <c s="97" t="str">
        <f t="array" ref="CA138">IFERROR(IF(BU138="ac"+ISNUMBER(SEARCH("'",BZ138))+BY138="","",IF(ISNUMBER(SEARCH("lw",BZ138)),BM138+SUBSTITUTE(BZ138,"lw+",""),MROUND(_xlfn.SWITCH(BU138,"sq",BY$7,"bn",BZ$7,"dl",CA$7,"")*IF(BZ138&gt;10,BZ138/100,VLOOKUP(BZ138,_rpe,SUBSTITUTE(BY138,"+","")+1,0)),IF(_xlfn.SWITCH(BU138,"sq",BY$7,"bn",BZ$7,"dl",CA$7,"")&lt;IF(_uom="lbs",175,80),1.25,IF(_uom="lbs",5,2.5))))),"")</f>
        <v/>
      </c>
      <c s="70"/>
      <c s="63"/>
      <c s="97"/>
      <c s="44" t="str">
        <f>IFERROR(__xludf.DUMMYFUNCTION("IF(CA138=MAX(FILTER(CA$10:CA$199,LOOKUP(ROW(BU$10:BU$199),FILTER(ROW(BU$10:BU$199),BU$10:BU$199&lt;&gt;BU$9:BU$198))=LOOKUP(ROW(BU138),FILTER(ROW(BU$10:BU$199),BU$10:BU$199&lt;&gt;BU$9:BU$198)))),CB138,)"),"")</f>
        <v/>
      </c>
      <c s="42"/>
      <c s="63"/>
      <c s="64" t="str">
        <f t="shared" si="24"/>
        <v/>
      </c>
      <c s="65" t="str">
        <f>IFERROR(__xludf.DUMMYFUNCTION("""COMPUTED_VALUE"""),"")</f>
        <v/>
      </c>
      <c s="66">
        <f ca="1"/>
        <v>45250</v>
      </c>
      <c s="93" t="str">
        <f t="shared" si="44"/>
        <v/>
      </c>
      <c s="94" t="str">
        <f t="shared" si="392"/>
        <v/>
      </c>
      <c s="95" t="str">
        <f t="shared" si="416"/>
        <v/>
      </c>
      <c s="98" t="str">
        <f t="shared" si="417"/>
        <v/>
      </c>
      <c s="97" t="str">
        <f t="array" ref="CO138">IFERROR(IF(CI138="ac"+ISNUMBER(SEARCH("'",CN138))+CM138="","",IF(ISNUMBER(SEARCH("lw",CN138)),CA138+SUBSTITUTE(CN138,"lw+",""),MROUND(_xlfn.SWITCH(CI138,"sq",CM$7,"bn",CN$7,"dl",CO$7,"")*IF(CN138&gt;10,CN138/100,VLOOKUP(CN138,_rpe,SUBSTITUTE(CM138,"+","")+1,0)),IF(_xlfn.SWITCH(CI138,"sq",CM$7,"bn",CN$7,"dl",CO$7,"")&lt;IF(_uom="lbs",175,80),1.25,IF(_uom="lbs",5,2.5))))),"")</f>
        <v/>
      </c>
      <c s="70"/>
      <c s="63"/>
      <c s="97"/>
      <c s="44" t="str">
        <f>IFERROR(__xludf.DUMMYFUNCTION("IF(CO138=MAX(FILTER(CO$10:CO$199,LOOKUP(ROW(CI$10:CI$199),FILTER(ROW(CI$10:CI$199),CI$10:CI$199&lt;&gt;CI$9:CI$198))=LOOKUP(ROW(CI138),FILTER(ROW(CI$10:CI$199),CI$10:CI$199&lt;&gt;CI$9:CI$198)))),CP138,)"),"")</f>
        <v/>
      </c>
      <c s="42"/>
      <c s="63"/>
      <c s="64" t="str">
        <f t="shared" si="27"/>
        <v/>
      </c>
      <c s="65" t="str">
        <f>IFERROR(__xludf.DUMMYFUNCTION("""COMPUTED_VALUE"""),"")</f>
        <v/>
      </c>
      <c s="66">
        <f ca="1"/>
        <v>45257</v>
      </c>
      <c s="93" t="str">
        <f t="shared" si="45"/>
        <v/>
      </c>
      <c s="94" t="str">
        <f t="shared" si="393"/>
        <v/>
      </c>
      <c s="95" t="str">
        <f t="shared" si="418"/>
        <v/>
      </c>
      <c s="98" t="str">
        <f t="shared" si="401"/>
        <v/>
      </c>
      <c s="97" t="str">
        <f t="array" ref="DC138">IFERROR(IF(CW138="ac"+ISNUMBER(SEARCH("'",DB138))+DA138="","",IF(ISNUMBER(SEARCH("lw",DB138)),CO138+SUBSTITUTE(DB138,"lw+",""),MROUND(_xlfn.SWITCH(CW138,"sq",DA$7,"bn",DB$7,"dl",DC$7,"")*IF(DB138&gt;10,DB138/100,VLOOKUP(DB138,_rpe,SUBSTITUTE(DA138,"+","")+1,0)),IF(_xlfn.SWITCH(CW138,"sq",DA$7,"bn",DB$7,"dl",DC$7,"")&lt;IF(_uom="lbs",175,80),1.25,IF(_uom="lbs",5,2.5))))),"")</f>
        <v/>
      </c>
      <c s="70"/>
      <c s="63"/>
      <c s="97"/>
      <c s="44" t="str">
        <f>IFERROR(__xludf.DUMMYFUNCTION("IF(DC138=MAX(FILTER(DC$10:DC$199,LOOKUP(ROW(CW$10:CW$199),FILTER(ROW(CW$10:CW$199),CW$10:CW$199&lt;&gt;CW$9:CW$198))=LOOKUP(ROW(CW138),FILTER(ROW(CW$10:CW$199),CW$10:CW$199&lt;&gt;CW$9:CW$198)))),DD138,)"),"")</f>
        <v/>
      </c>
      <c s="42"/>
      <c s="63"/>
      <c s="64" t="str">
        <f t="shared" si="30"/>
        <v/>
      </c>
      <c s="65" t="str">
        <f>IFERROR(__xludf.DUMMYFUNCTION("""COMPUTED_VALUE"""),"")</f>
        <v/>
      </c>
      <c s="66">
        <f ca="1"/>
        <v>45264</v>
      </c>
      <c s="93" t="str">
        <f t="shared" si="46"/>
        <v/>
      </c>
      <c s="94" t="str">
        <f t="shared" si="394"/>
        <v/>
      </c>
      <c s="95" t="str">
        <f t="shared" si="419"/>
        <v/>
      </c>
      <c s="98" t="str">
        <f t="shared" si="420"/>
        <v/>
      </c>
      <c s="97" t="str">
        <f t="array" ref="DQ138">IFERROR(IF(DK138="ac"+ISNUMBER(SEARCH("'",DP138))+DO138="","",IF(ISNUMBER(SEARCH("lw",DP138)),DC138+SUBSTITUTE(DP138,"lw+",""),MROUND(_xlfn.SWITCH(DK138,"sq",DO$7,"bn",DP$7,"dl",DQ$7,"")*IF(DP138&gt;10,DP138/100,VLOOKUP(DP138,_rpe,SUBSTITUTE(DO138,"+","")+1,0)),IF(_xlfn.SWITCH(DK138,"sq",DO$7,"bn",DP$7,"dl",DQ$7,"")&lt;IF(_uom="lbs",175,80),1.25,IF(_uom="lbs",5,2.5))))),"")</f>
        <v/>
      </c>
      <c s="70"/>
      <c s="63"/>
      <c s="97"/>
      <c s="44" t="str">
        <f>IFERROR(__xludf.DUMMYFUNCTION("IF(DQ138=MAX(FILTER(DQ$10:DQ$199,LOOKUP(ROW(DK$10:DK$199),FILTER(ROW(DK$10:DK$199),DK$10:DK$199&lt;&gt;DK$9:DK$198))=LOOKUP(ROW(DK138),FILTER(ROW(DK$10:DK$199),DK$10:DK$199&lt;&gt;DK$9:DK$198)))),DR138,)"),"")</f>
        <v/>
      </c>
      <c s="42"/>
      <c s="63"/>
      <c s="64" t="str">
        <f t="shared" si="32"/>
        <v/>
      </c>
      <c s="65" t="str">
        <f>IFERROR(__xludf.DUMMYFUNCTION("""COMPUTED_VALUE"""),"")</f>
        <v/>
      </c>
      <c s="66">
        <f ca="1"/>
        <v>45271</v>
      </c>
      <c s="93" t="str">
        <f t="shared" si="47"/>
        <v/>
      </c>
      <c s="94" t="str">
        <f t="shared" si="405"/>
        <v/>
      </c>
      <c s="95" t="str">
        <f t="shared" si="421"/>
        <v/>
      </c>
      <c s="98" t="str">
        <f t="shared" si="422"/>
        <v/>
      </c>
      <c s="97" t="str">
        <f t="array" ref="EE138">IFERROR(IF(DY138="ac"+ISNUMBER(SEARCH("'",ED138))+EC138="","",IF(ISNUMBER(SEARCH("lw",ED138)),DQ138+SUBSTITUTE(ED138,"lw+",""),MROUND(_xlfn.SWITCH(DY138,"sq",EC$7,"bn",ED$7,"dl",EE$7,"")*IF(ED138&gt;10,ED138/100,VLOOKUP(ED138,_rpe,SUBSTITUTE(EC138,"+","")+1,0)),IF(_xlfn.SWITCH(DY138,"sq",EC$7,"bn",ED$7,"dl",EE$7,"")&lt;IF(_uom="lbs",175,80),1.25,IF(_uom="lbs",5,2.5))))),"")</f>
        <v/>
      </c>
      <c s="70"/>
      <c s="63"/>
      <c s="97"/>
      <c s="44" t="str">
        <f>IFERROR(__xludf.DUMMYFUNCTION("IF(EE138=MAX(FILTER(EE$10:EE$199,LOOKUP(ROW(DY$10:DY$199),FILTER(ROW(DY$10:DY$199),DY$10:DY$199&lt;&gt;DY$9:DY$198))=LOOKUP(ROW(DY138),FILTER(ROW(DY$10:DY$199),DY$10:DY$199&lt;&gt;DY$9:DY$198)))),EF138,)"),"")</f>
        <v/>
      </c>
      <c s="42"/>
      <c s="63"/>
      <c s="64" t="str">
        <f t="shared" si="34"/>
        <v/>
      </c>
      <c s="65" t="str">
        <f>IFERROR(__xludf.DUMMYFUNCTION("""COMPUTED_VALUE"""),"")</f>
        <v/>
      </c>
      <c s="66">
        <f ca="1"/>
        <v>45278</v>
      </c>
      <c s="93" t="str">
        <f t="shared" si="48"/>
        <v/>
      </c>
      <c s="94" t="str">
        <f t="shared" si="395"/>
        <v/>
      </c>
      <c s="95" t="str">
        <f t="shared" si="423"/>
        <v/>
      </c>
      <c s="98" t="str">
        <f t="shared" si="402"/>
        <v/>
      </c>
      <c s="97" t="str">
        <f t="array" ref="ES138">IFERROR(IF(EM138="ac"+ISNUMBER(SEARCH("'",ER138))+EQ138="","",IF(ISNUMBER(SEARCH("lw",ER138)),EE138+SUBSTITUTE(ER138,"lw+",""),MROUND(_xlfn.SWITCH(EM138,"sq",EQ$7,"bn",ER$7,"dl",ES$7,"")*IF(ER138&gt;10,ER138/100,VLOOKUP(ER138,_rpe,SUBSTITUTE(EQ138,"+","")+1,0)),IF(_xlfn.SWITCH(EM138,"sq",EQ$7,"bn",ER$7,"dl",ES$7,"")&lt;IF(_uom="lbs",175,80),1.25,IF(_uom="lbs",5,2.5))))),"")</f>
        <v/>
      </c>
      <c s="70"/>
      <c s="63"/>
      <c s="97"/>
      <c s="44" t="str">
        <f>IFERROR(__xludf.DUMMYFUNCTION("IF(ES138=MAX(FILTER(ES$10:ES$199,LOOKUP(ROW(EM$10:EM$199),FILTER(ROW(EM$10:EM$199),EM$10:EM$199&lt;&gt;EM$9:EM$198))=LOOKUP(ROW(EM138),FILTER(ROW(EM$10:EM$199),EM$10:EM$199&lt;&gt;EM$9:EM$198)))),ET138,)"),"")</f>
        <v/>
      </c>
      <c s="42"/>
      <c s="63"/>
      <c s="64" t="str">
        <f t="shared" si="36"/>
        <v/>
      </c>
      <c s="65" t="str">
        <f>IFERROR(__xludf.DUMMYFUNCTION("""COMPUTED_VALUE"""),"")</f>
        <v/>
      </c>
      <c s="66">
        <f ca="1"/>
        <v>45285</v>
      </c>
      <c s="93" t="str">
        <f t="shared" si="49"/>
        <v/>
      </c>
      <c s="94" t="str">
        <f t="shared" si="396"/>
        <v/>
      </c>
      <c s="95" t="str">
        <f t="shared" si="424"/>
        <v/>
      </c>
      <c s="98" t="str">
        <f t="shared" si="403"/>
        <v/>
      </c>
      <c s="97" t="str">
        <f t="array" ref="FG138">IFERROR(IF(FA138="ac"+ISNUMBER(SEARCH("'",FF138))+FE138="","",IF(ISNUMBER(SEARCH("lw",FF138)),ES138+SUBSTITUTE(FF138,"lw+",""),MROUND(_xlfn.SWITCH(FA138,"sq",FE$7,"bn",FF$7,"dl",FG$7,"")*IF(FF138&gt;10,FF138/100,VLOOKUP(FF138,_rpe,SUBSTITUTE(FE138,"+","")+1,0)),IF(_xlfn.SWITCH(FA138,"sq",FE$7,"bn",FF$7,"dl",FG$7,"")&lt;IF(_uom="lbs",175,80),1.25,IF(_uom="lbs",5,2.5))))),"")</f>
        <v/>
      </c>
      <c s="70"/>
      <c s="63"/>
      <c s="97"/>
      <c s="44" t="str">
        <f>IFERROR(__xludf.DUMMYFUNCTION("IF(FG138=MAX(FILTER(FG$10:FG$199,LOOKUP(ROW(FA$10:FA$199),FILTER(ROW(FA$10:FA$199),FA$10:FA$199&lt;&gt;FA$9:FA$198))=LOOKUP(ROW(FA138),FILTER(ROW(FA$10:FA$199),FA$10:FA$199&lt;&gt;FA$9:FA$198)))),FH138,)"),"")</f>
        <v/>
      </c>
      <c s="42"/>
      <c s="63"/>
      <c s="64" t="str">
        <f t="shared" si="38"/>
        <v/>
      </c>
      <c s="65" t="str">
        <f>IFERROR(__xludf.DUMMYFUNCTION("""COMPUTED_VALUE"""),"")</f>
        <v/>
      </c>
      <c s="66">
        <f ca="1"/>
        <v>45292</v>
      </c>
      <c s="93" t="str">
        <f t="shared" si="482" ref="FQ138:FR138">IF(ISBLANK(FC138),"",FC138)</f>
        <v/>
      </c>
      <c s="94" t="str">
        <f t="shared" si="482"/>
        <v/>
      </c>
      <c s="95" t="str">
        <f t="shared" si="428"/>
        <v/>
      </c>
      <c s="98" t="str">
        <f t="shared" si="429"/>
        <v/>
      </c>
      <c s="97" t="str">
        <f t="array" ref="FU138">IFERROR(IF(FO138="ac"+ISNUMBER(SEARCH("'",FT138))+FS138="","",IF(ISNUMBER(SEARCH("lw",FT138)),FG138+SUBSTITUTE(FT138,"lw+",""),MROUND(_xlfn.SWITCH(FO138,"sq",FS$7,"bn",FT$7,"dl",FU$7,"")*IF(FT138&gt;10,FT138/100,VLOOKUP(FT138,_rpe,SUBSTITUTE(FS138,"+","")+1,0)),IF(_xlfn.SWITCH(FO138,"sq",FS$7,"bn",FT$7,"dl",FU$7,"")&lt;IF(_uom="lbs",175,80),1.25,IF(_uom="lbs",5,2.5))))),"")</f>
        <v/>
      </c>
      <c s="70"/>
      <c s="63"/>
      <c s="97"/>
      <c s="44" t="str">
        <f>IFERROR(__xludf.DUMMYFUNCTION("IF(FU138=MAX(FILTER(FU$10:FU$199,LOOKUP(ROW(FO$10:FO$199),FILTER(ROW(FO$10:FO$199),FO$10:FO$199&lt;&gt;FO$9:FO$198))=LOOKUP(ROW(FO138),FILTER(ROW(FO$10:FO$199),FO$10:FO$199&lt;&gt;FO$9:FO$198)))),FV138,)"),"")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39" spans="1:259" ht="15.75">
      <c r="A139" s="63"/>
      <c s="107"/>
      <c s="65" t="str">
        <f>IFERROR(__xludf.DUMMYFUNCTION("""COMPUTED_VALUE"""),"")</f>
        <v/>
      </c>
      <c s="66">
        <f ca="1"/>
        <v>45208</v>
      </c>
      <c s="93"/>
      <c s="94"/>
      <c s="95"/>
      <c s="96"/>
      <c s="97" t="str">
        <f t="array" ref="I139">IFERROR(IF(C139="ac"+ISNUMBER(SEARCH("'",H139))+G139="","",MROUND(_xlfn.SWITCH(C139,"sq",'Personal Info'!$O$15,"bn",'Personal Info'!$S$15,"dl",'Personal Info'!$W$15,"")*IF(H139&gt;10,H139/100,VLOOKUP(H139,_rpe,SUBSTITUTE(G139,"+","")+1,0)),IF(_xlfn.SWITCH(C139:C210,"sq",'Personal Info'!$O$15,"bn",'Personal Info'!$S$15,"dl",'Personal Info'!$W$15,"")&lt;IF(_uom="lbs",175,80),1.25,IF(_uom="lbs",5,2.5)))),"")</f>
        <v/>
      </c>
      <c s="70"/>
      <c s="63"/>
      <c s="97"/>
      <c s="44" t="str">
        <f>IFERROR(__xludf.DUMMYFUNCTION("IF(I139=MAX(FILTER(I$10:I$199,LOOKUP(ROW(C$10:C$199),FILTER(ROW(C$10:C$199),C$10:C$199&lt;&gt;C$9:C$198))=LOOKUP(ROW(C139),FILTER(ROW(C$10:C$199),C$10:C$199&lt;&gt;C$9:C$198)))),J139,)"),"")</f>
        <v/>
      </c>
      <c s="42"/>
      <c s="63"/>
      <c s="64" t="str">
        <f t="shared" si="11"/>
        <v/>
      </c>
      <c s="65" t="str">
        <f>IFERROR(__xludf.DUMMYFUNCTION("""COMPUTED_VALUE"""),"")</f>
        <v/>
      </c>
      <c s="66">
        <f ca="1"/>
        <v>45215</v>
      </c>
      <c s="93" t="str">
        <f t="shared" si="12"/>
        <v/>
      </c>
      <c s="94" t="str">
        <f t="shared" si="404"/>
        <v/>
      </c>
      <c s="95" t="str">
        <f t="shared" si="406"/>
        <v/>
      </c>
      <c s="98" t="str">
        <f t="shared" si="407"/>
        <v/>
      </c>
      <c s="97" t="str">
        <f t="array" ref="W139">IFERROR(IF(Q139="ac"+ISNUMBER(SEARCH("'",V139))+U139="","",IF(ISNUMBER(SEARCH("lw",V139)),I139+SUBSTITUTE(V139,"lw+",""),MROUND(_xlfn.SWITCH(Q139,"sq",U$7,"bn",V$7,"dl",W$7,"")*IF(V139&gt;10,V139/100,VLOOKUP(V139,_rpe,SUBSTITUTE(U139,"+","")+1,0)),IF(_xlfn.SWITCH(Q139,"sq",U$7,"bn",V$7,"dl",W$7,"")&lt;IF(_uom="lbs",175,80),1.25,IF(_uom="lbs",5,2.5))))),"")</f>
        <v/>
      </c>
      <c s="70"/>
      <c s="63"/>
      <c s="97"/>
      <c s="44" t="str">
        <f>IFERROR(__xludf.DUMMYFUNCTION("IF(W139=MAX(FILTER(W$10:W$199,LOOKUP(ROW(Q$10:Q$199),FILTER(ROW(Q$10:Q$199),Q$10:Q$199&lt;&gt;Q$9:Q$198))=LOOKUP(ROW(Q139),FILTER(ROW(Q$10:Q$199),Q$10:Q$199&lt;&gt;Q$9:Q$198)))),X139,)"),"")</f>
        <v/>
      </c>
      <c s="42"/>
      <c s="63"/>
      <c s="64" t="str">
        <f t="shared" si="14"/>
        <v/>
      </c>
      <c s="65" t="str">
        <f>IFERROR(__xludf.DUMMYFUNCTION("""COMPUTED_VALUE"""),"")</f>
        <v/>
      </c>
      <c s="66">
        <f ca="1"/>
        <v>45222</v>
      </c>
      <c s="93" t="str">
        <f t="shared" si="156"/>
        <v/>
      </c>
      <c s="94" t="str">
        <f t="shared" si="397"/>
        <v/>
      </c>
      <c s="95" t="str">
        <f t="shared" si="408"/>
        <v/>
      </c>
      <c s="98" t="str">
        <f t="shared" si="398"/>
        <v/>
      </c>
      <c s="97" t="str">
        <f t="array" ref="AK139">IFERROR(IF(AE139="ac"+ISNUMBER(SEARCH("'",AJ139))+AI139="","",IF(ISNUMBER(SEARCH("lw",AJ139)),W139+SUBSTITUTE(AJ139,"lw+",""),MROUND(_xlfn.SWITCH(AE139,"sq",AI$7,"bn",AJ$7,"dl",AK$7,"")*IF(AJ139&gt;10,AJ139/100,VLOOKUP(AJ139,_rpe,SUBSTITUTE(AI139,"+","")+1,0)),IF(_xlfn.SWITCH(AE139,"sq",AI$7,"bn",AJ$7,"dl",AK$7,"")&lt;IF(_uom="lbs",175,80),1.25,IF(_uom="lbs",5,2.5))))),"")</f>
        <v/>
      </c>
      <c s="70"/>
      <c s="63"/>
      <c s="97"/>
      <c s="44" t="str">
        <f>IFERROR(__xludf.DUMMYFUNCTION("IF(AK139=MAX(FILTER(AK$10:AK$199,LOOKUP(ROW(AE$10:AE$199),FILTER(ROW(AE$10:AE$199),AE$10:AE$199&lt;&gt;AE$9:AE$198))=LOOKUP(ROW(AE139),FILTER(ROW(AE$10:AE$199),AE$10:AE$199&lt;&gt;AE$9:AE$198)))),AL139,)"),"")</f>
        <v/>
      </c>
      <c s="42"/>
      <c s="63"/>
      <c s="64" t="str">
        <f t="shared" si="17"/>
        <v/>
      </c>
      <c s="65" t="str">
        <f>IFERROR(__xludf.DUMMYFUNCTION("""COMPUTED_VALUE"""),"")</f>
        <v/>
      </c>
      <c s="66">
        <f ca="1"/>
        <v>45229</v>
      </c>
      <c s="93" t="str">
        <f t="shared" si="157"/>
        <v/>
      </c>
      <c s="94" t="str">
        <f t="shared" si="399"/>
        <v/>
      </c>
      <c s="95" t="str">
        <f t="shared" si="409"/>
        <v/>
      </c>
      <c s="98" t="str">
        <f t="shared" si="400"/>
        <v/>
      </c>
      <c s="97" t="str">
        <f t="array" ref="AY139">IFERROR(IF(AS139="ac"+ISNUMBER(SEARCH("'",AX139))+AW139="","",IF(ISNUMBER(SEARCH("lw",AX139)),AK139+SUBSTITUTE(AX139,"lw+",""),MROUND(_xlfn.SWITCH(AS139,"sq",AW$7,"bn",AX$7,"dl",AY$7,"")*IF(AX139&gt;10,AX139/100,VLOOKUP(AX139,_rpe,SUBSTITUTE(AW139,"+","")+1,0)),IF(_xlfn.SWITCH(AS139,"sq",AW$7,"bn",AX$7,"dl",AY$7,"")&lt;IF(_uom="lbs",175,80),1.25,IF(_uom="lbs",5,2.5))))),"")</f>
        <v/>
      </c>
      <c s="70"/>
      <c s="63"/>
      <c s="97"/>
      <c s="44" t="str">
        <f>IFERROR(__xludf.DUMMYFUNCTION("IF(AY139=MAX(FILTER(AY$10:AY$199,LOOKUP(ROW(AS$10:AS$199),FILTER(ROW(AS$10:AS$199),AS$10:AS$199&lt;&gt;AS$9:AS$198))=LOOKUP(ROW(AS139),FILTER(ROW(AS$10:AS$199),AS$10:AS$199&lt;&gt;AS$9:AS$198)))),AZ139,)"),"")</f>
        <v/>
      </c>
      <c s="42"/>
      <c s="63"/>
      <c s="64" t="str">
        <f t="shared" si="19"/>
        <v/>
      </c>
      <c s="65" t="str">
        <f>IFERROR(__xludf.DUMMYFUNCTION("""COMPUTED_VALUE"""),"")</f>
        <v/>
      </c>
      <c s="66">
        <f ca="1"/>
        <v>45236</v>
      </c>
      <c s="93" t="str">
        <f t="shared" si="20"/>
        <v/>
      </c>
      <c s="94" t="str">
        <f t="shared" si="425"/>
        <v/>
      </c>
      <c s="95" t="str">
        <f t="shared" si="411"/>
        <v/>
      </c>
      <c s="98" t="str">
        <f t="shared" si="412"/>
        <v/>
      </c>
      <c s="97" t="str">
        <f t="array" ref="BM139">IFERROR(IF(BG139="ac"+ISNUMBER(SEARCH("'",BL139))+BK139="","",IF(ISNUMBER(SEARCH("lw",BL139)),AY139+SUBSTITUTE(BL139,"lw+",""),MROUND(_xlfn.SWITCH(BG139,"sq",BK$7,"bn",BL$7,"dl",BM$7,"")*IF(BL139&gt;10,BL139/100,VLOOKUP(BL139,_rpe,SUBSTITUTE(BK139,"+","")+1,0)),IF(_xlfn.SWITCH(BG139,"sq",BK$7,"bn",BL$7,"dl",BM$7,"")&lt;IF(_uom="lbs",175,80),1.25,IF(_uom="lbs",5,2.5))))),"")</f>
        <v/>
      </c>
      <c s="70"/>
      <c s="63"/>
      <c s="97"/>
      <c s="44" t="str">
        <f>IFERROR(__xludf.DUMMYFUNCTION("IF(BM139=MAX(FILTER(BM$10:BM$199,LOOKUP(ROW(BG$10:BG$199),FILTER(ROW(BG$10:BG$199),BG$10:BG$199&lt;&gt;BG$9:BG$198))=LOOKUP(ROW(BG139),FILTER(ROW(BG$10:BG$199),BG$10:BG$199&lt;&gt;BG$9:BG$198)))),BN139,)"),"")</f>
        <v/>
      </c>
      <c s="42"/>
      <c s="63"/>
      <c s="64" t="str">
        <f t="shared" si="21"/>
        <v/>
      </c>
      <c s="65" t="str">
        <f>IFERROR(__xludf.DUMMYFUNCTION("""COMPUTED_VALUE"""),"")</f>
        <v/>
      </c>
      <c s="66">
        <f ca="1"/>
        <v>45243</v>
      </c>
      <c s="93" t="str">
        <f t="shared" si="22"/>
        <v/>
      </c>
      <c s="94" t="str">
        <f t="shared" si="426"/>
        <v/>
      </c>
      <c s="95" t="str">
        <f t="shared" si="414"/>
        <v/>
      </c>
      <c s="98" t="str">
        <f t="shared" si="415"/>
        <v/>
      </c>
      <c s="97" t="str">
        <f t="array" ref="CA139">IFERROR(IF(BU139="ac"+ISNUMBER(SEARCH("'",BZ139))+BY139="","",IF(ISNUMBER(SEARCH("lw",BZ139)),BM139+SUBSTITUTE(BZ139,"lw+",""),MROUND(_xlfn.SWITCH(BU139,"sq",BY$7,"bn",BZ$7,"dl",CA$7,"")*IF(BZ139&gt;10,BZ139/100,VLOOKUP(BZ139,_rpe,SUBSTITUTE(BY139,"+","")+1,0)),IF(_xlfn.SWITCH(BU139,"sq",BY$7,"bn",BZ$7,"dl",CA$7,"")&lt;IF(_uom="lbs",175,80),1.25,IF(_uom="lbs",5,2.5))))),"")</f>
        <v/>
      </c>
      <c s="70"/>
      <c s="63"/>
      <c s="97"/>
      <c s="44" t="str">
        <f>IFERROR(__xludf.DUMMYFUNCTION("IF(CA139=MAX(FILTER(CA$10:CA$199,LOOKUP(ROW(BU$10:BU$199),FILTER(ROW(BU$10:BU$199),BU$10:BU$199&lt;&gt;BU$9:BU$198))=LOOKUP(ROW(BU139),FILTER(ROW(BU$10:BU$199),BU$10:BU$199&lt;&gt;BU$9:BU$198)))),CB139,)"),"")</f>
        <v/>
      </c>
      <c s="42"/>
      <c s="63"/>
      <c s="64" t="str">
        <f t="shared" si="24"/>
        <v/>
      </c>
      <c s="65" t="str">
        <f>IFERROR(__xludf.DUMMYFUNCTION("""COMPUTED_VALUE"""),"")</f>
        <v/>
      </c>
      <c s="66">
        <f ca="1"/>
        <v>45250</v>
      </c>
      <c s="93" t="str">
        <f t="shared" si="44"/>
        <v/>
      </c>
      <c s="94" t="str">
        <f t="shared" si="392"/>
        <v/>
      </c>
      <c s="95" t="str">
        <f t="shared" si="416"/>
        <v/>
      </c>
      <c s="98" t="str">
        <f t="shared" si="417"/>
        <v/>
      </c>
      <c s="97" t="str">
        <f t="array" ref="CO139">IFERROR(IF(CI139="ac"+ISNUMBER(SEARCH("'",CN139))+CM139="","",IF(ISNUMBER(SEARCH("lw",CN139)),CA139+SUBSTITUTE(CN139,"lw+",""),MROUND(_xlfn.SWITCH(CI139,"sq",CM$7,"bn",CN$7,"dl",CO$7,"")*IF(CN139&gt;10,CN139/100,VLOOKUP(CN139,_rpe,SUBSTITUTE(CM139,"+","")+1,0)),IF(_xlfn.SWITCH(CI139,"sq",CM$7,"bn",CN$7,"dl",CO$7,"")&lt;IF(_uom="lbs",175,80),1.25,IF(_uom="lbs",5,2.5))))),"")</f>
        <v/>
      </c>
      <c s="70"/>
      <c s="63"/>
      <c s="97"/>
      <c s="44" t="str">
        <f>IFERROR(__xludf.DUMMYFUNCTION("IF(CO139=MAX(FILTER(CO$10:CO$199,LOOKUP(ROW(CI$10:CI$199),FILTER(ROW(CI$10:CI$199),CI$10:CI$199&lt;&gt;CI$9:CI$198))=LOOKUP(ROW(CI139),FILTER(ROW(CI$10:CI$199),CI$10:CI$199&lt;&gt;CI$9:CI$198)))),CP139,)"),"")</f>
        <v/>
      </c>
      <c s="42"/>
      <c s="63"/>
      <c s="64" t="str">
        <f t="shared" si="27"/>
        <v/>
      </c>
      <c s="65" t="str">
        <f>IFERROR(__xludf.DUMMYFUNCTION("""COMPUTED_VALUE"""),"")</f>
        <v/>
      </c>
      <c s="66">
        <f ca="1"/>
        <v>45257</v>
      </c>
      <c s="93" t="str">
        <f t="shared" si="45"/>
        <v/>
      </c>
      <c s="94" t="str">
        <f t="shared" si="393"/>
        <v/>
      </c>
      <c s="95" t="str">
        <f t="shared" si="418"/>
        <v/>
      </c>
      <c s="98" t="str">
        <f t="shared" si="401"/>
        <v/>
      </c>
      <c s="97" t="str">
        <f t="array" ref="DC139">IFERROR(IF(CW139="ac"+ISNUMBER(SEARCH("'",DB139))+DA139="","",IF(ISNUMBER(SEARCH("lw",DB139)),CO139+SUBSTITUTE(DB139,"lw+",""),MROUND(_xlfn.SWITCH(CW139,"sq",DA$7,"bn",DB$7,"dl",DC$7,"")*IF(DB139&gt;10,DB139/100,VLOOKUP(DB139,_rpe,SUBSTITUTE(DA139,"+","")+1,0)),IF(_xlfn.SWITCH(CW139,"sq",DA$7,"bn",DB$7,"dl",DC$7,"")&lt;IF(_uom="lbs",175,80),1.25,IF(_uom="lbs",5,2.5))))),"")</f>
        <v/>
      </c>
      <c s="70"/>
      <c s="63"/>
      <c s="97"/>
      <c s="44" t="str">
        <f>IFERROR(__xludf.DUMMYFUNCTION("IF(DC139=MAX(FILTER(DC$10:DC$199,LOOKUP(ROW(CW$10:CW$199),FILTER(ROW(CW$10:CW$199),CW$10:CW$199&lt;&gt;CW$9:CW$198))=LOOKUP(ROW(CW139),FILTER(ROW(CW$10:CW$199),CW$10:CW$199&lt;&gt;CW$9:CW$198)))),DD139,)"),"")</f>
        <v/>
      </c>
      <c s="42"/>
      <c s="63"/>
      <c s="64" t="str">
        <f t="shared" si="30"/>
        <v/>
      </c>
      <c s="65" t="str">
        <f>IFERROR(__xludf.DUMMYFUNCTION("""COMPUTED_VALUE"""),"")</f>
        <v/>
      </c>
      <c s="66">
        <f ca="1"/>
        <v>45264</v>
      </c>
      <c s="93" t="str">
        <f t="shared" si="46"/>
        <v/>
      </c>
      <c s="94" t="str">
        <f t="shared" si="394"/>
        <v/>
      </c>
      <c s="95" t="str">
        <f t="shared" si="419"/>
        <v/>
      </c>
      <c s="98" t="str">
        <f t="shared" si="420"/>
        <v/>
      </c>
      <c s="97" t="str">
        <f t="array" ref="DQ139">IFERROR(IF(DK139="ac"+ISNUMBER(SEARCH("'",DP139))+DO139="","",IF(ISNUMBER(SEARCH("lw",DP139)),DC139+SUBSTITUTE(DP139,"lw+",""),MROUND(_xlfn.SWITCH(DK139,"sq",DO$7,"bn",DP$7,"dl",DQ$7,"")*IF(DP139&gt;10,DP139/100,VLOOKUP(DP139,_rpe,SUBSTITUTE(DO139,"+","")+1,0)),IF(_xlfn.SWITCH(DK139,"sq",DO$7,"bn",DP$7,"dl",DQ$7,"")&lt;IF(_uom="lbs",175,80),1.25,IF(_uom="lbs",5,2.5))))),"")</f>
        <v/>
      </c>
      <c s="70"/>
      <c s="63"/>
      <c s="97"/>
      <c s="44" t="str">
        <f>IFERROR(__xludf.DUMMYFUNCTION("IF(DQ139=MAX(FILTER(DQ$10:DQ$199,LOOKUP(ROW(DK$10:DK$199),FILTER(ROW(DK$10:DK$199),DK$10:DK$199&lt;&gt;DK$9:DK$198))=LOOKUP(ROW(DK139),FILTER(ROW(DK$10:DK$199),DK$10:DK$199&lt;&gt;DK$9:DK$198)))),DR139,)"),"")</f>
        <v/>
      </c>
      <c s="42"/>
      <c s="63"/>
      <c s="64" t="str">
        <f t="shared" si="32"/>
        <v/>
      </c>
      <c s="65" t="str">
        <f>IFERROR(__xludf.DUMMYFUNCTION("""COMPUTED_VALUE"""),"")</f>
        <v/>
      </c>
      <c s="66">
        <f ca="1"/>
        <v>45271</v>
      </c>
      <c s="93" t="str">
        <f t="shared" si="47"/>
        <v/>
      </c>
      <c s="94" t="str">
        <f t="shared" si="405"/>
        <v/>
      </c>
      <c s="95" t="str">
        <f t="shared" si="421"/>
        <v/>
      </c>
      <c s="98" t="str">
        <f t="shared" si="422"/>
        <v/>
      </c>
      <c s="97" t="str">
        <f t="array" ref="EE139">IFERROR(IF(DY139="ac"+ISNUMBER(SEARCH("'",ED139))+EC139="","",IF(ISNUMBER(SEARCH("lw",ED139)),DQ139+SUBSTITUTE(ED139,"lw+",""),MROUND(_xlfn.SWITCH(DY139,"sq",EC$7,"bn",ED$7,"dl",EE$7,"")*IF(ED139&gt;10,ED139/100,VLOOKUP(ED139,_rpe,SUBSTITUTE(EC139,"+","")+1,0)),IF(_xlfn.SWITCH(DY139,"sq",EC$7,"bn",ED$7,"dl",EE$7,"")&lt;IF(_uom="lbs",175,80),1.25,IF(_uom="lbs",5,2.5))))),"")</f>
        <v/>
      </c>
      <c s="70"/>
      <c s="63"/>
      <c s="97"/>
      <c s="44" t="str">
        <f>IFERROR(__xludf.DUMMYFUNCTION("IF(EE139=MAX(FILTER(EE$10:EE$199,LOOKUP(ROW(DY$10:DY$199),FILTER(ROW(DY$10:DY$199),DY$10:DY$199&lt;&gt;DY$9:DY$198))=LOOKUP(ROW(DY139),FILTER(ROW(DY$10:DY$199),DY$10:DY$199&lt;&gt;DY$9:DY$198)))),EF139,)"),"")</f>
        <v/>
      </c>
      <c s="42"/>
      <c s="63"/>
      <c s="64" t="str">
        <f t="shared" si="34"/>
        <v/>
      </c>
      <c s="65" t="str">
        <f>IFERROR(__xludf.DUMMYFUNCTION("""COMPUTED_VALUE"""),"")</f>
        <v/>
      </c>
      <c s="66">
        <f ca="1"/>
        <v>45278</v>
      </c>
      <c s="93" t="str">
        <f t="shared" si="48"/>
        <v/>
      </c>
      <c s="94" t="str">
        <f t="shared" si="395"/>
        <v/>
      </c>
      <c s="95" t="str">
        <f t="shared" si="423"/>
        <v/>
      </c>
      <c s="98" t="str">
        <f t="shared" si="402"/>
        <v/>
      </c>
      <c s="97" t="str">
        <f t="array" ref="ES139">IFERROR(IF(EM139="ac"+ISNUMBER(SEARCH("'",ER139))+EQ139="","",IF(ISNUMBER(SEARCH("lw",ER139)),EE139+SUBSTITUTE(ER139,"lw+",""),MROUND(_xlfn.SWITCH(EM139,"sq",EQ$7,"bn",ER$7,"dl",ES$7,"")*IF(ER139&gt;10,ER139/100,VLOOKUP(ER139,_rpe,SUBSTITUTE(EQ139,"+","")+1,0)),IF(_xlfn.SWITCH(EM139,"sq",EQ$7,"bn",ER$7,"dl",ES$7,"")&lt;IF(_uom="lbs",175,80),1.25,IF(_uom="lbs",5,2.5))))),"")</f>
        <v/>
      </c>
      <c s="70"/>
      <c s="63"/>
      <c s="97"/>
      <c s="44" t="str">
        <f>IFERROR(__xludf.DUMMYFUNCTION("IF(ES139=MAX(FILTER(ES$10:ES$199,LOOKUP(ROW(EM$10:EM$199),FILTER(ROW(EM$10:EM$199),EM$10:EM$199&lt;&gt;EM$9:EM$198))=LOOKUP(ROW(EM139),FILTER(ROW(EM$10:EM$199),EM$10:EM$199&lt;&gt;EM$9:EM$198)))),ET139,)"),"")</f>
        <v/>
      </c>
      <c s="42"/>
      <c s="63"/>
      <c s="64" t="str">
        <f t="shared" si="36"/>
        <v/>
      </c>
      <c s="65" t="str">
        <f>IFERROR(__xludf.DUMMYFUNCTION("""COMPUTED_VALUE"""),"")</f>
        <v/>
      </c>
      <c s="66">
        <f ca="1"/>
        <v>45285</v>
      </c>
      <c s="93" t="str">
        <f t="shared" si="49"/>
        <v/>
      </c>
      <c s="94" t="str">
        <f t="shared" si="396"/>
        <v/>
      </c>
      <c s="95" t="str">
        <f t="shared" si="424"/>
        <v/>
      </c>
      <c s="98" t="str">
        <f t="shared" si="403"/>
        <v/>
      </c>
      <c s="97" t="str">
        <f t="array" ref="FG139">IFERROR(IF(FA139="ac"+ISNUMBER(SEARCH("'",FF139))+FE139="","",IF(ISNUMBER(SEARCH("lw",FF139)),ES139+SUBSTITUTE(FF139,"lw+",""),MROUND(_xlfn.SWITCH(FA139,"sq",FE$7,"bn",FF$7,"dl",FG$7,"")*IF(FF139&gt;10,FF139/100,VLOOKUP(FF139,_rpe,SUBSTITUTE(FE139,"+","")+1,0)),IF(_xlfn.SWITCH(FA139,"sq",FE$7,"bn",FF$7,"dl",FG$7,"")&lt;IF(_uom="lbs",175,80),1.25,IF(_uom="lbs",5,2.5))))),"")</f>
        <v/>
      </c>
      <c s="70"/>
      <c s="63"/>
      <c s="97"/>
      <c s="44" t="str">
        <f>IFERROR(__xludf.DUMMYFUNCTION("IF(FG139=MAX(FILTER(FG$10:FG$199,LOOKUP(ROW(FA$10:FA$199),FILTER(ROW(FA$10:FA$199),FA$10:FA$199&lt;&gt;FA$9:FA$198))=LOOKUP(ROW(FA139),FILTER(ROW(FA$10:FA$199),FA$10:FA$199&lt;&gt;FA$9:FA$198)))),FH139,)"),"")</f>
        <v/>
      </c>
      <c s="42"/>
      <c s="63"/>
      <c s="64" t="str">
        <f t="shared" si="38"/>
        <v/>
      </c>
      <c s="65" t="str">
        <f>IFERROR(__xludf.DUMMYFUNCTION("""COMPUTED_VALUE"""),"")</f>
        <v/>
      </c>
      <c s="66">
        <f ca="1"/>
        <v>45292</v>
      </c>
      <c s="93" t="str">
        <f t="shared" si="483" ref="FQ139:FR139">IF(ISBLANK(FC139),"",FC139)</f>
        <v/>
      </c>
      <c s="94" t="str">
        <f t="shared" si="483"/>
        <v/>
      </c>
      <c s="95" t="str">
        <f t="shared" si="428"/>
        <v/>
      </c>
      <c s="98" t="str">
        <f t="shared" si="429"/>
        <v/>
      </c>
      <c s="97" t="str">
        <f t="array" ref="FU139">IFERROR(IF(FO139="ac"+ISNUMBER(SEARCH("'",FT139))+FS139="","",IF(ISNUMBER(SEARCH("lw",FT139)),FG139+SUBSTITUTE(FT139,"lw+",""),MROUND(_xlfn.SWITCH(FO139,"sq",FS$7,"bn",FT$7,"dl",FU$7,"")*IF(FT139&gt;10,FT139/100,VLOOKUP(FT139,_rpe,SUBSTITUTE(FS139,"+","")+1,0)),IF(_xlfn.SWITCH(FO139,"sq",FS$7,"bn",FT$7,"dl",FU$7,"")&lt;IF(_uom="lbs",175,80),1.25,IF(_uom="lbs",5,2.5))))),"")</f>
        <v/>
      </c>
      <c s="70"/>
      <c s="63"/>
      <c s="97"/>
      <c s="44" t="str">
        <f>IFERROR(__xludf.DUMMYFUNCTION("IF(FU139=MAX(FILTER(FU$10:FU$199,LOOKUP(ROW(FO$10:FO$199),FILTER(ROW(FO$10:FO$199),FO$10:FO$199&lt;&gt;FO$9:FO$198))=LOOKUP(ROW(FO139),FILTER(ROW(FO$10:FO$199),FO$10:FO$199&lt;&gt;FO$9:FO$198)))),FV139,)"),"")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40" spans="1:259" ht="15.75">
      <c r="A140" s="63"/>
      <c s="107"/>
      <c s="65" t="str">
        <f>IFERROR(__xludf.DUMMYFUNCTION("""COMPUTED_VALUE"""),"")</f>
        <v/>
      </c>
      <c s="66">
        <f ca="1"/>
        <v>45208</v>
      </c>
      <c s="108"/>
      <c s="94"/>
      <c s="95"/>
      <c s="96"/>
      <c s="97" t="str">
        <f t="array" ref="I140">IFERROR(IF(C140="ac"+ISNUMBER(SEARCH("'",H140))+G140="","",MROUND(_xlfn.SWITCH(C140,"sq",'Personal Info'!$O$15,"bn",'Personal Info'!$S$15,"dl",'Personal Info'!$W$15,"")*IF(H140&gt;10,H140/100,VLOOKUP(H140,_rpe,SUBSTITUTE(G140,"+","")+1,0)),IF(_xlfn.SWITCH(C140:C210,"sq",'Personal Info'!$O$15,"bn",'Personal Info'!$S$15,"dl",'Personal Info'!$W$15,"")&lt;IF(_uom="lbs",175,80),1.25,IF(_uom="lbs",5,2.5)))),"")</f>
        <v/>
      </c>
      <c s="70"/>
      <c s="63"/>
      <c s="97"/>
      <c s="44" t="str">
        <f>IFERROR(__xludf.DUMMYFUNCTION("IF(I140=MAX(FILTER(I$10:I$199,LOOKUP(ROW(C$10:C$199),FILTER(ROW(C$10:C$199),C$10:C$199&lt;&gt;C$9:C$198))=LOOKUP(ROW(C140),FILTER(ROW(C$10:C$199),C$10:C$199&lt;&gt;C$9:C$198)))),J140,)"),"")</f>
        <v/>
      </c>
      <c s="42"/>
      <c s="63"/>
      <c s="64" t="str">
        <f t="shared" si="11"/>
        <v/>
      </c>
      <c s="65" t="str">
        <f>IFERROR(__xludf.DUMMYFUNCTION("""COMPUTED_VALUE"""),"")</f>
        <v/>
      </c>
      <c s="66">
        <f ca="1"/>
        <v>45215</v>
      </c>
      <c s="93" t="str">
        <f t="shared" si="12"/>
        <v/>
      </c>
      <c s="94" t="str">
        <f t="shared" si="404"/>
        <v/>
      </c>
      <c s="95" t="str">
        <f t="shared" si="406"/>
        <v/>
      </c>
      <c s="98" t="str">
        <f t="shared" si="407"/>
        <v/>
      </c>
      <c s="97" t="str">
        <f t="array" ref="W140">IFERROR(IF(Q140="ac"+ISNUMBER(SEARCH("'",V140))+U140="","",IF(ISNUMBER(SEARCH("lw",V140)),I140+SUBSTITUTE(V140,"lw+",""),MROUND(_xlfn.SWITCH(Q140,"sq",U$7,"bn",V$7,"dl",W$7,"")*IF(V140&gt;10,V140/100,VLOOKUP(V140,_rpe,SUBSTITUTE(U140,"+","")+1,0)),IF(_xlfn.SWITCH(Q140,"sq",U$7,"bn",V$7,"dl",W$7,"")&lt;IF(_uom="lbs",175,80),1.25,IF(_uom="lbs",5,2.5))))),"")</f>
        <v/>
      </c>
      <c s="70"/>
      <c s="63"/>
      <c s="97"/>
      <c s="44" t="str">
        <f>IFERROR(__xludf.DUMMYFUNCTION("IF(W140=MAX(FILTER(W$10:W$199,LOOKUP(ROW(Q$10:Q$199),FILTER(ROW(Q$10:Q$199),Q$10:Q$199&lt;&gt;Q$9:Q$198))=LOOKUP(ROW(Q140),FILTER(ROW(Q$10:Q$199),Q$10:Q$199&lt;&gt;Q$9:Q$198)))),X140,)"),"")</f>
        <v/>
      </c>
      <c s="42"/>
      <c s="63"/>
      <c s="64" t="str">
        <f t="shared" si="14"/>
        <v/>
      </c>
      <c s="65" t="str">
        <f>IFERROR(__xludf.DUMMYFUNCTION("""COMPUTED_VALUE"""),"")</f>
        <v/>
      </c>
      <c s="66">
        <f ca="1"/>
        <v>45222</v>
      </c>
      <c s="93" t="str">
        <f t="shared" si="156"/>
        <v/>
      </c>
      <c s="94" t="str">
        <f t="shared" si="397"/>
        <v/>
      </c>
      <c s="95" t="str">
        <f t="shared" si="408"/>
        <v/>
      </c>
      <c s="98" t="str">
        <f t="shared" si="398"/>
        <v/>
      </c>
      <c s="97" t="str">
        <f t="array" ref="AK140">IFERROR(IF(AE140="ac"+ISNUMBER(SEARCH("'",AJ140))+AI140="","",IF(ISNUMBER(SEARCH("lw",AJ140)),W140+SUBSTITUTE(AJ140,"lw+",""),MROUND(_xlfn.SWITCH(AE140,"sq",AI$7,"bn",AJ$7,"dl",AK$7,"")*IF(AJ140&gt;10,AJ140/100,VLOOKUP(AJ140,_rpe,SUBSTITUTE(AI140,"+","")+1,0)),IF(_xlfn.SWITCH(AE140,"sq",AI$7,"bn",AJ$7,"dl",AK$7,"")&lt;IF(_uom="lbs",175,80),1.25,IF(_uom="lbs",5,2.5))))),"")</f>
        <v/>
      </c>
      <c s="70"/>
      <c s="63"/>
      <c s="97"/>
      <c s="44" t="str">
        <f>IFERROR(__xludf.DUMMYFUNCTION("IF(AK140=MAX(FILTER(AK$10:AK$199,LOOKUP(ROW(AE$10:AE$199),FILTER(ROW(AE$10:AE$199),AE$10:AE$199&lt;&gt;AE$9:AE$198))=LOOKUP(ROW(AE140),FILTER(ROW(AE$10:AE$199),AE$10:AE$199&lt;&gt;AE$9:AE$198)))),AL140,)"),"")</f>
        <v/>
      </c>
      <c s="42"/>
      <c s="63"/>
      <c s="64" t="str">
        <f t="shared" si="17"/>
        <v/>
      </c>
      <c s="65" t="str">
        <f>IFERROR(__xludf.DUMMYFUNCTION("""COMPUTED_VALUE"""),"")</f>
        <v/>
      </c>
      <c s="66">
        <f ca="1"/>
        <v>45229</v>
      </c>
      <c s="93" t="str">
        <f t="shared" si="157"/>
        <v/>
      </c>
      <c s="94" t="str">
        <f t="shared" si="399"/>
        <v/>
      </c>
      <c s="95" t="str">
        <f t="shared" si="409"/>
        <v/>
      </c>
      <c s="98" t="str">
        <f t="shared" si="400"/>
        <v/>
      </c>
      <c s="97" t="str">
        <f t="array" ref="AY140">IFERROR(IF(AS140="ac"+ISNUMBER(SEARCH("'",AX140))+AW140="","",IF(ISNUMBER(SEARCH("lw",AX140)),AK140+SUBSTITUTE(AX140,"lw+",""),MROUND(_xlfn.SWITCH(AS140,"sq",AW$7,"bn",AX$7,"dl",AY$7,"")*IF(AX140&gt;10,AX140/100,VLOOKUP(AX140,_rpe,SUBSTITUTE(AW140,"+","")+1,0)),IF(_xlfn.SWITCH(AS140,"sq",AW$7,"bn",AX$7,"dl",AY$7,"")&lt;IF(_uom="lbs",175,80),1.25,IF(_uom="lbs",5,2.5))))),"")</f>
        <v/>
      </c>
      <c s="70"/>
      <c s="63"/>
      <c s="97"/>
      <c s="44" t="str">
        <f>IFERROR(__xludf.DUMMYFUNCTION("IF(AY140=MAX(FILTER(AY$10:AY$199,LOOKUP(ROW(AS$10:AS$199),FILTER(ROW(AS$10:AS$199),AS$10:AS$199&lt;&gt;AS$9:AS$198))=LOOKUP(ROW(AS140),FILTER(ROW(AS$10:AS$199),AS$10:AS$199&lt;&gt;AS$9:AS$198)))),AZ140,)"),"")</f>
        <v/>
      </c>
      <c s="42"/>
      <c s="63"/>
      <c s="64" t="str">
        <f t="shared" si="19"/>
        <v/>
      </c>
      <c s="65" t="str">
        <f>IFERROR(__xludf.DUMMYFUNCTION("""COMPUTED_VALUE"""),"")</f>
        <v/>
      </c>
      <c s="66">
        <f ca="1"/>
        <v>45236</v>
      </c>
      <c s="93" t="str">
        <f t="shared" si="20"/>
        <v/>
      </c>
      <c s="94" t="str">
        <f t="shared" si="425"/>
        <v/>
      </c>
      <c s="95" t="str">
        <f t="shared" si="411"/>
        <v/>
      </c>
      <c s="98" t="str">
        <f t="shared" si="412"/>
        <v/>
      </c>
      <c s="97" t="str">
        <f t="array" ref="BM140">IFERROR(IF(BG140="ac"+ISNUMBER(SEARCH("'",BL140))+BK140="","",IF(ISNUMBER(SEARCH("lw",BL140)),AY140+SUBSTITUTE(BL140,"lw+",""),MROUND(_xlfn.SWITCH(BG140,"sq",BK$7,"bn",BL$7,"dl",BM$7,"")*IF(BL140&gt;10,BL140/100,VLOOKUP(BL140,_rpe,SUBSTITUTE(BK140,"+","")+1,0)),IF(_xlfn.SWITCH(BG140,"sq",BK$7,"bn",BL$7,"dl",BM$7,"")&lt;IF(_uom="lbs",175,80),1.25,IF(_uom="lbs",5,2.5))))),"")</f>
        <v/>
      </c>
      <c s="70"/>
      <c s="63"/>
      <c s="97"/>
      <c s="44" t="str">
        <f>IFERROR(__xludf.DUMMYFUNCTION("IF(BM140=MAX(FILTER(BM$10:BM$199,LOOKUP(ROW(BG$10:BG$199),FILTER(ROW(BG$10:BG$199),BG$10:BG$199&lt;&gt;BG$9:BG$198))=LOOKUP(ROW(BG140),FILTER(ROW(BG$10:BG$199),BG$10:BG$199&lt;&gt;BG$9:BG$198)))),BN140,)"),"")</f>
        <v/>
      </c>
      <c s="42"/>
      <c s="63"/>
      <c s="64" t="str">
        <f t="shared" si="21"/>
        <v/>
      </c>
      <c s="65" t="str">
        <f>IFERROR(__xludf.DUMMYFUNCTION("""COMPUTED_VALUE"""),"")</f>
        <v/>
      </c>
      <c s="66">
        <f ca="1"/>
        <v>45243</v>
      </c>
      <c s="93" t="str">
        <f t="shared" si="22"/>
        <v/>
      </c>
      <c s="94" t="str">
        <f t="shared" si="426"/>
        <v/>
      </c>
      <c s="95" t="str">
        <f t="shared" si="414"/>
        <v/>
      </c>
      <c s="98" t="str">
        <f t="shared" si="415"/>
        <v/>
      </c>
      <c s="97" t="str">
        <f t="array" ref="CA140">IFERROR(IF(BU140="ac"+ISNUMBER(SEARCH("'",BZ140))+BY140="","",IF(ISNUMBER(SEARCH("lw",BZ140)),BM140+SUBSTITUTE(BZ140,"lw+",""),MROUND(_xlfn.SWITCH(BU140,"sq",BY$7,"bn",BZ$7,"dl",CA$7,"")*IF(BZ140&gt;10,BZ140/100,VLOOKUP(BZ140,_rpe,SUBSTITUTE(BY140,"+","")+1,0)),IF(_xlfn.SWITCH(BU140,"sq",BY$7,"bn",BZ$7,"dl",CA$7,"")&lt;IF(_uom="lbs",175,80),1.25,IF(_uom="lbs",5,2.5))))),"")</f>
        <v/>
      </c>
      <c s="70"/>
      <c s="63"/>
      <c s="97"/>
      <c s="44" t="str">
        <f>IFERROR(__xludf.DUMMYFUNCTION("IF(CA140=MAX(FILTER(CA$10:CA$199,LOOKUP(ROW(BU$10:BU$199),FILTER(ROW(BU$10:BU$199),BU$10:BU$199&lt;&gt;BU$9:BU$198))=LOOKUP(ROW(BU140),FILTER(ROW(BU$10:BU$199),BU$10:BU$199&lt;&gt;BU$9:BU$198)))),CB140,)"),"")</f>
        <v/>
      </c>
      <c s="42"/>
      <c s="63"/>
      <c s="64" t="str">
        <f t="shared" si="24"/>
        <v/>
      </c>
      <c s="65" t="str">
        <f>IFERROR(__xludf.DUMMYFUNCTION("""COMPUTED_VALUE"""),"")</f>
        <v/>
      </c>
      <c s="66">
        <f ca="1"/>
        <v>45250</v>
      </c>
      <c s="93" t="str">
        <f t="shared" si="44"/>
        <v/>
      </c>
      <c s="94" t="str">
        <f t="shared" si="392"/>
        <v/>
      </c>
      <c s="95" t="str">
        <f t="shared" si="416"/>
        <v/>
      </c>
      <c s="98" t="str">
        <f t="shared" si="417"/>
        <v/>
      </c>
      <c s="97" t="str">
        <f t="array" ref="CO140">IFERROR(IF(CI140="ac"+ISNUMBER(SEARCH("'",CN140))+CM140="","",IF(ISNUMBER(SEARCH("lw",CN140)),CA140+SUBSTITUTE(CN140,"lw+",""),MROUND(_xlfn.SWITCH(CI140,"sq",CM$7,"bn",CN$7,"dl",CO$7,"")*IF(CN140&gt;10,CN140/100,VLOOKUP(CN140,_rpe,SUBSTITUTE(CM140,"+","")+1,0)),IF(_xlfn.SWITCH(CI140,"sq",CM$7,"bn",CN$7,"dl",CO$7,"")&lt;IF(_uom="lbs",175,80),1.25,IF(_uom="lbs",5,2.5))))),"")</f>
        <v/>
      </c>
      <c s="70"/>
      <c s="63"/>
      <c s="97"/>
      <c s="44" t="str">
        <f>IFERROR(__xludf.DUMMYFUNCTION("IF(CO140=MAX(FILTER(CO$10:CO$199,LOOKUP(ROW(CI$10:CI$199),FILTER(ROW(CI$10:CI$199),CI$10:CI$199&lt;&gt;CI$9:CI$198))=LOOKUP(ROW(CI140),FILTER(ROW(CI$10:CI$199),CI$10:CI$199&lt;&gt;CI$9:CI$198)))),CP140,)"),"")</f>
        <v/>
      </c>
      <c s="42"/>
      <c s="63"/>
      <c s="64" t="str">
        <f t="shared" si="27"/>
        <v/>
      </c>
      <c s="65" t="str">
        <f>IFERROR(__xludf.DUMMYFUNCTION("""COMPUTED_VALUE"""),"")</f>
        <v/>
      </c>
      <c s="66">
        <f ca="1"/>
        <v>45257</v>
      </c>
      <c s="93" t="str">
        <f t="shared" si="45"/>
        <v/>
      </c>
      <c s="94" t="str">
        <f t="shared" si="393"/>
        <v/>
      </c>
      <c s="95" t="str">
        <f t="shared" si="418"/>
        <v/>
      </c>
      <c s="98" t="str">
        <f t="shared" si="401"/>
        <v/>
      </c>
      <c s="97" t="str">
        <f t="array" ref="DC140">IFERROR(IF(CW140="ac"+ISNUMBER(SEARCH("'",DB140))+DA140="","",IF(ISNUMBER(SEARCH("lw",DB140)),CO140+SUBSTITUTE(DB140,"lw+",""),MROUND(_xlfn.SWITCH(CW140,"sq",DA$7,"bn",DB$7,"dl",DC$7,"")*IF(DB140&gt;10,DB140/100,VLOOKUP(DB140,_rpe,SUBSTITUTE(DA140,"+","")+1,0)),IF(_xlfn.SWITCH(CW140,"sq",DA$7,"bn",DB$7,"dl",DC$7,"")&lt;IF(_uom="lbs",175,80),1.25,IF(_uom="lbs",5,2.5))))),"")</f>
        <v/>
      </c>
      <c s="70"/>
      <c s="63"/>
      <c s="97"/>
      <c s="44" t="str">
        <f>IFERROR(__xludf.DUMMYFUNCTION("IF(DC140=MAX(FILTER(DC$10:DC$199,LOOKUP(ROW(CW$10:CW$199),FILTER(ROW(CW$10:CW$199),CW$10:CW$199&lt;&gt;CW$9:CW$198))=LOOKUP(ROW(CW140),FILTER(ROW(CW$10:CW$199),CW$10:CW$199&lt;&gt;CW$9:CW$198)))),DD140,)"),"")</f>
        <v/>
      </c>
      <c s="42"/>
      <c s="63"/>
      <c s="64" t="str">
        <f t="shared" si="30"/>
        <v/>
      </c>
      <c s="65" t="str">
        <f>IFERROR(__xludf.DUMMYFUNCTION("""COMPUTED_VALUE"""),"")</f>
        <v/>
      </c>
      <c s="66">
        <f ca="1"/>
        <v>45264</v>
      </c>
      <c s="93" t="str">
        <f t="shared" si="46"/>
        <v/>
      </c>
      <c s="94" t="str">
        <f t="shared" si="394"/>
        <v/>
      </c>
      <c s="95" t="str">
        <f t="shared" si="419"/>
        <v/>
      </c>
      <c s="98" t="str">
        <f t="shared" si="420"/>
        <v/>
      </c>
      <c s="97" t="str">
        <f t="array" ref="DQ140">IFERROR(IF(DK140="ac"+ISNUMBER(SEARCH("'",DP140))+DO140="","",IF(ISNUMBER(SEARCH("lw",DP140)),DC140+SUBSTITUTE(DP140,"lw+",""),MROUND(_xlfn.SWITCH(DK140,"sq",DO$7,"bn",DP$7,"dl",DQ$7,"")*IF(DP140&gt;10,DP140/100,VLOOKUP(DP140,_rpe,SUBSTITUTE(DO140,"+","")+1,0)),IF(_xlfn.SWITCH(DK140,"sq",DO$7,"bn",DP$7,"dl",DQ$7,"")&lt;IF(_uom="lbs",175,80),1.25,IF(_uom="lbs",5,2.5))))),"")</f>
        <v/>
      </c>
      <c s="70"/>
      <c s="63"/>
      <c s="97"/>
      <c s="44" t="str">
        <f>IFERROR(__xludf.DUMMYFUNCTION("IF(DQ140=MAX(FILTER(DQ$10:DQ$199,LOOKUP(ROW(DK$10:DK$199),FILTER(ROW(DK$10:DK$199),DK$10:DK$199&lt;&gt;DK$9:DK$198))=LOOKUP(ROW(DK140),FILTER(ROW(DK$10:DK$199),DK$10:DK$199&lt;&gt;DK$9:DK$198)))),DR140,)"),"")</f>
        <v/>
      </c>
      <c s="42"/>
      <c s="63"/>
      <c s="64" t="str">
        <f t="shared" si="32"/>
        <v/>
      </c>
      <c s="65" t="str">
        <f>IFERROR(__xludf.DUMMYFUNCTION("""COMPUTED_VALUE"""),"")</f>
        <v/>
      </c>
      <c s="66">
        <f ca="1"/>
        <v>45271</v>
      </c>
      <c s="93" t="str">
        <f t="shared" si="47"/>
        <v/>
      </c>
      <c s="94" t="str">
        <f t="shared" si="405"/>
        <v/>
      </c>
      <c s="95" t="str">
        <f t="shared" si="421"/>
        <v/>
      </c>
      <c s="98" t="str">
        <f t="shared" si="422"/>
        <v/>
      </c>
      <c s="97" t="str">
        <f t="array" ref="EE140">IFERROR(IF(DY140="ac"+ISNUMBER(SEARCH("'",ED140))+EC140="","",IF(ISNUMBER(SEARCH("lw",ED140)),DQ140+SUBSTITUTE(ED140,"lw+",""),MROUND(_xlfn.SWITCH(DY140,"sq",EC$7,"bn",ED$7,"dl",EE$7,"")*IF(ED140&gt;10,ED140/100,VLOOKUP(ED140,_rpe,SUBSTITUTE(EC140,"+","")+1,0)),IF(_xlfn.SWITCH(DY140,"sq",EC$7,"bn",ED$7,"dl",EE$7,"")&lt;IF(_uom="lbs",175,80),1.25,IF(_uom="lbs",5,2.5))))),"")</f>
        <v/>
      </c>
      <c s="70"/>
      <c s="63"/>
      <c s="97"/>
      <c s="44" t="str">
        <f>IFERROR(__xludf.DUMMYFUNCTION("IF(EE140=MAX(FILTER(EE$10:EE$199,LOOKUP(ROW(DY$10:DY$199),FILTER(ROW(DY$10:DY$199),DY$10:DY$199&lt;&gt;DY$9:DY$198))=LOOKUP(ROW(DY140),FILTER(ROW(DY$10:DY$199),DY$10:DY$199&lt;&gt;DY$9:DY$198)))),EF140,)"),"")</f>
        <v/>
      </c>
      <c s="42"/>
      <c s="63"/>
      <c s="64" t="str">
        <f t="shared" si="34"/>
        <v/>
      </c>
      <c s="65" t="str">
        <f>IFERROR(__xludf.DUMMYFUNCTION("""COMPUTED_VALUE"""),"")</f>
        <v/>
      </c>
      <c s="66">
        <f ca="1"/>
        <v>45278</v>
      </c>
      <c s="93" t="str">
        <f t="shared" si="48"/>
        <v/>
      </c>
      <c s="94" t="str">
        <f t="shared" si="395"/>
        <v/>
      </c>
      <c s="95" t="str">
        <f t="shared" si="423"/>
        <v/>
      </c>
      <c s="98" t="str">
        <f t="shared" si="402"/>
        <v/>
      </c>
      <c s="97" t="str">
        <f t="array" ref="ES140">IFERROR(IF(EM140="ac"+ISNUMBER(SEARCH("'",ER140))+EQ140="","",IF(ISNUMBER(SEARCH("lw",ER140)),EE140+SUBSTITUTE(ER140,"lw+",""),MROUND(_xlfn.SWITCH(EM140,"sq",EQ$7,"bn",ER$7,"dl",ES$7,"")*IF(ER140&gt;10,ER140/100,VLOOKUP(ER140,_rpe,SUBSTITUTE(EQ140,"+","")+1,0)),IF(_xlfn.SWITCH(EM140,"sq",EQ$7,"bn",ER$7,"dl",ES$7,"")&lt;IF(_uom="lbs",175,80),1.25,IF(_uom="lbs",5,2.5))))),"")</f>
        <v/>
      </c>
      <c s="70"/>
      <c s="63"/>
      <c s="97"/>
      <c s="44" t="str">
        <f>IFERROR(__xludf.DUMMYFUNCTION("IF(ES140=MAX(FILTER(ES$10:ES$199,LOOKUP(ROW(EM$10:EM$199),FILTER(ROW(EM$10:EM$199),EM$10:EM$199&lt;&gt;EM$9:EM$198))=LOOKUP(ROW(EM140),FILTER(ROW(EM$10:EM$199),EM$10:EM$199&lt;&gt;EM$9:EM$198)))),ET140,)"),"")</f>
        <v/>
      </c>
      <c s="42"/>
      <c s="63"/>
      <c s="64" t="str">
        <f t="shared" si="36"/>
        <v/>
      </c>
      <c s="65" t="str">
        <f>IFERROR(__xludf.DUMMYFUNCTION("""COMPUTED_VALUE"""),"")</f>
        <v/>
      </c>
      <c s="66">
        <f ca="1"/>
        <v>45285</v>
      </c>
      <c s="93" t="str">
        <f t="shared" si="49"/>
        <v/>
      </c>
      <c s="94" t="str">
        <f t="shared" si="396"/>
        <v/>
      </c>
      <c s="95" t="str">
        <f t="shared" si="424"/>
        <v/>
      </c>
      <c s="98" t="str">
        <f t="shared" si="403"/>
        <v/>
      </c>
      <c s="97" t="str">
        <f t="array" ref="FG140">IFERROR(IF(FA140="ac"+ISNUMBER(SEARCH("'",FF140))+FE140="","",IF(ISNUMBER(SEARCH("lw",FF140)),ES140+SUBSTITUTE(FF140,"lw+",""),MROUND(_xlfn.SWITCH(FA140,"sq",FE$7,"bn",FF$7,"dl",FG$7,"")*IF(FF140&gt;10,FF140/100,VLOOKUP(FF140,_rpe,SUBSTITUTE(FE140,"+","")+1,0)),IF(_xlfn.SWITCH(FA140,"sq",FE$7,"bn",FF$7,"dl",FG$7,"")&lt;IF(_uom="lbs",175,80),1.25,IF(_uom="lbs",5,2.5))))),"")</f>
        <v/>
      </c>
      <c s="70"/>
      <c s="63"/>
      <c s="97"/>
      <c s="44" t="str">
        <f>IFERROR(__xludf.DUMMYFUNCTION("IF(FG140=MAX(FILTER(FG$10:FG$199,LOOKUP(ROW(FA$10:FA$199),FILTER(ROW(FA$10:FA$199),FA$10:FA$199&lt;&gt;FA$9:FA$198))=LOOKUP(ROW(FA140),FILTER(ROW(FA$10:FA$199),FA$10:FA$199&lt;&gt;FA$9:FA$198)))),FH140,)"),"")</f>
        <v/>
      </c>
      <c s="42"/>
      <c s="63"/>
      <c s="64" t="str">
        <f t="shared" si="38"/>
        <v/>
      </c>
      <c s="65" t="str">
        <f>IFERROR(__xludf.DUMMYFUNCTION("""COMPUTED_VALUE"""),"")</f>
        <v/>
      </c>
      <c s="66">
        <f ca="1"/>
        <v>45292</v>
      </c>
      <c s="93" t="str">
        <f t="shared" si="484" ref="FQ140:FR140">IF(ISBLANK(FC140),"",FC140)</f>
        <v/>
      </c>
      <c s="94" t="str">
        <f t="shared" si="484"/>
        <v/>
      </c>
      <c s="95" t="str">
        <f t="shared" si="428"/>
        <v/>
      </c>
      <c s="98" t="str">
        <f t="shared" si="429"/>
        <v/>
      </c>
      <c s="97" t="str">
        <f t="array" ref="FU140">IFERROR(IF(FO140="ac"+ISNUMBER(SEARCH("'",FT140))+FS140="","",IF(ISNUMBER(SEARCH("lw",FT140)),FG140+SUBSTITUTE(FT140,"lw+",""),MROUND(_xlfn.SWITCH(FO140,"sq",FS$7,"bn",FT$7,"dl",FU$7,"")*IF(FT140&gt;10,FT140/100,VLOOKUP(FT140,_rpe,SUBSTITUTE(FS140,"+","")+1,0)),IF(_xlfn.SWITCH(FO140,"sq",FS$7,"bn",FT$7,"dl",FU$7,"")&lt;IF(_uom="lbs",175,80),1.25,IF(_uom="lbs",5,2.5))))),"")</f>
        <v/>
      </c>
      <c s="70"/>
      <c s="63"/>
      <c s="97"/>
      <c s="44" t="str">
        <f>IFERROR(__xludf.DUMMYFUNCTION("IF(FU140=MAX(FILTER(FU$10:FU$199,LOOKUP(ROW(FO$10:FO$199),FILTER(ROW(FO$10:FO$199),FO$10:FO$199&lt;&gt;FO$9:FO$198))=LOOKUP(ROW(FO140),FILTER(ROW(FO$10:FO$199),FO$10:FO$199&lt;&gt;FO$9:FO$198)))),FV140,)"),"")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41" spans="1:259" ht="15.75">
      <c r="A141" s="63"/>
      <c s="107"/>
      <c s="65" t="str">
        <f>IFERROR(__xludf.DUMMYFUNCTION("""COMPUTED_VALUE"""),"")</f>
        <v/>
      </c>
      <c s="66">
        <f ca="1"/>
        <v>45208</v>
      </c>
      <c s="108"/>
      <c s="94"/>
      <c s="95"/>
      <c s="96"/>
      <c s="97" t="str">
        <f t="array" ref="I141">IFERROR(IF(C141="ac"+ISNUMBER(SEARCH("'",H141))+G141="","",MROUND(_xlfn.SWITCH(C141,"sq",'Personal Info'!$O$15,"bn",'Personal Info'!$S$15,"dl",'Personal Info'!$W$15,"")*IF(H141&gt;10,H141/100,VLOOKUP(H141,_rpe,SUBSTITUTE(G141,"+","")+1,0)),IF(_xlfn.SWITCH(C141:C210,"sq",'Personal Info'!$O$15,"bn",'Personal Info'!$S$15,"dl",'Personal Info'!$W$15,"")&lt;IF(_uom="lbs",175,80),1.25,IF(_uom="lbs",5,2.5)))),"")</f>
        <v/>
      </c>
      <c s="70"/>
      <c s="63"/>
      <c s="97"/>
      <c s="44" t="str">
        <f>IFERROR(__xludf.DUMMYFUNCTION("IF(I141=MAX(FILTER(I$10:I$199,LOOKUP(ROW(C$10:C$199),FILTER(ROW(C$10:C$199),C$10:C$199&lt;&gt;C$9:C$198))=LOOKUP(ROW(C141),FILTER(ROW(C$10:C$199),C$10:C$199&lt;&gt;C$9:C$198)))),J141,)"),"")</f>
        <v/>
      </c>
      <c s="42"/>
      <c s="63"/>
      <c s="64" t="str">
        <f t="shared" si="11"/>
        <v/>
      </c>
      <c s="65" t="str">
        <f>IFERROR(__xludf.DUMMYFUNCTION("""COMPUTED_VALUE"""),"")</f>
        <v/>
      </c>
      <c s="66">
        <f ca="1"/>
        <v>45215</v>
      </c>
      <c s="93" t="str">
        <f t="shared" si="12"/>
        <v/>
      </c>
      <c s="94" t="str">
        <f t="shared" si="404"/>
        <v/>
      </c>
      <c s="95" t="str">
        <f t="shared" si="406"/>
        <v/>
      </c>
      <c s="98" t="str">
        <f t="shared" si="407"/>
        <v/>
      </c>
      <c s="97" t="str">
        <f t="array" ref="W141">IFERROR(IF(Q141="ac"+ISNUMBER(SEARCH("'",V141))+U141="","",IF(ISNUMBER(SEARCH("lw",V141)),I141+SUBSTITUTE(V141,"lw+",""),MROUND(_xlfn.SWITCH(Q141,"sq",U$7,"bn",V$7,"dl",W$7,"")*IF(V141&gt;10,V141/100,VLOOKUP(V141,_rpe,SUBSTITUTE(U141,"+","")+1,0)),IF(_xlfn.SWITCH(Q141,"sq",U$7,"bn",V$7,"dl",W$7,"")&lt;IF(_uom="lbs",175,80),1.25,IF(_uom="lbs",5,2.5))))),"")</f>
        <v/>
      </c>
      <c s="70"/>
      <c s="63"/>
      <c s="97"/>
      <c s="44" t="str">
        <f>IFERROR(__xludf.DUMMYFUNCTION("IF(W141=MAX(FILTER(W$10:W$199,LOOKUP(ROW(Q$10:Q$199),FILTER(ROW(Q$10:Q$199),Q$10:Q$199&lt;&gt;Q$9:Q$198))=LOOKUP(ROW(Q141),FILTER(ROW(Q$10:Q$199),Q$10:Q$199&lt;&gt;Q$9:Q$198)))),X141,)"),"")</f>
        <v/>
      </c>
      <c s="42"/>
      <c s="63"/>
      <c s="64" t="str">
        <f t="shared" si="14"/>
        <v/>
      </c>
      <c s="65" t="str">
        <f>IFERROR(__xludf.DUMMYFUNCTION("""COMPUTED_VALUE"""),"")</f>
        <v/>
      </c>
      <c s="66">
        <f ca="1"/>
        <v>45222</v>
      </c>
      <c s="93" t="str">
        <f t="shared" si="156"/>
        <v/>
      </c>
      <c s="94" t="str">
        <f t="shared" si="397"/>
        <v/>
      </c>
      <c s="95" t="str">
        <f t="shared" si="408"/>
        <v/>
      </c>
      <c s="98" t="str">
        <f t="shared" si="398"/>
        <v/>
      </c>
      <c s="97" t="str">
        <f t="array" ref="AK141">IFERROR(IF(AE141="ac"+ISNUMBER(SEARCH("'",AJ141))+AI141="","",IF(ISNUMBER(SEARCH("lw",AJ141)),W141+SUBSTITUTE(AJ141,"lw+",""),MROUND(_xlfn.SWITCH(AE141,"sq",AI$7,"bn",AJ$7,"dl",AK$7,"")*IF(AJ141&gt;10,AJ141/100,VLOOKUP(AJ141,_rpe,SUBSTITUTE(AI141,"+","")+1,0)),IF(_xlfn.SWITCH(AE141,"sq",AI$7,"bn",AJ$7,"dl",AK$7,"")&lt;IF(_uom="lbs",175,80),1.25,IF(_uom="lbs",5,2.5))))),"")</f>
        <v/>
      </c>
      <c s="70"/>
      <c s="63"/>
      <c s="97"/>
      <c s="44" t="str">
        <f>IFERROR(__xludf.DUMMYFUNCTION("IF(AK141=MAX(FILTER(AK$10:AK$199,LOOKUP(ROW(AE$10:AE$199),FILTER(ROW(AE$10:AE$199),AE$10:AE$199&lt;&gt;AE$9:AE$198))=LOOKUP(ROW(AE141),FILTER(ROW(AE$10:AE$199),AE$10:AE$199&lt;&gt;AE$9:AE$198)))),AL141,)"),"")</f>
        <v/>
      </c>
      <c s="42"/>
      <c s="63"/>
      <c s="64" t="str">
        <f t="shared" si="17"/>
        <v/>
      </c>
      <c s="65" t="str">
        <f>IFERROR(__xludf.DUMMYFUNCTION("""COMPUTED_VALUE"""),"")</f>
        <v/>
      </c>
      <c s="66">
        <f ca="1"/>
        <v>45229</v>
      </c>
      <c s="93" t="str">
        <f t="shared" si="157"/>
        <v/>
      </c>
      <c s="94" t="str">
        <f t="shared" si="399"/>
        <v/>
      </c>
      <c s="95" t="str">
        <f t="shared" si="409"/>
        <v/>
      </c>
      <c s="98" t="str">
        <f t="shared" si="400"/>
        <v/>
      </c>
      <c s="97" t="str">
        <f t="array" ref="AY141">IFERROR(IF(AS141="ac"+ISNUMBER(SEARCH("'",AX141))+AW141="","",IF(ISNUMBER(SEARCH("lw",AX141)),AK141+SUBSTITUTE(AX141,"lw+",""),MROUND(_xlfn.SWITCH(AS141,"sq",AW$7,"bn",AX$7,"dl",AY$7,"")*IF(AX141&gt;10,AX141/100,VLOOKUP(AX141,_rpe,SUBSTITUTE(AW141,"+","")+1,0)),IF(_xlfn.SWITCH(AS141,"sq",AW$7,"bn",AX$7,"dl",AY$7,"")&lt;IF(_uom="lbs",175,80),1.25,IF(_uom="lbs",5,2.5))))),"")</f>
        <v/>
      </c>
      <c s="70"/>
      <c s="63"/>
      <c s="97"/>
      <c s="44" t="str">
        <f>IFERROR(__xludf.DUMMYFUNCTION("IF(AY141=MAX(FILTER(AY$10:AY$199,LOOKUP(ROW(AS$10:AS$199),FILTER(ROW(AS$10:AS$199),AS$10:AS$199&lt;&gt;AS$9:AS$198))=LOOKUP(ROW(AS141),FILTER(ROW(AS$10:AS$199),AS$10:AS$199&lt;&gt;AS$9:AS$198)))),AZ141,)"),"")</f>
        <v/>
      </c>
      <c s="42"/>
      <c s="63"/>
      <c s="64" t="str">
        <f t="shared" si="19"/>
        <v/>
      </c>
      <c s="65" t="str">
        <f>IFERROR(__xludf.DUMMYFUNCTION("""COMPUTED_VALUE"""),"")</f>
        <v/>
      </c>
      <c s="66">
        <f ca="1"/>
        <v>45236</v>
      </c>
      <c s="93" t="str">
        <f t="shared" si="20"/>
        <v/>
      </c>
      <c s="94" t="str">
        <f t="shared" si="425"/>
        <v/>
      </c>
      <c s="95" t="str">
        <f t="shared" si="411"/>
        <v/>
      </c>
      <c s="98" t="str">
        <f t="shared" si="412"/>
        <v/>
      </c>
      <c s="97" t="str">
        <f t="array" ref="BM141">IFERROR(IF(BG141="ac"+ISNUMBER(SEARCH("'",BL141))+BK141="","",IF(ISNUMBER(SEARCH("lw",BL141)),AY141+SUBSTITUTE(BL141,"lw+",""),MROUND(_xlfn.SWITCH(BG141,"sq",BK$7,"bn",BL$7,"dl",BM$7,"")*IF(BL141&gt;10,BL141/100,VLOOKUP(BL141,_rpe,SUBSTITUTE(BK141,"+","")+1,0)),IF(_xlfn.SWITCH(BG141,"sq",BK$7,"bn",BL$7,"dl",BM$7,"")&lt;IF(_uom="lbs",175,80),1.25,IF(_uom="lbs",5,2.5))))),"")</f>
        <v/>
      </c>
      <c s="70"/>
      <c s="63"/>
      <c s="97"/>
      <c s="44" t="str">
        <f>IFERROR(__xludf.DUMMYFUNCTION("IF(BM141=MAX(FILTER(BM$10:BM$199,LOOKUP(ROW(BG$10:BG$199),FILTER(ROW(BG$10:BG$199),BG$10:BG$199&lt;&gt;BG$9:BG$198))=LOOKUP(ROW(BG141),FILTER(ROW(BG$10:BG$199),BG$10:BG$199&lt;&gt;BG$9:BG$198)))),BN141,)"),"")</f>
        <v/>
      </c>
      <c s="42"/>
      <c s="63"/>
      <c s="64" t="str">
        <f t="shared" si="21"/>
        <v/>
      </c>
      <c s="65" t="str">
        <f>IFERROR(__xludf.DUMMYFUNCTION("""COMPUTED_VALUE"""),"")</f>
        <v/>
      </c>
      <c s="66">
        <f ca="1"/>
        <v>45243</v>
      </c>
      <c s="93" t="str">
        <f t="shared" si="22"/>
        <v/>
      </c>
      <c s="94" t="str">
        <f t="shared" si="426"/>
        <v/>
      </c>
      <c s="95" t="str">
        <f t="shared" si="414"/>
        <v/>
      </c>
      <c s="98" t="str">
        <f t="shared" si="415"/>
        <v/>
      </c>
      <c s="97" t="str">
        <f t="array" ref="CA141">IFERROR(IF(BU141="ac"+ISNUMBER(SEARCH("'",BZ141))+BY141="","",IF(ISNUMBER(SEARCH("lw",BZ141)),BM141+SUBSTITUTE(BZ141,"lw+",""),MROUND(_xlfn.SWITCH(BU141,"sq",BY$7,"bn",BZ$7,"dl",CA$7,"")*IF(BZ141&gt;10,BZ141/100,VLOOKUP(BZ141,_rpe,SUBSTITUTE(BY141,"+","")+1,0)),IF(_xlfn.SWITCH(BU141,"sq",BY$7,"bn",BZ$7,"dl",CA$7,"")&lt;IF(_uom="lbs",175,80),1.25,IF(_uom="lbs",5,2.5))))),"")</f>
        <v/>
      </c>
      <c s="70"/>
      <c s="63"/>
      <c s="97"/>
      <c s="44" t="str">
        <f>IFERROR(__xludf.DUMMYFUNCTION("IF(CA141=MAX(FILTER(CA$10:CA$199,LOOKUP(ROW(BU$10:BU$199),FILTER(ROW(BU$10:BU$199),BU$10:BU$199&lt;&gt;BU$9:BU$198))=LOOKUP(ROW(BU141),FILTER(ROW(BU$10:BU$199),BU$10:BU$199&lt;&gt;BU$9:BU$198)))),CB141,)"),"")</f>
        <v/>
      </c>
      <c s="42"/>
      <c s="63"/>
      <c s="64" t="str">
        <f t="shared" si="24"/>
        <v/>
      </c>
      <c s="65" t="str">
        <f>IFERROR(__xludf.DUMMYFUNCTION("""COMPUTED_VALUE"""),"")</f>
        <v/>
      </c>
      <c s="66">
        <f ca="1"/>
        <v>45250</v>
      </c>
      <c s="93" t="str">
        <f t="shared" si="44"/>
        <v/>
      </c>
      <c s="94" t="str">
        <f t="shared" si="392"/>
        <v/>
      </c>
      <c s="95" t="str">
        <f t="shared" si="416"/>
        <v/>
      </c>
      <c s="98" t="str">
        <f t="shared" si="417"/>
        <v/>
      </c>
      <c s="97" t="str">
        <f t="array" ref="CO141">IFERROR(IF(CI141="ac"+ISNUMBER(SEARCH("'",CN141))+CM141="","",IF(ISNUMBER(SEARCH("lw",CN141)),CA141+SUBSTITUTE(CN141,"lw+",""),MROUND(_xlfn.SWITCH(CI141,"sq",CM$7,"bn",CN$7,"dl",CO$7,"")*IF(CN141&gt;10,CN141/100,VLOOKUP(CN141,_rpe,SUBSTITUTE(CM141,"+","")+1,0)),IF(_xlfn.SWITCH(CI141,"sq",CM$7,"bn",CN$7,"dl",CO$7,"")&lt;IF(_uom="lbs",175,80),1.25,IF(_uom="lbs",5,2.5))))),"")</f>
        <v/>
      </c>
      <c s="70"/>
      <c s="63"/>
      <c s="97"/>
      <c s="44" t="str">
        <f>IFERROR(__xludf.DUMMYFUNCTION("IF(CO141=MAX(FILTER(CO$10:CO$199,LOOKUP(ROW(CI$10:CI$199),FILTER(ROW(CI$10:CI$199),CI$10:CI$199&lt;&gt;CI$9:CI$198))=LOOKUP(ROW(CI141),FILTER(ROW(CI$10:CI$199),CI$10:CI$199&lt;&gt;CI$9:CI$198)))),CP141,)"),"")</f>
        <v/>
      </c>
      <c s="42"/>
      <c s="63"/>
      <c s="64" t="str">
        <f t="shared" si="27"/>
        <v/>
      </c>
      <c s="65" t="str">
        <f>IFERROR(__xludf.DUMMYFUNCTION("""COMPUTED_VALUE"""),"")</f>
        <v/>
      </c>
      <c s="66">
        <f ca="1"/>
        <v>45257</v>
      </c>
      <c s="93" t="str">
        <f t="shared" si="45"/>
        <v/>
      </c>
      <c s="94" t="str">
        <f t="shared" si="393"/>
        <v/>
      </c>
      <c s="95" t="str">
        <f t="shared" si="418"/>
        <v/>
      </c>
      <c s="98" t="str">
        <f t="shared" si="401"/>
        <v/>
      </c>
      <c s="97" t="str">
        <f t="array" ref="DC141">IFERROR(IF(CW141="ac"+ISNUMBER(SEARCH("'",DB141))+DA141="","",IF(ISNUMBER(SEARCH("lw",DB141)),CO141+SUBSTITUTE(DB141,"lw+",""),MROUND(_xlfn.SWITCH(CW141,"sq",DA$7,"bn",DB$7,"dl",DC$7,"")*IF(DB141&gt;10,DB141/100,VLOOKUP(DB141,_rpe,SUBSTITUTE(DA141,"+","")+1,0)),IF(_xlfn.SWITCH(CW141,"sq",DA$7,"bn",DB$7,"dl",DC$7,"")&lt;IF(_uom="lbs",175,80),1.25,IF(_uom="lbs",5,2.5))))),"")</f>
        <v/>
      </c>
      <c s="70"/>
      <c s="63"/>
      <c s="97"/>
      <c s="44" t="str">
        <f>IFERROR(__xludf.DUMMYFUNCTION("IF(DC141=MAX(FILTER(DC$10:DC$199,LOOKUP(ROW(CW$10:CW$199),FILTER(ROW(CW$10:CW$199),CW$10:CW$199&lt;&gt;CW$9:CW$198))=LOOKUP(ROW(CW141),FILTER(ROW(CW$10:CW$199),CW$10:CW$199&lt;&gt;CW$9:CW$198)))),DD141,)"),"")</f>
        <v/>
      </c>
      <c s="42"/>
      <c s="63"/>
      <c s="64" t="str">
        <f t="shared" si="30"/>
        <v/>
      </c>
      <c s="65" t="str">
        <f>IFERROR(__xludf.DUMMYFUNCTION("""COMPUTED_VALUE"""),"")</f>
        <v/>
      </c>
      <c s="66">
        <f ca="1"/>
        <v>45264</v>
      </c>
      <c s="93" t="str">
        <f t="shared" si="46"/>
        <v/>
      </c>
      <c s="94" t="str">
        <f t="shared" si="394"/>
        <v/>
      </c>
      <c s="95" t="str">
        <f t="shared" si="419"/>
        <v/>
      </c>
      <c s="98" t="str">
        <f t="shared" si="420"/>
        <v/>
      </c>
      <c s="97" t="str">
        <f t="array" ref="DQ141">IFERROR(IF(DK141="ac"+ISNUMBER(SEARCH("'",DP141))+DO141="","",IF(ISNUMBER(SEARCH("lw",DP141)),DC141+SUBSTITUTE(DP141,"lw+",""),MROUND(_xlfn.SWITCH(DK141,"sq",DO$7,"bn",DP$7,"dl",DQ$7,"")*IF(DP141&gt;10,DP141/100,VLOOKUP(DP141,_rpe,SUBSTITUTE(DO141,"+","")+1,0)),IF(_xlfn.SWITCH(DK141,"sq",DO$7,"bn",DP$7,"dl",DQ$7,"")&lt;IF(_uom="lbs",175,80),1.25,IF(_uom="lbs",5,2.5))))),"")</f>
        <v/>
      </c>
      <c s="70"/>
      <c s="63"/>
      <c s="97"/>
      <c s="44" t="str">
        <f>IFERROR(__xludf.DUMMYFUNCTION("IF(DQ141=MAX(FILTER(DQ$10:DQ$199,LOOKUP(ROW(DK$10:DK$199),FILTER(ROW(DK$10:DK$199),DK$10:DK$199&lt;&gt;DK$9:DK$198))=LOOKUP(ROW(DK141),FILTER(ROW(DK$10:DK$199),DK$10:DK$199&lt;&gt;DK$9:DK$198)))),DR141,)"),"")</f>
        <v/>
      </c>
      <c s="42"/>
      <c s="63"/>
      <c s="64" t="str">
        <f t="shared" si="32"/>
        <v/>
      </c>
      <c s="65" t="str">
        <f>IFERROR(__xludf.DUMMYFUNCTION("""COMPUTED_VALUE"""),"")</f>
        <v/>
      </c>
      <c s="66">
        <f ca="1"/>
        <v>45271</v>
      </c>
      <c s="93" t="str">
        <f t="shared" si="47"/>
        <v/>
      </c>
      <c s="94" t="str">
        <f t="shared" si="405"/>
        <v/>
      </c>
      <c s="95" t="str">
        <f t="shared" si="421"/>
        <v/>
      </c>
      <c s="98" t="str">
        <f t="shared" si="422"/>
        <v/>
      </c>
      <c s="97" t="str">
        <f t="array" ref="EE141">IFERROR(IF(DY141="ac"+ISNUMBER(SEARCH("'",ED141))+EC141="","",IF(ISNUMBER(SEARCH("lw",ED141)),DQ141+SUBSTITUTE(ED141,"lw+",""),MROUND(_xlfn.SWITCH(DY141,"sq",EC$7,"bn",ED$7,"dl",EE$7,"")*IF(ED141&gt;10,ED141/100,VLOOKUP(ED141,_rpe,SUBSTITUTE(EC141,"+","")+1,0)),IF(_xlfn.SWITCH(DY141,"sq",EC$7,"bn",ED$7,"dl",EE$7,"")&lt;IF(_uom="lbs",175,80),1.25,IF(_uom="lbs",5,2.5))))),"")</f>
        <v/>
      </c>
      <c s="70"/>
      <c s="63"/>
      <c s="97"/>
      <c s="44" t="str">
        <f>IFERROR(__xludf.DUMMYFUNCTION("IF(EE141=MAX(FILTER(EE$10:EE$199,LOOKUP(ROW(DY$10:DY$199),FILTER(ROW(DY$10:DY$199),DY$10:DY$199&lt;&gt;DY$9:DY$198))=LOOKUP(ROW(DY141),FILTER(ROW(DY$10:DY$199),DY$10:DY$199&lt;&gt;DY$9:DY$198)))),EF141,)"),"")</f>
        <v/>
      </c>
      <c s="42"/>
      <c s="63"/>
      <c s="64" t="str">
        <f t="shared" si="34"/>
        <v/>
      </c>
      <c s="65" t="str">
        <f>IFERROR(__xludf.DUMMYFUNCTION("""COMPUTED_VALUE"""),"")</f>
        <v/>
      </c>
      <c s="66">
        <f ca="1"/>
        <v>45278</v>
      </c>
      <c s="93" t="str">
        <f t="shared" si="48"/>
        <v/>
      </c>
      <c s="94" t="str">
        <f t="shared" si="395"/>
        <v/>
      </c>
      <c s="95" t="str">
        <f t="shared" si="423"/>
        <v/>
      </c>
      <c s="98" t="str">
        <f t="shared" si="402"/>
        <v/>
      </c>
      <c s="97" t="str">
        <f t="array" ref="ES141">IFERROR(IF(EM141="ac"+ISNUMBER(SEARCH("'",ER141))+EQ141="","",IF(ISNUMBER(SEARCH("lw",ER141)),EE141+SUBSTITUTE(ER141,"lw+",""),MROUND(_xlfn.SWITCH(EM141,"sq",EQ$7,"bn",ER$7,"dl",ES$7,"")*IF(ER141&gt;10,ER141/100,VLOOKUP(ER141,_rpe,SUBSTITUTE(EQ141,"+","")+1,0)),IF(_xlfn.SWITCH(EM141,"sq",EQ$7,"bn",ER$7,"dl",ES$7,"")&lt;IF(_uom="lbs",175,80),1.25,IF(_uom="lbs",5,2.5))))),"")</f>
        <v/>
      </c>
      <c s="70"/>
      <c s="63"/>
      <c s="97"/>
      <c s="44" t="str">
        <f>IFERROR(__xludf.DUMMYFUNCTION("IF(ES141=MAX(FILTER(ES$10:ES$199,LOOKUP(ROW(EM$10:EM$199),FILTER(ROW(EM$10:EM$199),EM$10:EM$199&lt;&gt;EM$9:EM$198))=LOOKUP(ROW(EM141),FILTER(ROW(EM$10:EM$199),EM$10:EM$199&lt;&gt;EM$9:EM$198)))),ET141,)"),"")</f>
        <v/>
      </c>
      <c s="42"/>
      <c s="63"/>
      <c s="64" t="str">
        <f t="shared" si="36"/>
        <v/>
      </c>
      <c s="65" t="str">
        <f>IFERROR(__xludf.DUMMYFUNCTION("""COMPUTED_VALUE"""),"")</f>
        <v/>
      </c>
      <c s="66">
        <f ca="1"/>
        <v>45285</v>
      </c>
      <c s="93" t="str">
        <f t="shared" si="49"/>
        <v/>
      </c>
      <c s="94" t="str">
        <f t="shared" si="396"/>
        <v/>
      </c>
      <c s="95" t="str">
        <f t="shared" si="424"/>
        <v/>
      </c>
      <c s="98" t="str">
        <f t="shared" si="403"/>
        <v/>
      </c>
      <c s="97" t="str">
        <f t="array" ref="FG141">IFERROR(IF(FA141="ac"+ISNUMBER(SEARCH("'",FF141))+FE141="","",IF(ISNUMBER(SEARCH("lw",FF141)),ES141+SUBSTITUTE(FF141,"lw+",""),MROUND(_xlfn.SWITCH(FA141,"sq",FE$7,"bn",FF$7,"dl",FG$7,"")*IF(FF141&gt;10,FF141/100,VLOOKUP(FF141,_rpe,SUBSTITUTE(FE141,"+","")+1,0)),IF(_xlfn.SWITCH(FA141,"sq",FE$7,"bn",FF$7,"dl",FG$7,"")&lt;IF(_uom="lbs",175,80),1.25,IF(_uom="lbs",5,2.5))))),"")</f>
        <v/>
      </c>
      <c s="70"/>
      <c s="63"/>
      <c s="97"/>
      <c s="44" t="str">
        <f>IFERROR(__xludf.DUMMYFUNCTION("IF(FG141=MAX(FILTER(FG$10:FG$199,LOOKUP(ROW(FA$10:FA$199),FILTER(ROW(FA$10:FA$199),FA$10:FA$199&lt;&gt;FA$9:FA$198))=LOOKUP(ROW(FA141),FILTER(ROW(FA$10:FA$199),FA$10:FA$199&lt;&gt;FA$9:FA$198)))),FH141,)"),"")</f>
        <v/>
      </c>
      <c s="42"/>
      <c s="63"/>
      <c s="64" t="str">
        <f t="shared" si="38"/>
        <v/>
      </c>
      <c s="65" t="str">
        <f>IFERROR(__xludf.DUMMYFUNCTION("""COMPUTED_VALUE"""),"")</f>
        <v/>
      </c>
      <c s="66">
        <f ca="1"/>
        <v>45292</v>
      </c>
      <c s="93" t="str">
        <f t="shared" si="485" ref="FQ141:FR141">IF(ISBLANK(FC141),"",FC141)</f>
        <v/>
      </c>
      <c s="94" t="str">
        <f t="shared" si="485"/>
        <v/>
      </c>
      <c s="95" t="str">
        <f t="shared" si="428"/>
        <v/>
      </c>
      <c s="98" t="str">
        <f t="shared" si="429"/>
        <v/>
      </c>
      <c s="97" t="str">
        <f t="array" ref="FU141">IFERROR(IF(FO141="ac"+ISNUMBER(SEARCH("'",FT141))+FS141="","",IF(ISNUMBER(SEARCH("lw",FT141)),FG141+SUBSTITUTE(FT141,"lw+",""),MROUND(_xlfn.SWITCH(FO141,"sq",FS$7,"bn",FT$7,"dl",FU$7,"")*IF(FT141&gt;10,FT141/100,VLOOKUP(FT141,_rpe,SUBSTITUTE(FS141,"+","")+1,0)),IF(_xlfn.SWITCH(FO141,"sq",FS$7,"bn",FT$7,"dl",FU$7,"")&lt;IF(_uom="lbs",175,80),1.25,IF(_uom="lbs",5,2.5))))),"")</f>
        <v/>
      </c>
      <c s="70"/>
      <c s="63"/>
      <c s="97"/>
      <c s="44" t="str">
        <f>IFERROR(__xludf.DUMMYFUNCTION("IF(FU141=MAX(FILTER(FU$10:FU$199,LOOKUP(ROW(FO$10:FO$199),FILTER(ROW(FO$10:FO$199),FO$10:FO$199&lt;&gt;FO$9:FO$198))=LOOKUP(ROW(FO141),FILTER(ROW(FO$10:FO$199),FO$10:FO$199&lt;&gt;FO$9:FO$198)))),FV141,)"),"")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42" spans="1:259" ht="15.75">
      <c r="A142" s="63"/>
      <c s="107"/>
      <c s="65" t="str">
        <f>IFERROR(__xludf.DUMMYFUNCTION("""COMPUTED_VALUE"""),"")</f>
        <v/>
      </c>
      <c s="66">
        <f ca="1"/>
        <v>45208</v>
      </c>
      <c s="108"/>
      <c s="94"/>
      <c s="95"/>
      <c s="96"/>
      <c s="97" t="str">
        <f t="array" ref="I142">IFERROR(IF(C142="ac"+ISNUMBER(SEARCH("'",H142))+G142="","",MROUND(_xlfn.SWITCH(C142,"sq",'Personal Info'!$O$15,"bn",'Personal Info'!$S$15,"dl",'Personal Info'!$W$15,"")*IF(H142&gt;10,H142/100,VLOOKUP(H142,_rpe,SUBSTITUTE(G142,"+","")+1,0)),IF(_xlfn.SWITCH(C142:C210,"sq",'Personal Info'!$O$15,"bn",'Personal Info'!$S$15,"dl",'Personal Info'!$W$15,"")&lt;IF(_uom="lbs",175,80),1.25,IF(_uom="lbs",5,2.5)))),"")</f>
        <v/>
      </c>
      <c s="70"/>
      <c s="63"/>
      <c s="97"/>
      <c s="44" t="str">
        <f>IFERROR(__xludf.DUMMYFUNCTION("IF(I142=MAX(FILTER(I$10:I$199,LOOKUP(ROW(C$10:C$199),FILTER(ROW(C$10:C$199),C$10:C$199&lt;&gt;C$9:C$198))=LOOKUP(ROW(C142),FILTER(ROW(C$10:C$199),C$10:C$199&lt;&gt;C$9:C$198)))),J142,)"),"")</f>
        <v/>
      </c>
      <c s="42"/>
      <c s="63"/>
      <c s="64" t="str">
        <f t="shared" si="11"/>
        <v/>
      </c>
      <c s="65" t="str">
        <f>IFERROR(__xludf.DUMMYFUNCTION("""COMPUTED_VALUE"""),"")</f>
        <v/>
      </c>
      <c s="66">
        <f ca="1"/>
        <v>45215</v>
      </c>
      <c s="93" t="str">
        <f t="shared" si="12"/>
        <v/>
      </c>
      <c s="94" t="str">
        <f t="shared" si="404"/>
        <v/>
      </c>
      <c s="95" t="str">
        <f t="shared" si="406"/>
        <v/>
      </c>
      <c s="98" t="str">
        <f t="shared" si="407"/>
        <v/>
      </c>
      <c s="97" t="str">
        <f t="array" ref="W142">IFERROR(IF(Q142="ac"+ISNUMBER(SEARCH("'",V142))+U142="","",IF(ISNUMBER(SEARCH("lw",V142)),I142+SUBSTITUTE(V142,"lw+",""),MROUND(_xlfn.SWITCH(Q142,"sq",U$7,"bn",V$7,"dl",W$7,"")*IF(V142&gt;10,V142/100,VLOOKUP(V142,_rpe,SUBSTITUTE(U142,"+","")+1,0)),IF(_xlfn.SWITCH(Q142,"sq",U$7,"bn",V$7,"dl",W$7,"")&lt;IF(_uom="lbs",175,80),1.25,IF(_uom="lbs",5,2.5))))),"")</f>
        <v/>
      </c>
      <c s="70"/>
      <c s="63"/>
      <c s="97"/>
      <c s="44" t="str">
        <f>IFERROR(__xludf.DUMMYFUNCTION("IF(W142=MAX(FILTER(W$10:W$199,LOOKUP(ROW(Q$10:Q$199),FILTER(ROW(Q$10:Q$199),Q$10:Q$199&lt;&gt;Q$9:Q$198))=LOOKUP(ROW(Q142),FILTER(ROW(Q$10:Q$199),Q$10:Q$199&lt;&gt;Q$9:Q$198)))),X142,)"),"")</f>
        <v/>
      </c>
      <c s="42"/>
      <c s="63"/>
      <c s="64" t="str">
        <f t="shared" si="14"/>
        <v/>
      </c>
      <c s="65" t="str">
        <f>IFERROR(__xludf.DUMMYFUNCTION("""COMPUTED_VALUE"""),"")</f>
        <v/>
      </c>
      <c s="66">
        <f ca="1"/>
        <v>45222</v>
      </c>
      <c s="93" t="str">
        <f t="shared" si="156"/>
        <v/>
      </c>
      <c s="94" t="str">
        <f t="shared" si="397"/>
        <v/>
      </c>
      <c s="95" t="str">
        <f t="shared" si="408"/>
        <v/>
      </c>
      <c s="98" t="str">
        <f t="shared" si="398"/>
        <v/>
      </c>
      <c s="97" t="str">
        <f t="array" ref="AK142">IFERROR(IF(AE142="ac"+ISNUMBER(SEARCH("'",AJ142))+AI142="","",IF(ISNUMBER(SEARCH("lw",AJ142)),W142+SUBSTITUTE(AJ142,"lw+",""),MROUND(_xlfn.SWITCH(AE142,"sq",AI$7,"bn",AJ$7,"dl",AK$7,"")*IF(AJ142&gt;10,AJ142/100,VLOOKUP(AJ142,_rpe,SUBSTITUTE(AI142,"+","")+1,0)),IF(_xlfn.SWITCH(AE142,"sq",AI$7,"bn",AJ$7,"dl",AK$7,"")&lt;IF(_uom="lbs",175,80),1.25,IF(_uom="lbs",5,2.5))))),"")</f>
        <v/>
      </c>
      <c s="70"/>
      <c s="63"/>
      <c s="97"/>
      <c s="44" t="str">
        <f>IFERROR(__xludf.DUMMYFUNCTION("IF(AK142=MAX(FILTER(AK$10:AK$199,LOOKUP(ROW(AE$10:AE$199),FILTER(ROW(AE$10:AE$199),AE$10:AE$199&lt;&gt;AE$9:AE$198))=LOOKUP(ROW(AE142),FILTER(ROW(AE$10:AE$199),AE$10:AE$199&lt;&gt;AE$9:AE$198)))),AL142,)"),"")</f>
        <v/>
      </c>
      <c s="42"/>
      <c s="63"/>
      <c s="64" t="str">
        <f t="shared" si="17"/>
        <v/>
      </c>
      <c s="65" t="str">
        <f>IFERROR(__xludf.DUMMYFUNCTION("""COMPUTED_VALUE"""),"")</f>
        <v/>
      </c>
      <c s="66">
        <f ca="1"/>
        <v>45229</v>
      </c>
      <c s="93" t="str">
        <f t="shared" si="157"/>
        <v/>
      </c>
      <c s="94" t="str">
        <f t="shared" si="399"/>
        <v/>
      </c>
      <c s="95" t="str">
        <f t="shared" si="409"/>
        <v/>
      </c>
      <c s="98" t="str">
        <f t="shared" si="400"/>
        <v/>
      </c>
      <c s="97" t="str">
        <f t="array" ref="AY142">IFERROR(IF(AS142="ac"+ISNUMBER(SEARCH("'",AX142))+AW142="","",IF(ISNUMBER(SEARCH("lw",AX142)),AK142+SUBSTITUTE(AX142,"lw+",""),MROUND(_xlfn.SWITCH(AS142,"sq",AW$7,"bn",AX$7,"dl",AY$7,"")*IF(AX142&gt;10,AX142/100,VLOOKUP(AX142,_rpe,SUBSTITUTE(AW142,"+","")+1,0)),IF(_xlfn.SWITCH(AS142,"sq",AW$7,"bn",AX$7,"dl",AY$7,"")&lt;IF(_uom="lbs",175,80),1.25,IF(_uom="lbs",5,2.5))))),"")</f>
        <v/>
      </c>
      <c s="70"/>
      <c s="63"/>
      <c s="97"/>
      <c s="44" t="str">
        <f>IFERROR(__xludf.DUMMYFUNCTION("IF(AY142=MAX(FILTER(AY$10:AY$199,LOOKUP(ROW(AS$10:AS$199),FILTER(ROW(AS$10:AS$199),AS$10:AS$199&lt;&gt;AS$9:AS$198))=LOOKUP(ROW(AS142),FILTER(ROW(AS$10:AS$199),AS$10:AS$199&lt;&gt;AS$9:AS$198)))),AZ142,)"),"")</f>
        <v/>
      </c>
      <c s="42"/>
      <c s="63"/>
      <c s="64" t="str">
        <f t="shared" si="19"/>
        <v/>
      </c>
      <c s="65" t="str">
        <f>IFERROR(__xludf.DUMMYFUNCTION("""COMPUTED_VALUE"""),"")</f>
        <v/>
      </c>
      <c s="66">
        <f ca="1"/>
        <v>45236</v>
      </c>
      <c s="93" t="str">
        <f t="shared" si="20"/>
        <v/>
      </c>
      <c s="94" t="str">
        <f t="shared" si="425"/>
        <v/>
      </c>
      <c s="95" t="str">
        <f t="shared" si="411"/>
        <v/>
      </c>
      <c s="98" t="str">
        <f t="shared" si="412"/>
        <v/>
      </c>
      <c s="97" t="str">
        <f t="array" ref="BM142">IFERROR(IF(BG142="ac"+ISNUMBER(SEARCH("'",BL142))+BK142="","",IF(ISNUMBER(SEARCH("lw",BL142)),AY142+SUBSTITUTE(BL142,"lw+",""),MROUND(_xlfn.SWITCH(BG142,"sq",BK$7,"bn",BL$7,"dl",BM$7,"")*IF(BL142&gt;10,BL142/100,VLOOKUP(BL142,_rpe,SUBSTITUTE(BK142,"+","")+1,0)),IF(_xlfn.SWITCH(BG142,"sq",BK$7,"bn",BL$7,"dl",BM$7,"")&lt;IF(_uom="lbs",175,80),1.25,IF(_uom="lbs",5,2.5))))),"")</f>
        <v/>
      </c>
      <c s="70"/>
      <c s="63"/>
      <c s="97"/>
      <c s="44" t="str">
        <f>IFERROR(__xludf.DUMMYFUNCTION("IF(BM142=MAX(FILTER(BM$10:BM$199,LOOKUP(ROW(BG$10:BG$199),FILTER(ROW(BG$10:BG$199),BG$10:BG$199&lt;&gt;BG$9:BG$198))=LOOKUP(ROW(BG142),FILTER(ROW(BG$10:BG$199),BG$10:BG$199&lt;&gt;BG$9:BG$198)))),BN142,)"),"")</f>
        <v/>
      </c>
      <c s="42"/>
      <c s="63"/>
      <c s="64" t="str">
        <f t="shared" si="21"/>
        <v/>
      </c>
      <c s="65" t="str">
        <f>IFERROR(__xludf.DUMMYFUNCTION("""COMPUTED_VALUE"""),"")</f>
        <v/>
      </c>
      <c s="66">
        <f ca="1"/>
        <v>45243</v>
      </c>
      <c s="93" t="str">
        <f t="shared" si="22"/>
        <v/>
      </c>
      <c s="94" t="str">
        <f t="shared" si="426"/>
        <v/>
      </c>
      <c s="95" t="str">
        <f t="shared" si="414"/>
        <v/>
      </c>
      <c s="98" t="str">
        <f t="shared" si="415"/>
        <v/>
      </c>
      <c s="97" t="str">
        <f t="array" ref="CA142">IFERROR(IF(BU142="ac"+ISNUMBER(SEARCH("'",BZ142))+BY142="","",IF(ISNUMBER(SEARCH("lw",BZ142)),BM142+SUBSTITUTE(BZ142,"lw+",""),MROUND(_xlfn.SWITCH(BU142,"sq",BY$7,"bn",BZ$7,"dl",CA$7,"")*IF(BZ142&gt;10,BZ142/100,VLOOKUP(BZ142,_rpe,SUBSTITUTE(BY142,"+","")+1,0)),IF(_xlfn.SWITCH(BU142,"sq",BY$7,"bn",BZ$7,"dl",CA$7,"")&lt;IF(_uom="lbs",175,80),1.25,IF(_uom="lbs",5,2.5))))),"")</f>
        <v/>
      </c>
      <c s="70"/>
      <c s="63"/>
      <c s="97"/>
      <c s="44" t="str">
        <f>IFERROR(__xludf.DUMMYFUNCTION("IF(CA142=MAX(FILTER(CA$10:CA$199,LOOKUP(ROW(BU$10:BU$199),FILTER(ROW(BU$10:BU$199),BU$10:BU$199&lt;&gt;BU$9:BU$198))=LOOKUP(ROW(BU142),FILTER(ROW(BU$10:BU$199),BU$10:BU$199&lt;&gt;BU$9:BU$198)))),CB142,)"),"")</f>
        <v/>
      </c>
      <c s="42"/>
      <c s="63"/>
      <c s="64" t="str">
        <f t="shared" si="24"/>
        <v/>
      </c>
      <c s="65" t="str">
        <f>IFERROR(__xludf.DUMMYFUNCTION("""COMPUTED_VALUE"""),"")</f>
        <v/>
      </c>
      <c s="66">
        <f ca="1"/>
        <v>45250</v>
      </c>
      <c s="93" t="str">
        <f t="shared" si="44"/>
        <v/>
      </c>
      <c s="94" t="str">
        <f t="shared" si="392"/>
        <v/>
      </c>
      <c s="95" t="str">
        <f t="shared" si="416"/>
        <v/>
      </c>
      <c s="98" t="str">
        <f t="shared" si="417"/>
        <v/>
      </c>
      <c s="97" t="str">
        <f t="array" ref="CO142">IFERROR(IF(CI142="ac"+ISNUMBER(SEARCH("'",CN142))+CM142="","",IF(ISNUMBER(SEARCH("lw",CN142)),CA142+SUBSTITUTE(CN142,"lw+",""),MROUND(_xlfn.SWITCH(CI142,"sq",CM$7,"bn",CN$7,"dl",CO$7,"")*IF(CN142&gt;10,CN142/100,VLOOKUP(CN142,_rpe,SUBSTITUTE(CM142,"+","")+1,0)),IF(_xlfn.SWITCH(CI142,"sq",CM$7,"bn",CN$7,"dl",CO$7,"")&lt;IF(_uom="lbs",175,80),1.25,IF(_uom="lbs",5,2.5))))),"")</f>
        <v/>
      </c>
      <c s="70"/>
      <c s="63"/>
      <c s="97"/>
      <c s="44" t="str">
        <f>IFERROR(__xludf.DUMMYFUNCTION("IF(CO142=MAX(FILTER(CO$10:CO$199,LOOKUP(ROW(CI$10:CI$199),FILTER(ROW(CI$10:CI$199),CI$10:CI$199&lt;&gt;CI$9:CI$198))=LOOKUP(ROW(CI142),FILTER(ROW(CI$10:CI$199),CI$10:CI$199&lt;&gt;CI$9:CI$198)))),CP142,)"),"")</f>
        <v/>
      </c>
      <c s="42"/>
      <c s="63"/>
      <c s="64" t="str">
        <f t="shared" si="27"/>
        <v/>
      </c>
      <c s="65" t="str">
        <f>IFERROR(__xludf.DUMMYFUNCTION("""COMPUTED_VALUE"""),"")</f>
        <v/>
      </c>
      <c s="66">
        <f ca="1"/>
        <v>45257</v>
      </c>
      <c s="93" t="str">
        <f t="shared" si="45"/>
        <v/>
      </c>
      <c s="94" t="str">
        <f t="shared" si="393"/>
        <v/>
      </c>
      <c s="95" t="str">
        <f t="shared" si="418"/>
        <v/>
      </c>
      <c s="98" t="str">
        <f t="shared" si="401"/>
        <v/>
      </c>
      <c s="97" t="str">
        <f t="array" ref="DC142">IFERROR(IF(CW142="ac"+ISNUMBER(SEARCH("'",DB142))+DA142="","",IF(ISNUMBER(SEARCH("lw",DB142)),CO142+SUBSTITUTE(DB142,"lw+",""),MROUND(_xlfn.SWITCH(CW142,"sq",DA$7,"bn",DB$7,"dl",DC$7,"")*IF(DB142&gt;10,DB142/100,VLOOKUP(DB142,_rpe,SUBSTITUTE(DA142,"+","")+1,0)),IF(_xlfn.SWITCH(CW142,"sq",DA$7,"bn",DB$7,"dl",DC$7,"")&lt;IF(_uom="lbs",175,80),1.25,IF(_uom="lbs",5,2.5))))),"")</f>
        <v/>
      </c>
      <c s="70"/>
      <c s="63"/>
      <c s="97"/>
      <c s="44" t="str">
        <f>IFERROR(__xludf.DUMMYFUNCTION("IF(DC142=MAX(FILTER(DC$10:DC$199,LOOKUP(ROW(CW$10:CW$199),FILTER(ROW(CW$10:CW$199),CW$10:CW$199&lt;&gt;CW$9:CW$198))=LOOKUP(ROW(CW142),FILTER(ROW(CW$10:CW$199),CW$10:CW$199&lt;&gt;CW$9:CW$198)))),DD142,)"),"")</f>
        <v/>
      </c>
      <c s="42"/>
      <c s="63"/>
      <c s="64" t="str">
        <f t="shared" si="30"/>
        <v/>
      </c>
      <c s="65" t="str">
        <f>IFERROR(__xludf.DUMMYFUNCTION("""COMPUTED_VALUE"""),"")</f>
        <v/>
      </c>
      <c s="66">
        <f ca="1"/>
        <v>45264</v>
      </c>
      <c s="93" t="str">
        <f t="shared" si="46"/>
        <v/>
      </c>
      <c s="94" t="str">
        <f t="shared" si="394"/>
        <v/>
      </c>
      <c s="95" t="str">
        <f t="shared" si="419"/>
        <v/>
      </c>
      <c s="98" t="str">
        <f t="shared" si="420"/>
        <v/>
      </c>
      <c s="97" t="str">
        <f t="array" ref="DQ142">IFERROR(IF(DK142="ac"+ISNUMBER(SEARCH("'",DP142))+DO142="","",IF(ISNUMBER(SEARCH("lw",DP142)),DC142+SUBSTITUTE(DP142,"lw+",""),MROUND(_xlfn.SWITCH(DK142,"sq",DO$7,"bn",DP$7,"dl",DQ$7,"")*IF(DP142&gt;10,DP142/100,VLOOKUP(DP142,_rpe,SUBSTITUTE(DO142,"+","")+1,0)),IF(_xlfn.SWITCH(DK142,"sq",DO$7,"bn",DP$7,"dl",DQ$7,"")&lt;IF(_uom="lbs",175,80),1.25,IF(_uom="lbs",5,2.5))))),"")</f>
        <v/>
      </c>
      <c s="70"/>
      <c s="63"/>
      <c s="97"/>
      <c s="44" t="str">
        <f>IFERROR(__xludf.DUMMYFUNCTION("IF(DQ142=MAX(FILTER(DQ$10:DQ$199,LOOKUP(ROW(DK$10:DK$199),FILTER(ROW(DK$10:DK$199),DK$10:DK$199&lt;&gt;DK$9:DK$198))=LOOKUP(ROW(DK142),FILTER(ROW(DK$10:DK$199),DK$10:DK$199&lt;&gt;DK$9:DK$198)))),DR142,)"),"")</f>
        <v/>
      </c>
      <c s="42"/>
      <c s="63"/>
      <c s="64" t="str">
        <f t="shared" si="32"/>
        <v/>
      </c>
      <c s="65" t="str">
        <f>IFERROR(__xludf.DUMMYFUNCTION("""COMPUTED_VALUE"""),"")</f>
        <v/>
      </c>
      <c s="66">
        <f ca="1"/>
        <v>45271</v>
      </c>
      <c s="93" t="str">
        <f t="shared" si="47"/>
        <v/>
      </c>
      <c s="94" t="str">
        <f t="shared" si="405"/>
        <v/>
      </c>
      <c s="95" t="str">
        <f t="shared" si="421"/>
        <v/>
      </c>
      <c s="98" t="str">
        <f t="shared" si="422"/>
        <v/>
      </c>
      <c s="97" t="str">
        <f t="array" ref="EE142">IFERROR(IF(DY142="ac"+ISNUMBER(SEARCH("'",ED142))+EC142="","",IF(ISNUMBER(SEARCH("lw",ED142)),DQ142+SUBSTITUTE(ED142,"lw+",""),MROUND(_xlfn.SWITCH(DY142,"sq",EC$7,"bn",ED$7,"dl",EE$7,"")*IF(ED142&gt;10,ED142/100,VLOOKUP(ED142,_rpe,SUBSTITUTE(EC142,"+","")+1,0)),IF(_xlfn.SWITCH(DY142,"sq",EC$7,"bn",ED$7,"dl",EE$7,"")&lt;IF(_uom="lbs",175,80),1.25,IF(_uom="lbs",5,2.5))))),"")</f>
        <v/>
      </c>
      <c s="70"/>
      <c s="63"/>
      <c s="97"/>
      <c s="44" t="str">
        <f>IFERROR(__xludf.DUMMYFUNCTION("IF(EE142=MAX(FILTER(EE$10:EE$199,LOOKUP(ROW(DY$10:DY$199),FILTER(ROW(DY$10:DY$199),DY$10:DY$199&lt;&gt;DY$9:DY$198))=LOOKUP(ROW(DY142),FILTER(ROW(DY$10:DY$199),DY$10:DY$199&lt;&gt;DY$9:DY$198)))),EF142,)"),"")</f>
        <v/>
      </c>
      <c s="42"/>
      <c s="63"/>
      <c s="64" t="str">
        <f t="shared" si="34"/>
        <v/>
      </c>
      <c s="65" t="str">
        <f>IFERROR(__xludf.DUMMYFUNCTION("""COMPUTED_VALUE"""),"")</f>
        <v/>
      </c>
      <c s="66">
        <f ca="1"/>
        <v>45278</v>
      </c>
      <c s="93" t="str">
        <f t="shared" si="48"/>
        <v/>
      </c>
      <c s="94" t="str">
        <f t="shared" si="395"/>
        <v/>
      </c>
      <c s="95" t="str">
        <f t="shared" si="423"/>
        <v/>
      </c>
      <c s="98" t="str">
        <f t="shared" si="402"/>
        <v/>
      </c>
      <c s="97" t="str">
        <f t="array" ref="ES142">IFERROR(IF(EM142="ac"+ISNUMBER(SEARCH("'",ER142))+EQ142="","",IF(ISNUMBER(SEARCH("lw",ER142)),EE142+SUBSTITUTE(ER142,"lw+",""),MROUND(_xlfn.SWITCH(EM142,"sq",EQ$7,"bn",ER$7,"dl",ES$7,"")*IF(ER142&gt;10,ER142/100,VLOOKUP(ER142,_rpe,SUBSTITUTE(EQ142,"+","")+1,0)),IF(_xlfn.SWITCH(EM142,"sq",EQ$7,"bn",ER$7,"dl",ES$7,"")&lt;IF(_uom="lbs",175,80),1.25,IF(_uom="lbs",5,2.5))))),"")</f>
        <v/>
      </c>
      <c s="70"/>
      <c s="63"/>
      <c s="97"/>
      <c s="44" t="str">
        <f>IFERROR(__xludf.DUMMYFUNCTION("IF(ES142=MAX(FILTER(ES$10:ES$199,LOOKUP(ROW(EM$10:EM$199),FILTER(ROW(EM$10:EM$199),EM$10:EM$199&lt;&gt;EM$9:EM$198))=LOOKUP(ROW(EM142),FILTER(ROW(EM$10:EM$199),EM$10:EM$199&lt;&gt;EM$9:EM$198)))),ET142,)"),"")</f>
        <v/>
      </c>
      <c s="42"/>
      <c s="63"/>
      <c s="64" t="str">
        <f t="shared" si="36"/>
        <v/>
      </c>
      <c s="65" t="str">
        <f>IFERROR(__xludf.DUMMYFUNCTION("""COMPUTED_VALUE"""),"")</f>
        <v/>
      </c>
      <c s="66">
        <f ca="1"/>
        <v>45285</v>
      </c>
      <c s="93" t="str">
        <f t="shared" si="49"/>
        <v/>
      </c>
      <c s="94" t="str">
        <f t="shared" si="396"/>
        <v/>
      </c>
      <c s="95" t="str">
        <f t="shared" si="424"/>
        <v/>
      </c>
      <c s="98" t="str">
        <f t="shared" si="403"/>
        <v/>
      </c>
      <c s="97" t="str">
        <f t="array" ref="FG142">IFERROR(IF(FA142="ac"+ISNUMBER(SEARCH("'",FF142))+FE142="","",IF(ISNUMBER(SEARCH("lw",FF142)),ES142+SUBSTITUTE(FF142,"lw+",""),MROUND(_xlfn.SWITCH(FA142,"sq",FE$7,"bn",FF$7,"dl",FG$7,"")*IF(FF142&gt;10,FF142/100,VLOOKUP(FF142,_rpe,SUBSTITUTE(FE142,"+","")+1,0)),IF(_xlfn.SWITCH(FA142,"sq",FE$7,"bn",FF$7,"dl",FG$7,"")&lt;IF(_uom="lbs",175,80),1.25,IF(_uom="lbs",5,2.5))))),"")</f>
        <v/>
      </c>
      <c s="70"/>
      <c s="63"/>
      <c s="97"/>
      <c s="44" t="str">
        <f>IFERROR(__xludf.DUMMYFUNCTION("IF(FG142=MAX(FILTER(FG$10:FG$199,LOOKUP(ROW(FA$10:FA$199),FILTER(ROW(FA$10:FA$199),FA$10:FA$199&lt;&gt;FA$9:FA$198))=LOOKUP(ROW(FA142),FILTER(ROW(FA$10:FA$199),FA$10:FA$199&lt;&gt;FA$9:FA$198)))),FH142,)"),"")</f>
        <v/>
      </c>
      <c s="42"/>
      <c s="63"/>
      <c s="64" t="str">
        <f t="shared" si="38"/>
        <v/>
      </c>
      <c s="65" t="str">
        <f>IFERROR(__xludf.DUMMYFUNCTION("""COMPUTED_VALUE"""),"")</f>
        <v/>
      </c>
      <c s="66">
        <f ca="1"/>
        <v>45292</v>
      </c>
      <c s="93" t="str">
        <f t="shared" si="486" ref="FQ142:FR142">IF(ISBLANK(FC142),"",FC142)</f>
        <v/>
      </c>
      <c s="94" t="str">
        <f t="shared" si="486"/>
        <v/>
      </c>
      <c s="95" t="str">
        <f t="shared" si="428"/>
        <v/>
      </c>
      <c s="98" t="str">
        <f t="shared" si="429"/>
        <v/>
      </c>
      <c s="97" t="str">
        <f t="array" ref="FU142">IFERROR(IF(FO142="ac"+ISNUMBER(SEARCH("'",FT142))+FS142="","",IF(ISNUMBER(SEARCH("lw",FT142)),FG142+SUBSTITUTE(FT142,"lw+",""),MROUND(_xlfn.SWITCH(FO142,"sq",FS$7,"bn",FT$7,"dl",FU$7,"")*IF(FT142&gt;10,FT142/100,VLOOKUP(FT142,_rpe,SUBSTITUTE(FS142,"+","")+1,0)),IF(_xlfn.SWITCH(FO142,"sq",FS$7,"bn",FT$7,"dl",FU$7,"")&lt;IF(_uom="lbs",175,80),1.25,IF(_uom="lbs",5,2.5))))),"")</f>
        <v/>
      </c>
      <c s="70"/>
      <c s="63"/>
      <c s="97"/>
      <c s="44" t="str">
        <f>IFERROR(__xludf.DUMMYFUNCTION("IF(FU142=MAX(FILTER(FU$10:FU$199,LOOKUP(ROW(FO$10:FO$199),FILTER(ROW(FO$10:FO$199),FO$10:FO$199&lt;&gt;FO$9:FO$198))=LOOKUP(ROW(FO142),FILTER(ROW(FO$10:FO$199),FO$10:FO$199&lt;&gt;FO$9:FO$198)))),FV142,)"),"")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43" spans="1:259" ht="15.75">
      <c r="A143" s="63"/>
      <c s="107"/>
      <c s="65" t="str">
        <f>IFERROR(__xludf.DUMMYFUNCTION("""COMPUTED_VALUE"""),"")</f>
        <v/>
      </c>
      <c s="66">
        <f ca="1"/>
        <v>45208</v>
      </c>
      <c s="108"/>
      <c s="94"/>
      <c s="95"/>
      <c s="96"/>
      <c s="97" t="str">
        <f t="array" ref="I143">IFERROR(IF(C143="ac"+ISNUMBER(SEARCH("'",H143))+G143="","",MROUND(_xlfn.SWITCH(C143,"sq",'Personal Info'!$O$15,"bn",'Personal Info'!$S$15,"dl",'Personal Info'!$W$15,"")*IF(H143&gt;10,H143/100,VLOOKUP(H143,_rpe,SUBSTITUTE(G143,"+","")+1,0)),IF(_xlfn.SWITCH(C143:C210,"sq",'Personal Info'!$O$15,"bn",'Personal Info'!$S$15,"dl",'Personal Info'!$W$15,"")&lt;IF(_uom="lbs",175,80),1.25,IF(_uom="lbs",5,2.5)))),"")</f>
        <v/>
      </c>
      <c s="70"/>
      <c s="63"/>
      <c s="97"/>
      <c s="44" t="str">
        <f>IFERROR(__xludf.DUMMYFUNCTION("IF(I143=MAX(FILTER(I$10:I$199,LOOKUP(ROW(C$10:C$199),FILTER(ROW(C$10:C$199),C$10:C$199&lt;&gt;C$9:C$198))=LOOKUP(ROW(C143),FILTER(ROW(C$10:C$199),C$10:C$199&lt;&gt;C$9:C$198)))),J143,)"),"")</f>
        <v/>
      </c>
      <c s="42"/>
      <c s="63"/>
      <c s="64" t="str">
        <f t="shared" si="11"/>
        <v/>
      </c>
      <c s="65" t="str">
        <f>IFERROR(__xludf.DUMMYFUNCTION("""COMPUTED_VALUE"""),"")</f>
        <v/>
      </c>
      <c s="66">
        <f ca="1"/>
        <v>45215</v>
      </c>
      <c s="93" t="str">
        <f t="shared" si="12"/>
        <v/>
      </c>
      <c s="94" t="str">
        <f t="shared" si="404"/>
        <v/>
      </c>
      <c s="95" t="str">
        <f t="shared" si="406"/>
        <v/>
      </c>
      <c s="98" t="str">
        <f t="shared" si="407"/>
        <v/>
      </c>
      <c s="97" t="str">
        <f t="array" ref="W143">IFERROR(IF(Q143="ac"+ISNUMBER(SEARCH("'",V143))+U143="","",IF(ISNUMBER(SEARCH("lw",V143)),I143+SUBSTITUTE(V143,"lw+",""),MROUND(_xlfn.SWITCH(Q143,"sq",U$7,"bn",V$7,"dl",W$7,"")*IF(V143&gt;10,V143/100,VLOOKUP(V143,_rpe,SUBSTITUTE(U143,"+","")+1,0)),IF(_xlfn.SWITCH(Q143,"sq",U$7,"bn",V$7,"dl",W$7,"")&lt;IF(_uom="lbs",175,80),1.25,IF(_uom="lbs",5,2.5))))),"")</f>
        <v/>
      </c>
      <c s="70"/>
      <c s="63"/>
      <c s="97"/>
      <c s="44" t="str">
        <f>IFERROR(__xludf.DUMMYFUNCTION("IF(W143=MAX(FILTER(W$10:W$199,LOOKUP(ROW(Q$10:Q$199),FILTER(ROW(Q$10:Q$199),Q$10:Q$199&lt;&gt;Q$9:Q$198))=LOOKUP(ROW(Q143),FILTER(ROW(Q$10:Q$199),Q$10:Q$199&lt;&gt;Q$9:Q$198)))),X143,)"),"")</f>
        <v/>
      </c>
      <c s="42"/>
      <c s="63"/>
      <c s="64" t="str">
        <f t="shared" si="14"/>
        <v/>
      </c>
      <c s="65" t="str">
        <f>IFERROR(__xludf.DUMMYFUNCTION("""COMPUTED_VALUE"""),"")</f>
        <v/>
      </c>
      <c s="66">
        <f ca="1"/>
        <v>45222</v>
      </c>
      <c s="93" t="str">
        <f t="shared" si="156"/>
        <v/>
      </c>
      <c s="94" t="str">
        <f t="shared" si="397"/>
        <v/>
      </c>
      <c s="95" t="str">
        <f t="shared" si="408"/>
        <v/>
      </c>
      <c s="98" t="str">
        <f t="shared" si="398"/>
        <v/>
      </c>
      <c s="97" t="str">
        <f t="array" ref="AK143">IFERROR(IF(AE143="ac"+ISNUMBER(SEARCH("'",AJ143))+AI143="","",IF(ISNUMBER(SEARCH("lw",AJ143)),W143+SUBSTITUTE(AJ143,"lw+",""),MROUND(_xlfn.SWITCH(AE143,"sq",AI$7,"bn",AJ$7,"dl",AK$7,"")*IF(AJ143&gt;10,AJ143/100,VLOOKUP(AJ143,_rpe,SUBSTITUTE(AI143,"+","")+1,0)),IF(_xlfn.SWITCH(AE143,"sq",AI$7,"bn",AJ$7,"dl",AK$7,"")&lt;IF(_uom="lbs",175,80),1.25,IF(_uom="lbs",5,2.5))))),"")</f>
        <v/>
      </c>
      <c s="70"/>
      <c s="63"/>
      <c s="97"/>
      <c s="44" t="str">
        <f>IFERROR(__xludf.DUMMYFUNCTION("IF(AK143=MAX(FILTER(AK$10:AK$199,LOOKUP(ROW(AE$10:AE$199),FILTER(ROW(AE$10:AE$199),AE$10:AE$199&lt;&gt;AE$9:AE$198))=LOOKUP(ROW(AE143),FILTER(ROW(AE$10:AE$199),AE$10:AE$199&lt;&gt;AE$9:AE$198)))),AL143,)"),"")</f>
        <v/>
      </c>
      <c s="42"/>
      <c s="63"/>
      <c s="64" t="str">
        <f t="shared" si="17"/>
        <v/>
      </c>
      <c s="65" t="str">
        <f>IFERROR(__xludf.DUMMYFUNCTION("""COMPUTED_VALUE"""),"")</f>
        <v/>
      </c>
      <c s="66">
        <f ca="1"/>
        <v>45229</v>
      </c>
      <c s="93" t="str">
        <f t="shared" si="157"/>
        <v/>
      </c>
      <c s="94" t="str">
        <f t="shared" si="399"/>
        <v/>
      </c>
      <c s="95" t="str">
        <f t="shared" si="409"/>
        <v/>
      </c>
      <c s="98" t="str">
        <f t="shared" si="400"/>
        <v/>
      </c>
      <c s="97" t="str">
        <f t="array" ref="AY143">IFERROR(IF(AS143="ac"+ISNUMBER(SEARCH("'",AX143))+AW143="","",IF(ISNUMBER(SEARCH("lw",AX143)),AK143+SUBSTITUTE(AX143,"lw+",""),MROUND(_xlfn.SWITCH(AS143,"sq",AW$7,"bn",AX$7,"dl",AY$7,"")*IF(AX143&gt;10,AX143/100,VLOOKUP(AX143,_rpe,SUBSTITUTE(AW143,"+","")+1,0)),IF(_xlfn.SWITCH(AS143,"sq",AW$7,"bn",AX$7,"dl",AY$7,"")&lt;IF(_uom="lbs",175,80),1.25,IF(_uom="lbs",5,2.5))))),"")</f>
        <v/>
      </c>
      <c s="70"/>
      <c s="63"/>
      <c s="97"/>
      <c s="44" t="str">
        <f>IFERROR(__xludf.DUMMYFUNCTION("IF(AY143=MAX(FILTER(AY$10:AY$199,LOOKUP(ROW(AS$10:AS$199),FILTER(ROW(AS$10:AS$199),AS$10:AS$199&lt;&gt;AS$9:AS$198))=LOOKUP(ROW(AS143),FILTER(ROW(AS$10:AS$199),AS$10:AS$199&lt;&gt;AS$9:AS$198)))),AZ143,)"),"")</f>
        <v/>
      </c>
      <c s="42"/>
      <c s="63"/>
      <c s="64" t="str">
        <f t="shared" si="19"/>
        <v/>
      </c>
      <c s="65" t="str">
        <f>IFERROR(__xludf.DUMMYFUNCTION("""COMPUTED_VALUE"""),"")</f>
        <v/>
      </c>
      <c s="66">
        <f ca="1"/>
        <v>45236</v>
      </c>
      <c s="93" t="str">
        <f t="shared" si="20"/>
        <v/>
      </c>
      <c s="94" t="str">
        <f t="shared" si="425"/>
        <v/>
      </c>
      <c s="95" t="str">
        <f t="shared" si="411"/>
        <v/>
      </c>
      <c s="98" t="str">
        <f t="shared" si="412"/>
        <v/>
      </c>
      <c s="97" t="str">
        <f t="array" ref="BM143">IFERROR(IF(BG143="ac"+ISNUMBER(SEARCH("'",BL143))+BK143="","",IF(ISNUMBER(SEARCH("lw",BL143)),AY143+SUBSTITUTE(BL143,"lw+",""),MROUND(_xlfn.SWITCH(BG143,"sq",BK$7,"bn",BL$7,"dl",BM$7,"")*IF(BL143&gt;10,BL143/100,VLOOKUP(BL143,_rpe,SUBSTITUTE(BK143,"+","")+1,0)),IF(_xlfn.SWITCH(BG143,"sq",BK$7,"bn",BL$7,"dl",BM$7,"")&lt;IF(_uom="lbs",175,80),1.25,IF(_uom="lbs",5,2.5))))),"")</f>
        <v/>
      </c>
      <c s="70"/>
      <c s="63"/>
      <c s="97"/>
      <c s="44" t="str">
        <f>IFERROR(__xludf.DUMMYFUNCTION("IF(BM143=MAX(FILTER(BM$10:BM$199,LOOKUP(ROW(BG$10:BG$199),FILTER(ROW(BG$10:BG$199),BG$10:BG$199&lt;&gt;BG$9:BG$198))=LOOKUP(ROW(BG143),FILTER(ROW(BG$10:BG$199),BG$10:BG$199&lt;&gt;BG$9:BG$198)))),BN143,)"),"")</f>
        <v/>
      </c>
      <c s="42"/>
      <c s="63"/>
      <c s="64" t="str">
        <f t="shared" si="21"/>
        <v/>
      </c>
      <c s="65" t="str">
        <f>IFERROR(__xludf.DUMMYFUNCTION("""COMPUTED_VALUE"""),"")</f>
        <v/>
      </c>
      <c s="66">
        <f ca="1"/>
        <v>45243</v>
      </c>
      <c s="93" t="str">
        <f t="shared" si="22"/>
        <v/>
      </c>
      <c s="94" t="str">
        <f t="shared" si="426"/>
        <v/>
      </c>
      <c s="95" t="str">
        <f t="shared" si="414"/>
        <v/>
      </c>
      <c s="98" t="str">
        <f t="shared" si="415"/>
        <v/>
      </c>
      <c s="97" t="str">
        <f t="array" ref="CA143">IFERROR(IF(BU143="ac"+ISNUMBER(SEARCH("'",BZ143))+BY143="","",IF(ISNUMBER(SEARCH("lw",BZ143)),BM143+SUBSTITUTE(BZ143,"lw+",""),MROUND(_xlfn.SWITCH(BU143,"sq",BY$7,"bn",BZ$7,"dl",CA$7,"")*IF(BZ143&gt;10,BZ143/100,VLOOKUP(BZ143,_rpe,SUBSTITUTE(BY143,"+","")+1,0)),IF(_xlfn.SWITCH(BU143,"sq",BY$7,"bn",BZ$7,"dl",CA$7,"")&lt;IF(_uom="lbs",175,80),1.25,IF(_uom="lbs",5,2.5))))),"")</f>
        <v/>
      </c>
      <c s="70"/>
      <c s="63"/>
      <c s="97"/>
      <c s="44" t="str">
        <f>IFERROR(__xludf.DUMMYFUNCTION("IF(CA143=MAX(FILTER(CA$10:CA$199,LOOKUP(ROW(BU$10:BU$199),FILTER(ROW(BU$10:BU$199),BU$10:BU$199&lt;&gt;BU$9:BU$198))=LOOKUP(ROW(BU143),FILTER(ROW(BU$10:BU$199),BU$10:BU$199&lt;&gt;BU$9:BU$198)))),CB143,)"),"")</f>
        <v/>
      </c>
      <c s="42"/>
      <c s="63"/>
      <c s="64" t="str">
        <f t="shared" si="24"/>
        <v/>
      </c>
      <c s="65" t="str">
        <f>IFERROR(__xludf.DUMMYFUNCTION("""COMPUTED_VALUE"""),"")</f>
        <v/>
      </c>
      <c s="66">
        <f ca="1"/>
        <v>45250</v>
      </c>
      <c s="93" t="str">
        <f t="shared" si="44"/>
        <v/>
      </c>
      <c s="94" t="str">
        <f t="shared" si="392"/>
        <v/>
      </c>
      <c s="95" t="str">
        <f t="shared" si="416"/>
        <v/>
      </c>
      <c s="98" t="str">
        <f t="shared" si="417"/>
        <v/>
      </c>
      <c s="97" t="str">
        <f t="array" ref="CO143">IFERROR(IF(CI143="ac"+ISNUMBER(SEARCH("'",CN143))+CM143="","",IF(ISNUMBER(SEARCH("lw",CN143)),CA143+SUBSTITUTE(CN143,"lw+",""),MROUND(_xlfn.SWITCH(CI143,"sq",CM$7,"bn",CN$7,"dl",CO$7,"")*IF(CN143&gt;10,CN143/100,VLOOKUP(CN143,_rpe,SUBSTITUTE(CM143,"+","")+1,0)),IF(_xlfn.SWITCH(CI143,"sq",CM$7,"bn",CN$7,"dl",CO$7,"")&lt;IF(_uom="lbs",175,80),1.25,IF(_uom="lbs",5,2.5))))),"")</f>
        <v/>
      </c>
      <c s="70"/>
      <c s="63"/>
      <c s="97"/>
      <c s="44" t="str">
        <f>IFERROR(__xludf.DUMMYFUNCTION("IF(CO143=MAX(FILTER(CO$10:CO$199,LOOKUP(ROW(CI$10:CI$199),FILTER(ROW(CI$10:CI$199),CI$10:CI$199&lt;&gt;CI$9:CI$198))=LOOKUP(ROW(CI143),FILTER(ROW(CI$10:CI$199),CI$10:CI$199&lt;&gt;CI$9:CI$198)))),CP143,)"),"")</f>
        <v/>
      </c>
      <c s="42"/>
      <c s="63"/>
      <c s="64" t="str">
        <f t="shared" si="27"/>
        <v/>
      </c>
      <c s="65" t="str">
        <f>IFERROR(__xludf.DUMMYFUNCTION("""COMPUTED_VALUE"""),"")</f>
        <v/>
      </c>
      <c s="66">
        <f ca="1"/>
        <v>45257</v>
      </c>
      <c s="93" t="str">
        <f t="shared" si="45"/>
        <v/>
      </c>
      <c s="94" t="str">
        <f t="shared" si="393"/>
        <v/>
      </c>
      <c s="95" t="str">
        <f t="shared" si="418"/>
        <v/>
      </c>
      <c s="98" t="str">
        <f t="shared" si="401"/>
        <v/>
      </c>
      <c s="97" t="str">
        <f t="array" ref="DC143">IFERROR(IF(CW143="ac"+ISNUMBER(SEARCH("'",DB143))+DA143="","",IF(ISNUMBER(SEARCH("lw",DB143)),CO143+SUBSTITUTE(DB143,"lw+",""),MROUND(_xlfn.SWITCH(CW143,"sq",DA$7,"bn",DB$7,"dl",DC$7,"")*IF(DB143&gt;10,DB143/100,VLOOKUP(DB143,_rpe,SUBSTITUTE(DA143,"+","")+1,0)),IF(_xlfn.SWITCH(CW143,"sq",DA$7,"bn",DB$7,"dl",DC$7,"")&lt;IF(_uom="lbs",175,80),1.25,IF(_uom="lbs",5,2.5))))),"")</f>
        <v/>
      </c>
      <c s="70"/>
      <c s="63"/>
      <c s="97"/>
      <c s="44" t="str">
        <f>IFERROR(__xludf.DUMMYFUNCTION("IF(DC143=MAX(FILTER(DC$10:DC$199,LOOKUP(ROW(CW$10:CW$199),FILTER(ROW(CW$10:CW$199),CW$10:CW$199&lt;&gt;CW$9:CW$198))=LOOKUP(ROW(CW143),FILTER(ROW(CW$10:CW$199),CW$10:CW$199&lt;&gt;CW$9:CW$198)))),DD143,)"),"")</f>
        <v/>
      </c>
      <c s="42"/>
      <c s="63"/>
      <c s="64" t="str">
        <f t="shared" si="30"/>
        <v/>
      </c>
      <c s="65" t="str">
        <f>IFERROR(__xludf.DUMMYFUNCTION("""COMPUTED_VALUE"""),"")</f>
        <v/>
      </c>
      <c s="66">
        <f ca="1"/>
        <v>45264</v>
      </c>
      <c s="93" t="str">
        <f t="shared" si="46"/>
        <v/>
      </c>
      <c s="94" t="str">
        <f t="shared" si="394"/>
        <v/>
      </c>
      <c s="95" t="str">
        <f t="shared" si="419"/>
        <v/>
      </c>
      <c s="98" t="str">
        <f t="shared" si="420"/>
        <v/>
      </c>
      <c s="97" t="str">
        <f t="array" ref="DQ143">IFERROR(IF(DK143="ac"+ISNUMBER(SEARCH("'",DP143))+DO143="","",IF(ISNUMBER(SEARCH("lw",DP143)),DC143+SUBSTITUTE(DP143,"lw+",""),MROUND(_xlfn.SWITCH(DK143,"sq",DO$7,"bn",DP$7,"dl",DQ$7,"")*IF(DP143&gt;10,DP143/100,VLOOKUP(DP143,_rpe,SUBSTITUTE(DO143,"+","")+1,0)),IF(_xlfn.SWITCH(DK143,"sq",DO$7,"bn",DP$7,"dl",DQ$7,"")&lt;IF(_uom="lbs",175,80),1.25,IF(_uom="lbs",5,2.5))))),"")</f>
        <v/>
      </c>
      <c s="70"/>
      <c s="63"/>
      <c s="97"/>
      <c s="44" t="str">
        <f>IFERROR(__xludf.DUMMYFUNCTION("IF(DQ143=MAX(FILTER(DQ$10:DQ$199,LOOKUP(ROW(DK$10:DK$199),FILTER(ROW(DK$10:DK$199),DK$10:DK$199&lt;&gt;DK$9:DK$198))=LOOKUP(ROW(DK143),FILTER(ROW(DK$10:DK$199),DK$10:DK$199&lt;&gt;DK$9:DK$198)))),DR143,)"),"")</f>
        <v/>
      </c>
      <c s="42"/>
      <c s="63"/>
      <c s="64" t="str">
        <f t="shared" si="32"/>
        <v/>
      </c>
      <c s="65" t="str">
        <f>IFERROR(__xludf.DUMMYFUNCTION("""COMPUTED_VALUE"""),"")</f>
        <v/>
      </c>
      <c s="66">
        <f ca="1"/>
        <v>45271</v>
      </c>
      <c s="93" t="str">
        <f t="shared" si="47"/>
        <v/>
      </c>
      <c s="94" t="str">
        <f t="shared" si="405"/>
        <v/>
      </c>
      <c s="95" t="str">
        <f t="shared" si="421"/>
        <v/>
      </c>
      <c s="98" t="str">
        <f t="shared" si="422"/>
        <v/>
      </c>
      <c s="97" t="str">
        <f t="array" ref="EE143">IFERROR(IF(DY143="ac"+ISNUMBER(SEARCH("'",ED143))+EC143="","",IF(ISNUMBER(SEARCH("lw",ED143)),DQ143+SUBSTITUTE(ED143,"lw+",""),MROUND(_xlfn.SWITCH(DY143,"sq",EC$7,"bn",ED$7,"dl",EE$7,"")*IF(ED143&gt;10,ED143/100,VLOOKUP(ED143,_rpe,SUBSTITUTE(EC143,"+","")+1,0)),IF(_xlfn.SWITCH(DY143,"sq",EC$7,"bn",ED$7,"dl",EE$7,"")&lt;IF(_uom="lbs",175,80),1.25,IF(_uom="lbs",5,2.5))))),"")</f>
        <v/>
      </c>
      <c s="70"/>
      <c s="63"/>
      <c s="97"/>
      <c s="44" t="str">
        <f>IFERROR(__xludf.DUMMYFUNCTION("IF(EE143=MAX(FILTER(EE$10:EE$199,LOOKUP(ROW(DY$10:DY$199),FILTER(ROW(DY$10:DY$199),DY$10:DY$199&lt;&gt;DY$9:DY$198))=LOOKUP(ROW(DY143),FILTER(ROW(DY$10:DY$199),DY$10:DY$199&lt;&gt;DY$9:DY$198)))),EF143,)"),"")</f>
        <v/>
      </c>
      <c s="42"/>
      <c s="63"/>
      <c s="64" t="str">
        <f t="shared" si="34"/>
        <v/>
      </c>
      <c s="65" t="str">
        <f>IFERROR(__xludf.DUMMYFUNCTION("""COMPUTED_VALUE"""),"")</f>
        <v/>
      </c>
      <c s="66">
        <f ca="1"/>
        <v>45278</v>
      </c>
      <c s="93" t="str">
        <f t="shared" si="48"/>
        <v/>
      </c>
      <c s="94" t="str">
        <f t="shared" si="395"/>
        <v/>
      </c>
      <c s="95" t="str">
        <f t="shared" si="423"/>
        <v/>
      </c>
      <c s="98" t="str">
        <f t="shared" si="402"/>
        <v/>
      </c>
      <c s="97" t="str">
        <f t="array" ref="ES143">IFERROR(IF(EM143="ac"+ISNUMBER(SEARCH("'",ER143))+EQ143="","",IF(ISNUMBER(SEARCH("lw",ER143)),EE143+SUBSTITUTE(ER143,"lw+",""),MROUND(_xlfn.SWITCH(EM143,"sq",EQ$7,"bn",ER$7,"dl",ES$7,"")*IF(ER143&gt;10,ER143/100,VLOOKUP(ER143,_rpe,SUBSTITUTE(EQ143,"+","")+1,0)),IF(_xlfn.SWITCH(EM143,"sq",EQ$7,"bn",ER$7,"dl",ES$7,"")&lt;IF(_uom="lbs",175,80),1.25,IF(_uom="lbs",5,2.5))))),"")</f>
        <v/>
      </c>
      <c s="70"/>
      <c s="63"/>
      <c s="97"/>
      <c s="44" t="str">
        <f>IFERROR(__xludf.DUMMYFUNCTION("IF(ES143=MAX(FILTER(ES$10:ES$199,LOOKUP(ROW(EM$10:EM$199),FILTER(ROW(EM$10:EM$199),EM$10:EM$199&lt;&gt;EM$9:EM$198))=LOOKUP(ROW(EM143),FILTER(ROW(EM$10:EM$199),EM$10:EM$199&lt;&gt;EM$9:EM$198)))),ET143,)"),"")</f>
        <v/>
      </c>
      <c s="42"/>
      <c s="63"/>
      <c s="64" t="str">
        <f t="shared" si="36"/>
        <v/>
      </c>
      <c s="65" t="str">
        <f>IFERROR(__xludf.DUMMYFUNCTION("""COMPUTED_VALUE"""),"")</f>
        <v/>
      </c>
      <c s="66">
        <f ca="1"/>
        <v>45285</v>
      </c>
      <c s="93" t="str">
        <f t="shared" si="49"/>
        <v/>
      </c>
      <c s="94" t="str">
        <f t="shared" si="396"/>
        <v/>
      </c>
      <c s="95" t="str">
        <f t="shared" si="424"/>
        <v/>
      </c>
      <c s="98" t="str">
        <f t="shared" si="403"/>
        <v/>
      </c>
      <c s="97" t="str">
        <f t="array" ref="FG143">IFERROR(IF(FA143="ac"+ISNUMBER(SEARCH("'",FF143))+FE143="","",IF(ISNUMBER(SEARCH("lw",FF143)),ES143+SUBSTITUTE(FF143,"lw+",""),MROUND(_xlfn.SWITCH(FA143,"sq",FE$7,"bn",FF$7,"dl",FG$7,"")*IF(FF143&gt;10,FF143/100,VLOOKUP(FF143,_rpe,SUBSTITUTE(FE143,"+","")+1,0)),IF(_xlfn.SWITCH(FA143,"sq",FE$7,"bn",FF$7,"dl",FG$7,"")&lt;IF(_uom="lbs",175,80),1.25,IF(_uom="lbs",5,2.5))))),"")</f>
        <v/>
      </c>
      <c s="70"/>
      <c s="63"/>
      <c s="97"/>
      <c s="44" t="str">
        <f>IFERROR(__xludf.DUMMYFUNCTION("IF(FG143=MAX(FILTER(FG$10:FG$199,LOOKUP(ROW(FA$10:FA$199),FILTER(ROW(FA$10:FA$199),FA$10:FA$199&lt;&gt;FA$9:FA$198))=LOOKUP(ROW(FA143),FILTER(ROW(FA$10:FA$199),FA$10:FA$199&lt;&gt;FA$9:FA$198)))),FH143,)"),"")</f>
        <v/>
      </c>
      <c s="42"/>
      <c s="63"/>
      <c s="64" t="str">
        <f t="shared" si="38"/>
        <v/>
      </c>
      <c s="65" t="str">
        <f>IFERROR(__xludf.DUMMYFUNCTION("""COMPUTED_VALUE"""),"")</f>
        <v/>
      </c>
      <c s="66">
        <f ca="1"/>
        <v>45292</v>
      </c>
      <c s="93" t="str">
        <f t="shared" si="487" ref="FQ143:FR143">IF(ISBLANK(FC143),"",FC143)</f>
        <v/>
      </c>
      <c s="94" t="str">
        <f t="shared" si="487"/>
        <v/>
      </c>
      <c s="95" t="str">
        <f t="shared" si="428"/>
        <v/>
      </c>
      <c s="98" t="str">
        <f t="shared" si="429"/>
        <v/>
      </c>
      <c s="97" t="str">
        <f t="array" ref="FU143">IFERROR(IF(FO143="ac"+ISNUMBER(SEARCH("'",FT143))+FS143="","",IF(ISNUMBER(SEARCH("lw",FT143)),FG143+SUBSTITUTE(FT143,"lw+",""),MROUND(_xlfn.SWITCH(FO143,"sq",FS$7,"bn",FT$7,"dl",FU$7,"")*IF(FT143&gt;10,FT143/100,VLOOKUP(FT143,_rpe,SUBSTITUTE(FS143,"+","")+1,0)),IF(_xlfn.SWITCH(FO143,"sq",FS$7,"bn",FT$7,"dl",FU$7,"")&lt;IF(_uom="lbs",175,80),1.25,IF(_uom="lbs",5,2.5))))),"")</f>
        <v/>
      </c>
      <c s="70"/>
      <c s="63"/>
      <c s="97"/>
      <c s="44" t="str">
        <f>IFERROR(__xludf.DUMMYFUNCTION("IF(FU143=MAX(FILTER(FU$10:FU$199,LOOKUP(ROW(FO$10:FO$199),FILTER(ROW(FO$10:FO$199),FO$10:FO$199&lt;&gt;FO$9:FO$198))=LOOKUP(ROW(FO143),FILTER(ROW(FO$10:FO$199),FO$10:FO$199&lt;&gt;FO$9:FO$198)))),FV143,)"),"")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44" spans="1:259" ht="15.75">
      <c r="A144" s="63"/>
      <c s="107"/>
      <c s="65" t="str">
        <f>IFERROR(__xludf.DUMMYFUNCTION("""COMPUTED_VALUE"""),"")</f>
        <v/>
      </c>
      <c s="66">
        <f ca="1"/>
        <v>45208</v>
      </c>
      <c s="108"/>
      <c s="94"/>
      <c s="95"/>
      <c s="96"/>
      <c s="97" t="str">
        <f t="array" ref="I144">IFERROR(IF(C144="ac"+ISNUMBER(SEARCH("'",H144))+G144="","",MROUND(_xlfn.SWITCH(C144,"sq",'Personal Info'!$O$15,"bn",'Personal Info'!$S$15,"dl",'Personal Info'!$W$15,"")*IF(H144&gt;10,H144/100,VLOOKUP(H144,_rpe,SUBSTITUTE(G144,"+","")+1,0)),IF(_xlfn.SWITCH(C144:C210,"sq",'Personal Info'!$O$15,"bn",'Personal Info'!$S$15,"dl",'Personal Info'!$W$15,"")&lt;IF(_uom="lbs",175,80),1.25,IF(_uom="lbs",5,2.5)))),"")</f>
        <v/>
      </c>
      <c s="70"/>
      <c s="63"/>
      <c s="97"/>
      <c s="44" t="str">
        <f>IFERROR(__xludf.DUMMYFUNCTION("IF(I144=MAX(FILTER(I$10:I$199,LOOKUP(ROW(C$10:C$199),FILTER(ROW(C$10:C$199),C$10:C$199&lt;&gt;C$9:C$198))=LOOKUP(ROW(C144),FILTER(ROW(C$10:C$199),C$10:C$199&lt;&gt;C$9:C$198)))),J144,)"),"")</f>
        <v/>
      </c>
      <c s="42"/>
      <c s="63"/>
      <c s="64" t="str">
        <f t="shared" si="11"/>
        <v/>
      </c>
      <c s="65" t="str">
        <f>IFERROR(__xludf.DUMMYFUNCTION("""COMPUTED_VALUE"""),"")</f>
        <v/>
      </c>
      <c s="66">
        <f ca="1"/>
        <v>45215</v>
      </c>
      <c s="93" t="str">
        <f t="shared" si="12"/>
        <v/>
      </c>
      <c s="94" t="str">
        <f t="shared" si="404"/>
        <v/>
      </c>
      <c s="95" t="str">
        <f t="shared" si="406"/>
        <v/>
      </c>
      <c s="98" t="str">
        <f t="shared" si="407"/>
        <v/>
      </c>
      <c s="97" t="str">
        <f t="array" ref="W144">IFERROR(IF(Q144="ac"+ISNUMBER(SEARCH("'",V144))+U144="","",IF(ISNUMBER(SEARCH("lw",V144)),I144+SUBSTITUTE(V144,"lw+",""),MROUND(_xlfn.SWITCH(Q144,"sq",U$7,"bn",V$7,"dl",W$7,"")*IF(V144&gt;10,V144/100,VLOOKUP(V144,_rpe,SUBSTITUTE(U144,"+","")+1,0)),IF(_xlfn.SWITCH(Q144,"sq",U$7,"bn",V$7,"dl",W$7,"")&lt;IF(_uom="lbs",175,80),1.25,IF(_uom="lbs",5,2.5))))),"")</f>
        <v/>
      </c>
      <c s="70"/>
      <c s="63"/>
      <c s="97"/>
      <c s="44" t="str">
        <f>IFERROR(__xludf.DUMMYFUNCTION("IF(W144=MAX(FILTER(W$10:W$199,LOOKUP(ROW(Q$10:Q$199),FILTER(ROW(Q$10:Q$199),Q$10:Q$199&lt;&gt;Q$9:Q$198))=LOOKUP(ROW(Q144),FILTER(ROW(Q$10:Q$199),Q$10:Q$199&lt;&gt;Q$9:Q$198)))),X144,)"),"")</f>
        <v/>
      </c>
      <c s="42"/>
      <c s="63"/>
      <c s="64" t="str">
        <f t="shared" si="14"/>
        <v/>
      </c>
      <c s="65" t="str">
        <f>IFERROR(__xludf.DUMMYFUNCTION("""COMPUTED_VALUE"""),"")</f>
        <v/>
      </c>
      <c s="66">
        <f ca="1"/>
        <v>45222</v>
      </c>
      <c s="93" t="str">
        <f t="shared" si="156"/>
        <v/>
      </c>
      <c s="94" t="str">
        <f t="shared" si="397"/>
        <v/>
      </c>
      <c s="95" t="str">
        <f t="shared" si="408"/>
        <v/>
      </c>
      <c s="98" t="str">
        <f t="shared" si="398"/>
        <v/>
      </c>
      <c s="97" t="str">
        <f t="array" ref="AK144">IFERROR(IF(AE144="ac"+ISNUMBER(SEARCH("'",AJ144))+AI144="","",IF(ISNUMBER(SEARCH("lw",AJ144)),W144+SUBSTITUTE(AJ144,"lw+",""),MROUND(_xlfn.SWITCH(AE144,"sq",AI$7,"bn",AJ$7,"dl",AK$7,"")*IF(AJ144&gt;10,AJ144/100,VLOOKUP(AJ144,_rpe,SUBSTITUTE(AI144,"+","")+1,0)),IF(_xlfn.SWITCH(AE144,"sq",AI$7,"bn",AJ$7,"dl",AK$7,"")&lt;IF(_uom="lbs",175,80),1.25,IF(_uom="lbs",5,2.5))))),"")</f>
        <v/>
      </c>
      <c s="70"/>
      <c s="63"/>
      <c s="97"/>
      <c s="44" t="str">
        <f>IFERROR(__xludf.DUMMYFUNCTION("IF(AK144=MAX(FILTER(AK$10:AK$199,LOOKUP(ROW(AE$10:AE$199),FILTER(ROW(AE$10:AE$199),AE$10:AE$199&lt;&gt;AE$9:AE$198))=LOOKUP(ROW(AE144),FILTER(ROW(AE$10:AE$199),AE$10:AE$199&lt;&gt;AE$9:AE$198)))),AL144,)"),"")</f>
        <v/>
      </c>
      <c s="42"/>
      <c s="63"/>
      <c s="64" t="str">
        <f t="shared" si="17"/>
        <v/>
      </c>
      <c s="65" t="str">
        <f>IFERROR(__xludf.DUMMYFUNCTION("""COMPUTED_VALUE"""),"")</f>
        <v/>
      </c>
      <c s="66">
        <f ca="1"/>
        <v>45229</v>
      </c>
      <c s="93" t="str">
        <f t="shared" si="157"/>
        <v/>
      </c>
      <c s="94" t="str">
        <f t="shared" si="399"/>
        <v/>
      </c>
      <c s="95" t="str">
        <f t="shared" si="409"/>
        <v/>
      </c>
      <c s="98" t="str">
        <f t="shared" si="400"/>
        <v/>
      </c>
      <c s="97" t="str">
        <f t="array" ref="AY144">IFERROR(IF(AS144="ac"+ISNUMBER(SEARCH("'",AX144))+AW144="","",IF(ISNUMBER(SEARCH("lw",AX144)),AK144+SUBSTITUTE(AX144,"lw+",""),MROUND(_xlfn.SWITCH(AS144,"sq",AW$7,"bn",AX$7,"dl",AY$7,"")*IF(AX144&gt;10,AX144/100,VLOOKUP(AX144,_rpe,SUBSTITUTE(AW144,"+","")+1,0)),IF(_xlfn.SWITCH(AS144,"sq",AW$7,"bn",AX$7,"dl",AY$7,"")&lt;IF(_uom="lbs",175,80),1.25,IF(_uom="lbs",5,2.5))))),"")</f>
        <v/>
      </c>
      <c s="70"/>
      <c s="63"/>
      <c s="97"/>
      <c s="44" t="str">
        <f>IFERROR(__xludf.DUMMYFUNCTION("IF(AY144=MAX(FILTER(AY$10:AY$199,LOOKUP(ROW(AS$10:AS$199),FILTER(ROW(AS$10:AS$199),AS$10:AS$199&lt;&gt;AS$9:AS$198))=LOOKUP(ROW(AS144),FILTER(ROW(AS$10:AS$199),AS$10:AS$199&lt;&gt;AS$9:AS$198)))),AZ144,)"),"")</f>
        <v/>
      </c>
      <c s="42"/>
      <c s="63"/>
      <c s="64" t="str">
        <f t="shared" si="19"/>
        <v/>
      </c>
      <c s="65" t="str">
        <f>IFERROR(__xludf.DUMMYFUNCTION("""COMPUTED_VALUE"""),"")</f>
        <v/>
      </c>
      <c s="66">
        <f ca="1"/>
        <v>45236</v>
      </c>
      <c s="93" t="str">
        <f t="shared" si="20"/>
        <v/>
      </c>
      <c s="94" t="str">
        <f t="shared" si="425"/>
        <v/>
      </c>
      <c s="95" t="str">
        <f t="shared" si="411"/>
        <v/>
      </c>
      <c s="98" t="str">
        <f t="shared" si="412"/>
        <v/>
      </c>
      <c s="97" t="str">
        <f t="array" ref="BM144">IFERROR(IF(BG144="ac"+ISNUMBER(SEARCH("'",BL144))+BK144="","",IF(ISNUMBER(SEARCH("lw",BL144)),AY144+SUBSTITUTE(BL144,"lw+",""),MROUND(_xlfn.SWITCH(BG144,"sq",BK$7,"bn",BL$7,"dl",BM$7,"")*IF(BL144&gt;10,BL144/100,VLOOKUP(BL144,_rpe,SUBSTITUTE(BK144,"+","")+1,0)),IF(_xlfn.SWITCH(BG144,"sq",BK$7,"bn",BL$7,"dl",BM$7,"")&lt;IF(_uom="lbs",175,80),1.25,IF(_uom="lbs",5,2.5))))),"")</f>
        <v/>
      </c>
      <c s="70"/>
      <c s="63"/>
      <c s="97"/>
      <c s="44" t="str">
        <f>IFERROR(__xludf.DUMMYFUNCTION("IF(BM144=MAX(FILTER(BM$10:BM$199,LOOKUP(ROW(BG$10:BG$199),FILTER(ROW(BG$10:BG$199),BG$10:BG$199&lt;&gt;BG$9:BG$198))=LOOKUP(ROW(BG144),FILTER(ROW(BG$10:BG$199),BG$10:BG$199&lt;&gt;BG$9:BG$198)))),BN144,)"),"")</f>
        <v/>
      </c>
      <c s="42"/>
      <c s="63"/>
      <c s="64" t="str">
        <f t="shared" si="21"/>
        <v/>
      </c>
      <c s="65" t="str">
        <f>IFERROR(__xludf.DUMMYFUNCTION("""COMPUTED_VALUE"""),"")</f>
        <v/>
      </c>
      <c s="66">
        <f ca="1"/>
        <v>45243</v>
      </c>
      <c s="93" t="str">
        <f t="shared" si="22"/>
        <v/>
      </c>
      <c s="94" t="str">
        <f t="shared" si="426"/>
        <v/>
      </c>
      <c s="95" t="str">
        <f t="shared" si="414"/>
        <v/>
      </c>
      <c s="98" t="str">
        <f t="shared" si="415"/>
        <v/>
      </c>
      <c s="97" t="str">
        <f t="array" ref="CA144">IFERROR(IF(BU144="ac"+ISNUMBER(SEARCH("'",BZ144))+BY144="","",IF(ISNUMBER(SEARCH("lw",BZ144)),BM144+SUBSTITUTE(BZ144,"lw+",""),MROUND(_xlfn.SWITCH(BU144,"sq",BY$7,"bn",BZ$7,"dl",CA$7,"")*IF(BZ144&gt;10,BZ144/100,VLOOKUP(BZ144,_rpe,SUBSTITUTE(BY144,"+","")+1,0)),IF(_xlfn.SWITCH(BU144,"sq",BY$7,"bn",BZ$7,"dl",CA$7,"")&lt;IF(_uom="lbs",175,80),1.25,IF(_uom="lbs",5,2.5))))),"")</f>
        <v/>
      </c>
      <c s="70"/>
      <c s="63"/>
      <c s="97"/>
      <c s="44" t="str">
        <f>IFERROR(__xludf.DUMMYFUNCTION("IF(CA144=MAX(FILTER(CA$10:CA$199,LOOKUP(ROW(BU$10:BU$199),FILTER(ROW(BU$10:BU$199),BU$10:BU$199&lt;&gt;BU$9:BU$198))=LOOKUP(ROW(BU144),FILTER(ROW(BU$10:BU$199),BU$10:BU$199&lt;&gt;BU$9:BU$198)))),CB144,)"),"")</f>
        <v/>
      </c>
      <c s="42"/>
      <c s="63"/>
      <c s="64" t="str">
        <f t="shared" si="24"/>
        <v/>
      </c>
      <c s="65" t="str">
        <f>IFERROR(__xludf.DUMMYFUNCTION("""COMPUTED_VALUE"""),"")</f>
        <v/>
      </c>
      <c s="66">
        <f ca="1"/>
        <v>45250</v>
      </c>
      <c s="93" t="str">
        <f t="shared" si="44"/>
        <v/>
      </c>
      <c s="94" t="str">
        <f t="shared" si="392"/>
        <v/>
      </c>
      <c s="95" t="str">
        <f t="shared" si="416"/>
        <v/>
      </c>
      <c s="98" t="str">
        <f t="shared" si="417"/>
        <v/>
      </c>
      <c s="97" t="str">
        <f t="array" ref="CO144">IFERROR(IF(CI144="ac"+ISNUMBER(SEARCH("'",CN144))+CM144="","",IF(ISNUMBER(SEARCH("lw",CN144)),CA144+SUBSTITUTE(CN144,"lw+",""),MROUND(_xlfn.SWITCH(CI144,"sq",CM$7,"bn",CN$7,"dl",CO$7,"")*IF(CN144&gt;10,CN144/100,VLOOKUP(CN144,_rpe,SUBSTITUTE(CM144,"+","")+1,0)),IF(_xlfn.SWITCH(CI144,"sq",CM$7,"bn",CN$7,"dl",CO$7,"")&lt;IF(_uom="lbs",175,80),1.25,IF(_uom="lbs",5,2.5))))),"")</f>
        <v/>
      </c>
      <c s="70"/>
      <c s="63"/>
      <c s="97"/>
      <c s="44" t="str">
        <f>IFERROR(__xludf.DUMMYFUNCTION("IF(CO144=MAX(FILTER(CO$10:CO$199,LOOKUP(ROW(CI$10:CI$199),FILTER(ROW(CI$10:CI$199),CI$10:CI$199&lt;&gt;CI$9:CI$198))=LOOKUP(ROW(CI144),FILTER(ROW(CI$10:CI$199),CI$10:CI$199&lt;&gt;CI$9:CI$198)))),CP144,)"),"")</f>
        <v/>
      </c>
      <c s="42"/>
      <c s="63"/>
      <c s="64" t="str">
        <f t="shared" si="27"/>
        <v/>
      </c>
      <c s="65" t="str">
        <f>IFERROR(__xludf.DUMMYFUNCTION("""COMPUTED_VALUE"""),"")</f>
        <v/>
      </c>
      <c s="66">
        <f ca="1"/>
        <v>45257</v>
      </c>
      <c s="93" t="str">
        <f t="shared" si="45"/>
        <v/>
      </c>
      <c s="94" t="str">
        <f t="shared" si="393"/>
        <v/>
      </c>
      <c s="95" t="str">
        <f t="shared" si="418"/>
        <v/>
      </c>
      <c s="98" t="str">
        <f t="shared" si="401"/>
        <v/>
      </c>
      <c s="97" t="str">
        <f t="array" ref="DC144">IFERROR(IF(CW144="ac"+ISNUMBER(SEARCH("'",DB144))+DA144="","",IF(ISNUMBER(SEARCH("lw",DB144)),CO144+SUBSTITUTE(DB144,"lw+",""),MROUND(_xlfn.SWITCH(CW144,"sq",DA$7,"bn",DB$7,"dl",DC$7,"")*IF(DB144&gt;10,DB144/100,VLOOKUP(DB144,_rpe,SUBSTITUTE(DA144,"+","")+1,0)),IF(_xlfn.SWITCH(CW144,"sq",DA$7,"bn",DB$7,"dl",DC$7,"")&lt;IF(_uom="lbs",175,80),1.25,IF(_uom="lbs",5,2.5))))),"")</f>
        <v/>
      </c>
      <c s="70"/>
      <c s="63"/>
      <c s="97"/>
      <c s="44" t="str">
        <f>IFERROR(__xludf.DUMMYFUNCTION("IF(DC144=MAX(FILTER(DC$10:DC$199,LOOKUP(ROW(CW$10:CW$199),FILTER(ROW(CW$10:CW$199),CW$10:CW$199&lt;&gt;CW$9:CW$198))=LOOKUP(ROW(CW144),FILTER(ROW(CW$10:CW$199),CW$10:CW$199&lt;&gt;CW$9:CW$198)))),DD144,)"),"")</f>
        <v/>
      </c>
      <c s="42"/>
      <c s="63"/>
      <c s="64" t="str">
        <f t="shared" si="30"/>
        <v/>
      </c>
      <c s="65" t="str">
        <f>IFERROR(__xludf.DUMMYFUNCTION("""COMPUTED_VALUE"""),"")</f>
        <v/>
      </c>
      <c s="66">
        <f ca="1"/>
        <v>45264</v>
      </c>
      <c s="93" t="str">
        <f t="shared" si="46"/>
        <v/>
      </c>
      <c s="94" t="str">
        <f t="shared" si="394"/>
        <v/>
      </c>
      <c s="95" t="str">
        <f t="shared" si="419"/>
        <v/>
      </c>
      <c s="98" t="str">
        <f t="shared" si="420"/>
        <v/>
      </c>
      <c s="97" t="str">
        <f t="array" ref="DQ144">IFERROR(IF(DK144="ac"+ISNUMBER(SEARCH("'",DP144))+DO144="","",IF(ISNUMBER(SEARCH("lw",DP144)),DC144+SUBSTITUTE(DP144,"lw+",""),MROUND(_xlfn.SWITCH(DK144,"sq",DO$7,"bn",DP$7,"dl",DQ$7,"")*IF(DP144&gt;10,DP144/100,VLOOKUP(DP144,_rpe,SUBSTITUTE(DO144,"+","")+1,0)),IF(_xlfn.SWITCH(DK144,"sq",DO$7,"bn",DP$7,"dl",DQ$7,"")&lt;IF(_uom="lbs",175,80),1.25,IF(_uom="lbs",5,2.5))))),"")</f>
        <v/>
      </c>
      <c s="70"/>
      <c s="63"/>
      <c s="97"/>
      <c s="44" t="str">
        <f>IFERROR(__xludf.DUMMYFUNCTION("IF(DQ144=MAX(FILTER(DQ$10:DQ$199,LOOKUP(ROW(DK$10:DK$199),FILTER(ROW(DK$10:DK$199),DK$10:DK$199&lt;&gt;DK$9:DK$198))=LOOKUP(ROW(DK144),FILTER(ROW(DK$10:DK$199),DK$10:DK$199&lt;&gt;DK$9:DK$198)))),DR144,)"),"")</f>
        <v/>
      </c>
      <c s="42"/>
      <c s="63"/>
      <c s="64" t="str">
        <f t="shared" si="32"/>
        <v/>
      </c>
      <c s="65" t="str">
        <f>IFERROR(__xludf.DUMMYFUNCTION("""COMPUTED_VALUE"""),"")</f>
        <v/>
      </c>
      <c s="66">
        <f ca="1"/>
        <v>45271</v>
      </c>
      <c s="93" t="str">
        <f t="shared" si="47"/>
        <v/>
      </c>
      <c s="94" t="str">
        <f t="shared" si="405"/>
        <v/>
      </c>
      <c s="95" t="str">
        <f t="shared" si="421"/>
        <v/>
      </c>
      <c s="98" t="str">
        <f t="shared" si="422"/>
        <v/>
      </c>
      <c s="97" t="str">
        <f t="array" ref="EE144">IFERROR(IF(DY144="ac"+ISNUMBER(SEARCH("'",ED144))+EC144="","",IF(ISNUMBER(SEARCH("lw",ED144)),DQ144+SUBSTITUTE(ED144,"lw+",""),MROUND(_xlfn.SWITCH(DY144,"sq",EC$7,"bn",ED$7,"dl",EE$7,"")*IF(ED144&gt;10,ED144/100,VLOOKUP(ED144,_rpe,SUBSTITUTE(EC144,"+","")+1,0)),IF(_xlfn.SWITCH(DY144,"sq",EC$7,"bn",ED$7,"dl",EE$7,"")&lt;IF(_uom="lbs",175,80),1.25,IF(_uom="lbs",5,2.5))))),"")</f>
        <v/>
      </c>
      <c s="70"/>
      <c s="63"/>
      <c s="97"/>
      <c s="44" t="str">
        <f>IFERROR(__xludf.DUMMYFUNCTION("IF(EE144=MAX(FILTER(EE$10:EE$199,LOOKUP(ROW(DY$10:DY$199),FILTER(ROW(DY$10:DY$199),DY$10:DY$199&lt;&gt;DY$9:DY$198))=LOOKUP(ROW(DY144),FILTER(ROW(DY$10:DY$199),DY$10:DY$199&lt;&gt;DY$9:DY$198)))),EF144,)"),"")</f>
        <v/>
      </c>
      <c s="42"/>
      <c s="63"/>
      <c s="64" t="str">
        <f t="shared" si="34"/>
        <v/>
      </c>
      <c s="65" t="str">
        <f>IFERROR(__xludf.DUMMYFUNCTION("""COMPUTED_VALUE"""),"")</f>
        <v/>
      </c>
      <c s="66">
        <f ca="1"/>
        <v>45278</v>
      </c>
      <c s="93" t="str">
        <f t="shared" si="48"/>
        <v/>
      </c>
      <c s="94" t="str">
        <f t="shared" si="395"/>
        <v/>
      </c>
      <c s="95" t="str">
        <f t="shared" si="423"/>
        <v/>
      </c>
      <c s="98" t="str">
        <f t="shared" si="402"/>
        <v/>
      </c>
      <c s="97" t="str">
        <f t="array" ref="ES144">IFERROR(IF(EM144="ac"+ISNUMBER(SEARCH("'",ER144))+EQ144="","",IF(ISNUMBER(SEARCH("lw",ER144)),EE144+SUBSTITUTE(ER144,"lw+",""),MROUND(_xlfn.SWITCH(EM144,"sq",EQ$7,"bn",ER$7,"dl",ES$7,"")*IF(ER144&gt;10,ER144/100,VLOOKUP(ER144,_rpe,SUBSTITUTE(EQ144,"+","")+1,0)),IF(_xlfn.SWITCH(EM144,"sq",EQ$7,"bn",ER$7,"dl",ES$7,"")&lt;IF(_uom="lbs",175,80),1.25,IF(_uom="lbs",5,2.5))))),"")</f>
        <v/>
      </c>
      <c s="70"/>
      <c s="63"/>
      <c s="97"/>
      <c s="44" t="str">
        <f>IFERROR(__xludf.DUMMYFUNCTION("IF(ES144=MAX(FILTER(ES$10:ES$199,LOOKUP(ROW(EM$10:EM$199),FILTER(ROW(EM$10:EM$199),EM$10:EM$199&lt;&gt;EM$9:EM$198))=LOOKUP(ROW(EM144),FILTER(ROW(EM$10:EM$199),EM$10:EM$199&lt;&gt;EM$9:EM$198)))),ET144,)"),"")</f>
        <v/>
      </c>
      <c s="42"/>
      <c s="63"/>
      <c s="64" t="str">
        <f t="shared" si="36"/>
        <v/>
      </c>
      <c s="65" t="str">
        <f>IFERROR(__xludf.DUMMYFUNCTION("""COMPUTED_VALUE"""),"")</f>
        <v/>
      </c>
      <c s="66">
        <f ca="1"/>
        <v>45285</v>
      </c>
      <c s="93" t="str">
        <f t="shared" si="49"/>
        <v/>
      </c>
      <c s="94" t="str">
        <f t="shared" si="396"/>
        <v/>
      </c>
      <c s="95" t="str">
        <f t="shared" si="424"/>
        <v/>
      </c>
      <c s="98" t="str">
        <f t="shared" si="403"/>
        <v/>
      </c>
      <c s="97" t="str">
        <f t="array" ref="FG144">IFERROR(IF(FA144="ac"+ISNUMBER(SEARCH("'",FF144))+FE144="","",IF(ISNUMBER(SEARCH("lw",FF144)),ES144+SUBSTITUTE(FF144,"lw+",""),MROUND(_xlfn.SWITCH(FA144,"sq",FE$7,"bn",FF$7,"dl",FG$7,"")*IF(FF144&gt;10,FF144/100,VLOOKUP(FF144,_rpe,SUBSTITUTE(FE144,"+","")+1,0)),IF(_xlfn.SWITCH(FA144,"sq",FE$7,"bn",FF$7,"dl",FG$7,"")&lt;IF(_uom="lbs",175,80),1.25,IF(_uom="lbs",5,2.5))))),"")</f>
        <v/>
      </c>
      <c s="70"/>
      <c s="63"/>
      <c s="97"/>
      <c s="44" t="str">
        <f>IFERROR(__xludf.DUMMYFUNCTION("IF(FG144=MAX(FILTER(FG$10:FG$199,LOOKUP(ROW(FA$10:FA$199),FILTER(ROW(FA$10:FA$199),FA$10:FA$199&lt;&gt;FA$9:FA$198))=LOOKUP(ROW(FA144),FILTER(ROW(FA$10:FA$199),FA$10:FA$199&lt;&gt;FA$9:FA$198)))),FH144,)"),"")</f>
        <v/>
      </c>
      <c s="42"/>
      <c s="63"/>
      <c s="64" t="str">
        <f t="shared" si="38"/>
        <v/>
      </c>
      <c s="65" t="str">
        <f>IFERROR(__xludf.DUMMYFUNCTION("""COMPUTED_VALUE"""),"")</f>
        <v/>
      </c>
      <c s="66">
        <f ca="1"/>
        <v>45292</v>
      </c>
      <c s="93" t="str">
        <f t="shared" si="488" ref="FQ144:FR144">IF(ISBLANK(FC144),"",FC144)</f>
        <v/>
      </c>
      <c s="94" t="str">
        <f t="shared" si="488"/>
        <v/>
      </c>
      <c s="95" t="str">
        <f t="shared" si="428"/>
        <v/>
      </c>
      <c s="98" t="str">
        <f t="shared" si="429"/>
        <v/>
      </c>
      <c s="97" t="str">
        <f t="array" ref="FU144">IFERROR(IF(FO144="ac"+ISNUMBER(SEARCH("'",FT144))+FS144="","",IF(ISNUMBER(SEARCH("lw",FT144)),FG144+SUBSTITUTE(FT144,"lw+",""),MROUND(_xlfn.SWITCH(FO144,"sq",FS$7,"bn",FT$7,"dl",FU$7,"")*IF(FT144&gt;10,FT144/100,VLOOKUP(FT144,_rpe,SUBSTITUTE(FS144,"+","")+1,0)),IF(_xlfn.SWITCH(FO144,"sq",FS$7,"bn",FT$7,"dl",FU$7,"")&lt;IF(_uom="lbs",175,80),1.25,IF(_uom="lbs",5,2.5))))),"")</f>
        <v/>
      </c>
      <c s="70"/>
      <c s="63"/>
      <c s="97"/>
      <c s="44" t="str">
        <f>IFERROR(__xludf.DUMMYFUNCTION("IF(FU144=MAX(FILTER(FU$10:FU$199,LOOKUP(ROW(FO$10:FO$199),FILTER(ROW(FO$10:FO$199),FO$10:FO$199&lt;&gt;FO$9:FO$198))=LOOKUP(ROW(FO144),FILTER(ROW(FO$10:FO$199),FO$10:FO$199&lt;&gt;FO$9:FO$198)))),FV144,)"),"")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45" spans="1:259" ht="15.75">
      <c r="A145" s="63"/>
      <c s="107"/>
      <c s="65" t="str">
        <f>IFERROR(__xludf.DUMMYFUNCTION("""COMPUTED_VALUE"""),"")</f>
        <v/>
      </c>
      <c s="66">
        <f ca="1"/>
        <v>45208</v>
      </c>
      <c s="108"/>
      <c s="94"/>
      <c s="95"/>
      <c s="96"/>
      <c s="97" t="str">
        <f t="array" ref="I145">IFERROR(IF(C145="ac"+ISNUMBER(SEARCH("'",H145))+G145="","",MROUND(_xlfn.SWITCH(C145,"sq",'Personal Info'!$O$15,"bn",'Personal Info'!$S$15,"dl",'Personal Info'!$W$15,"")*IF(H145&gt;10,H145/100,VLOOKUP(H145,_rpe,SUBSTITUTE(G145,"+","")+1,0)),IF(_xlfn.SWITCH(C145:C210,"sq",'Personal Info'!$O$15,"bn",'Personal Info'!$S$15,"dl",'Personal Info'!$W$15,"")&lt;IF(_uom="lbs",175,80),1.25,IF(_uom="lbs",5,2.5)))),"")</f>
        <v/>
      </c>
      <c s="70"/>
      <c s="63"/>
      <c s="97"/>
      <c s="44" t="str">
        <f>IFERROR(__xludf.DUMMYFUNCTION("IF(I145=MAX(FILTER(I$10:I$199,LOOKUP(ROW(C$10:C$199),FILTER(ROW(C$10:C$199),C$10:C$199&lt;&gt;C$9:C$198))=LOOKUP(ROW(C145),FILTER(ROW(C$10:C$199),C$10:C$199&lt;&gt;C$9:C$198)))),J145,)"),"")</f>
        <v/>
      </c>
      <c s="42"/>
      <c s="63"/>
      <c s="64" t="str">
        <f t="shared" si="11"/>
        <v/>
      </c>
      <c s="65" t="str">
        <f>IFERROR(__xludf.DUMMYFUNCTION("""COMPUTED_VALUE"""),"")</f>
        <v/>
      </c>
      <c s="66">
        <f ca="1"/>
        <v>45215</v>
      </c>
      <c s="93" t="str">
        <f t="shared" si="12"/>
        <v/>
      </c>
      <c s="94" t="str">
        <f t="shared" si="404"/>
        <v/>
      </c>
      <c s="95" t="str">
        <f t="shared" si="406"/>
        <v/>
      </c>
      <c s="98" t="str">
        <f t="shared" si="407"/>
        <v/>
      </c>
      <c s="97" t="str">
        <f t="array" ref="W145">IFERROR(IF(Q145="ac"+ISNUMBER(SEARCH("'",V145))+U145="","",IF(ISNUMBER(SEARCH("lw",V145)),I145+SUBSTITUTE(V145,"lw+",""),MROUND(_xlfn.SWITCH(Q145,"sq",U$7,"bn",V$7,"dl",W$7,"")*IF(V145&gt;10,V145/100,VLOOKUP(V145,_rpe,SUBSTITUTE(U145,"+","")+1,0)),IF(_xlfn.SWITCH(Q145,"sq",U$7,"bn",V$7,"dl",W$7,"")&lt;IF(_uom="lbs",175,80),1.25,IF(_uom="lbs",5,2.5))))),"")</f>
        <v/>
      </c>
      <c s="70"/>
      <c s="63"/>
      <c s="97"/>
      <c s="44" t="str">
        <f>IFERROR(__xludf.DUMMYFUNCTION("IF(W145=MAX(FILTER(W$10:W$199,LOOKUP(ROW(Q$10:Q$199),FILTER(ROW(Q$10:Q$199),Q$10:Q$199&lt;&gt;Q$9:Q$198))=LOOKUP(ROW(Q145),FILTER(ROW(Q$10:Q$199),Q$10:Q$199&lt;&gt;Q$9:Q$198)))),X145,)"),"")</f>
        <v/>
      </c>
      <c s="42"/>
      <c s="63"/>
      <c s="64" t="str">
        <f t="shared" si="14"/>
        <v/>
      </c>
      <c s="65" t="str">
        <f>IFERROR(__xludf.DUMMYFUNCTION("""COMPUTED_VALUE"""),"")</f>
        <v/>
      </c>
      <c s="66">
        <f ca="1"/>
        <v>45222</v>
      </c>
      <c s="93" t="str">
        <f t="shared" si="156"/>
        <v/>
      </c>
      <c s="94" t="str">
        <f t="shared" si="397"/>
        <v/>
      </c>
      <c s="95" t="str">
        <f t="shared" si="408"/>
        <v/>
      </c>
      <c s="98" t="str">
        <f t="shared" si="398"/>
        <v/>
      </c>
      <c s="97" t="str">
        <f t="array" ref="AK145">IFERROR(IF(AE145="ac"+ISNUMBER(SEARCH("'",AJ145))+AI145="","",IF(ISNUMBER(SEARCH("lw",AJ145)),W145+SUBSTITUTE(AJ145,"lw+",""),MROUND(_xlfn.SWITCH(AE145,"sq",AI$7,"bn",AJ$7,"dl",AK$7,"")*IF(AJ145&gt;10,AJ145/100,VLOOKUP(AJ145,_rpe,SUBSTITUTE(AI145,"+","")+1,0)),IF(_xlfn.SWITCH(AE145,"sq",AI$7,"bn",AJ$7,"dl",AK$7,"")&lt;IF(_uom="lbs",175,80),1.25,IF(_uom="lbs",5,2.5))))),"")</f>
        <v/>
      </c>
      <c s="70"/>
      <c s="63"/>
      <c s="97"/>
      <c s="44" t="str">
        <f>IFERROR(__xludf.DUMMYFUNCTION("IF(AK145=MAX(FILTER(AK$10:AK$199,LOOKUP(ROW(AE$10:AE$199),FILTER(ROW(AE$10:AE$199),AE$10:AE$199&lt;&gt;AE$9:AE$198))=LOOKUP(ROW(AE145),FILTER(ROW(AE$10:AE$199),AE$10:AE$199&lt;&gt;AE$9:AE$198)))),AL145,)"),"")</f>
        <v/>
      </c>
      <c s="42"/>
      <c s="63"/>
      <c s="64" t="str">
        <f t="shared" si="17"/>
        <v/>
      </c>
      <c s="65" t="str">
        <f>IFERROR(__xludf.DUMMYFUNCTION("""COMPUTED_VALUE"""),"")</f>
        <v/>
      </c>
      <c s="66">
        <f ca="1"/>
        <v>45229</v>
      </c>
      <c s="93" t="str">
        <f t="shared" si="157"/>
        <v/>
      </c>
      <c s="94" t="str">
        <f t="shared" si="399"/>
        <v/>
      </c>
      <c s="95" t="str">
        <f t="shared" si="409"/>
        <v/>
      </c>
      <c s="98" t="str">
        <f t="shared" si="400"/>
        <v/>
      </c>
      <c s="97" t="str">
        <f t="array" ref="AY145">IFERROR(IF(AS145="ac"+ISNUMBER(SEARCH("'",AX145))+AW145="","",IF(ISNUMBER(SEARCH("lw",AX145)),AK145+SUBSTITUTE(AX145,"lw+",""),MROUND(_xlfn.SWITCH(AS145,"sq",AW$7,"bn",AX$7,"dl",AY$7,"")*IF(AX145&gt;10,AX145/100,VLOOKUP(AX145,_rpe,SUBSTITUTE(AW145,"+","")+1,0)),IF(_xlfn.SWITCH(AS145,"sq",AW$7,"bn",AX$7,"dl",AY$7,"")&lt;IF(_uom="lbs",175,80),1.25,IF(_uom="lbs",5,2.5))))),"")</f>
        <v/>
      </c>
      <c s="70"/>
      <c s="63"/>
      <c s="97"/>
      <c s="44" t="str">
        <f>IFERROR(__xludf.DUMMYFUNCTION("IF(AY145=MAX(FILTER(AY$10:AY$199,LOOKUP(ROW(AS$10:AS$199),FILTER(ROW(AS$10:AS$199),AS$10:AS$199&lt;&gt;AS$9:AS$198))=LOOKUP(ROW(AS145),FILTER(ROW(AS$10:AS$199),AS$10:AS$199&lt;&gt;AS$9:AS$198)))),AZ145,)"),"")</f>
        <v/>
      </c>
      <c s="42"/>
      <c s="63"/>
      <c s="64" t="str">
        <f t="shared" si="19"/>
        <v/>
      </c>
      <c s="65" t="str">
        <f>IFERROR(__xludf.DUMMYFUNCTION("""COMPUTED_VALUE"""),"")</f>
        <v/>
      </c>
      <c s="66">
        <f ca="1"/>
        <v>45236</v>
      </c>
      <c s="93" t="str">
        <f t="shared" si="20"/>
        <v/>
      </c>
      <c s="94" t="str">
        <f t="shared" si="425"/>
        <v/>
      </c>
      <c s="95" t="str">
        <f t="shared" si="411"/>
        <v/>
      </c>
      <c s="98" t="str">
        <f t="shared" si="412"/>
        <v/>
      </c>
      <c s="97" t="str">
        <f t="array" ref="BM145">IFERROR(IF(BG145="ac"+ISNUMBER(SEARCH("'",BL145))+BK145="","",IF(ISNUMBER(SEARCH("lw",BL145)),AY145+SUBSTITUTE(BL145,"lw+",""),MROUND(_xlfn.SWITCH(BG145,"sq",BK$7,"bn",BL$7,"dl",BM$7,"")*IF(BL145&gt;10,BL145/100,VLOOKUP(BL145,_rpe,SUBSTITUTE(BK145,"+","")+1,0)),IF(_xlfn.SWITCH(BG145,"sq",BK$7,"bn",BL$7,"dl",BM$7,"")&lt;IF(_uom="lbs",175,80),1.25,IF(_uom="lbs",5,2.5))))),"")</f>
        <v/>
      </c>
      <c s="70"/>
      <c s="63"/>
      <c s="97"/>
      <c s="44" t="str">
        <f>IFERROR(__xludf.DUMMYFUNCTION("IF(BM145=MAX(FILTER(BM$10:BM$199,LOOKUP(ROW(BG$10:BG$199),FILTER(ROW(BG$10:BG$199),BG$10:BG$199&lt;&gt;BG$9:BG$198))=LOOKUP(ROW(BG145),FILTER(ROW(BG$10:BG$199),BG$10:BG$199&lt;&gt;BG$9:BG$198)))),BN145,)"),"")</f>
        <v/>
      </c>
      <c s="42"/>
      <c s="63"/>
      <c s="64" t="str">
        <f t="shared" si="21"/>
        <v/>
      </c>
      <c s="65" t="str">
        <f>IFERROR(__xludf.DUMMYFUNCTION("""COMPUTED_VALUE"""),"")</f>
        <v/>
      </c>
      <c s="66">
        <f ca="1"/>
        <v>45243</v>
      </c>
      <c s="93" t="str">
        <f t="shared" si="22"/>
        <v/>
      </c>
      <c s="94" t="str">
        <f t="shared" si="426"/>
        <v/>
      </c>
      <c s="95" t="str">
        <f t="shared" si="414"/>
        <v/>
      </c>
      <c s="98" t="str">
        <f t="shared" si="415"/>
        <v/>
      </c>
      <c s="97" t="str">
        <f t="array" ref="CA145">IFERROR(IF(BU145="ac"+ISNUMBER(SEARCH("'",BZ145))+BY145="","",IF(ISNUMBER(SEARCH("lw",BZ145)),BM145+SUBSTITUTE(BZ145,"lw+",""),MROUND(_xlfn.SWITCH(BU145,"sq",BY$7,"bn",BZ$7,"dl",CA$7,"")*IF(BZ145&gt;10,BZ145/100,VLOOKUP(BZ145,_rpe,SUBSTITUTE(BY145,"+","")+1,0)),IF(_xlfn.SWITCH(BU145,"sq",BY$7,"bn",BZ$7,"dl",CA$7,"")&lt;IF(_uom="lbs",175,80),1.25,IF(_uom="lbs",5,2.5))))),"")</f>
        <v/>
      </c>
      <c s="70"/>
      <c s="63"/>
      <c s="97"/>
      <c s="44" t="str">
        <f>IFERROR(__xludf.DUMMYFUNCTION("IF(CA145=MAX(FILTER(CA$10:CA$199,LOOKUP(ROW(BU$10:BU$199),FILTER(ROW(BU$10:BU$199),BU$10:BU$199&lt;&gt;BU$9:BU$198))=LOOKUP(ROW(BU145),FILTER(ROW(BU$10:BU$199),BU$10:BU$199&lt;&gt;BU$9:BU$198)))),CB145,)"),"")</f>
        <v/>
      </c>
      <c s="42"/>
      <c s="63"/>
      <c s="64" t="str">
        <f t="shared" si="24"/>
        <v/>
      </c>
      <c s="65" t="str">
        <f>IFERROR(__xludf.DUMMYFUNCTION("""COMPUTED_VALUE"""),"")</f>
        <v/>
      </c>
      <c s="66">
        <f ca="1"/>
        <v>45250</v>
      </c>
      <c s="93" t="str">
        <f t="shared" si="44"/>
        <v/>
      </c>
      <c s="94" t="str">
        <f t="shared" si="392"/>
        <v/>
      </c>
      <c s="95" t="str">
        <f t="shared" si="416"/>
        <v/>
      </c>
      <c s="98" t="str">
        <f t="shared" si="417"/>
        <v/>
      </c>
      <c s="97" t="str">
        <f t="array" ref="CO145">IFERROR(IF(CI145="ac"+ISNUMBER(SEARCH("'",CN145))+CM145="","",IF(ISNUMBER(SEARCH("lw",CN145)),CA145+SUBSTITUTE(CN145,"lw+",""),MROUND(_xlfn.SWITCH(CI145,"sq",CM$7,"bn",CN$7,"dl",CO$7,"")*IF(CN145&gt;10,CN145/100,VLOOKUP(CN145,_rpe,SUBSTITUTE(CM145,"+","")+1,0)),IF(_xlfn.SWITCH(CI145,"sq",CM$7,"bn",CN$7,"dl",CO$7,"")&lt;IF(_uom="lbs",175,80),1.25,IF(_uom="lbs",5,2.5))))),"")</f>
        <v/>
      </c>
      <c s="70"/>
      <c s="63"/>
      <c s="97"/>
      <c s="44" t="str">
        <f>IFERROR(__xludf.DUMMYFUNCTION("IF(CO145=MAX(FILTER(CO$10:CO$199,LOOKUP(ROW(CI$10:CI$199),FILTER(ROW(CI$10:CI$199),CI$10:CI$199&lt;&gt;CI$9:CI$198))=LOOKUP(ROW(CI145),FILTER(ROW(CI$10:CI$199),CI$10:CI$199&lt;&gt;CI$9:CI$198)))),CP145,)"),"")</f>
        <v/>
      </c>
      <c s="42"/>
      <c s="63"/>
      <c s="64" t="str">
        <f t="shared" si="27"/>
        <v/>
      </c>
      <c s="65" t="str">
        <f>IFERROR(__xludf.DUMMYFUNCTION("""COMPUTED_VALUE"""),"")</f>
        <v/>
      </c>
      <c s="66">
        <f ca="1"/>
        <v>45257</v>
      </c>
      <c s="93" t="str">
        <f t="shared" si="45"/>
        <v/>
      </c>
      <c s="94" t="str">
        <f t="shared" si="393"/>
        <v/>
      </c>
      <c s="95" t="str">
        <f t="shared" si="418"/>
        <v/>
      </c>
      <c s="98" t="str">
        <f t="shared" si="401"/>
        <v/>
      </c>
      <c s="97" t="str">
        <f t="array" ref="DC145">IFERROR(IF(CW145="ac"+ISNUMBER(SEARCH("'",DB145))+DA145="","",IF(ISNUMBER(SEARCH("lw",DB145)),CO145+SUBSTITUTE(DB145,"lw+",""),MROUND(_xlfn.SWITCH(CW145,"sq",DA$7,"bn",DB$7,"dl",DC$7,"")*IF(DB145&gt;10,DB145/100,VLOOKUP(DB145,_rpe,SUBSTITUTE(DA145,"+","")+1,0)),IF(_xlfn.SWITCH(CW145,"sq",DA$7,"bn",DB$7,"dl",DC$7,"")&lt;IF(_uom="lbs",175,80),1.25,IF(_uom="lbs",5,2.5))))),"")</f>
        <v/>
      </c>
      <c s="70"/>
      <c s="63"/>
      <c s="97"/>
      <c s="44" t="str">
        <f>IFERROR(__xludf.DUMMYFUNCTION("IF(DC145=MAX(FILTER(DC$10:DC$199,LOOKUP(ROW(CW$10:CW$199),FILTER(ROW(CW$10:CW$199),CW$10:CW$199&lt;&gt;CW$9:CW$198))=LOOKUP(ROW(CW145),FILTER(ROW(CW$10:CW$199),CW$10:CW$199&lt;&gt;CW$9:CW$198)))),DD145,)"),"")</f>
        <v/>
      </c>
      <c s="42"/>
      <c s="63"/>
      <c s="64" t="str">
        <f t="shared" si="30"/>
        <v/>
      </c>
      <c s="65" t="str">
        <f>IFERROR(__xludf.DUMMYFUNCTION("""COMPUTED_VALUE"""),"")</f>
        <v/>
      </c>
      <c s="66">
        <f ca="1"/>
        <v>45264</v>
      </c>
      <c s="93" t="str">
        <f t="shared" si="46"/>
        <v/>
      </c>
      <c s="94" t="str">
        <f t="shared" si="394"/>
        <v/>
      </c>
      <c s="95" t="str">
        <f t="shared" si="419"/>
        <v/>
      </c>
      <c s="98" t="str">
        <f t="shared" si="420"/>
        <v/>
      </c>
      <c s="97" t="str">
        <f t="array" ref="DQ145">IFERROR(IF(DK145="ac"+ISNUMBER(SEARCH("'",DP145))+DO145="","",IF(ISNUMBER(SEARCH("lw",DP145)),DC145+SUBSTITUTE(DP145,"lw+",""),MROUND(_xlfn.SWITCH(DK145,"sq",DO$7,"bn",DP$7,"dl",DQ$7,"")*IF(DP145&gt;10,DP145/100,VLOOKUP(DP145,_rpe,SUBSTITUTE(DO145,"+","")+1,0)),IF(_xlfn.SWITCH(DK145,"sq",DO$7,"bn",DP$7,"dl",DQ$7,"")&lt;IF(_uom="lbs",175,80),1.25,IF(_uom="lbs",5,2.5))))),"")</f>
        <v/>
      </c>
      <c s="70"/>
      <c s="63"/>
      <c s="97"/>
      <c s="44" t="str">
        <f>IFERROR(__xludf.DUMMYFUNCTION("IF(DQ145=MAX(FILTER(DQ$10:DQ$199,LOOKUP(ROW(DK$10:DK$199),FILTER(ROW(DK$10:DK$199),DK$10:DK$199&lt;&gt;DK$9:DK$198))=LOOKUP(ROW(DK145),FILTER(ROW(DK$10:DK$199),DK$10:DK$199&lt;&gt;DK$9:DK$198)))),DR145,)"),"")</f>
        <v/>
      </c>
      <c s="42"/>
      <c s="63"/>
      <c s="64" t="str">
        <f t="shared" si="32"/>
        <v/>
      </c>
      <c s="65" t="str">
        <f>IFERROR(__xludf.DUMMYFUNCTION("""COMPUTED_VALUE"""),"")</f>
        <v/>
      </c>
      <c s="66">
        <f ca="1"/>
        <v>45271</v>
      </c>
      <c s="93" t="str">
        <f t="shared" si="47"/>
        <v/>
      </c>
      <c s="94" t="str">
        <f t="shared" si="405"/>
        <v/>
      </c>
      <c s="95" t="str">
        <f t="shared" si="421"/>
        <v/>
      </c>
      <c s="98" t="str">
        <f t="shared" si="422"/>
        <v/>
      </c>
      <c s="97" t="str">
        <f t="array" ref="EE145">IFERROR(IF(DY145="ac"+ISNUMBER(SEARCH("'",ED145))+EC145="","",IF(ISNUMBER(SEARCH("lw",ED145)),DQ145+SUBSTITUTE(ED145,"lw+",""),MROUND(_xlfn.SWITCH(DY145,"sq",EC$7,"bn",ED$7,"dl",EE$7,"")*IF(ED145&gt;10,ED145/100,VLOOKUP(ED145,_rpe,SUBSTITUTE(EC145,"+","")+1,0)),IF(_xlfn.SWITCH(DY145,"sq",EC$7,"bn",ED$7,"dl",EE$7,"")&lt;IF(_uom="lbs",175,80),1.25,IF(_uom="lbs",5,2.5))))),"")</f>
        <v/>
      </c>
      <c s="70"/>
      <c s="63"/>
      <c s="97"/>
      <c s="44" t="str">
        <f>IFERROR(__xludf.DUMMYFUNCTION("IF(EE145=MAX(FILTER(EE$10:EE$199,LOOKUP(ROW(DY$10:DY$199),FILTER(ROW(DY$10:DY$199),DY$10:DY$199&lt;&gt;DY$9:DY$198))=LOOKUP(ROW(DY145),FILTER(ROW(DY$10:DY$199),DY$10:DY$199&lt;&gt;DY$9:DY$198)))),EF145,)"),"")</f>
        <v/>
      </c>
      <c s="42"/>
      <c s="63"/>
      <c s="64" t="str">
        <f t="shared" si="34"/>
        <v/>
      </c>
      <c s="65" t="str">
        <f>IFERROR(__xludf.DUMMYFUNCTION("""COMPUTED_VALUE"""),"")</f>
        <v/>
      </c>
      <c s="66">
        <f ca="1"/>
        <v>45278</v>
      </c>
      <c s="93" t="str">
        <f t="shared" si="48"/>
        <v/>
      </c>
      <c s="94" t="str">
        <f t="shared" si="395"/>
        <v/>
      </c>
      <c s="95" t="str">
        <f t="shared" si="423"/>
        <v/>
      </c>
      <c s="98" t="str">
        <f t="shared" si="402"/>
        <v/>
      </c>
      <c s="97" t="str">
        <f t="array" ref="ES145">IFERROR(IF(EM145="ac"+ISNUMBER(SEARCH("'",ER145))+EQ145="","",IF(ISNUMBER(SEARCH("lw",ER145)),EE145+SUBSTITUTE(ER145,"lw+",""),MROUND(_xlfn.SWITCH(EM145,"sq",EQ$7,"bn",ER$7,"dl",ES$7,"")*IF(ER145&gt;10,ER145/100,VLOOKUP(ER145,_rpe,SUBSTITUTE(EQ145,"+","")+1,0)),IF(_xlfn.SWITCH(EM145,"sq",EQ$7,"bn",ER$7,"dl",ES$7,"")&lt;IF(_uom="lbs",175,80),1.25,IF(_uom="lbs",5,2.5))))),"")</f>
        <v/>
      </c>
      <c s="70"/>
      <c s="63"/>
      <c s="97"/>
      <c s="44" t="str">
        <f>IFERROR(__xludf.DUMMYFUNCTION("IF(ES145=MAX(FILTER(ES$10:ES$199,LOOKUP(ROW(EM$10:EM$199),FILTER(ROW(EM$10:EM$199),EM$10:EM$199&lt;&gt;EM$9:EM$198))=LOOKUP(ROW(EM145),FILTER(ROW(EM$10:EM$199),EM$10:EM$199&lt;&gt;EM$9:EM$198)))),ET145,)"),"")</f>
        <v/>
      </c>
      <c s="42"/>
      <c s="63"/>
      <c s="64" t="str">
        <f t="shared" si="36"/>
        <v/>
      </c>
      <c s="65" t="str">
        <f>IFERROR(__xludf.DUMMYFUNCTION("""COMPUTED_VALUE"""),"")</f>
        <v/>
      </c>
      <c s="66">
        <f ca="1"/>
        <v>45285</v>
      </c>
      <c s="93" t="str">
        <f t="shared" si="49"/>
        <v/>
      </c>
      <c s="94" t="str">
        <f t="shared" si="396"/>
        <v/>
      </c>
      <c s="95" t="str">
        <f t="shared" si="424"/>
        <v/>
      </c>
      <c s="98" t="str">
        <f t="shared" si="403"/>
        <v/>
      </c>
      <c s="97" t="str">
        <f t="array" ref="FG145">IFERROR(IF(FA145="ac"+ISNUMBER(SEARCH("'",FF145))+FE145="","",IF(ISNUMBER(SEARCH("lw",FF145)),ES145+SUBSTITUTE(FF145,"lw+",""),MROUND(_xlfn.SWITCH(FA145,"sq",FE$7,"bn",FF$7,"dl",FG$7,"")*IF(FF145&gt;10,FF145/100,VLOOKUP(FF145,_rpe,SUBSTITUTE(FE145,"+","")+1,0)),IF(_xlfn.SWITCH(FA145,"sq",FE$7,"bn",FF$7,"dl",FG$7,"")&lt;IF(_uom="lbs",175,80),1.25,IF(_uom="lbs",5,2.5))))),"")</f>
        <v/>
      </c>
      <c s="70"/>
      <c s="63"/>
      <c s="97"/>
      <c s="44" t="str">
        <f>IFERROR(__xludf.DUMMYFUNCTION("IF(FG145=MAX(FILTER(FG$10:FG$199,LOOKUP(ROW(FA$10:FA$199),FILTER(ROW(FA$10:FA$199),FA$10:FA$199&lt;&gt;FA$9:FA$198))=LOOKUP(ROW(FA145),FILTER(ROW(FA$10:FA$199),FA$10:FA$199&lt;&gt;FA$9:FA$198)))),FH145,)"),"")</f>
        <v/>
      </c>
      <c s="42"/>
      <c s="63"/>
      <c s="64" t="str">
        <f t="shared" si="38"/>
        <v/>
      </c>
      <c s="65" t="str">
        <f>IFERROR(__xludf.DUMMYFUNCTION("""COMPUTED_VALUE"""),"")</f>
        <v/>
      </c>
      <c s="66">
        <f ca="1"/>
        <v>45292</v>
      </c>
      <c s="93" t="str">
        <f t="shared" si="489" ref="FQ145:FR145">IF(ISBLANK(FC145),"",FC145)</f>
        <v/>
      </c>
      <c s="94" t="str">
        <f t="shared" si="489"/>
        <v/>
      </c>
      <c s="95" t="str">
        <f t="shared" si="428"/>
        <v/>
      </c>
      <c s="98" t="str">
        <f t="shared" si="429"/>
        <v/>
      </c>
      <c s="97" t="str">
        <f t="array" ref="FU145">IFERROR(IF(FO145="ac"+ISNUMBER(SEARCH("'",FT145))+FS145="","",IF(ISNUMBER(SEARCH("lw",FT145)),FG145+SUBSTITUTE(FT145,"lw+",""),MROUND(_xlfn.SWITCH(FO145,"sq",FS$7,"bn",FT$7,"dl",FU$7,"")*IF(FT145&gt;10,FT145/100,VLOOKUP(FT145,_rpe,SUBSTITUTE(FS145,"+","")+1,0)),IF(_xlfn.SWITCH(FO145,"sq",FS$7,"bn",FT$7,"dl",FU$7,"")&lt;IF(_uom="lbs",175,80),1.25,IF(_uom="lbs",5,2.5))))),"")</f>
        <v/>
      </c>
      <c s="70"/>
      <c s="63"/>
      <c s="97"/>
      <c s="44" t="str">
        <f>IFERROR(__xludf.DUMMYFUNCTION("IF(FU145=MAX(FILTER(FU$10:FU$199,LOOKUP(ROW(FO$10:FO$199),FILTER(ROW(FO$10:FO$199),FO$10:FO$199&lt;&gt;FO$9:FO$198))=LOOKUP(ROW(FO145),FILTER(ROW(FO$10:FO$199),FO$10:FO$199&lt;&gt;FO$9:FO$198)))),FV145,)"),"")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46" spans="1:259" ht="15.75">
      <c r="A146" s="63"/>
      <c s="107"/>
      <c s="65" t="str">
        <f>IFERROR(__xludf.DUMMYFUNCTION("""COMPUTED_VALUE"""),"")</f>
        <v/>
      </c>
      <c s="66">
        <f ca="1"/>
        <v>45208</v>
      </c>
      <c s="108"/>
      <c s="94"/>
      <c s="95"/>
      <c s="96"/>
      <c s="97" t="str">
        <f t="array" ref="I146">IFERROR(IF(C146="ac"+ISNUMBER(SEARCH("'",H146))+G146="","",MROUND(_xlfn.SWITCH(C146,"sq",'Personal Info'!$O$15,"bn",'Personal Info'!$S$15,"dl",'Personal Info'!$W$15,"")*IF(H146&gt;10,H146/100,VLOOKUP(H146,_rpe,SUBSTITUTE(G146,"+","")+1,0)),IF(_xlfn.SWITCH(C146:C210,"sq",'Personal Info'!$O$15,"bn",'Personal Info'!$S$15,"dl",'Personal Info'!$W$15,"")&lt;IF(_uom="lbs",175,80),1.25,IF(_uom="lbs",5,2.5)))),"")</f>
        <v/>
      </c>
      <c s="70"/>
      <c s="63"/>
      <c s="97"/>
      <c s="44" t="str">
        <f>IFERROR(__xludf.DUMMYFUNCTION("IF(I146=MAX(FILTER(I$10:I$199,LOOKUP(ROW(C$10:C$199),FILTER(ROW(C$10:C$199),C$10:C$199&lt;&gt;C$9:C$198))=LOOKUP(ROW(C146),FILTER(ROW(C$10:C$199),C$10:C$199&lt;&gt;C$9:C$198)))),J146,)"),"")</f>
        <v/>
      </c>
      <c s="42"/>
      <c s="63"/>
      <c s="64" t="str">
        <f t="shared" si="11"/>
        <v/>
      </c>
      <c s="65" t="str">
        <f>IFERROR(__xludf.DUMMYFUNCTION("""COMPUTED_VALUE"""),"")</f>
        <v/>
      </c>
      <c s="66">
        <f ca="1"/>
        <v>45215</v>
      </c>
      <c s="93" t="str">
        <f t="shared" si="12"/>
        <v/>
      </c>
      <c s="94" t="str">
        <f t="shared" si="404"/>
        <v/>
      </c>
      <c s="95" t="str">
        <f t="shared" si="406"/>
        <v/>
      </c>
      <c s="98" t="str">
        <f t="shared" si="407"/>
        <v/>
      </c>
      <c s="97" t="str">
        <f t="array" ref="W146">IFERROR(IF(Q146="ac"+ISNUMBER(SEARCH("'",V146))+U146="","",IF(ISNUMBER(SEARCH("lw",V146)),I146+SUBSTITUTE(V146,"lw+",""),MROUND(_xlfn.SWITCH(Q146,"sq",U$7,"bn",V$7,"dl",W$7,"")*IF(V146&gt;10,V146/100,VLOOKUP(V146,_rpe,SUBSTITUTE(U146,"+","")+1,0)),IF(_xlfn.SWITCH(Q146,"sq",U$7,"bn",V$7,"dl",W$7,"")&lt;IF(_uom="lbs",175,80),1.25,IF(_uom="lbs",5,2.5))))),"")</f>
        <v/>
      </c>
      <c s="70"/>
      <c s="63"/>
      <c s="97"/>
      <c s="44" t="str">
        <f>IFERROR(__xludf.DUMMYFUNCTION("IF(W146=MAX(FILTER(W$10:W$199,LOOKUP(ROW(Q$10:Q$199),FILTER(ROW(Q$10:Q$199),Q$10:Q$199&lt;&gt;Q$9:Q$198))=LOOKUP(ROW(Q146),FILTER(ROW(Q$10:Q$199),Q$10:Q$199&lt;&gt;Q$9:Q$198)))),X146,)"),"")</f>
        <v/>
      </c>
      <c s="42"/>
      <c s="63"/>
      <c s="64" t="str">
        <f t="shared" si="14"/>
        <v/>
      </c>
      <c s="65" t="str">
        <f>IFERROR(__xludf.DUMMYFUNCTION("""COMPUTED_VALUE"""),"")</f>
        <v/>
      </c>
      <c s="66">
        <f ca="1"/>
        <v>45222</v>
      </c>
      <c s="93" t="str">
        <f t="shared" si="156"/>
        <v/>
      </c>
      <c s="94" t="str">
        <f t="shared" si="397"/>
        <v/>
      </c>
      <c s="95" t="str">
        <f t="shared" si="408"/>
        <v/>
      </c>
      <c s="98" t="str">
        <f t="shared" si="398"/>
        <v/>
      </c>
      <c s="97" t="str">
        <f t="array" ref="AK146">IFERROR(IF(AE146="ac"+ISNUMBER(SEARCH("'",AJ146))+AI146="","",IF(ISNUMBER(SEARCH("lw",AJ146)),W146+SUBSTITUTE(AJ146,"lw+",""),MROUND(_xlfn.SWITCH(AE146,"sq",AI$7,"bn",AJ$7,"dl",AK$7,"")*IF(AJ146&gt;10,AJ146/100,VLOOKUP(AJ146,_rpe,SUBSTITUTE(AI146,"+","")+1,0)),IF(_xlfn.SWITCH(AE146,"sq",AI$7,"bn",AJ$7,"dl",AK$7,"")&lt;IF(_uom="lbs",175,80),1.25,IF(_uom="lbs",5,2.5))))),"")</f>
        <v/>
      </c>
      <c s="70"/>
      <c s="63"/>
      <c s="97"/>
      <c s="44" t="str">
        <f>IFERROR(__xludf.DUMMYFUNCTION("IF(AK146=MAX(FILTER(AK$10:AK$199,LOOKUP(ROW(AE$10:AE$199),FILTER(ROW(AE$10:AE$199),AE$10:AE$199&lt;&gt;AE$9:AE$198))=LOOKUP(ROW(AE146),FILTER(ROW(AE$10:AE$199),AE$10:AE$199&lt;&gt;AE$9:AE$198)))),AL146,)"),"")</f>
        <v/>
      </c>
      <c s="42"/>
      <c s="63"/>
      <c s="64" t="str">
        <f t="shared" si="17"/>
        <v/>
      </c>
      <c s="65" t="str">
        <f>IFERROR(__xludf.DUMMYFUNCTION("""COMPUTED_VALUE"""),"")</f>
        <v/>
      </c>
      <c s="66">
        <f ca="1"/>
        <v>45229</v>
      </c>
      <c s="93" t="str">
        <f t="shared" si="157"/>
        <v/>
      </c>
      <c s="94" t="str">
        <f t="shared" si="399"/>
        <v/>
      </c>
      <c s="95" t="str">
        <f t="shared" si="409"/>
        <v/>
      </c>
      <c s="98" t="str">
        <f t="shared" si="400"/>
        <v/>
      </c>
      <c s="97" t="str">
        <f t="array" ref="AY146">IFERROR(IF(AS146="ac"+ISNUMBER(SEARCH("'",AX146))+AW146="","",IF(ISNUMBER(SEARCH("lw",AX146)),AK146+SUBSTITUTE(AX146,"lw+",""),MROUND(_xlfn.SWITCH(AS146,"sq",AW$7,"bn",AX$7,"dl",AY$7,"")*IF(AX146&gt;10,AX146/100,VLOOKUP(AX146,_rpe,SUBSTITUTE(AW146,"+","")+1,0)),IF(_xlfn.SWITCH(AS146,"sq",AW$7,"bn",AX$7,"dl",AY$7,"")&lt;IF(_uom="lbs",175,80),1.25,IF(_uom="lbs",5,2.5))))),"")</f>
        <v/>
      </c>
      <c s="70"/>
      <c s="63"/>
      <c s="97"/>
      <c s="44" t="str">
        <f>IFERROR(__xludf.DUMMYFUNCTION("IF(AY146=MAX(FILTER(AY$10:AY$199,LOOKUP(ROW(AS$10:AS$199),FILTER(ROW(AS$10:AS$199),AS$10:AS$199&lt;&gt;AS$9:AS$198))=LOOKUP(ROW(AS146),FILTER(ROW(AS$10:AS$199),AS$10:AS$199&lt;&gt;AS$9:AS$198)))),AZ146,)"),"")</f>
        <v/>
      </c>
      <c s="42"/>
      <c s="63"/>
      <c s="64" t="str">
        <f t="shared" si="19"/>
        <v/>
      </c>
      <c s="65" t="str">
        <f>IFERROR(__xludf.DUMMYFUNCTION("""COMPUTED_VALUE"""),"")</f>
        <v/>
      </c>
      <c s="66">
        <f ca="1"/>
        <v>45236</v>
      </c>
      <c s="93" t="str">
        <f t="shared" si="20"/>
        <v/>
      </c>
      <c s="94" t="str">
        <f t="shared" si="425"/>
        <v/>
      </c>
      <c s="95" t="str">
        <f t="shared" si="411"/>
        <v/>
      </c>
      <c s="98" t="str">
        <f t="shared" si="412"/>
        <v/>
      </c>
      <c s="97" t="str">
        <f t="array" ref="BM146">IFERROR(IF(BG146="ac"+ISNUMBER(SEARCH("'",BL146))+BK146="","",IF(ISNUMBER(SEARCH("lw",BL146)),AY146+SUBSTITUTE(BL146,"lw+",""),MROUND(_xlfn.SWITCH(BG146,"sq",BK$7,"bn",BL$7,"dl",BM$7,"")*IF(BL146&gt;10,BL146/100,VLOOKUP(BL146,_rpe,SUBSTITUTE(BK146,"+","")+1,0)),IF(_xlfn.SWITCH(BG146,"sq",BK$7,"bn",BL$7,"dl",BM$7,"")&lt;IF(_uom="lbs",175,80),1.25,IF(_uom="lbs",5,2.5))))),"")</f>
        <v/>
      </c>
      <c s="70"/>
      <c s="63"/>
      <c s="97"/>
      <c s="44" t="str">
        <f>IFERROR(__xludf.DUMMYFUNCTION("IF(BM146=MAX(FILTER(BM$10:BM$199,LOOKUP(ROW(BG$10:BG$199),FILTER(ROW(BG$10:BG$199),BG$10:BG$199&lt;&gt;BG$9:BG$198))=LOOKUP(ROW(BG146),FILTER(ROW(BG$10:BG$199),BG$10:BG$199&lt;&gt;BG$9:BG$198)))),BN146,)"),"")</f>
        <v/>
      </c>
      <c s="42"/>
      <c s="63"/>
      <c s="64" t="str">
        <f t="shared" si="21"/>
        <v/>
      </c>
      <c s="65" t="str">
        <f>IFERROR(__xludf.DUMMYFUNCTION("""COMPUTED_VALUE"""),"")</f>
        <v/>
      </c>
      <c s="66">
        <f ca="1"/>
        <v>45243</v>
      </c>
      <c s="93" t="str">
        <f t="shared" si="22"/>
        <v/>
      </c>
      <c s="94" t="str">
        <f t="shared" si="426"/>
        <v/>
      </c>
      <c s="95" t="str">
        <f t="shared" si="414"/>
        <v/>
      </c>
      <c s="98" t="str">
        <f t="shared" si="415"/>
        <v/>
      </c>
      <c s="97" t="str">
        <f t="array" ref="CA146">IFERROR(IF(BU146="ac"+ISNUMBER(SEARCH("'",BZ146))+BY146="","",IF(ISNUMBER(SEARCH("lw",BZ146)),BM146+SUBSTITUTE(BZ146,"lw+",""),MROUND(_xlfn.SWITCH(BU146,"sq",BY$7,"bn",BZ$7,"dl",CA$7,"")*IF(BZ146&gt;10,BZ146/100,VLOOKUP(BZ146,_rpe,SUBSTITUTE(BY146,"+","")+1,0)),IF(_xlfn.SWITCH(BU146,"sq",BY$7,"bn",BZ$7,"dl",CA$7,"")&lt;IF(_uom="lbs",175,80),1.25,IF(_uom="lbs",5,2.5))))),"")</f>
        <v/>
      </c>
      <c s="70"/>
      <c s="63"/>
      <c s="97"/>
      <c s="44" t="str">
        <f>IFERROR(__xludf.DUMMYFUNCTION("IF(CA146=MAX(FILTER(CA$10:CA$199,LOOKUP(ROW(BU$10:BU$199),FILTER(ROW(BU$10:BU$199),BU$10:BU$199&lt;&gt;BU$9:BU$198))=LOOKUP(ROW(BU146),FILTER(ROW(BU$10:BU$199),BU$10:BU$199&lt;&gt;BU$9:BU$198)))),CB146,)"),"")</f>
        <v/>
      </c>
      <c s="42"/>
      <c s="63"/>
      <c s="64" t="str">
        <f t="shared" si="24"/>
        <v/>
      </c>
      <c s="65" t="str">
        <f>IFERROR(__xludf.DUMMYFUNCTION("""COMPUTED_VALUE"""),"")</f>
        <v/>
      </c>
      <c s="66">
        <f ca="1"/>
        <v>45250</v>
      </c>
      <c s="93" t="str">
        <f t="shared" si="44"/>
        <v/>
      </c>
      <c s="94" t="str">
        <f t="shared" si="392"/>
        <v/>
      </c>
      <c s="95" t="str">
        <f t="shared" si="416"/>
        <v/>
      </c>
      <c s="98" t="str">
        <f t="shared" si="417"/>
        <v/>
      </c>
      <c s="97" t="str">
        <f t="array" ref="CO146">IFERROR(IF(CI146="ac"+ISNUMBER(SEARCH("'",CN146))+CM146="","",IF(ISNUMBER(SEARCH("lw",CN146)),CA146+SUBSTITUTE(CN146,"lw+",""),MROUND(_xlfn.SWITCH(CI146,"sq",CM$7,"bn",CN$7,"dl",CO$7,"")*IF(CN146&gt;10,CN146/100,VLOOKUP(CN146,_rpe,SUBSTITUTE(CM146,"+","")+1,0)),IF(_xlfn.SWITCH(CI146,"sq",CM$7,"bn",CN$7,"dl",CO$7,"")&lt;IF(_uom="lbs",175,80),1.25,IF(_uom="lbs",5,2.5))))),"")</f>
        <v/>
      </c>
      <c s="70"/>
      <c s="63"/>
      <c s="97"/>
      <c s="44" t="str">
        <f>IFERROR(__xludf.DUMMYFUNCTION("IF(CO146=MAX(FILTER(CO$10:CO$199,LOOKUP(ROW(CI$10:CI$199),FILTER(ROW(CI$10:CI$199),CI$10:CI$199&lt;&gt;CI$9:CI$198))=LOOKUP(ROW(CI146),FILTER(ROW(CI$10:CI$199),CI$10:CI$199&lt;&gt;CI$9:CI$198)))),CP146,)"),"")</f>
        <v/>
      </c>
      <c s="42"/>
      <c s="63"/>
      <c s="64" t="str">
        <f t="shared" si="27"/>
        <v/>
      </c>
      <c s="65" t="str">
        <f>IFERROR(__xludf.DUMMYFUNCTION("""COMPUTED_VALUE"""),"")</f>
        <v/>
      </c>
      <c s="66">
        <f ca="1"/>
        <v>45257</v>
      </c>
      <c s="93" t="str">
        <f t="shared" si="45"/>
        <v/>
      </c>
      <c s="94" t="str">
        <f t="shared" si="393"/>
        <v/>
      </c>
      <c s="95" t="str">
        <f t="shared" si="418"/>
        <v/>
      </c>
      <c s="98" t="str">
        <f t="shared" si="401"/>
        <v/>
      </c>
      <c s="97" t="str">
        <f t="array" ref="DC146">IFERROR(IF(CW146="ac"+ISNUMBER(SEARCH("'",DB146))+DA146="","",IF(ISNUMBER(SEARCH("lw",DB146)),CO146+SUBSTITUTE(DB146,"lw+",""),MROUND(_xlfn.SWITCH(CW146,"sq",DA$7,"bn",DB$7,"dl",DC$7,"")*IF(DB146&gt;10,DB146/100,VLOOKUP(DB146,_rpe,SUBSTITUTE(DA146,"+","")+1,0)),IF(_xlfn.SWITCH(CW146,"sq",DA$7,"bn",DB$7,"dl",DC$7,"")&lt;IF(_uom="lbs",175,80),1.25,IF(_uom="lbs",5,2.5))))),"")</f>
        <v/>
      </c>
      <c s="70"/>
      <c s="63"/>
      <c s="97"/>
      <c s="44" t="str">
        <f>IFERROR(__xludf.DUMMYFUNCTION("IF(DC146=MAX(FILTER(DC$10:DC$199,LOOKUP(ROW(CW$10:CW$199),FILTER(ROW(CW$10:CW$199),CW$10:CW$199&lt;&gt;CW$9:CW$198))=LOOKUP(ROW(CW146),FILTER(ROW(CW$10:CW$199),CW$10:CW$199&lt;&gt;CW$9:CW$198)))),DD146,)"),"")</f>
        <v/>
      </c>
      <c s="42"/>
      <c s="63"/>
      <c s="64" t="str">
        <f t="shared" si="30"/>
        <v/>
      </c>
      <c s="65" t="str">
        <f>IFERROR(__xludf.DUMMYFUNCTION("""COMPUTED_VALUE"""),"")</f>
        <v/>
      </c>
      <c s="66">
        <f ca="1"/>
        <v>45264</v>
      </c>
      <c s="93" t="str">
        <f t="shared" si="46"/>
        <v/>
      </c>
      <c s="94" t="str">
        <f t="shared" si="394"/>
        <v/>
      </c>
      <c s="95" t="str">
        <f t="shared" si="419"/>
        <v/>
      </c>
      <c s="98" t="str">
        <f t="shared" si="420"/>
        <v/>
      </c>
      <c s="97" t="str">
        <f t="array" ref="DQ146">IFERROR(IF(DK146="ac"+ISNUMBER(SEARCH("'",DP146))+DO146="","",IF(ISNUMBER(SEARCH("lw",DP146)),DC146+SUBSTITUTE(DP146,"lw+",""),MROUND(_xlfn.SWITCH(DK146,"sq",DO$7,"bn",DP$7,"dl",DQ$7,"")*IF(DP146&gt;10,DP146/100,VLOOKUP(DP146,_rpe,SUBSTITUTE(DO146,"+","")+1,0)),IF(_xlfn.SWITCH(DK146,"sq",DO$7,"bn",DP$7,"dl",DQ$7,"")&lt;IF(_uom="lbs",175,80),1.25,IF(_uom="lbs",5,2.5))))),"")</f>
        <v/>
      </c>
      <c s="70"/>
      <c s="63"/>
      <c s="97"/>
      <c s="44" t="str">
        <f>IFERROR(__xludf.DUMMYFUNCTION("IF(DQ146=MAX(FILTER(DQ$10:DQ$199,LOOKUP(ROW(DK$10:DK$199),FILTER(ROW(DK$10:DK$199),DK$10:DK$199&lt;&gt;DK$9:DK$198))=LOOKUP(ROW(DK146),FILTER(ROW(DK$10:DK$199),DK$10:DK$199&lt;&gt;DK$9:DK$198)))),DR146,)"),"")</f>
        <v/>
      </c>
      <c s="42"/>
      <c s="63"/>
      <c s="64" t="str">
        <f t="shared" si="32"/>
        <v/>
      </c>
      <c s="65" t="str">
        <f>IFERROR(__xludf.DUMMYFUNCTION("""COMPUTED_VALUE"""),"")</f>
        <v/>
      </c>
      <c s="66">
        <f ca="1"/>
        <v>45271</v>
      </c>
      <c s="93" t="str">
        <f t="shared" si="47"/>
        <v/>
      </c>
      <c s="94" t="str">
        <f t="shared" si="405"/>
        <v/>
      </c>
      <c s="95" t="str">
        <f t="shared" si="421"/>
        <v/>
      </c>
      <c s="98" t="str">
        <f t="shared" si="422"/>
        <v/>
      </c>
      <c s="97" t="str">
        <f t="array" ref="EE146">IFERROR(IF(DY146="ac"+ISNUMBER(SEARCH("'",ED146))+EC146="","",IF(ISNUMBER(SEARCH("lw",ED146)),DQ146+SUBSTITUTE(ED146,"lw+",""),MROUND(_xlfn.SWITCH(DY146,"sq",EC$7,"bn",ED$7,"dl",EE$7,"")*IF(ED146&gt;10,ED146/100,VLOOKUP(ED146,_rpe,SUBSTITUTE(EC146,"+","")+1,0)),IF(_xlfn.SWITCH(DY146,"sq",EC$7,"bn",ED$7,"dl",EE$7,"")&lt;IF(_uom="lbs",175,80),1.25,IF(_uom="lbs",5,2.5))))),"")</f>
        <v/>
      </c>
      <c s="70"/>
      <c s="63"/>
      <c s="97"/>
      <c s="44" t="str">
        <f>IFERROR(__xludf.DUMMYFUNCTION("IF(EE146=MAX(FILTER(EE$10:EE$199,LOOKUP(ROW(DY$10:DY$199),FILTER(ROW(DY$10:DY$199),DY$10:DY$199&lt;&gt;DY$9:DY$198))=LOOKUP(ROW(DY146),FILTER(ROW(DY$10:DY$199),DY$10:DY$199&lt;&gt;DY$9:DY$198)))),EF146,)"),"")</f>
        <v/>
      </c>
      <c s="42"/>
      <c s="63"/>
      <c s="64" t="str">
        <f t="shared" si="34"/>
        <v/>
      </c>
      <c s="65" t="str">
        <f>IFERROR(__xludf.DUMMYFUNCTION("""COMPUTED_VALUE"""),"")</f>
        <v/>
      </c>
      <c s="66">
        <f ca="1"/>
        <v>45278</v>
      </c>
      <c s="93" t="str">
        <f t="shared" si="48"/>
        <v/>
      </c>
      <c s="94" t="str">
        <f t="shared" si="395"/>
        <v/>
      </c>
      <c s="95" t="str">
        <f t="shared" si="423"/>
        <v/>
      </c>
      <c s="98" t="str">
        <f t="shared" si="402"/>
        <v/>
      </c>
      <c s="97" t="str">
        <f t="array" ref="ES146">IFERROR(IF(EM146="ac"+ISNUMBER(SEARCH("'",ER146))+EQ146="","",IF(ISNUMBER(SEARCH("lw",ER146)),EE146+SUBSTITUTE(ER146,"lw+",""),MROUND(_xlfn.SWITCH(EM146,"sq",EQ$7,"bn",ER$7,"dl",ES$7,"")*IF(ER146&gt;10,ER146/100,VLOOKUP(ER146,_rpe,SUBSTITUTE(EQ146,"+","")+1,0)),IF(_xlfn.SWITCH(EM146,"sq",EQ$7,"bn",ER$7,"dl",ES$7,"")&lt;IF(_uom="lbs",175,80),1.25,IF(_uom="lbs",5,2.5))))),"")</f>
        <v/>
      </c>
      <c s="70"/>
      <c s="63"/>
      <c s="97"/>
      <c s="44" t="str">
        <f>IFERROR(__xludf.DUMMYFUNCTION("IF(ES146=MAX(FILTER(ES$10:ES$199,LOOKUP(ROW(EM$10:EM$199),FILTER(ROW(EM$10:EM$199),EM$10:EM$199&lt;&gt;EM$9:EM$198))=LOOKUP(ROW(EM146),FILTER(ROW(EM$10:EM$199),EM$10:EM$199&lt;&gt;EM$9:EM$198)))),ET146,)"),"")</f>
        <v/>
      </c>
      <c s="42"/>
      <c s="63"/>
      <c s="64" t="str">
        <f t="shared" si="36"/>
        <v/>
      </c>
      <c s="65" t="str">
        <f>IFERROR(__xludf.DUMMYFUNCTION("""COMPUTED_VALUE"""),"")</f>
        <v/>
      </c>
      <c s="66">
        <f ca="1"/>
        <v>45285</v>
      </c>
      <c s="93" t="str">
        <f t="shared" si="49"/>
        <v/>
      </c>
      <c s="94" t="str">
        <f t="shared" si="396"/>
        <v/>
      </c>
      <c s="95" t="str">
        <f t="shared" si="424"/>
        <v/>
      </c>
      <c s="98" t="str">
        <f t="shared" si="403"/>
        <v/>
      </c>
      <c s="97" t="str">
        <f t="array" ref="FG146">IFERROR(IF(FA146="ac"+ISNUMBER(SEARCH("'",FF146))+FE146="","",IF(ISNUMBER(SEARCH("lw",FF146)),ES146+SUBSTITUTE(FF146,"lw+",""),MROUND(_xlfn.SWITCH(FA146,"sq",FE$7,"bn",FF$7,"dl",FG$7,"")*IF(FF146&gt;10,FF146/100,VLOOKUP(FF146,_rpe,SUBSTITUTE(FE146,"+","")+1,0)),IF(_xlfn.SWITCH(FA146,"sq",FE$7,"bn",FF$7,"dl",FG$7,"")&lt;IF(_uom="lbs",175,80),1.25,IF(_uom="lbs",5,2.5))))),"")</f>
        <v/>
      </c>
      <c s="70"/>
      <c s="63"/>
      <c s="97"/>
      <c s="44" t="str">
        <f>IFERROR(__xludf.DUMMYFUNCTION("IF(FG146=MAX(FILTER(FG$10:FG$199,LOOKUP(ROW(FA$10:FA$199),FILTER(ROW(FA$10:FA$199),FA$10:FA$199&lt;&gt;FA$9:FA$198))=LOOKUP(ROW(FA146),FILTER(ROW(FA$10:FA$199),FA$10:FA$199&lt;&gt;FA$9:FA$198)))),FH146,)"),"")</f>
        <v/>
      </c>
      <c s="42"/>
      <c s="63"/>
      <c s="64" t="str">
        <f t="shared" si="38"/>
        <v/>
      </c>
      <c s="65" t="str">
        <f>IFERROR(__xludf.DUMMYFUNCTION("""COMPUTED_VALUE"""),"")</f>
        <v/>
      </c>
      <c s="66">
        <f ca="1"/>
        <v>45292</v>
      </c>
      <c s="93" t="str">
        <f t="shared" si="490" ref="FQ146:FR146">IF(ISBLANK(FC146),"",FC146)</f>
        <v/>
      </c>
      <c s="94" t="str">
        <f t="shared" si="490"/>
        <v/>
      </c>
      <c s="95" t="str">
        <f t="shared" si="428"/>
        <v/>
      </c>
      <c s="98" t="str">
        <f t="shared" si="429"/>
        <v/>
      </c>
      <c s="97" t="str">
        <f t="array" ref="FU146">IFERROR(IF(FO146="ac"+ISNUMBER(SEARCH("'",FT146))+FS146="","",IF(ISNUMBER(SEARCH("lw",FT146)),FG146+SUBSTITUTE(FT146,"lw+",""),MROUND(_xlfn.SWITCH(FO146,"sq",FS$7,"bn",FT$7,"dl",FU$7,"")*IF(FT146&gt;10,FT146/100,VLOOKUP(FT146,_rpe,SUBSTITUTE(FS146,"+","")+1,0)),IF(_xlfn.SWITCH(FO146,"sq",FS$7,"bn",FT$7,"dl",FU$7,"")&lt;IF(_uom="lbs",175,80),1.25,IF(_uom="lbs",5,2.5))))),"")</f>
        <v/>
      </c>
      <c s="70"/>
      <c s="63"/>
      <c s="97"/>
      <c s="44" t="str">
        <f>IFERROR(__xludf.DUMMYFUNCTION("IF(FU146=MAX(FILTER(FU$10:FU$199,LOOKUP(ROW(FO$10:FO$199),FILTER(ROW(FO$10:FO$199),FO$10:FO$199&lt;&gt;FO$9:FO$198))=LOOKUP(ROW(FO146),FILTER(ROW(FO$10:FO$199),FO$10:FO$199&lt;&gt;FO$9:FO$198)))),FV146,)"),"")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47" spans="1:259" ht="15.75">
      <c r="A147" s="63"/>
      <c s="107"/>
      <c s="65" t="str">
        <f>IFERROR(__xludf.DUMMYFUNCTION("""COMPUTED_VALUE"""),"")</f>
        <v/>
      </c>
      <c s="66">
        <f ca="1"/>
        <v>45208</v>
      </c>
      <c s="108"/>
      <c s="94"/>
      <c s="95"/>
      <c s="96"/>
      <c s="97" t="str">
        <f t="array" ref="I147">IFERROR(IF(C147="ac"+ISNUMBER(SEARCH("'",H147))+G147="","",MROUND(_xlfn.SWITCH(C147,"sq",'Personal Info'!$O$15,"bn",'Personal Info'!$S$15,"dl",'Personal Info'!$W$15,"")*IF(H147&gt;10,H147/100,VLOOKUP(H147,_rpe,SUBSTITUTE(G147,"+","")+1,0)),IF(_xlfn.SWITCH(C147:C210,"sq",'Personal Info'!$O$15,"bn",'Personal Info'!$S$15,"dl",'Personal Info'!$W$15,"")&lt;IF(_uom="lbs",175,80),1.25,IF(_uom="lbs",5,2.5)))),"")</f>
        <v/>
      </c>
      <c s="70"/>
      <c s="63"/>
      <c s="97"/>
      <c s="44" t="str">
        <f>IFERROR(__xludf.DUMMYFUNCTION("IF(I147=MAX(FILTER(I$10:I$199,LOOKUP(ROW(C$10:C$199),FILTER(ROW(C$10:C$199),C$10:C$199&lt;&gt;C$9:C$198))=LOOKUP(ROW(C147),FILTER(ROW(C$10:C$199),C$10:C$199&lt;&gt;C$9:C$198)))),J147,)"),"")</f>
        <v/>
      </c>
      <c s="42"/>
      <c s="63"/>
      <c s="64" t="str">
        <f t="shared" si="11"/>
        <v/>
      </c>
      <c s="65" t="str">
        <f>IFERROR(__xludf.DUMMYFUNCTION("""COMPUTED_VALUE"""),"")</f>
        <v/>
      </c>
      <c s="66">
        <f ca="1"/>
        <v>45215</v>
      </c>
      <c s="93" t="str">
        <f t="shared" si="12"/>
        <v/>
      </c>
      <c s="94" t="str">
        <f t="shared" si="404"/>
        <v/>
      </c>
      <c s="95" t="str">
        <f t="shared" si="406"/>
        <v/>
      </c>
      <c s="98" t="str">
        <f t="shared" si="407"/>
        <v/>
      </c>
      <c s="97" t="str">
        <f t="array" ref="W147">IFERROR(IF(Q147="ac"+ISNUMBER(SEARCH("'",V147))+U147="","",IF(ISNUMBER(SEARCH("lw",V147)),I147+SUBSTITUTE(V147,"lw+",""),MROUND(_xlfn.SWITCH(Q147,"sq",U$7,"bn",V$7,"dl",W$7,"")*IF(V147&gt;10,V147/100,VLOOKUP(V147,_rpe,SUBSTITUTE(U147,"+","")+1,0)),IF(_xlfn.SWITCH(Q147,"sq",U$7,"bn",V$7,"dl",W$7,"")&lt;IF(_uom="lbs",175,80),1.25,IF(_uom="lbs",5,2.5))))),"")</f>
        <v/>
      </c>
      <c s="70"/>
      <c s="63"/>
      <c s="97"/>
      <c s="44" t="str">
        <f>IFERROR(__xludf.DUMMYFUNCTION("IF(W147=MAX(FILTER(W$10:W$199,LOOKUP(ROW(Q$10:Q$199),FILTER(ROW(Q$10:Q$199),Q$10:Q$199&lt;&gt;Q$9:Q$198))=LOOKUP(ROW(Q147),FILTER(ROW(Q$10:Q$199),Q$10:Q$199&lt;&gt;Q$9:Q$198)))),X147,)"),"")</f>
        <v/>
      </c>
      <c s="42"/>
      <c s="63"/>
      <c s="64" t="str">
        <f t="shared" si="14"/>
        <v/>
      </c>
      <c s="65" t="str">
        <f>IFERROR(__xludf.DUMMYFUNCTION("""COMPUTED_VALUE"""),"")</f>
        <v/>
      </c>
      <c s="66">
        <f ca="1"/>
        <v>45222</v>
      </c>
      <c s="93" t="str">
        <f t="shared" si="156"/>
        <v/>
      </c>
      <c s="94" t="str">
        <f t="shared" si="397"/>
        <v/>
      </c>
      <c s="95" t="str">
        <f t="shared" si="408"/>
        <v/>
      </c>
      <c s="98" t="str">
        <f t="shared" si="398"/>
        <v/>
      </c>
      <c s="97" t="str">
        <f t="array" ref="AK147">IFERROR(IF(AE147="ac"+ISNUMBER(SEARCH("'",AJ147))+AI147="","",IF(ISNUMBER(SEARCH("lw",AJ147)),W147+SUBSTITUTE(AJ147,"lw+",""),MROUND(_xlfn.SWITCH(AE147,"sq",AI$7,"bn",AJ$7,"dl",AK$7,"")*IF(AJ147&gt;10,AJ147/100,VLOOKUP(AJ147,_rpe,SUBSTITUTE(AI147,"+","")+1,0)),IF(_xlfn.SWITCH(AE147,"sq",AI$7,"bn",AJ$7,"dl",AK$7,"")&lt;IF(_uom="lbs",175,80),1.25,IF(_uom="lbs",5,2.5))))),"")</f>
        <v/>
      </c>
      <c s="70"/>
      <c s="63"/>
      <c s="97"/>
      <c s="44" t="str">
        <f>IFERROR(__xludf.DUMMYFUNCTION("IF(AK147=MAX(FILTER(AK$10:AK$199,LOOKUP(ROW(AE$10:AE$199),FILTER(ROW(AE$10:AE$199),AE$10:AE$199&lt;&gt;AE$9:AE$198))=LOOKUP(ROW(AE147),FILTER(ROW(AE$10:AE$199),AE$10:AE$199&lt;&gt;AE$9:AE$198)))),AL147,)"),"")</f>
        <v/>
      </c>
      <c s="42"/>
      <c s="63"/>
      <c s="64" t="str">
        <f t="shared" si="17"/>
        <v/>
      </c>
      <c s="65" t="str">
        <f>IFERROR(__xludf.DUMMYFUNCTION("""COMPUTED_VALUE"""),"")</f>
        <v/>
      </c>
      <c s="66">
        <f ca="1"/>
        <v>45229</v>
      </c>
      <c s="93" t="str">
        <f t="shared" si="157"/>
        <v/>
      </c>
      <c s="94" t="str">
        <f t="shared" si="399"/>
        <v/>
      </c>
      <c s="95" t="str">
        <f t="shared" si="409"/>
        <v/>
      </c>
      <c s="98" t="str">
        <f t="shared" si="400"/>
        <v/>
      </c>
      <c s="97" t="str">
        <f t="array" ref="AY147">IFERROR(IF(AS147="ac"+ISNUMBER(SEARCH("'",AX147))+AW147="","",IF(ISNUMBER(SEARCH("lw",AX147)),AK147+SUBSTITUTE(AX147,"lw+",""),MROUND(_xlfn.SWITCH(AS147,"sq",AW$7,"bn",AX$7,"dl",AY$7,"")*IF(AX147&gt;10,AX147/100,VLOOKUP(AX147,_rpe,SUBSTITUTE(AW147,"+","")+1,0)),IF(_xlfn.SWITCH(AS147,"sq",AW$7,"bn",AX$7,"dl",AY$7,"")&lt;IF(_uom="lbs",175,80),1.25,IF(_uom="lbs",5,2.5))))),"")</f>
        <v/>
      </c>
      <c s="70"/>
      <c s="63"/>
      <c s="97"/>
      <c s="44" t="str">
        <f>IFERROR(__xludf.DUMMYFUNCTION("IF(AY147=MAX(FILTER(AY$10:AY$199,LOOKUP(ROW(AS$10:AS$199),FILTER(ROW(AS$10:AS$199),AS$10:AS$199&lt;&gt;AS$9:AS$198))=LOOKUP(ROW(AS147),FILTER(ROW(AS$10:AS$199),AS$10:AS$199&lt;&gt;AS$9:AS$198)))),AZ147,)"),"")</f>
        <v/>
      </c>
      <c s="42"/>
      <c s="63"/>
      <c s="64" t="str">
        <f t="shared" si="19"/>
        <v/>
      </c>
      <c s="65" t="str">
        <f>IFERROR(__xludf.DUMMYFUNCTION("""COMPUTED_VALUE"""),"")</f>
        <v/>
      </c>
      <c s="66">
        <f ca="1"/>
        <v>45236</v>
      </c>
      <c s="93" t="str">
        <f t="shared" si="20"/>
        <v/>
      </c>
      <c s="94" t="str">
        <f t="shared" si="425"/>
        <v/>
      </c>
      <c s="95" t="str">
        <f t="shared" si="411"/>
        <v/>
      </c>
      <c s="98" t="str">
        <f t="shared" si="412"/>
        <v/>
      </c>
      <c s="97" t="str">
        <f t="array" ref="BM147">IFERROR(IF(BG147="ac"+ISNUMBER(SEARCH("'",BL147))+BK147="","",IF(ISNUMBER(SEARCH("lw",BL147)),AY147+SUBSTITUTE(BL147,"lw+",""),MROUND(_xlfn.SWITCH(BG147,"sq",BK$7,"bn",BL$7,"dl",BM$7,"")*IF(BL147&gt;10,BL147/100,VLOOKUP(BL147,_rpe,SUBSTITUTE(BK147,"+","")+1,0)),IF(_xlfn.SWITCH(BG147,"sq",BK$7,"bn",BL$7,"dl",BM$7,"")&lt;IF(_uom="lbs",175,80),1.25,IF(_uom="lbs",5,2.5))))),"")</f>
        <v/>
      </c>
      <c s="70"/>
      <c s="63"/>
      <c s="97"/>
      <c s="44" t="str">
        <f>IFERROR(__xludf.DUMMYFUNCTION("IF(BM147=MAX(FILTER(BM$10:BM$199,LOOKUP(ROW(BG$10:BG$199),FILTER(ROW(BG$10:BG$199),BG$10:BG$199&lt;&gt;BG$9:BG$198))=LOOKUP(ROW(BG147),FILTER(ROW(BG$10:BG$199),BG$10:BG$199&lt;&gt;BG$9:BG$198)))),BN147,)"),"")</f>
        <v/>
      </c>
      <c s="42"/>
      <c s="63"/>
      <c s="64" t="str">
        <f t="shared" si="21"/>
        <v/>
      </c>
      <c s="65" t="str">
        <f>IFERROR(__xludf.DUMMYFUNCTION("""COMPUTED_VALUE"""),"")</f>
        <v/>
      </c>
      <c s="66">
        <f ca="1"/>
        <v>45243</v>
      </c>
      <c s="93" t="str">
        <f t="shared" si="22"/>
        <v/>
      </c>
      <c s="94" t="str">
        <f t="shared" si="426"/>
        <v/>
      </c>
      <c s="95" t="str">
        <f t="shared" si="414"/>
        <v/>
      </c>
      <c s="98" t="str">
        <f t="shared" si="415"/>
        <v/>
      </c>
      <c s="97" t="str">
        <f t="array" ref="CA147">IFERROR(IF(BU147="ac"+ISNUMBER(SEARCH("'",BZ147))+BY147="","",IF(ISNUMBER(SEARCH("lw",BZ147)),BM147+SUBSTITUTE(BZ147,"lw+",""),MROUND(_xlfn.SWITCH(BU147,"sq",BY$7,"bn",BZ$7,"dl",CA$7,"")*IF(BZ147&gt;10,BZ147/100,VLOOKUP(BZ147,_rpe,SUBSTITUTE(BY147,"+","")+1,0)),IF(_xlfn.SWITCH(BU147,"sq",BY$7,"bn",BZ$7,"dl",CA$7,"")&lt;IF(_uom="lbs",175,80),1.25,IF(_uom="lbs",5,2.5))))),"")</f>
        <v/>
      </c>
      <c s="70"/>
      <c s="63"/>
      <c s="97"/>
      <c s="44" t="str">
        <f>IFERROR(__xludf.DUMMYFUNCTION("IF(CA147=MAX(FILTER(CA$10:CA$199,LOOKUP(ROW(BU$10:BU$199),FILTER(ROW(BU$10:BU$199),BU$10:BU$199&lt;&gt;BU$9:BU$198))=LOOKUP(ROW(BU147),FILTER(ROW(BU$10:BU$199),BU$10:BU$199&lt;&gt;BU$9:BU$198)))),CB147,)"),"")</f>
        <v/>
      </c>
      <c s="42"/>
      <c s="63"/>
      <c s="64" t="str">
        <f t="shared" si="24"/>
        <v/>
      </c>
      <c s="65" t="str">
        <f>IFERROR(__xludf.DUMMYFUNCTION("""COMPUTED_VALUE"""),"")</f>
        <v/>
      </c>
      <c s="66">
        <f ca="1"/>
        <v>45250</v>
      </c>
      <c s="93" t="str">
        <f t="shared" si="44"/>
        <v/>
      </c>
      <c s="94" t="str">
        <f t="shared" si="392"/>
        <v/>
      </c>
      <c s="95" t="str">
        <f t="shared" si="416"/>
        <v/>
      </c>
      <c s="98" t="str">
        <f t="shared" si="417"/>
        <v/>
      </c>
      <c s="97" t="str">
        <f t="array" ref="CO147">IFERROR(IF(CI147="ac"+ISNUMBER(SEARCH("'",CN147))+CM147="","",IF(ISNUMBER(SEARCH("lw",CN147)),CA147+SUBSTITUTE(CN147,"lw+",""),MROUND(_xlfn.SWITCH(CI147,"sq",CM$7,"bn",CN$7,"dl",CO$7,"")*IF(CN147&gt;10,CN147/100,VLOOKUP(CN147,_rpe,SUBSTITUTE(CM147,"+","")+1,0)),IF(_xlfn.SWITCH(CI147,"sq",CM$7,"bn",CN$7,"dl",CO$7,"")&lt;IF(_uom="lbs",175,80),1.25,IF(_uom="lbs",5,2.5))))),"")</f>
        <v/>
      </c>
      <c s="70"/>
      <c s="63"/>
      <c s="97"/>
      <c s="44" t="str">
        <f>IFERROR(__xludf.DUMMYFUNCTION("IF(CO147=MAX(FILTER(CO$10:CO$199,LOOKUP(ROW(CI$10:CI$199),FILTER(ROW(CI$10:CI$199),CI$10:CI$199&lt;&gt;CI$9:CI$198))=LOOKUP(ROW(CI147),FILTER(ROW(CI$10:CI$199),CI$10:CI$199&lt;&gt;CI$9:CI$198)))),CP147,)"),"")</f>
        <v/>
      </c>
      <c s="42"/>
      <c s="63"/>
      <c s="64" t="str">
        <f t="shared" si="27"/>
        <v/>
      </c>
      <c s="65" t="str">
        <f>IFERROR(__xludf.DUMMYFUNCTION("""COMPUTED_VALUE"""),"")</f>
        <v/>
      </c>
      <c s="66">
        <f ca="1"/>
        <v>45257</v>
      </c>
      <c s="93" t="str">
        <f t="shared" si="45"/>
        <v/>
      </c>
      <c s="94" t="str">
        <f t="shared" si="393"/>
        <v/>
      </c>
      <c s="95" t="str">
        <f t="shared" si="418"/>
        <v/>
      </c>
      <c s="98" t="str">
        <f t="shared" si="401"/>
        <v/>
      </c>
      <c s="97" t="str">
        <f t="array" ref="DC147">IFERROR(IF(CW147="ac"+ISNUMBER(SEARCH("'",DB147))+DA147="","",IF(ISNUMBER(SEARCH("lw",DB147)),CO147+SUBSTITUTE(DB147,"lw+",""),MROUND(_xlfn.SWITCH(CW147,"sq",DA$7,"bn",DB$7,"dl",DC$7,"")*IF(DB147&gt;10,DB147/100,VLOOKUP(DB147,_rpe,SUBSTITUTE(DA147,"+","")+1,0)),IF(_xlfn.SWITCH(CW147,"sq",DA$7,"bn",DB$7,"dl",DC$7,"")&lt;IF(_uom="lbs",175,80),1.25,IF(_uom="lbs",5,2.5))))),"")</f>
        <v/>
      </c>
      <c s="70"/>
      <c s="63"/>
      <c s="97"/>
      <c s="44" t="str">
        <f>IFERROR(__xludf.DUMMYFUNCTION("IF(DC147=MAX(FILTER(DC$10:DC$199,LOOKUP(ROW(CW$10:CW$199),FILTER(ROW(CW$10:CW$199),CW$10:CW$199&lt;&gt;CW$9:CW$198))=LOOKUP(ROW(CW147),FILTER(ROW(CW$10:CW$199),CW$10:CW$199&lt;&gt;CW$9:CW$198)))),DD147,)"),"")</f>
        <v/>
      </c>
      <c s="42"/>
      <c s="63"/>
      <c s="64" t="str">
        <f t="shared" si="30"/>
        <v/>
      </c>
      <c s="65" t="str">
        <f>IFERROR(__xludf.DUMMYFUNCTION("""COMPUTED_VALUE"""),"")</f>
        <v/>
      </c>
      <c s="66">
        <f ca="1"/>
        <v>45264</v>
      </c>
      <c s="93" t="str">
        <f t="shared" si="46"/>
        <v/>
      </c>
      <c s="94" t="str">
        <f t="shared" si="394"/>
        <v/>
      </c>
      <c s="95" t="str">
        <f t="shared" si="419"/>
        <v/>
      </c>
      <c s="98" t="str">
        <f t="shared" si="420"/>
        <v/>
      </c>
      <c s="97" t="str">
        <f t="array" ref="DQ147">IFERROR(IF(DK147="ac"+ISNUMBER(SEARCH("'",DP147))+DO147="","",IF(ISNUMBER(SEARCH("lw",DP147)),DC147+SUBSTITUTE(DP147,"lw+",""),MROUND(_xlfn.SWITCH(DK147,"sq",DO$7,"bn",DP$7,"dl",DQ$7,"")*IF(DP147&gt;10,DP147/100,VLOOKUP(DP147,_rpe,SUBSTITUTE(DO147,"+","")+1,0)),IF(_xlfn.SWITCH(DK147,"sq",DO$7,"bn",DP$7,"dl",DQ$7,"")&lt;IF(_uom="lbs",175,80),1.25,IF(_uom="lbs",5,2.5))))),"")</f>
        <v/>
      </c>
      <c s="70"/>
      <c s="63"/>
      <c s="97"/>
      <c s="44" t="str">
        <f>IFERROR(__xludf.DUMMYFUNCTION("IF(DQ147=MAX(FILTER(DQ$10:DQ$199,LOOKUP(ROW(DK$10:DK$199),FILTER(ROW(DK$10:DK$199),DK$10:DK$199&lt;&gt;DK$9:DK$198))=LOOKUP(ROW(DK147),FILTER(ROW(DK$10:DK$199),DK$10:DK$199&lt;&gt;DK$9:DK$198)))),DR147,)"),"")</f>
        <v/>
      </c>
      <c s="42"/>
      <c s="63"/>
      <c s="64" t="str">
        <f t="shared" si="32"/>
        <v/>
      </c>
      <c s="65" t="str">
        <f>IFERROR(__xludf.DUMMYFUNCTION("""COMPUTED_VALUE"""),"")</f>
        <v/>
      </c>
      <c s="66">
        <f ca="1"/>
        <v>45271</v>
      </c>
      <c s="93" t="str">
        <f t="shared" si="47"/>
        <v/>
      </c>
      <c s="94" t="str">
        <f t="shared" si="405"/>
        <v/>
      </c>
      <c s="95" t="str">
        <f t="shared" si="421"/>
        <v/>
      </c>
      <c s="98" t="str">
        <f t="shared" si="422"/>
        <v/>
      </c>
      <c s="97" t="str">
        <f t="array" ref="EE147">IFERROR(IF(DY147="ac"+ISNUMBER(SEARCH("'",ED147))+EC147="","",IF(ISNUMBER(SEARCH("lw",ED147)),DQ147+SUBSTITUTE(ED147,"lw+",""),MROUND(_xlfn.SWITCH(DY147,"sq",EC$7,"bn",ED$7,"dl",EE$7,"")*IF(ED147&gt;10,ED147/100,VLOOKUP(ED147,_rpe,SUBSTITUTE(EC147,"+","")+1,0)),IF(_xlfn.SWITCH(DY147,"sq",EC$7,"bn",ED$7,"dl",EE$7,"")&lt;IF(_uom="lbs",175,80),1.25,IF(_uom="lbs",5,2.5))))),"")</f>
        <v/>
      </c>
      <c s="70"/>
      <c s="63"/>
      <c s="97"/>
      <c s="44" t="str">
        <f>IFERROR(__xludf.DUMMYFUNCTION("IF(EE147=MAX(FILTER(EE$10:EE$199,LOOKUP(ROW(DY$10:DY$199),FILTER(ROW(DY$10:DY$199),DY$10:DY$199&lt;&gt;DY$9:DY$198))=LOOKUP(ROW(DY147),FILTER(ROW(DY$10:DY$199),DY$10:DY$199&lt;&gt;DY$9:DY$198)))),EF147,)"),"")</f>
        <v/>
      </c>
      <c s="42"/>
      <c s="63"/>
      <c s="64" t="str">
        <f t="shared" si="34"/>
        <v/>
      </c>
      <c s="65" t="str">
        <f>IFERROR(__xludf.DUMMYFUNCTION("""COMPUTED_VALUE"""),"")</f>
        <v/>
      </c>
      <c s="66">
        <f ca="1"/>
        <v>45278</v>
      </c>
      <c s="93" t="str">
        <f t="shared" si="48"/>
        <v/>
      </c>
      <c s="94" t="str">
        <f t="shared" si="395"/>
        <v/>
      </c>
      <c s="95" t="str">
        <f t="shared" si="423"/>
        <v/>
      </c>
      <c s="98" t="str">
        <f t="shared" si="402"/>
        <v/>
      </c>
      <c s="97" t="str">
        <f t="array" ref="ES147">IFERROR(IF(EM147="ac"+ISNUMBER(SEARCH("'",ER147))+EQ147="","",IF(ISNUMBER(SEARCH("lw",ER147)),EE147+SUBSTITUTE(ER147,"lw+",""),MROUND(_xlfn.SWITCH(EM147,"sq",EQ$7,"bn",ER$7,"dl",ES$7,"")*IF(ER147&gt;10,ER147/100,VLOOKUP(ER147,_rpe,SUBSTITUTE(EQ147,"+","")+1,0)),IF(_xlfn.SWITCH(EM147,"sq",EQ$7,"bn",ER$7,"dl",ES$7,"")&lt;IF(_uom="lbs",175,80),1.25,IF(_uom="lbs",5,2.5))))),"")</f>
        <v/>
      </c>
      <c s="70"/>
      <c s="63"/>
      <c s="97"/>
      <c s="44" t="str">
        <f>IFERROR(__xludf.DUMMYFUNCTION("IF(ES147=MAX(FILTER(ES$10:ES$199,LOOKUP(ROW(EM$10:EM$199),FILTER(ROW(EM$10:EM$199),EM$10:EM$199&lt;&gt;EM$9:EM$198))=LOOKUP(ROW(EM147),FILTER(ROW(EM$10:EM$199),EM$10:EM$199&lt;&gt;EM$9:EM$198)))),ET147,)"),"")</f>
        <v/>
      </c>
      <c s="42"/>
      <c s="63"/>
      <c s="64" t="str">
        <f t="shared" si="36"/>
        <v/>
      </c>
      <c s="65" t="str">
        <f>IFERROR(__xludf.DUMMYFUNCTION("""COMPUTED_VALUE"""),"")</f>
        <v/>
      </c>
      <c s="66">
        <f ca="1"/>
        <v>45285</v>
      </c>
      <c s="93" t="str">
        <f t="shared" si="49"/>
        <v/>
      </c>
      <c s="94" t="str">
        <f t="shared" si="396"/>
        <v/>
      </c>
      <c s="95" t="str">
        <f t="shared" si="424"/>
        <v/>
      </c>
      <c s="98" t="str">
        <f t="shared" si="403"/>
        <v/>
      </c>
      <c s="97" t="str">
        <f t="array" ref="FG147">IFERROR(IF(FA147="ac"+ISNUMBER(SEARCH("'",FF147))+FE147="","",IF(ISNUMBER(SEARCH("lw",FF147)),ES147+SUBSTITUTE(FF147,"lw+",""),MROUND(_xlfn.SWITCH(FA147,"sq",FE$7,"bn",FF$7,"dl",FG$7,"")*IF(FF147&gt;10,FF147/100,VLOOKUP(FF147,_rpe,SUBSTITUTE(FE147,"+","")+1,0)),IF(_xlfn.SWITCH(FA147,"sq",FE$7,"bn",FF$7,"dl",FG$7,"")&lt;IF(_uom="lbs",175,80),1.25,IF(_uom="lbs",5,2.5))))),"")</f>
        <v/>
      </c>
      <c s="70"/>
      <c s="63"/>
      <c s="97"/>
      <c s="44" t="str">
        <f>IFERROR(__xludf.DUMMYFUNCTION("IF(FG147=MAX(FILTER(FG$10:FG$199,LOOKUP(ROW(FA$10:FA$199),FILTER(ROW(FA$10:FA$199),FA$10:FA$199&lt;&gt;FA$9:FA$198))=LOOKUP(ROW(FA147),FILTER(ROW(FA$10:FA$199),FA$10:FA$199&lt;&gt;FA$9:FA$198)))),FH147,)"),"")</f>
        <v/>
      </c>
      <c s="42"/>
      <c s="63"/>
      <c s="64" t="str">
        <f t="shared" si="38"/>
        <v/>
      </c>
      <c s="65" t="str">
        <f>IFERROR(__xludf.DUMMYFUNCTION("""COMPUTED_VALUE"""),"")</f>
        <v/>
      </c>
      <c s="66">
        <f ca="1"/>
        <v>45292</v>
      </c>
      <c s="93" t="str">
        <f t="shared" si="491" ref="FQ147:FR147">IF(ISBLANK(FC147),"",FC147)</f>
        <v/>
      </c>
      <c s="94" t="str">
        <f t="shared" si="491"/>
        <v/>
      </c>
      <c s="95" t="str">
        <f t="shared" si="428"/>
        <v/>
      </c>
      <c s="98" t="str">
        <f t="shared" si="429"/>
        <v/>
      </c>
      <c s="97" t="str">
        <f t="array" ref="FU147">IFERROR(IF(FO147="ac"+ISNUMBER(SEARCH("'",FT147))+FS147="","",IF(ISNUMBER(SEARCH("lw",FT147)),FG147+SUBSTITUTE(FT147,"lw+",""),MROUND(_xlfn.SWITCH(FO147,"sq",FS$7,"bn",FT$7,"dl",FU$7,"")*IF(FT147&gt;10,FT147/100,VLOOKUP(FT147,_rpe,SUBSTITUTE(FS147,"+","")+1,0)),IF(_xlfn.SWITCH(FO147,"sq",FS$7,"bn",FT$7,"dl",FU$7,"")&lt;IF(_uom="lbs",175,80),1.25,IF(_uom="lbs",5,2.5))))),"")</f>
        <v/>
      </c>
      <c s="70"/>
      <c s="63"/>
      <c s="97"/>
      <c s="44" t="str">
        <f>IFERROR(__xludf.DUMMYFUNCTION("IF(FU147=MAX(FILTER(FU$10:FU$199,LOOKUP(ROW(FO$10:FO$199),FILTER(ROW(FO$10:FO$199),FO$10:FO$199&lt;&gt;FO$9:FO$198))=LOOKUP(ROW(FO147),FILTER(ROW(FO$10:FO$199),FO$10:FO$199&lt;&gt;FO$9:FO$198)))),FV147,)"),"")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48" spans="1:259" ht="15.75">
      <c r="A148" s="63"/>
      <c s="107"/>
      <c s="65" t="str">
        <f>IFERROR(__xludf.DUMMYFUNCTION("""COMPUTED_VALUE"""),"")</f>
        <v/>
      </c>
      <c s="66">
        <f ca="1"/>
        <v>45208</v>
      </c>
      <c s="108"/>
      <c s="94"/>
      <c s="95"/>
      <c s="96"/>
      <c s="97" t="str">
        <f t="array" ref="I148">IFERROR(IF(C148="ac"+ISNUMBER(SEARCH("'",H148))+G148="","",MROUND(_xlfn.SWITCH(C148,"sq",'Personal Info'!$O$15,"bn",'Personal Info'!$S$15,"dl",'Personal Info'!$W$15,"")*IF(H148&gt;10,H148/100,VLOOKUP(H148,_rpe,SUBSTITUTE(G148,"+","")+1,0)),IF(_xlfn.SWITCH(C148:C210,"sq",'Personal Info'!$O$15,"bn",'Personal Info'!$S$15,"dl",'Personal Info'!$W$15,"")&lt;IF(_uom="lbs",175,80),1.25,IF(_uom="lbs",5,2.5)))),"")</f>
        <v/>
      </c>
      <c s="70"/>
      <c s="63"/>
      <c s="97"/>
      <c s="44" t="str">
        <f>IFERROR(__xludf.DUMMYFUNCTION("IF(I148=MAX(FILTER(I$10:I$199,LOOKUP(ROW(C$10:C$199),FILTER(ROW(C$10:C$199),C$10:C$199&lt;&gt;C$9:C$198))=LOOKUP(ROW(C148),FILTER(ROW(C$10:C$199),C$10:C$199&lt;&gt;C$9:C$198)))),J148,)"),"")</f>
        <v/>
      </c>
      <c s="42"/>
      <c s="63"/>
      <c s="64" t="str">
        <f t="shared" si="11"/>
        <v/>
      </c>
      <c s="65" t="str">
        <f>IFERROR(__xludf.DUMMYFUNCTION("""COMPUTED_VALUE"""),"")</f>
        <v/>
      </c>
      <c s="66">
        <f ca="1"/>
        <v>45215</v>
      </c>
      <c s="93" t="str">
        <f t="shared" si="12"/>
        <v/>
      </c>
      <c s="94" t="str">
        <f t="shared" si="404"/>
        <v/>
      </c>
      <c s="95" t="str">
        <f t="shared" si="406"/>
        <v/>
      </c>
      <c s="98" t="str">
        <f t="shared" si="407"/>
        <v/>
      </c>
      <c s="97" t="str">
        <f t="array" ref="W148">IFERROR(IF(Q148="ac"+ISNUMBER(SEARCH("'",V148))+U148="","",IF(ISNUMBER(SEARCH("lw",V148)),I148+SUBSTITUTE(V148,"lw+",""),MROUND(_xlfn.SWITCH(Q148,"sq",U$7,"bn",V$7,"dl",W$7,"")*IF(V148&gt;10,V148/100,VLOOKUP(V148,_rpe,SUBSTITUTE(U148,"+","")+1,0)),IF(_xlfn.SWITCH(Q148,"sq",U$7,"bn",V$7,"dl",W$7,"")&lt;IF(_uom="lbs",175,80),1.25,IF(_uom="lbs",5,2.5))))),"")</f>
        <v/>
      </c>
      <c s="70"/>
      <c s="63"/>
      <c s="97"/>
      <c s="44" t="str">
        <f>IFERROR(__xludf.DUMMYFUNCTION("IF(W148=MAX(FILTER(W$10:W$199,LOOKUP(ROW(Q$10:Q$199),FILTER(ROW(Q$10:Q$199),Q$10:Q$199&lt;&gt;Q$9:Q$198))=LOOKUP(ROW(Q148),FILTER(ROW(Q$10:Q$199),Q$10:Q$199&lt;&gt;Q$9:Q$198)))),X148,)"),"")</f>
        <v/>
      </c>
      <c s="42"/>
      <c s="63"/>
      <c s="64" t="str">
        <f t="shared" si="14"/>
        <v/>
      </c>
      <c s="65" t="str">
        <f>IFERROR(__xludf.DUMMYFUNCTION("""COMPUTED_VALUE"""),"")</f>
        <v/>
      </c>
      <c s="66">
        <f ca="1"/>
        <v>45222</v>
      </c>
      <c s="93" t="str">
        <f t="shared" si="156"/>
        <v/>
      </c>
      <c s="94" t="str">
        <f t="shared" si="397"/>
        <v/>
      </c>
      <c s="95" t="str">
        <f t="shared" si="408"/>
        <v/>
      </c>
      <c s="98" t="str">
        <f t="shared" si="398"/>
        <v/>
      </c>
      <c s="97" t="str">
        <f t="array" ref="AK148">IFERROR(IF(AE148="ac"+ISNUMBER(SEARCH("'",AJ148))+AI148="","",IF(ISNUMBER(SEARCH("lw",AJ148)),W148+SUBSTITUTE(AJ148,"lw+",""),MROUND(_xlfn.SWITCH(AE148,"sq",AI$7,"bn",AJ$7,"dl",AK$7,"")*IF(AJ148&gt;10,AJ148/100,VLOOKUP(AJ148,_rpe,SUBSTITUTE(AI148,"+","")+1,0)),IF(_xlfn.SWITCH(AE148,"sq",AI$7,"bn",AJ$7,"dl",AK$7,"")&lt;IF(_uom="lbs",175,80),1.25,IF(_uom="lbs",5,2.5))))),"")</f>
        <v/>
      </c>
      <c s="70"/>
      <c s="63"/>
      <c s="97"/>
      <c s="44" t="str">
        <f>IFERROR(__xludf.DUMMYFUNCTION("IF(AK148=MAX(FILTER(AK$10:AK$199,LOOKUP(ROW(AE$10:AE$199),FILTER(ROW(AE$10:AE$199),AE$10:AE$199&lt;&gt;AE$9:AE$198))=LOOKUP(ROW(AE148),FILTER(ROW(AE$10:AE$199),AE$10:AE$199&lt;&gt;AE$9:AE$198)))),AL148,)"),"")</f>
        <v/>
      </c>
      <c s="42"/>
      <c s="63"/>
      <c s="64" t="str">
        <f t="shared" si="17"/>
        <v/>
      </c>
      <c s="65" t="str">
        <f>IFERROR(__xludf.DUMMYFUNCTION("""COMPUTED_VALUE"""),"")</f>
        <v/>
      </c>
      <c s="66">
        <f ca="1"/>
        <v>45229</v>
      </c>
      <c s="93" t="str">
        <f t="shared" si="157"/>
        <v/>
      </c>
      <c s="94" t="str">
        <f t="shared" si="399"/>
        <v/>
      </c>
      <c s="95" t="str">
        <f t="shared" si="409"/>
        <v/>
      </c>
      <c s="98" t="str">
        <f t="shared" si="400"/>
        <v/>
      </c>
      <c s="97" t="str">
        <f t="array" ref="AY148">IFERROR(IF(AS148="ac"+ISNUMBER(SEARCH("'",AX148))+AW148="","",IF(ISNUMBER(SEARCH("lw",AX148)),AK148+SUBSTITUTE(AX148,"lw+",""),MROUND(_xlfn.SWITCH(AS148,"sq",AW$7,"bn",AX$7,"dl",AY$7,"")*IF(AX148&gt;10,AX148/100,VLOOKUP(AX148,_rpe,SUBSTITUTE(AW148,"+","")+1,0)),IF(_xlfn.SWITCH(AS148,"sq",AW$7,"bn",AX$7,"dl",AY$7,"")&lt;IF(_uom="lbs",175,80),1.25,IF(_uom="lbs",5,2.5))))),"")</f>
        <v/>
      </c>
      <c s="70"/>
      <c s="63"/>
      <c s="97"/>
      <c s="44" t="str">
        <f>IFERROR(__xludf.DUMMYFUNCTION("IF(AY148=MAX(FILTER(AY$10:AY$199,LOOKUP(ROW(AS$10:AS$199),FILTER(ROW(AS$10:AS$199),AS$10:AS$199&lt;&gt;AS$9:AS$198))=LOOKUP(ROW(AS148),FILTER(ROW(AS$10:AS$199),AS$10:AS$199&lt;&gt;AS$9:AS$198)))),AZ148,)"),"")</f>
        <v/>
      </c>
      <c s="42"/>
      <c s="63"/>
      <c s="64" t="str">
        <f t="shared" si="19"/>
        <v/>
      </c>
      <c s="65" t="str">
        <f>IFERROR(__xludf.DUMMYFUNCTION("""COMPUTED_VALUE"""),"")</f>
        <v/>
      </c>
      <c s="66">
        <f ca="1"/>
        <v>45236</v>
      </c>
      <c s="93" t="str">
        <f t="shared" si="20"/>
        <v/>
      </c>
      <c s="94" t="str">
        <f t="shared" si="425"/>
        <v/>
      </c>
      <c s="95" t="str">
        <f t="shared" si="411"/>
        <v/>
      </c>
      <c s="98" t="str">
        <f t="shared" si="412"/>
        <v/>
      </c>
      <c s="97" t="str">
        <f t="array" ref="BM148">IFERROR(IF(BG148="ac"+ISNUMBER(SEARCH("'",BL148))+BK148="","",IF(ISNUMBER(SEARCH("lw",BL148)),AY148+SUBSTITUTE(BL148,"lw+",""),MROUND(_xlfn.SWITCH(BG148,"sq",BK$7,"bn",BL$7,"dl",BM$7,"")*IF(BL148&gt;10,BL148/100,VLOOKUP(BL148,_rpe,SUBSTITUTE(BK148,"+","")+1,0)),IF(_xlfn.SWITCH(BG148,"sq",BK$7,"bn",BL$7,"dl",BM$7,"")&lt;IF(_uom="lbs",175,80),1.25,IF(_uom="lbs",5,2.5))))),"")</f>
        <v/>
      </c>
      <c s="70"/>
      <c s="63"/>
      <c s="97"/>
      <c s="44" t="str">
        <f>IFERROR(__xludf.DUMMYFUNCTION("IF(BM148=MAX(FILTER(BM$10:BM$199,LOOKUP(ROW(BG$10:BG$199),FILTER(ROW(BG$10:BG$199),BG$10:BG$199&lt;&gt;BG$9:BG$198))=LOOKUP(ROW(BG148),FILTER(ROW(BG$10:BG$199),BG$10:BG$199&lt;&gt;BG$9:BG$198)))),BN148,)"),"")</f>
        <v/>
      </c>
      <c s="42"/>
      <c s="63"/>
      <c s="64" t="str">
        <f t="shared" si="21"/>
        <v/>
      </c>
      <c s="65" t="str">
        <f>IFERROR(__xludf.DUMMYFUNCTION("""COMPUTED_VALUE"""),"")</f>
        <v/>
      </c>
      <c s="66">
        <f ca="1"/>
        <v>45243</v>
      </c>
      <c s="93" t="str">
        <f t="shared" si="22"/>
        <v/>
      </c>
      <c s="94" t="str">
        <f t="shared" si="426"/>
        <v/>
      </c>
      <c s="95" t="str">
        <f t="shared" si="414"/>
        <v/>
      </c>
      <c s="98" t="str">
        <f t="shared" si="415"/>
        <v/>
      </c>
      <c s="97" t="str">
        <f t="array" ref="CA148">IFERROR(IF(BU148="ac"+ISNUMBER(SEARCH("'",BZ148))+BY148="","",IF(ISNUMBER(SEARCH("lw",BZ148)),BM148+SUBSTITUTE(BZ148,"lw+",""),MROUND(_xlfn.SWITCH(BU148,"sq",BY$7,"bn",BZ$7,"dl",CA$7,"")*IF(BZ148&gt;10,BZ148/100,VLOOKUP(BZ148,_rpe,SUBSTITUTE(BY148,"+","")+1,0)),IF(_xlfn.SWITCH(BU148,"sq",BY$7,"bn",BZ$7,"dl",CA$7,"")&lt;IF(_uom="lbs",175,80),1.25,IF(_uom="lbs",5,2.5))))),"")</f>
        <v/>
      </c>
      <c s="70"/>
      <c s="63"/>
      <c s="97"/>
      <c s="44" t="str">
        <f>IFERROR(__xludf.DUMMYFUNCTION("IF(CA148=MAX(FILTER(CA$10:CA$199,LOOKUP(ROW(BU$10:BU$199),FILTER(ROW(BU$10:BU$199),BU$10:BU$199&lt;&gt;BU$9:BU$198))=LOOKUP(ROW(BU148),FILTER(ROW(BU$10:BU$199),BU$10:BU$199&lt;&gt;BU$9:BU$198)))),CB148,)"),"")</f>
        <v/>
      </c>
      <c s="42"/>
      <c s="63"/>
      <c s="64" t="str">
        <f t="shared" si="24"/>
        <v/>
      </c>
      <c s="65" t="str">
        <f>IFERROR(__xludf.DUMMYFUNCTION("""COMPUTED_VALUE"""),"")</f>
        <v/>
      </c>
      <c s="66">
        <f ca="1"/>
        <v>45250</v>
      </c>
      <c s="93" t="str">
        <f t="shared" si="44"/>
        <v/>
      </c>
      <c s="94" t="str">
        <f t="shared" si="392"/>
        <v/>
      </c>
      <c s="95" t="str">
        <f t="shared" si="416"/>
        <v/>
      </c>
      <c s="98" t="str">
        <f t="shared" si="417"/>
        <v/>
      </c>
      <c s="97" t="str">
        <f t="array" ref="CO148">IFERROR(IF(CI148="ac"+ISNUMBER(SEARCH("'",CN148))+CM148="","",IF(ISNUMBER(SEARCH("lw",CN148)),CA148+SUBSTITUTE(CN148,"lw+",""),MROUND(_xlfn.SWITCH(CI148,"sq",CM$7,"bn",CN$7,"dl",CO$7,"")*IF(CN148&gt;10,CN148/100,VLOOKUP(CN148,_rpe,SUBSTITUTE(CM148,"+","")+1,0)),IF(_xlfn.SWITCH(CI148,"sq",CM$7,"bn",CN$7,"dl",CO$7,"")&lt;IF(_uom="lbs",175,80),1.25,IF(_uom="lbs",5,2.5))))),"")</f>
        <v/>
      </c>
      <c s="70"/>
      <c s="63"/>
      <c s="97"/>
      <c s="44" t="str">
        <f>IFERROR(__xludf.DUMMYFUNCTION("IF(CO148=MAX(FILTER(CO$10:CO$199,LOOKUP(ROW(CI$10:CI$199),FILTER(ROW(CI$10:CI$199),CI$10:CI$199&lt;&gt;CI$9:CI$198))=LOOKUP(ROW(CI148),FILTER(ROW(CI$10:CI$199),CI$10:CI$199&lt;&gt;CI$9:CI$198)))),CP148,)"),"")</f>
        <v/>
      </c>
      <c s="42"/>
      <c s="63"/>
      <c s="64" t="str">
        <f t="shared" si="27"/>
        <v/>
      </c>
      <c s="65" t="str">
        <f>IFERROR(__xludf.DUMMYFUNCTION("""COMPUTED_VALUE"""),"")</f>
        <v/>
      </c>
      <c s="66">
        <f ca="1"/>
        <v>45257</v>
      </c>
      <c s="93" t="str">
        <f t="shared" si="45"/>
        <v/>
      </c>
      <c s="94" t="str">
        <f t="shared" si="393"/>
        <v/>
      </c>
      <c s="95" t="str">
        <f t="shared" si="418"/>
        <v/>
      </c>
      <c s="98" t="str">
        <f t="shared" si="401"/>
        <v/>
      </c>
      <c s="97" t="str">
        <f t="array" ref="DC148">IFERROR(IF(CW148="ac"+ISNUMBER(SEARCH("'",DB148))+DA148="","",IF(ISNUMBER(SEARCH("lw",DB148)),CO148+SUBSTITUTE(DB148,"lw+",""),MROUND(_xlfn.SWITCH(CW148,"sq",DA$7,"bn",DB$7,"dl",DC$7,"")*IF(DB148&gt;10,DB148/100,VLOOKUP(DB148,_rpe,SUBSTITUTE(DA148,"+","")+1,0)),IF(_xlfn.SWITCH(CW148,"sq",DA$7,"bn",DB$7,"dl",DC$7,"")&lt;IF(_uom="lbs",175,80),1.25,IF(_uom="lbs",5,2.5))))),"")</f>
        <v/>
      </c>
      <c s="70"/>
      <c s="63"/>
      <c s="97"/>
      <c s="44" t="str">
        <f>IFERROR(__xludf.DUMMYFUNCTION("IF(DC148=MAX(FILTER(DC$10:DC$199,LOOKUP(ROW(CW$10:CW$199),FILTER(ROW(CW$10:CW$199),CW$10:CW$199&lt;&gt;CW$9:CW$198))=LOOKUP(ROW(CW148),FILTER(ROW(CW$10:CW$199),CW$10:CW$199&lt;&gt;CW$9:CW$198)))),DD148,)"),"")</f>
        <v/>
      </c>
      <c s="42"/>
      <c s="63"/>
      <c s="64" t="str">
        <f t="shared" si="30"/>
        <v/>
      </c>
      <c s="65" t="str">
        <f>IFERROR(__xludf.DUMMYFUNCTION("""COMPUTED_VALUE"""),"")</f>
        <v/>
      </c>
      <c s="66">
        <f ca="1"/>
        <v>45264</v>
      </c>
      <c s="93" t="str">
        <f t="shared" si="46"/>
        <v/>
      </c>
      <c s="94" t="str">
        <f t="shared" si="394"/>
        <v/>
      </c>
      <c s="95" t="str">
        <f t="shared" si="419"/>
        <v/>
      </c>
      <c s="98" t="str">
        <f t="shared" si="420"/>
        <v/>
      </c>
      <c s="97" t="str">
        <f t="array" ref="DQ148">IFERROR(IF(DK148="ac"+ISNUMBER(SEARCH("'",DP148))+DO148="","",IF(ISNUMBER(SEARCH("lw",DP148)),DC148+SUBSTITUTE(DP148,"lw+",""),MROUND(_xlfn.SWITCH(DK148,"sq",DO$7,"bn",DP$7,"dl",DQ$7,"")*IF(DP148&gt;10,DP148/100,VLOOKUP(DP148,_rpe,SUBSTITUTE(DO148,"+","")+1,0)),IF(_xlfn.SWITCH(DK148,"sq",DO$7,"bn",DP$7,"dl",DQ$7,"")&lt;IF(_uom="lbs",175,80),1.25,IF(_uom="lbs",5,2.5))))),"")</f>
        <v/>
      </c>
      <c s="70"/>
      <c s="63"/>
      <c s="97"/>
      <c s="44" t="str">
        <f>IFERROR(__xludf.DUMMYFUNCTION("IF(DQ148=MAX(FILTER(DQ$10:DQ$199,LOOKUP(ROW(DK$10:DK$199),FILTER(ROW(DK$10:DK$199),DK$10:DK$199&lt;&gt;DK$9:DK$198))=LOOKUP(ROW(DK148),FILTER(ROW(DK$10:DK$199),DK$10:DK$199&lt;&gt;DK$9:DK$198)))),DR148,)"),"")</f>
        <v/>
      </c>
      <c s="42"/>
      <c s="63"/>
      <c s="64" t="str">
        <f t="shared" si="32"/>
        <v/>
      </c>
      <c s="65" t="str">
        <f>IFERROR(__xludf.DUMMYFUNCTION("""COMPUTED_VALUE"""),"")</f>
        <v/>
      </c>
      <c s="66">
        <f ca="1"/>
        <v>45271</v>
      </c>
      <c s="93" t="str">
        <f t="shared" si="47"/>
        <v/>
      </c>
      <c s="94" t="str">
        <f t="shared" si="405"/>
        <v/>
      </c>
      <c s="95" t="str">
        <f t="shared" si="421"/>
        <v/>
      </c>
      <c s="98" t="str">
        <f t="shared" si="422"/>
        <v/>
      </c>
      <c s="97" t="str">
        <f t="array" ref="EE148">IFERROR(IF(DY148="ac"+ISNUMBER(SEARCH("'",ED148))+EC148="","",IF(ISNUMBER(SEARCH("lw",ED148)),DQ148+SUBSTITUTE(ED148,"lw+",""),MROUND(_xlfn.SWITCH(DY148,"sq",EC$7,"bn",ED$7,"dl",EE$7,"")*IF(ED148&gt;10,ED148/100,VLOOKUP(ED148,_rpe,SUBSTITUTE(EC148,"+","")+1,0)),IF(_xlfn.SWITCH(DY148,"sq",EC$7,"bn",ED$7,"dl",EE$7,"")&lt;IF(_uom="lbs",175,80),1.25,IF(_uom="lbs",5,2.5))))),"")</f>
        <v/>
      </c>
      <c s="70"/>
      <c s="63"/>
      <c s="97"/>
      <c s="44" t="str">
        <f>IFERROR(__xludf.DUMMYFUNCTION("IF(EE148=MAX(FILTER(EE$10:EE$199,LOOKUP(ROW(DY$10:DY$199),FILTER(ROW(DY$10:DY$199),DY$10:DY$199&lt;&gt;DY$9:DY$198))=LOOKUP(ROW(DY148),FILTER(ROW(DY$10:DY$199),DY$10:DY$199&lt;&gt;DY$9:DY$198)))),EF148,)"),"")</f>
        <v/>
      </c>
      <c s="42"/>
      <c s="63"/>
      <c s="64" t="str">
        <f t="shared" si="34"/>
        <v/>
      </c>
      <c s="65" t="str">
        <f>IFERROR(__xludf.DUMMYFUNCTION("""COMPUTED_VALUE"""),"")</f>
        <v/>
      </c>
      <c s="66">
        <f ca="1"/>
        <v>45278</v>
      </c>
      <c s="93" t="str">
        <f t="shared" si="48"/>
        <v/>
      </c>
      <c s="94" t="str">
        <f t="shared" si="395"/>
        <v/>
      </c>
      <c s="95" t="str">
        <f t="shared" si="423"/>
        <v/>
      </c>
      <c s="98" t="str">
        <f t="shared" si="402"/>
        <v/>
      </c>
      <c s="97" t="str">
        <f t="array" ref="ES148">IFERROR(IF(EM148="ac"+ISNUMBER(SEARCH("'",ER148))+EQ148="","",IF(ISNUMBER(SEARCH("lw",ER148)),EE148+SUBSTITUTE(ER148,"lw+",""),MROUND(_xlfn.SWITCH(EM148,"sq",EQ$7,"bn",ER$7,"dl",ES$7,"")*IF(ER148&gt;10,ER148/100,VLOOKUP(ER148,_rpe,SUBSTITUTE(EQ148,"+","")+1,0)),IF(_xlfn.SWITCH(EM148,"sq",EQ$7,"bn",ER$7,"dl",ES$7,"")&lt;IF(_uom="lbs",175,80),1.25,IF(_uom="lbs",5,2.5))))),"")</f>
        <v/>
      </c>
      <c s="70"/>
      <c s="63"/>
      <c s="97"/>
      <c s="44" t="str">
        <f>IFERROR(__xludf.DUMMYFUNCTION("IF(ES148=MAX(FILTER(ES$10:ES$199,LOOKUP(ROW(EM$10:EM$199),FILTER(ROW(EM$10:EM$199),EM$10:EM$199&lt;&gt;EM$9:EM$198))=LOOKUP(ROW(EM148),FILTER(ROW(EM$10:EM$199),EM$10:EM$199&lt;&gt;EM$9:EM$198)))),ET148,)"),"")</f>
        <v/>
      </c>
      <c s="42"/>
      <c s="63"/>
      <c s="64" t="str">
        <f t="shared" si="36"/>
        <v/>
      </c>
      <c s="65" t="str">
        <f>IFERROR(__xludf.DUMMYFUNCTION("""COMPUTED_VALUE"""),"")</f>
        <v/>
      </c>
      <c s="66">
        <f ca="1"/>
        <v>45285</v>
      </c>
      <c s="93" t="str">
        <f t="shared" si="49"/>
        <v/>
      </c>
      <c s="94" t="str">
        <f t="shared" si="396"/>
        <v/>
      </c>
      <c s="95" t="str">
        <f t="shared" si="424"/>
        <v/>
      </c>
      <c s="98" t="str">
        <f t="shared" si="403"/>
        <v/>
      </c>
      <c s="97" t="str">
        <f t="array" ref="FG148">IFERROR(IF(FA148="ac"+ISNUMBER(SEARCH("'",FF148))+FE148="","",IF(ISNUMBER(SEARCH("lw",FF148)),ES148+SUBSTITUTE(FF148,"lw+",""),MROUND(_xlfn.SWITCH(FA148,"sq",FE$7,"bn",FF$7,"dl",FG$7,"")*IF(FF148&gt;10,FF148/100,VLOOKUP(FF148,_rpe,SUBSTITUTE(FE148,"+","")+1,0)),IF(_xlfn.SWITCH(FA148,"sq",FE$7,"bn",FF$7,"dl",FG$7,"")&lt;IF(_uom="lbs",175,80),1.25,IF(_uom="lbs",5,2.5))))),"")</f>
        <v/>
      </c>
      <c s="70"/>
      <c s="63"/>
      <c s="97"/>
      <c s="44" t="str">
        <f>IFERROR(__xludf.DUMMYFUNCTION("IF(FG148=MAX(FILTER(FG$10:FG$199,LOOKUP(ROW(FA$10:FA$199),FILTER(ROW(FA$10:FA$199),FA$10:FA$199&lt;&gt;FA$9:FA$198))=LOOKUP(ROW(FA148),FILTER(ROW(FA$10:FA$199),FA$10:FA$199&lt;&gt;FA$9:FA$198)))),FH148,)"),"")</f>
        <v/>
      </c>
      <c s="42"/>
      <c s="63"/>
      <c s="64" t="str">
        <f t="shared" si="38"/>
        <v/>
      </c>
      <c s="65" t="str">
        <f>IFERROR(__xludf.DUMMYFUNCTION("""COMPUTED_VALUE"""),"")</f>
        <v/>
      </c>
      <c s="66">
        <f ca="1"/>
        <v>45292</v>
      </c>
      <c s="93" t="str">
        <f t="shared" si="492" ref="FQ148:FR148">IF(ISBLANK(FC148),"",FC148)</f>
        <v/>
      </c>
      <c s="94" t="str">
        <f t="shared" si="492"/>
        <v/>
      </c>
      <c s="95" t="str">
        <f t="shared" si="428"/>
        <v/>
      </c>
      <c s="98" t="str">
        <f t="shared" si="429"/>
        <v/>
      </c>
      <c s="97" t="str">
        <f t="array" ref="FU148">IFERROR(IF(FO148="ac"+ISNUMBER(SEARCH("'",FT148))+FS148="","",IF(ISNUMBER(SEARCH("lw",FT148)),FG148+SUBSTITUTE(FT148,"lw+",""),MROUND(_xlfn.SWITCH(FO148,"sq",FS$7,"bn",FT$7,"dl",FU$7,"")*IF(FT148&gt;10,FT148/100,VLOOKUP(FT148,_rpe,SUBSTITUTE(FS148,"+","")+1,0)),IF(_xlfn.SWITCH(FO148,"sq",FS$7,"bn",FT$7,"dl",FU$7,"")&lt;IF(_uom="lbs",175,80),1.25,IF(_uom="lbs",5,2.5))))),"")</f>
        <v/>
      </c>
      <c s="70"/>
      <c s="63"/>
      <c s="97"/>
      <c s="44" t="str">
        <f>IFERROR(__xludf.DUMMYFUNCTION("IF(FU148=MAX(FILTER(FU$10:FU$199,LOOKUP(ROW(FO$10:FO$199),FILTER(ROW(FO$10:FO$199),FO$10:FO$199&lt;&gt;FO$9:FO$198))=LOOKUP(ROW(FO148),FILTER(ROW(FO$10:FO$199),FO$10:FO$199&lt;&gt;FO$9:FO$198)))),FV148,)"),"")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49" spans="1:259" ht="15.75">
      <c r="A149" s="63"/>
      <c s="107"/>
      <c s="65" t="str">
        <f>IFERROR(__xludf.DUMMYFUNCTION("""COMPUTED_VALUE"""),"")</f>
        <v/>
      </c>
      <c s="66">
        <f ca="1"/>
        <v>45208</v>
      </c>
      <c s="108"/>
      <c s="94"/>
      <c s="95"/>
      <c s="96"/>
      <c s="97" t="str">
        <f t="array" ref="I149">IFERROR(IF(C149="ac"+ISNUMBER(SEARCH("'",H149))+G149="","",MROUND(_xlfn.SWITCH(C149,"sq",'Personal Info'!$O$15,"bn",'Personal Info'!$S$15,"dl",'Personal Info'!$W$15,"")*IF(H149&gt;10,H149/100,VLOOKUP(H149,_rpe,SUBSTITUTE(G149,"+","")+1,0)),IF(_xlfn.SWITCH(C149:C210,"sq",'Personal Info'!$O$15,"bn",'Personal Info'!$S$15,"dl",'Personal Info'!$W$15,"")&lt;IF(_uom="lbs",175,80),1.25,IF(_uom="lbs",5,2.5)))),"")</f>
        <v/>
      </c>
      <c s="70"/>
      <c s="63"/>
      <c s="97"/>
      <c s="44" t="str">
        <f>IFERROR(__xludf.DUMMYFUNCTION("IF(I149=MAX(FILTER(I$10:I$199,LOOKUP(ROW(C$10:C$199),FILTER(ROW(C$10:C$199),C$10:C$199&lt;&gt;C$9:C$198))=LOOKUP(ROW(C149),FILTER(ROW(C$10:C$199),C$10:C$199&lt;&gt;C$9:C$198)))),J149,)"),"")</f>
        <v/>
      </c>
      <c s="42"/>
      <c s="63"/>
      <c s="64" t="str">
        <f t="shared" si="11"/>
        <v/>
      </c>
      <c s="65" t="str">
        <f>IFERROR(__xludf.DUMMYFUNCTION("""COMPUTED_VALUE"""),"")</f>
        <v/>
      </c>
      <c s="66">
        <f ca="1"/>
        <v>45215</v>
      </c>
      <c s="93" t="str">
        <f t="shared" si="12"/>
        <v/>
      </c>
      <c s="94" t="str">
        <f t="shared" si="404"/>
        <v/>
      </c>
      <c s="95" t="str">
        <f t="shared" si="406"/>
        <v/>
      </c>
      <c s="98" t="str">
        <f t="shared" si="407"/>
        <v/>
      </c>
      <c s="97" t="str">
        <f t="array" ref="W149">IFERROR(IF(Q149="ac"+ISNUMBER(SEARCH("'",V149))+U149="","",IF(ISNUMBER(SEARCH("lw",V149)),I149+SUBSTITUTE(V149,"lw+",""),MROUND(_xlfn.SWITCH(Q149,"sq",U$7,"bn",V$7,"dl",W$7,"")*IF(V149&gt;10,V149/100,VLOOKUP(V149,_rpe,SUBSTITUTE(U149,"+","")+1,0)),IF(_xlfn.SWITCH(Q149,"sq",U$7,"bn",V$7,"dl",W$7,"")&lt;IF(_uom="lbs",175,80),1.25,IF(_uom="lbs",5,2.5))))),"")</f>
        <v/>
      </c>
      <c s="70"/>
      <c s="63"/>
      <c s="97"/>
      <c s="44" t="str">
        <f>IFERROR(__xludf.DUMMYFUNCTION("IF(W149=MAX(FILTER(W$10:W$199,LOOKUP(ROW(Q$10:Q$199),FILTER(ROW(Q$10:Q$199),Q$10:Q$199&lt;&gt;Q$9:Q$198))=LOOKUP(ROW(Q149),FILTER(ROW(Q$10:Q$199),Q$10:Q$199&lt;&gt;Q$9:Q$198)))),X149,)"),"")</f>
        <v/>
      </c>
      <c s="42"/>
      <c s="63"/>
      <c s="64" t="str">
        <f t="shared" si="14"/>
        <v/>
      </c>
      <c s="65" t="str">
        <f>IFERROR(__xludf.DUMMYFUNCTION("""COMPUTED_VALUE"""),"")</f>
        <v/>
      </c>
      <c s="66">
        <f ca="1"/>
        <v>45222</v>
      </c>
      <c s="93" t="str">
        <f t="shared" si="156"/>
        <v/>
      </c>
      <c s="94" t="str">
        <f t="shared" si="397"/>
        <v/>
      </c>
      <c s="95" t="str">
        <f t="shared" si="408"/>
        <v/>
      </c>
      <c s="98" t="str">
        <f t="shared" si="398"/>
        <v/>
      </c>
      <c s="97" t="str">
        <f t="array" ref="AK149">IFERROR(IF(AE149="ac"+ISNUMBER(SEARCH("'",AJ149))+AI149="","",IF(ISNUMBER(SEARCH("lw",AJ149)),W149+SUBSTITUTE(AJ149,"lw+",""),MROUND(_xlfn.SWITCH(AE149,"sq",AI$7,"bn",AJ$7,"dl",AK$7,"")*IF(AJ149&gt;10,AJ149/100,VLOOKUP(AJ149,_rpe,SUBSTITUTE(AI149,"+","")+1,0)),IF(_xlfn.SWITCH(AE149,"sq",AI$7,"bn",AJ$7,"dl",AK$7,"")&lt;IF(_uom="lbs",175,80),1.25,IF(_uom="lbs",5,2.5))))),"")</f>
        <v/>
      </c>
      <c s="70"/>
      <c s="63"/>
      <c s="97"/>
      <c s="44" t="str">
        <f>IFERROR(__xludf.DUMMYFUNCTION("IF(AK149=MAX(FILTER(AK$10:AK$199,LOOKUP(ROW(AE$10:AE$199),FILTER(ROW(AE$10:AE$199),AE$10:AE$199&lt;&gt;AE$9:AE$198))=LOOKUP(ROW(AE149),FILTER(ROW(AE$10:AE$199),AE$10:AE$199&lt;&gt;AE$9:AE$198)))),AL149,)"),"")</f>
        <v/>
      </c>
      <c s="42"/>
      <c s="63"/>
      <c s="64" t="str">
        <f t="shared" si="17"/>
        <v/>
      </c>
      <c s="65" t="str">
        <f>IFERROR(__xludf.DUMMYFUNCTION("""COMPUTED_VALUE"""),"")</f>
        <v/>
      </c>
      <c s="66">
        <f ca="1"/>
        <v>45229</v>
      </c>
      <c s="93" t="str">
        <f t="shared" si="157"/>
        <v/>
      </c>
      <c s="94" t="str">
        <f t="shared" si="399"/>
        <v/>
      </c>
      <c s="95" t="str">
        <f t="shared" si="409"/>
        <v/>
      </c>
      <c s="98" t="str">
        <f t="shared" si="400"/>
        <v/>
      </c>
      <c s="97" t="str">
        <f t="array" ref="AY149">IFERROR(IF(AS149="ac"+ISNUMBER(SEARCH("'",AX149))+AW149="","",IF(ISNUMBER(SEARCH("lw",AX149)),AK149+SUBSTITUTE(AX149,"lw+",""),MROUND(_xlfn.SWITCH(AS149,"sq",AW$7,"bn",AX$7,"dl",AY$7,"")*IF(AX149&gt;10,AX149/100,VLOOKUP(AX149,_rpe,SUBSTITUTE(AW149,"+","")+1,0)),IF(_xlfn.SWITCH(AS149,"sq",AW$7,"bn",AX$7,"dl",AY$7,"")&lt;IF(_uom="lbs",175,80),1.25,IF(_uom="lbs",5,2.5))))),"")</f>
        <v/>
      </c>
      <c s="70"/>
      <c s="63"/>
      <c s="97"/>
      <c s="44" t="str">
        <f>IFERROR(__xludf.DUMMYFUNCTION("IF(AY149=MAX(FILTER(AY$10:AY$199,LOOKUP(ROW(AS$10:AS$199),FILTER(ROW(AS$10:AS$199),AS$10:AS$199&lt;&gt;AS$9:AS$198))=LOOKUP(ROW(AS149),FILTER(ROW(AS$10:AS$199),AS$10:AS$199&lt;&gt;AS$9:AS$198)))),AZ149,)"),"")</f>
        <v/>
      </c>
      <c s="42"/>
      <c s="63"/>
      <c s="64" t="str">
        <f t="shared" si="19"/>
        <v/>
      </c>
      <c s="65" t="str">
        <f>IFERROR(__xludf.DUMMYFUNCTION("""COMPUTED_VALUE"""),"")</f>
        <v/>
      </c>
      <c s="66">
        <f ca="1"/>
        <v>45236</v>
      </c>
      <c s="93" t="str">
        <f t="shared" si="20"/>
        <v/>
      </c>
      <c s="94" t="str">
        <f t="shared" si="425"/>
        <v/>
      </c>
      <c s="95" t="str">
        <f t="shared" si="411"/>
        <v/>
      </c>
      <c s="98" t="str">
        <f t="shared" si="412"/>
        <v/>
      </c>
      <c s="97" t="str">
        <f t="array" ref="BM149">IFERROR(IF(BG149="ac"+ISNUMBER(SEARCH("'",BL149))+BK149="","",IF(ISNUMBER(SEARCH("lw",BL149)),AY149+SUBSTITUTE(BL149,"lw+",""),MROUND(_xlfn.SWITCH(BG149,"sq",BK$7,"bn",BL$7,"dl",BM$7,"")*IF(BL149&gt;10,BL149/100,VLOOKUP(BL149,_rpe,SUBSTITUTE(BK149,"+","")+1,0)),IF(_xlfn.SWITCH(BG149,"sq",BK$7,"bn",BL$7,"dl",BM$7,"")&lt;IF(_uom="lbs",175,80),1.25,IF(_uom="lbs",5,2.5))))),"")</f>
        <v/>
      </c>
      <c s="70"/>
      <c s="63"/>
      <c s="97"/>
      <c s="44" t="str">
        <f>IFERROR(__xludf.DUMMYFUNCTION("IF(BM149=MAX(FILTER(BM$10:BM$199,LOOKUP(ROW(BG$10:BG$199),FILTER(ROW(BG$10:BG$199),BG$10:BG$199&lt;&gt;BG$9:BG$198))=LOOKUP(ROW(BG149),FILTER(ROW(BG$10:BG$199),BG$10:BG$199&lt;&gt;BG$9:BG$198)))),BN149,)"),"")</f>
        <v/>
      </c>
      <c s="42"/>
      <c s="63"/>
      <c s="64" t="str">
        <f t="shared" si="21"/>
        <v/>
      </c>
      <c s="65" t="str">
        <f>IFERROR(__xludf.DUMMYFUNCTION("""COMPUTED_VALUE"""),"")</f>
        <v/>
      </c>
      <c s="66">
        <f ca="1"/>
        <v>45243</v>
      </c>
      <c s="93" t="str">
        <f t="shared" si="22"/>
        <v/>
      </c>
      <c s="94" t="str">
        <f t="shared" si="426"/>
        <v/>
      </c>
      <c s="95" t="str">
        <f t="shared" si="414"/>
        <v/>
      </c>
      <c s="98" t="str">
        <f t="shared" si="415"/>
        <v/>
      </c>
      <c s="97" t="str">
        <f t="array" ref="CA149">IFERROR(IF(BU149="ac"+ISNUMBER(SEARCH("'",BZ149))+BY149="","",IF(ISNUMBER(SEARCH("lw",BZ149)),BM149+SUBSTITUTE(BZ149,"lw+",""),MROUND(_xlfn.SWITCH(BU149,"sq",BY$7,"bn",BZ$7,"dl",CA$7,"")*IF(BZ149&gt;10,BZ149/100,VLOOKUP(BZ149,_rpe,SUBSTITUTE(BY149,"+","")+1,0)),IF(_xlfn.SWITCH(BU149,"sq",BY$7,"bn",BZ$7,"dl",CA$7,"")&lt;IF(_uom="lbs",175,80),1.25,IF(_uom="lbs",5,2.5))))),"")</f>
        <v/>
      </c>
      <c s="70"/>
      <c s="63"/>
      <c s="97"/>
      <c s="44" t="str">
        <f>IFERROR(__xludf.DUMMYFUNCTION("IF(CA149=MAX(FILTER(CA$10:CA$199,LOOKUP(ROW(BU$10:BU$199),FILTER(ROW(BU$10:BU$199),BU$10:BU$199&lt;&gt;BU$9:BU$198))=LOOKUP(ROW(BU149),FILTER(ROW(BU$10:BU$199),BU$10:BU$199&lt;&gt;BU$9:BU$198)))),CB149,)"),"")</f>
        <v/>
      </c>
      <c s="42"/>
      <c s="63"/>
      <c s="64" t="str">
        <f t="shared" si="24"/>
        <v/>
      </c>
      <c s="65" t="str">
        <f>IFERROR(__xludf.DUMMYFUNCTION("""COMPUTED_VALUE"""),"")</f>
        <v/>
      </c>
      <c s="66">
        <f ca="1"/>
        <v>45250</v>
      </c>
      <c s="93" t="str">
        <f t="shared" si="44"/>
        <v/>
      </c>
      <c s="94" t="str">
        <f t="shared" si="392"/>
        <v/>
      </c>
      <c s="95" t="str">
        <f t="shared" si="416"/>
        <v/>
      </c>
      <c s="98" t="str">
        <f t="shared" si="417"/>
        <v/>
      </c>
      <c s="97" t="str">
        <f t="array" ref="CO149">IFERROR(IF(CI149="ac"+ISNUMBER(SEARCH("'",CN149))+CM149="","",IF(ISNUMBER(SEARCH("lw",CN149)),CA149+SUBSTITUTE(CN149,"lw+",""),MROUND(_xlfn.SWITCH(CI149,"sq",CM$7,"bn",CN$7,"dl",CO$7,"")*IF(CN149&gt;10,CN149/100,VLOOKUP(CN149,_rpe,SUBSTITUTE(CM149,"+","")+1,0)),IF(_xlfn.SWITCH(CI149,"sq",CM$7,"bn",CN$7,"dl",CO$7,"")&lt;IF(_uom="lbs",175,80),1.25,IF(_uom="lbs",5,2.5))))),"")</f>
        <v/>
      </c>
      <c s="70"/>
      <c s="63"/>
      <c s="97"/>
      <c s="44" t="str">
        <f>IFERROR(__xludf.DUMMYFUNCTION("IF(CO149=MAX(FILTER(CO$10:CO$199,LOOKUP(ROW(CI$10:CI$199),FILTER(ROW(CI$10:CI$199),CI$10:CI$199&lt;&gt;CI$9:CI$198))=LOOKUP(ROW(CI149),FILTER(ROW(CI$10:CI$199),CI$10:CI$199&lt;&gt;CI$9:CI$198)))),CP149,)"),"")</f>
        <v/>
      </c>
      <c s="42"/>
      <c s="63"/>
      <c s="64" t="str">
        <f t="shared" si="27"/>
        <v/>
      </c>
      <c s="65" t="str">
        <f>IFERROR(__xludf.DUMMYFUNCTION("""COMPUTED_VALUE"""),"")</f>
        <v/>
      </c>
      <c s="66">
        <f ca="1"/>
        <v>45257</v>
      </c>
      <c s="93" t="str">
        <f t="shared" si="45"/>
        <v/>
      </c>
      <c s="94" t="str">
        <f t="shared" si="393"/>
        <v/>
      </c>
      <c s="95" t="str">
        <f t="shared" si="418"/>
        <v/>
      </c>
      <c s="98" t="str">
        <f t="shared" si="401"/>
        <v/>
      </c>
      <c s="97" t="str">
        <f t="array" ref="DC149">IFERROR(IF(CW149="ac"+ISNUMBER(SEARCH("'",DB149))+DA149="","",IF(ISNUMBER(SEARCH("lw",DB149)),CO149+SUBSTITUTE(DB149,"lw+",""),MROUND(_xlfn.SWITCH(CW149,"sq",DA$7,"bn",DB$7,"dl",DC$7,"")*IF(DB149&gt;10,DB149/100,VLOOKUP(DB149,_rpe,SUBSTITUTE(DA149,"+","")+1,0)),IF(_xlfn.SWITCH(CW149,"sq",DA$7,"bn",DB$7,"dl",DC$7,"")&lt;IF(_uom="lbs",175,80),1.25,IF(_uom="lbs",5,2.5))))),"")</f>
        <v/>
      </c>
      <c s="70"/>
      <c s="63"/>
      <c s="97"/>
      <c s="44" t="str">
        <f>IFERROR(__xludf.DUMMYFUNCTION("IF(DC149=MAX(FILTER(DC$10:DC$199,LOOKUP(ROW(CW$10:CW$199),FILTER(ROW(CW$10:CW$199),CW$10:CW$199&lt;&gt;CW$9:CW$198))=LOOKUP(ROW(CW149),FILTER(ROW(CW$10:CW$199),CW$10:CW$199&lt;&gt;CW$9:CW$198)))),DD149,)"),"")</f>
        <v/>
      </c>
      <c s="42"/>
      <c s="63"/>
      <c s="64" t="str">
        <f t="shared" si="30"/>
        <v/>
      </c>
      <c s="65" t="str">
        <f>IFERROR(__xludf.DUMMYFUNCTION("""COMPUTED_VALUE"""),"")</f>
        <v/>
      </c>
      <c s="66">
        <f ca="1"/>
        <v>45264</v>
      </c>
      <c s="93" t="str">
        <f t="shared" si="46"/>
        <v/>
      </c>
      <c s="94" t="str">
        <f t="shared" si="394"/>
        <v/>
      </c>
      <c s="95" t="str">
        <f t="shared" si="419"/>
        <v/>
      </c>
      <c s="98" t="str">
        <f t="shared" si="420"/>
        <v/>
      </c>
      <c s="97" t="str">
        <f t="array" ref="DQ149">IFERROR(IF(DK149="ac"+ISNUMBER(SEARCH("'",DP149))+DO149="","",IF(ISNUMBER(SEARCH("lw",DP149)),DC149+SUBSTITUTE(DP149,"lw+",""),MROUND(_xlfn.SWITCH(DK149,"sq",DO$7,"bn",DP$7,"dl",DQ$7,"")*IF(DP149&gt;10,DP149/100,VLOOKUP(DP149,_rpe,SUBSTITUTE(DO149,"+","")+1,0)),IF(_xlfn.SWITCH(DK149,"sq",DO$7,"bn",DP$7,"dl",DQ$7,"")&lt;IF(_uom="lbs",175,80),1.25,IF(_uom="lbs",5,2.5))))),"")</f>
        <v/>
      </c>
      <c s="70"/>
      <c s="63"/>
      <c s="97"/>
      <c s="44" t="str">
        <f>IFERROR(__xludf.DUMMYFUNCTION("IF(DQ149=MAX(FILTER(DQ$10:DQ$199,LOOKUP(ROW(DK$10:DK$199),FILTER(ROW(DK$10:DK$199),DK$10:DK$199&lt;&gt;DK$9:DK$198))=LOOKUP(ROW(DK149),FILTER(ROW(DK$10:DK$199),DK$10:DK$199&lt;&gt;DK$9:DK$198)))),DR149,)"),"")</f>
        <v/>
      </c>
      <c s="42"/>
      <c s="63"/>
      <c s="64" t="str">
        <f t="shared" si="32"/>
        <v/>
      </c>
      <c s="65" t="str">
        <f>IFERROR(__xludf.DUMMYFUNCTION("""COMPUTED_VALUE"""),"")</f>
        <v/>
      </c>
      <c s="66">
        <f ca="1"/>
        <v>45271</v>
      </c>
      <c s="93" t="str">
        <f t="shared" si="47"/>
        <v/>
      </c>
      <c s="94" t="str">
        <f t="shared" si="405"/>
        <v/>
      </c>
      <c s="95" t="str">
        <f t="shared" si="421"/>
        <v/>
      </c>
      <c s="98" t="str">
        <f t="shared" si="422"/>
        <v/>
      </c>
      <c s="97" t="str">
        <f t="array" ref="EE149">IFERROR(IF(DY149="ac"+ISNUMBER(SEARCH("'",ED149))+EC149="","",IF(ISNUMBER(SEARCH("lw",ED149)),DQ149+SUBSTITUTE(ED149,"lw+",""),MROUND(_xlfn.SWITCH(DY149,"sq",EC$7,"bn",ED$7,"dl",EE$7,"")*IF(ED149&gt;10,ED149/100,VLOOKUP(ED149,_rpe,SUBSTITUTE(EC149,"+","")+1,0)),IF(_xlfn.SWITCH(DY149,"sq",EC$7,"bn",ED$7,"dl",EE$7,"")&lt;IF(_uom="lbs",175,80),1.25,IF(_uom="lbs",5,2.5))))),"")</f>
        <v/>
      </c>
      <c s="70"/>
      <c s="63"/>
      <c s="97"/>
      <c s="44" t="str">
        <f>IFERROR(__xludf.DUMMYFUNCTION("IF(EE149=MAX(FILTER(EE$10:EE$199,LOOKUP(ROW(DY$10:DY$199),FILTER(ROW(DY$10:DY$199),DY$10:DY$199&lt;&gt;DY$9:DY$198))=LOOKUP(ROW(DY149),FILTER(ROW(DY$10:DY$199),DY$10:DY$199&lt;&gt;DY$9:DY$198)))),EF149,)"),"")</f>
        <v/>
      </c>
      <c s="42"/>
      <c s="63"/>
      <c s="64" t="str">
        <f t="shared" si="34"/>
        <v/>
      </c>
      <c s="65" t="str">
        <f>IFERROR(__xludf.DUMMYFUNCTION("""COMPUTED_VALUE"""),"")</f>
        <v/>
      </c>
      <c s="66">
        <f ca="1"/>
        <v>45278</v>
      </c>
      <c s="93" t="str">
        <f t="shared" si="48"/>
        <v/>
      </c>
      <c s="94" t="str">
        <f t="shared" si="395"/>
        <v/>
      </c>
      <c s="95" t="str">
        <f t="shared" si="423"/>
        <v/>
      </c>
      <c s="98" t="str">
        <f t="shared" si="402"/>
        <v/>
      </c>
      <c s="97" t="str">
        <f t="array" ref="ES149">IFERROR(IF(EM149="ac"+ISNUMBER(SEARCH("'",ER149))+EQ149="","",IF(ISNUMBER(SEARCH("lw",ER149)),EE149+SUBSTITUTE(ER149,"lw+",""),MROUND(_xlfn.SWITCH(EM149,"sq",EQ$7,"bn",ER$7,"dl",ES$7,"")*IF(ER149&gt;10,ER149/100,VLOOKUP(ER149,_rpe,SUBSTITUTE(EQ149,"+","")+1,0)),IF(_xlfn.SWITCH(EM149,"sq",EQ$7,"bn",ER$7,"dl",ES$7,"")&lt;IF(_uom="lbs",175,80),1.25,IF(_uom="lbs",5,2.5))))),"")</f>
        <v/>
      </c>
      <c s="70"/>
      <c s="63"/>
      <c s="97"/>
      <c s="44" t="str">
        <f>IFERROR(__xludf.DUMMYFUNCTION("IF(ES149=MAX(FILTER(ES$10:ES$199,LOOKUP(ROW(EM$10:EM$199),FILTER(ROW(EM$10:EM$199),EM$10:EM$199&lt;&gt;EM$9:EM$198))=LOOKUP(ROW(EM149),FILTER(ROW(EM$10:EM$199),EM$10:EM$199&lt;&gt;EM$9:EM$198)))),ET149,)"),"")</f>
        <v/>
      </c>
      <c s="42"/>
      <c s="63"/>
      <c s="64" t="str">
        <f t="shared" si="36"/>
        <v/>
      </c>
      <c s="65" t="str">
        <f>IFERROR(__xludf.DUMMYFUNCTION("""COMPUTED_VALUE"""),"")</f>
        <v/>
      </c>
      <c s="66">
        <f ca="1"/>
        <v>45285</v>
      </c>
      <c s="93" t="str">
        <f t="shared" si="49"/>
        <v/>
      </c>
      <c s="94" t="str">
        <f t="shared" si="396"/>
        <v/>
      </c>
      <c s="95" t="str">
        <f t="shared" si="424"/>
        <v/>
      </c>
      <c s="98" t="str">
        <f t="shared" si="403"/>
        <v/>
      </c>
      <c s="97" t="str">
        <f t="array" ref="FG149">IFERROR(IF(FA149="ac"+ISNUMBER(SEARCH("'",FF149))+FE149="","",IF(ISNUMBER(SEARCH("lw",FF149)),ES149+SUBSTITUTE(FF149,"lw+",""),MROUND(_xlfn.SWITCH(FA149,"sq",FE$7,"bn",FF$7,"dl",FG$7,"")*IF(FF149&gt;10,FF149/100,VLOOKUP(FF149,_rpe,SUBSTITUTE(FE149,"+","")+1,0)),IF(_xlfn.SWITCH(FA149,"sq",FE$7,"bn",FF$7,"dl",FG$7,"")&lt;IF(_uom="lbs",175,80),1.25,IF(_uom="lbs",5,2.5))))),"")</f>
        <v/>
      </c>
      <c s="70"/>
      <c s="63"/>
      <c s="97"/>
      <c s="44" t="str">
        <f>IFERROR(__xludf.DUMMYFUNCTION("IF(FG149=MAX(FILTER(FG$10:FG$199,LOOKUP(ROW(FA$10:FA$199),FILTER(ROW(FA$10:FA$199),FA$10:FA$199&lt;&gt;FA$9:FA$198))=LOOKUP(ROW(FA149),FILTER(ROW(FA$10:FA$199),FA$10:FA$199&lt;&gt;FA$9:FA$198)))),FH149,)"),"")</f>
        <v/>
      </c>
      <c s="42"/>
      <c s="63"/>
      <c s="64" t="str">
        <f t="shared" si="38"/>
        <v/>
      </c>
      <c s="65" t="str">
        <f>IFERROR(__xludf.DUMMYFUNCTION("""COMPUTED_VALUE"""),"")</f>
        <v/>
      </c>
      <c s="66">
        <f ca="1"/>
        <v>45292</v>
      </c>
      <c s="93" t="str">
        <f t="shared" si="493" ref="FQ149:FR149">IF(ISBLANK(FC149),"",FC149)</f>
        <v/>
      </c>
      <c s="94" t="str">
        <f t="shared" si="493"/>
        <v/>
      </c>
      <c s="95" t="str">
        <f t="shared" si="428"/>
        <v/>
      </c>
      <c s="98" t="str">
        <f t="shared" si="429"/>
        <v/>
      </c>
      <c s="97" t="str">
        <f t="array" ref="FU149">IFERROR(IF(FO149="ac"+ISNUMBER(SEARCH("'",FT149))+FS149="","",IF(ISNUMBER(SEARCH("lw",FT149)),FG149+SUBSTITUTE(FT149,"lw+",""),MROUND(_xlfn.SWITCH(FO149,"sq",FS$7,"bn",FT$7,"dl",FU$7,"")*IF(FT149&gt;10,FT149/100,VLOOKUP(FT149,_rpe,SUBSTITUTE(FS149,"+","")+1,0)),IF(_xlfn.SWITCH(FO149,"sq",FS$7,"bn",FT$7,"dl",FU$7,"")&lt;IF(_uom="lbs",175,80),1.25,IF(_uom="lbs",5,2.5))))),"")</f>
        <v/>
      </c>
      <c s="70"/>
      <c s="63"/>
      <c s="97"/>
      <c s="44" t="str">
        <f>IFERROR(__xludf.DUMMYFUNCTION("IF(FU149=MAX(FILTER(FU$10:FU$199,LOOKUP(ROW(FO$10:FO$199),FILTER(ROW(FO$10:FO$199),FO$10:FO$199&lt;&gt;FO$9:FO$198))=LOOKUP(ROW(FO149),FILTER(ROW(FO$10:FO$199),FO$10:FO$199&lt;&gt;FO$9:FO$198)))),FV149,)"),"")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50" spans="1:259" ht="15.75">
      <c r="A150" s="63"/>
      <c s="107"/>
      <c s="65" t="str">
        <f>IFERROR(__xludf.DUMMYFUNCTION("""COMPUTED_VALUE"""),"")</f>
        <v/>
      </c>
      <c s="66">
        <f ca="1"/>
        <v>45208</v>
      </c>
      <c s="108"/>
      <c s="94"/>
      <c s="95"/>
      <c s="96"/>
      <c s="97" t="str">
        <f t="array" ref="I150">IFERROR(IF(C150="ac"+ISNUMBER(SEARCH("'",H150))+G150="","",MROUND(_xlfn.SWITCH(C150,"sq",'Personal Info'!$O$15,"bn",'Personal Info'!$S$15,"dl",'Personal Info'!$W$15,"")*IF(H150&gt;10,H150/100,VLOOKUP(H150,_rpe,SUBSTITUTE(G150,"+","")+1,0)),IF(_xlfn.SWITCH(C150:C210,"sq",'Personal Info'!$O$15,"bn",'Personal Info'!$S$15,"dl",'Personal Info'!$W$15,"")&lt;IF(_uom="lbs",175,80),1.25,IF(_uom="lbs",5,2.5)))),"")</f>
        <v/>
      </c>
      <c s="70"/>
      <c s="63"/>
      <c s="97"/>
      <c s="44" t="str">
        <f>IFERROR(__xludf.DUMMYFUNCTION("IF(I150=MAX(FILTER(I$10:I$199,LOOKUP(ROW(C$10:C$199),FILTER(ROW(C$10:C$199),C$10:C$199&lt;&gt;C$9:C$198))=LOOKUP(ROW(C150),FILTER(ROW(C$10:C$199),C$10:C$199&lt;&gt;C$9:C$198)))),J150,)"),"")</f>
        <v/>
      </c>
      <c s="42"/>
      <c s="63"/>
      <c s="64" t="str">
        <f t="shared" si="11"/>
        <v/>
      </c>
      <c s="65" t="str">
        <f>IFERROR(__xludf.DUMMYFUNCTION("""COMPUTED_VALUE"""),"")</f>
        <v/>
      </c>
      <c s="66">
        <f ca="1"/>
        <v>45215</v>
      </c>
      <c s="93" t="str">
        <f t="shared" si="12"/>
        <v/>
      </c>
      <c s="94" t="str">
        <f t="shared" si="404"/>
        <v/>
      </c>
      <c s="95" t="str">
        <f t="shared" si="406"/>
        <v/>
      </c>
      <c s="98" t="str">
        <f t="shared" si="407"/>
        <v/>
      </c>
      <c s="97" t="str">
        <f t="array" ref="W150">IFERROR(IF(Q150="ac"+ISNUMBER(SEARCH("'",V150))+U150="","",IF(ISNUMBER(SEARCH("lw",V150)),I150+SUBSTITUTE(V150,"lw+",""),MROUND(_xlfn.SWITCH(Q150,"sq",U$7,"bn",V$7,"dl",W$7,"")*IF(V150&gt;10,V150/100,VLOOKUP(V150,_rpe,SUBSTITUTE(U150,"+","")+1,0)),IF(_xlfn.SWITCH(Q150,"sq",U$7,"bn",V$7,"dl",W$7,"")&lt;IF(_uom="lbs",175,80),1.25,IF(_uom="lbs",5,2.5))))),"")</f>
        <v/>
      </c>
      <c s="70"/>
      <c s="63"/>
      <c s="97"/>
      <c s="44" t="str">
        <f>IFERROR(__xludf.DUMMYFUNCTION("IF(W150=MAX(FILTER(W$10:W$199,LOOKUP(ROW(Q$10:Q$199),FILTER(ROW(Q$10:Q$199),Q$10:Q$199&lt;&gt;Q$9:Q$198))=LOOKUP(ROW(Q150),FILTER(ROW(Q$10:Q$199),Q$10:Q$199&lt;&gt;Q$9:Q$198)))),X150,)"),"")</f>
        <v/>
      </c>
      <c s="42"/>
      <c s="63"/>
      <c s="64" t="str">
        <f t="shared" si="14"/>
        <v/>
      </c>
      <c s="65" t="str">
        <f>IFERROR(__xludf.DUMMYFUNCTION("""COMPUTED_VALUE"""),"")</f>
        <v/>
      </c>
      <c s="66">
        <f ca="1"/>
        <v>45222</v>
      </c>
      <c s="93" t="str">
        <f t="shared" si="156"/>
        <v/>
      </c>
      <c s="94" t="str">
        <f t="shared" si="397"/>
        <v/>
      </c>
      <c s="95" t="str">
        <f t="shared" si="408"/>
        <v/>
      </c>
      <c s="98" t="str">
        <f t="shared" si="398"/>
        <v/>
      </c>
      <c s="97" t="str">
        <f t="array" ref="AK150">IFERROR(IF(AE150="ac"+ISNUMBER(SEARCH("'",AJ150))+AI150="","",IF(ISNUMBER(SEARCH("lw",AJ150)),W150+SUBSTITUTE(AJ150,"lw+",""),MROUND(_xlfn.SWITCH(AE150,"sq",AI$7,"bn",AJ$7,"dl",AK$7,"")*IF(AJ150&gt;10,AJ150/100,VLOOKUP(AJ150,_rpe,SUBSTITUTE(AI150,"+","")+1,0)),IF(_xlfn.SWITCH(AE150,"sq",AI$7,"bn",AJ$7,"dl",AK$7,"")&lt;IF(_uom="lbs",175,80),1.25,IF(_uom="lbs",5,2.5))))),"")</f>
        <v/>
      </c>
      <c s="70"/>
      <c s="63"/>
      <c s="97"/>
      <c s="44" t="str">
        <f>IFERROR(__xludf.DUMMYFUNCTION("IF(AK150=MAX(FILTER(AK$10:AK$199,LOOKUP(ROW(AE$10:AE$199),FILTER(ROW(AE$10:AE$199),AE$10:AE$199&lt;&gt;AE$9:AE$198))=LOOKUP(ROW(AE150),FILTER(ROW(AE$10:AE$199),AE$10:AE$199&lt;&gt;AE$9:AE$198)))),AL150,)"),"")</f>
        <v/>
      </c>
      <c s="42"/>
      <c s="63"/>
      <c s="64" t="str">
        <f t="shared" si="17"/>
        <v/>
      </c>
      <c s="65" t="str">
        <f>IFERROR(__xludf.DUMMYFUNCTION("""COMPUTED_VALUE"""),"")</f>
        <v/>
      </c>
      <c s="66">
        <f ca="1"/>
        <v>45229</v>
      </c>
      <c s="93" t="str">
        <f t="shared" si="157"/>
        <v/>
      </c>
      <c s="94" t="str">
        <f t="shared" si="399"/>
        <v/>
      </c>
      <c s="95" t="str">
        <f t="shared" si="409"/>
        <v/>
      </c>
      <c s="98" t="str">
        <f t="shared" si="400"/>
        <v/>
      </c>
      <c s="97" t="str">
        <f t="array" ref="AY150">IFERROR(IF(AS150="ac"+ISNUMBER(SEARCH("'",AX150))+AW150="","",IF(ISNUMBER(SEARCH("lw",AX150)),AK150+SUBSTITUTE(AX150,"lw+",""),MROUND(_xlfn.SWITCH(AS150,"sq",AW$7,"bn",AX$7,"dl",AY$7,"")*IF(AX150&gt;10,AX150/100,VLOOKUP(AX150,_rpe,SUBSTITUTE(AW150,"+","")+1,0)),IF(_xlfn.SWITCH(AS150,"sq",AW$7,"bn",AX$7,"dl",AY$7,"")&lt;IF(_uom="lbs",175,80),1.25,IF(_uom="lbs",5,2.5))))),"")</f>
        <v/>
      </c>
      <c s="70"/>
      <c s="63"/>
      <c s="97"/>
      <c s="44" t="str">
        <f>IFERROR(__xludf.DUMMYFUNCTION("IF(AY150=MAX(FILTER(AY$10:AY$199,LOOKUP(ROW(AS$10:AS$199),FILTER(ROW(AS$10:AS$199),AS$10:AS$199&lt;&gt;AS$9:AS$198))=LOOKUP(ROW(AS150),FILTER(ROW(AS$10:AS$199),AS$10:AS$199&lt;&gt;AS$9:AS$198)))),AZ150,)"),"")</f>
        <v/>
      </c>
      <c s="42"/>
      <c s="63"/>
      <c s="64" t="str">
        <f t="shared" si="19"/>
        <v/>
      </c>
      <c s="65" t="str">
        <f>IFERROR(__xludf.DUMMYFUNCTION("""COMPUTED_VALUE"""),"")</f>
        <v/>
      </c>
      <c s="66">
        <f ca="1"/>
        <v>45236</v>
      </c>
      <c s="93" t="str">
        <f t="shared" si="20"/>
        <v/>
      </c>
      <c s="94" t="str">
        <f t="shared" si="425"/>
        <v/>
      </c>
      <c s="95" t="str">
        <f t="shared" si="411"/>
        <v/>
      </c>
      <c s="98" t="str">
        <f t="shared" si="412"/>
        <v/>
      </c>
      <c s="97" t="str">
        <f t="array" ref="BM150">IFERROR(IF(BG150="ac"+ISNUMBER(SEARCH("'",BL150))+BK150="","",IF(ISNUMBER(SEARCH("lw",BL150)),AY150+SUBSTITUTE(BL150,"lw+",""),MROUND(_xlfn.SWITCH(BG150,"sq",BK$7,"bn",BL$7,"dl",BM$7,"")*IF(BL150&gt;10,BL150/100,VLOOKUP(BL150,_rpe,SUBSTITUTE(BK150,"+","")+1,0)),IF(_xlfn.SWITCH(BG150,"sq",BK$7,"bn",BL$7,"dl",BM$7,"")&lt;IF(_uom="lbs",175,80),1.25,IF(_uom="lbs",5,2.5))))),"")</f>
        <v/>
      </c>
      <c s="70"/>
      <c s="63"/>
      <c s="97"/>
      <c s="44" t="str">
        <f>IFERROR(__xludf.DUMMYFUNCTION("IF(BM150=MAX(FILTER(BM$10:BM$199,LOOKUP(ROW(BG$10:BG$199),FILTER(ROW(BG$10:BG$199),BG$10:BG$199&lt;&gt;BG$9:BG$198))=LOOKUP(ROW(BG150),FILTER(ROW(BG$10:BG$199),BG$10:BG$199&lt;&gt;BG$9:BG$198)))),BN150,)"),"")</f>
        <v/>
      </c>
      <c s="42"/>
      <c s="63"/>
      <c s="64" t="str">
        <f t="shared" si="21"/>
        <v/>
      </c>
      <c s="65" t="str">
        <f>IFERROR(__xludf.DUMMYFUNCTION("""COMPUTED_VALUE"""),"")</f>
        <v/>
      </c>
      <c s="66">
        <f ca="1"/>
        <v>45243</v>
      </c>
      <c s="93" t="str">
        <f t="shared" si="22"/>
        <v/>
      </c>
      <c s="94" t="str">
        <f t="shared" si="426"/>
        <v/>
      </c>
      <c s="95" t="str">
        <f t="shared" si="414"/>
        <v/>
      </c>
      <c s="98" t="str">
        <f t="shared" si="415"/>
        <v/>
      </c>
      <c s="97" t="str">
        <f t="array" ref="CA150">IFERROR(IF(BU150="ac"+ISNUMBER(SEARCH("'",BZ150))+BY150="","",IF(ISNUMBER(SEARCH("lw",BZ150)),BM150+SUBSTITUTE(BZ150,"lw+",""),MROUND(_xlfn.SWITCH(BU150,"sq",BY$7,"bn",BZ$7,"dl",CA$7,"")*IF(BZ150&gt;10,BZ150/100,VLOOKUP(BZ150,_rpe,SUBSTITUTE(BY150,"+","")+1,0)),IF(_xlfn.SWITCH(BU150,"sq",BY$7,"bn",BZ$7,"dl",CA$7,"")&lt;IF(_uom="lbs",175,80),1.25,IF(_uom="lbs",5,2.5))))),"")</f>
        <v/>
      </c>
      <c s="70"/>
      <c s="63"/>
      <c s="97"/>
      <c s="44" t="str">
        <f>IFERROR(__xludf.DUMMYFUNCTION("IF(CA150=MAX(FILTER(CA$10:CA$199,LOOKUP(ROW(BU$10:BU$199),FILTER(ROW(BU$10:BU$199),BU$10:BU$199&lt;&gt;BU$9:BU$198))=LOOKUP(ROW(BU150),FILTER(ROW(BU$10:BU$199),BU$10:BU$199&lt;&gt;BU$9:BU$198)))),CB150,)"),"")</f>
        <v/>
      </c>
      <c s="42"/>
      <c s="63"/>
      <c s="64" t="str">
        <f t="shared" si="24"/>
        <v/>
      </c>
      <c s="65" t="str">
        <f>IFERROR(__xludf.DUMMYFUNCTION("""COMPUTED_VALUE"""),"")</f>
        <v/>
      </c>
      <c s="66">
        <f ca="1"/>
        <v>45250</v>
      </c>
      <c s="93" t="str">
        <f t="shared" si="44"/>
        <v/>
      </c>
      <c s="94" t="str">
        <f t="shared" si="392"/>
        <v/>
      </c>
      <c s="95" t="str">
        <f t="shared" si="416"/>
        <v/>
      </c>
      <c s="98" t="str">
        <f t="shared" si="417"/>
        <v/>
      </c>
      <c s="97" t="str">
        <f t="array" ref="CO150">IFERROR(IF(CI150="ac"+ISNUMBER(SEARCH("'",CN150))+CM150="","",IF(ISNUMBER(SEARCH("lw",CN150)),CA150+SUBSTITUTE(CN150,"lw+",""),MROUND(_xlfn.SWITCH(CI150,"sq",CM$7,"bn",CN$7,"dl",CO$7,"")*IF(CN150&gt;10,CN150/100,VLOOKUP(CN150,_rpe,SUBSTITUTE(CM150,"+","")+1,0)),IF(_xlfn.SWITCH(CI150,"sq",CM$7,"bn",CN$7,"dl",CO$7,"")&lt;IF(_uom="lbs",175,80),1.25,IF(_uom="lbs",5,2.5))))),"")</f>
        <v/>
      </c>
      <c s="70"/>
      <c s="63"/>
      <c s="97"/>
      <c s="44" t="str">
        <f>IFERROR(__xludf.DUMMYFUNCTION("IF(CO150=MAX(FILTER(CO$10:CO$199,LOOKUP(ROW(CI$10:CI$199),FILTER(ROW(CI$10:CI$199),CI$10:CI$199&lt;&gt;CI$9:CI$198))=LOOKUP(ROW(CI150),FILTER(ROW(CI$10:CI$199),CI$10:CI$199&lt;&gt;CI$9:CI$198)))),CP150,)"),"")</f>
        <v/>
      </c>
      <c s="42"/>
      <c s="63"/>
      <c s="64" t="str">
        <f t="shared" si="27"/>
        <v/>
      </c>
      <c s="65" t="str">
        <f>IFERROR(__xludf.DUMMYFUNCTION("""COMPUTED_VALUE"""),"")</f>
        <v/>
      </c>
      <c s="66">
        <f ca="1"/>
        <v>45257</v>
      </c>
      <c s="93" t="str">
        <f t="shared" si="45"/>
        <v/>
      </c>
      <c s="94" t="str">
        <f t="shared" si="393"/>
        <v/>
      </c>
      <c s="95" t="str">
        <f t="shared" si="418"/>
        <v/>
      </c>
      <c s="98" t="str">
        <f t="shared" si="401"/>
        <v/>
      </c>
      <c s="97" t="str">
        <f t="array" ref="DC150">IFERROR(IF(CW150="ac"+ISNUMBER(SEARCH("'",DB150))+DA150="","",IF(ISNUMBER(SEARCH("lw",DB150)),CO150+SUBSTITUTE(DB150,"lw+",""),MROUND(_xlfn.SWITCH(CW150,"sq",DA$7,"bn",DB$7,"dl",DC$7,"")*IF(DB150&gt;10,DB150/100,VLOOKUP(DB150,_rpe,SUBSTITUTE(DA150,"+","")+1,0)),IF(_xlfn.SWITCH(CW150,"sq",DA$7,"bn",DB$7,"dl",DC$7,"")&lt;IF(_uom="lbs",175,80),1.25,IF(_uom="lbs",5,2.5))))),"")</f>
        <v/>
      </c>
      <c s="70"/>
      <c s="63"/>
      <c s="97"/>
      <c s="44" t="str">
        <f>IFERROR(__xludf.DUMMYFUNCTION("IF(DC150=MAX(FILTER(DC$10:DC$199,LOOKUP(ROW(CW$10:CW$199),FILTER(ROW(CW$10:CW$199),CW$10:CW$199&lt;&gt;CW$9:CW$198))=LOOKUP(ROW(CW150),FILTER(ROW(CW$10:CW$199),CW$10:CW$199&lt;&gt;CW$9:CW$198)))),DD150,)"),"")</f>
        <v/>
      </c>
      <c s="42"/>
      <c s="63"/>
      <c s="64" t="str">
        <f t="shared" si="30"/>
        <v/>
      </c>
      <c s="65" t="str">
        <f>IFERROR(__xludf.DUMMYFUNCTION("""COMPUTED_VALUE"""),"")</f>
        <v/>
      </c>
      <c s="66">
        <f ca="1"/>
        <v>45264</v>
      </c>
      <c s="93" t="str">
        <f t="shared" si="46"/>
        <v/>
      </c>
      <c s="94" t="str">
        <f t="shared" si="394"/>
        <v/>
      </c>
      <c s="95" t="str">
        <f t="shared" si="419"/>
        <v/>
      </c>
      <c s="98" t="str">
        <f t="shared" si="420"/>
        <v/>
      </c>
      <c s="97" t="str">
        <f t="array" ref="DQ150">IFERROR(IF(DK150="ac"+ISNUMBER(SEARCH("'",DP150))+DO150="","",IF(ISNUMBER(SEARCH("lw",DP150)),DC150+SUBSTITUTE(DP150,"lw+",""),MROUND(_xlfn.SWITCH(DK150,"sq",DO$7,"bn",DP$7,"dl",DQ$7,"")*IF(DP150&gt;10,DP150/100,VLOOKUP(DP150,_rpe,SUBSTITUTE(DO150,"+","")+1,0)),IF(_xlfn.SWITCH(DK150,"sq",DO$7,"bn",DP$7,"dl",DQ$7,"")&lt;IF(_uom="lbs",175,80),1.25,IF(_uom="lbs",5,2.5))))),"")</f>
        <v/>
      </c>
      <c s="70"/>
      <c s="63"/>
      <c s="97"/>
      <c s="44" t="str">
        <f>IFERROR(__xludf.DUMMYFUNCTION("IF(DQ150=MAX(FILTER(DQ$10:DQ$199,LOOKUP(ROW(DK$10:DK$199),FILTER(ROW(DK$10:DK$199),DK$10:DK$199&lt;&gt;DK$9:DK$198))=LOOKUP(ROW(DK150),FILTER(ROW(DK$10:DK$199),DK$10:DK$199&lt;&gt;DK$9:DK$198)))),DR150,)"),"")</f>
        <v/>
      </c>
      <c s="42"/>
      <c s="63"/>
      <c s="64" t="str">
        <f t="shared" si="32"/>
        <v/>
      </c>
      <c s="65" t="str">
        <f>IFERROR(__xludf.DUMMYFUNCTION("""COMPUTED_VALUE"""),"")</f>
        <v/>
      </c>
      <c s="66">
        <f ca="1"/>
        <v>45271</v>
      </c>
      <c s="93" t="str">
        <f t="shared" si="47"/>
        <v/>
      </c>
      <c s="94" t="str">
        <f t="shared" si="405"/>
        <v/>
      </c>
      <c s="95" t="str">
        <f t="shared" si="421"/>
        <v/>
      </c>
      <c s="98" t="str">
        <f t="shared" si="422"/>
        <v/>
      </c>
      <c s="97" t="str">
        <f t="array" ref="EE150">IFERROR(IF(DY150="ac"+ISNUMBER(SEARCH("'",ED150))+EC150="","",IF(ISNUMBER(SEARCH("lw",ED150)),DQ150+SUBSTITUTE(ED150,"lw+",""),MROUND(_xlfn.SWITCH(DY150,"sq",EC$7,"bn",ED$7,"dl",EE$7,"")*IF(ED150&gt;10,ED150/100,VLOOKUP(ED150,_rpe,SUBSTITUTE(EC150,"+","")+1,0)),IF(_xlfn.SWITCH(DY150,"sq",EC$7,"bn",ED$7,"dl",EE$7,"")&lt;IF(_uom="lbs",175,80),1.25,IF(_uom="lbs",5,2.5))))),"")</f>
        <v/>
      </c>
      <c s="70"/>
      <c s="63"/>
      <c s="97"/>
      <c s="44" t="str">
        <f>IFERROR(__xludf.DUMMYFUNCTION("IF(EE150=MAX(FILTER(EE$10:EE$199,LOOKUP(ROW(DY$10:DY$199),FILTER(ROW(DY$10:DY$199),DY$10:DY$199&lt;&gt;DY$9:DY$198))=LOOKUP(ROW(DY150),FILTER(ROW(DY$10:DY$199),DY$10:DY$199&lt;&gt;DY$9:DY$198)))),EF150,)"),"")</f>
        <v/>
      </c>
      <c s="42"/>
      <c s="63"/>
      <c s="64" t="str">
        <f t="shared" si="34"/>
        <v/>
      </c>
      <c s="65" t="str">
        <f>IFERROR(__xludf.DUMMYFUNCTION("""COMPUTED_VALUE"""),"")</f>
        <v/>
      </c>
      <c s="66">
        <f ca="1"/>
        <v>45278</v>
      </c>
      <c s="93" t="str">
        <f t="shared" si="48"/>
        <v/>
      </c>
      <c s="94" t="str">
        <f t="shared" si="395"/>
        <v/>
      </c>
      <c s="95" t="str">
        <f t="shared" si="423"/>
        <v/>
      </c>
      <c s="98" t="str">
        <f t="shared" si="402"/>
        <v/>
      </c>
      <c s="97" t="str">
        <f t="array" ref="ES150">IFERROR(IF(EM150="ac"+ISNUMBER(SEARCH("'",ER150))+EQ150="","",IF(ISNUMBER(SEARCH("lw",ER150)),EE150+SUBSTITUTE(ER150,"lw+",""),MROUND(_xlfn.SWITCH(EM150,"sq",EQ$7,"bn",ER$7,"dl",ES$7,"")*IF(ER150&gt;10,ER150/100,VLOOKUP(ER150,_rpe,SUBSTITUTE(EQ150,"+","")+1,0)),IF(_xlfn.SWITCH(EM150,"sq",EQ$7,"bn",ER$7,"dl",ES$7,"")&lt;IF(_uom="lbs",175,80),1.25,IF(_uom="lbs",5,2.5))))),"")</f>
        <v/>
      </c>
      <c s="70"/>
      <c s="63"/>
      <c s="97"/>
      <c s="44" t="str">
        <f>IFERROR(__xludf.DUMMYFUNCTION("IF(ES150=MAX(FILTER(ES$10:ES$199,LOOKUP(ROW(EM$10:EM$199),FILTER(ROW(EM$10:EM$199),EM$10:EM$199&lt;&gt;EM$9:EM$198))=LOOKUP(ROW(EM150),FILTER(ROW(EM$10:EM$199),EM$10:EM$199&lt;&gt;EM$9:EM$198)))),ET150,)"),"")</f>
        <v/>
      </c>
      <c s="42"/>
      <c s="63"/>
      <c s="64" t="str">
        <f t="shared" si="36"/>
        <v/>
      </c>
      <c s="65" t="str">
        <f>IFERROR(__xludf.DUMMYFUNCTION("""COMPUTED_VALUE"""),"")</f>
        <v/>
      </c>
      <c s="66">
        <f ca="1"/>
        <v>45285</v>
      </c>
      <c s="93" t="str">
        <f t="shared" si="49"/>
        <v/>
      </c>
      <c s="94" t="str">
        <f t="shared" si="396"/>
        <v/>
      </c>
      <c s="95" t="str">
        <f t="shared" si="424"/>
        <v/>
      </c>
      <c s="98" t="str">
        <f t="shared" si="403"/>
        <v/>
      </c>
      <c s="97" t="str">
        <f t="array" ref="FG150">IFERROR(IF(FA150="ac"+ISNUMBER(SEARCH("'",FF150))+FE150="","",IF(ISNUMBER(SEARCH("lw",FF150)),ES150+SUBSTITUTE(FF150,"lw+",""),MROUND(_xlfn.SWITCH(FA150,"sq",FE$7,"bn",FF$7,"dl",FG$7,"")*IF(FF150&gt;10,FF150/100,VLOOKUP(FF150,_rpe,SUBSTITUTE(FE150,"+","")+1,0)),IF(_xlfn.SWITCH(FA150,"sq",FE$7,"bn",FF$7,"dl",FG$7,"")&lt;IF(_uom="lbs",175,80),1.25,IF(_uom="lbs",5,2.5))))),"")</f>
        <v/>
      </c>
      <c s="70"/>
      <c s="63"/>
      <c s="97"/>
      <c s="44" t="str">
        <f>IFERROR(__xludf.DUMMYFUNCTION("IF(FG150=MAX(FILTER(FG$10:FG$199,LOOKUP(ROW(FA$10:FA$199),FILTER(ROW(FA$10:FA$199),FA$10:FA$199&lt;&gt;FA$9:FA$198))=LOOKUP(ROW(FA150),FILTER(ROW(FA$10:FA$199),FA$10:FA$199&lt;&gt;FA$9:FA$198)))),FH150,)"),"")</f>
        <v/>
      </c>
      <c s="42"/>
      <c s="63"/>
      <c s="64" t="str">
        <f t="shared" si="38"/>
        <v/>
      </c>
      <c s="65" t="str">
        <f>IFERROR(__xludf.DUMMYFUNCTION("""COMPUTED_VALUE"""),"")</f>
        <v/>
      </c>
      <c s="66">
        <f ca="1"/>
        <v>45292</v>
      </c>
      <c s="93" t="str">
        <f t="shared" si="494" ref="FQ150:FR150">IF(ISBLANK(FC150),"",FC150)</f>
        <v/>
      </c>
      <c s="94" t="str">
        <f t="shared" si="494"/>
        <v/>
      </c>
      <c s="95" t="str">
        <f t="shared" si="428"/>
        <v/>
      </c>
      <c s="98" t="str">
        <f t="shared" si="429"/>
        <v/>
      </c>
      <c s="97" t="str">
        <f t="array" ref="FU150">IFERROR(IF(FO150="ac"+ISNUMBER(SEARCH("'",FT150))+FS150="","",IF(ISNUMBER(SEARCH("lw",FT150)),FG150+SUBSTITUTE(FT150,"lw+",""),MROUND(_xlfn.SWITCH(FO150,"sq",FS$7,"bn",FT$7,"dl",FU$7,"")*IF(FT150&gt;10,FT150/100,VLOOKUP(FT150,_rpe,SUBSTITUTE(FS150,"+","")+1,0)),IF(_xlfn.SWITCH(FO150,"sq",FS$7,"bn",FT$7,"dl",FU$7,"")&lt;IF(_uom="lbs",175,80),1.25,IF(_uom="lbs",5,2.5))))),"")</f>
        <v/>
      </c>
      <c s="70"/>
      <c s="63"/>
      <c s="97"/>
      <c s="44" t="str">
        <f>IFERROR(__xludf.DUMMYFUNCTION("IF(FU150=MAX(FILTER(FU$10:FU$199,LOOKUP(ROW(FO$10:FO$199),FILTER(ROW(FO$10:FO$199),FO$10:FO$199&lt;&gt;FO$9:FO$198))=LOOKUP(ROW(FO150),FILTER(ROW(FO$10:FO$199),FO$10:FO$199&lt;&gt;FO$9:FO$198)))),FV150,)"),"")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51" spans="1:259" ht="15.75">
      <c r="A151" s="63"/>
      <c s="107"/>
      <c s="65" t="str">
        <f>IFERROR(__xludf.DUMMYFUNCTION("""COMPUTED_VALUE"""),"")</f>
        <v/>
      </c>
      <c s="66">
        <f ca="1"/>
        <v>45208</v>
      </c>
      <c s="108"/>
      <c s="94"/>
      <c s="95"/>
      <c s="96"/>
      <c s="97" t="str">
        <f t="array" ref="I151">IFERROR(IF(C151="ac"+ISNUMBER(SEARCH("'",H151))+G151="","",MROUND(_xlfn.SWITCH(C151,"sq",'Personal Info'!$O$15,"bn",'Personal Info'!$S$15,"dl",'Personal Info'!$W$15,"")*IF(H151&gt;10,H151/100,VLOOKUP(H151,_rpe,SUBSTITUTE(G151,"+","")+1,0)),IF(_xlfn.SWITCH(C151:C210,"sq",'Personal Info'!$O$15,"bn",'Personal Info'!$S$15,"dl",'Personal Info'!$W$15,"")&lt;IF(_uom="lbs",175,80),1.25,IF(_uom="lbs",5,2.5)))),"")</f>
        <v/>
      </c>
      <c s="70"/>
      <c s="63"/>
      <c s="97"/>
      <c s="44" t="str">
        <f>IFERROR(__xludf.DUMMYFUNCTION("IF(I151=MAX(FILTER(I$10:I$199,LOOKUP(ROW(C$10:C$199),FILTER(ROW(C$10:C$199),C$10:C$199&lt;&gt;C$9:C$198))=LOOKUP(ROW(C151),FILTER(ROW(C$10:C$199),C$10:C$199&lt;&gt;C$9:C$198)))),J151,)"),"")</f>
        <v/>
      </c>
      <c s="42"/>
      <c s="63"/>
      <c s="64" t="str">
        <f t="shared" si="11"/>
        <v/>
      </c>
      <c s="65" t="str">
        <f>IFERROR(__xludf.DUMMYFUNCTION("""COMPUTED_VALUE"""),"")</f>
        <v/>
      </c>
      <c s="66">
        <f ca="1"/>
        <v>45215</v>
      </c>
      <c s="93" t="str">
        <f t="shared" si="12"/>
        <v/>
      </c>
      <c s="94" t="str">
        <f t="shared" si="404"/>
        <v/>
      </c>
      <c s="95" t="str">
        <f t="shared" si="406"/>
        <v/>
      </c>
      <c s="98" t="str">
        <f t="shared" si="407"/>
        <v/>
      </c>
      <c s="97" t="str">
        <f t="array" ref="W151">IFERROR(IF(Q151="ac"+ISNUMBER(SEARCH("'",V151))+U151="","",IF(ISNUMBER(SEARCH("lw",V151)),I151+SUBSTITUTE(V151,"lw+",""),MROUND(_xlfn.SWITCH(Q151,"sq",U$7,"bn",V$7,"dl",W$7,"")*IF(V151&gt;10,V151/100,VLOOKUP(V151,_rpe,SUBSTITUTE(U151,"+","")+1,0)),IF(_xlfn.SWITCH(Q151,"sq",U$7,"bn",V$7,"dl",W$7,"")&lt;IF(_uom="lbs",175,80),1.25,IF(_uom="lbs",5,2.5))))),"")</f>
        <v/>
      </c>
      <c s="70"/>
      <c s="63"/>
      <c s="97"/>
      <c s="44" t="str">
        <f>IFERROR(__xludf.DUMMYFUNCTION("IF(W151=MAX(FILTER(W$10:W$199,LOOKUP(ROW(Q$10:Q$199),FILTER(ROW(Q$10:Q$199),Q$10:Q$199&lt;&gt;Q$9:Q$198))=LOOKUP(ROW(Q151),FILTER(ROW(Q$10:Q$199),Q$10:Q$199&lt;&gt;Q$9:Q$198)))),X151,)"),"")</f>
        <v/>
      </c>
      <c s="42"/>
      <c s="63"/>
      <c s="64" t="str">
        <f t="shared" si="14"/>
        <v/>
      </c>
      <c s="65" t="str">
        <f>IFERROR(__xludf.DUMMYFUNCTION("""COMPUTED_VALUE"""),"")</f>
        <v/>
      </c>
      <c s="66">
        <f ca="1"/>
        <v>45222</v>
      </c>
      <c s="93" t="str">
        <f t="shared" si="156"/>
        <v/>
      </c>
      <c s="94" t="str">
        <f t="shared" si="397"/>
        <v/>
      </c>
      <c s="95" t="str">
        <f t="shared" si="408"/>
        <v/>
      </c>
      <c s="98" t="str">
        <f t="shared" si="398"/>
        <v/>
      </c>
      <c s="97" t="str">
        <f t="array" ref="AK151">IFERROR(IF(AE151="ac"+ISNUMBER(SEARCH("'",AJ151))+AI151="","",IF(ISNUMBER(SEARCH("lw",AJ151)),W151+SUBSTITUTE(AJ151,"lw+",""),MROUND(_xlfn.SWITCH(AE151,"sq",AI$7,"bn",AJ$7,"dl",AK$7,"")*IF(AJ151&gt;10,AJ151/100,VLOOKUP(AJ151,_rpe,SUBSTITUTE(AI151,"+","")+1,0)),IF(_xlfn.SWITCH(AE151,"sq",AI$7,"bn",AJ$7,"dl",AK$7,"")&lt;IF(_uom="lbs",175,80),1.25,IF(_uom="lbs",5,2.5))))),"")</f>
        <v/>
      </c>
      <c s="70"/>
      <c s="63"/>
      <c s="97"/>
      <c s="44" t="str">
        <f>IFERROR(__xludf.DUMMYFUNCTION("IF(AK151=MAX(FILTER(AK$10:AK$199,LOOKUP(ROW(AE$10:AE$199),FILTER(ROW(AE$10:AE$199),AE$10:AE$199&lt;&gt;AE$9:AE$198))=LOOKUP(ROW(AE151),FILTER(ROW(AE$10:AE$199),AE$10:AE$199&lt;&gt;AE$9:AE$198)))),AL151,)"),"")</f>
        <v/>
      </c>
      <c s="42"/>
      <c s="63"/>
      <c s="64" t="str">
        <f t="shared" si="17"/>
        <v/>
      </c>
      <c s="65" t="str">
        <f>IFERROR(__xludf.DUMMYFUNCTION("""COMPUTED_VALUE"""),"")</f>
        <v/>
      </c>
      <c s="66">
        <f ca="1"/>
        <v>45229</v>
      </c>
      <c s="93" t="str">
        <f t="shared" si="157"/>
        <v/>
      </c>
      <c s="94" t="str">
        <f t="shared" si="399"/>
        <v/>
      </c>
      <c s="95" t="str">
        <f t="shared" si="409"/>
        <v/>
      </c>
      <c s="98" t="str">
        <f t="shared" si="400"/>
        <v/>
      </c>
      <c s="97" t="str">
        <f t="array" ref="AY151">IFERROR(IF(AS151="ac"+ISNUMBER(SEARCH("'",AX151))+AW151="","",IF(ISNUMBER(SEARCH("lw",AX151)),AK151+SUBSTITUTE(AX151,"lw+",""),MROUND(_xlfn.SWITCH(AS151,"sq",AW$7,"bn",AX$7,"dl",AY$7,"")*IF(AX151&gt;10,AX151/100,VLOOKUP(AX151,_rpe,SUBSTITUTE(AW151,"+","")+1,0)),IF(_xlfn.SWITCH(AS151,"sq",AW$7,"bn",AX$7,"dl",AY$7,"")&lt;IF(_uom="lbs",175,80),1.25,IF(_uom="lbs",5,2.5))))),"")</f>
        <v/>
      </c>
      <c s="70"/>
      <c s="63"/>
      <c s="97"/>
      <c s="44" t="str">
        <f>IFERROR(__xludf.DUMMYFUNCTION("IF(AY151=MAX(FILTER(AY$10:AY$199,LOOKUP(ROW(AS$10:AS$199),FILTER(ROW(AS$10:AS$199),AS$10:AS$199&lt;&gt;AS$9:AS$198))=LOOKUP(ROW(AS151),FILTER(ROW(AS$10:AS$199),AS$10:AS$199&lt;&gt;AS$9:AS$198)))),AZ151,)"),"")</f>
        <v/>
      </c>
      <c s="42"/>
      <c s="63"/>
      <c s="64" t="str">
        <f t="shared" si="19"/>
        <v/>
      </c>
      <c s="65" t="str">
        <f>IFERROR(__xludf.DUMMYFUNCTION("""COMPUTED_VALUE"""),"")</f>
        <v/>
      </c>
      <c s="66">
        <f ca="1"/>
        <v>45236</v>
      </c>
      <c s="93" t="str">
        <f t="shared" si="20"/>
        <v/>
      </c>
      <c s="94" t="str">
        <f t="shared" si="425"/>
        <v/>
      </c>
      <c s="95" t="str">
        <f t="shared" si="411"/>
        <v/>
      </c>
      <c s="98" t="str">
        <f t="shared" si="412"/>
        <v/>
      </c>
      <c s="97" t="str">
        <f t="array" ref="BM151">IFERROR(IF(BG151="ac"+ISNUMBER(SEARCH("'",BL151))+BK151="","",IF(ISNUMBER(SEARCH("lw",BL151)),AY151+SUBSTITUTE(BL151,"lw+",""),MROUND(_xlfn.SWITCH(BG151,"sq",BK$7,"bn",BL$7,"dl",BM$7,"")*IF(BL151&gt;10,BL151/100,VLOOKUP(BL151,_rpe,SUBSTITUTE(BK151,"+","")+1,0)),IF(_xlfn.SWITCH(BG151,"sq",BK$7,"bn",BL$7,"dl",BM$7,"")&lt;IF(_uom="lbs",175,80),1.25,IF(_uom="lbs",5,2.5))))),"")</f>
        <v/>
      </c>
      <c s="70"/>
      <c s="63"/>
      <c s="97"/>
      <c s="44" t="str">
        <f>IFERROR(__xludf.DUMMYFUNCTION("IF(BM151=MAX(FILTER(BM$10:BM$199,LOOKUP(ROW(BG$10:BG$199),FILTER(ROW(BG$10:BG$199),BG$10:BG$199&lt;&gt;BG$9:BG$198))=LOOKUP(ROW(BG151),FILTER(ROW(BG$10:BG$199),BG$10:BG$199&lt;&gt;BG$9:BG$198)))),BN151,)"),"")</f>
        <v/>
      </c>
      <c s="42"/>
      <c s="63"/>
      <c s="64" t="str">
        <f t="shared" si="21"/>
        <v/>
      </c>
      <c s="65" t="str">
        <f>IFERROR(__xludf.DUMMYFUNCTION("""COMPUTED_VALUE"""),"")</f>
        <v/>
      </c>
      <c s="66">
        <f ca="1"/>
        <v>45243</v>
      </c>
      <c s="93" t="str">
        <f t="shared" si="22"/>
        <v/>
      </c>
      <c s="94" t="str">
        <f t="shared" si="426"/>
        <v/>
      </c>
      <c s="95" t="str">
        <f t="shared" si="414"/>
        <v/>
      </c>
      <c s="98" t="str">
        <f t="shared" si="415"/>
        <v/>
      </c>
      <c s="97" t="str">
        <f t="array" ref="CA151">IFERROR(IF(BU151="ac"+ISNUMBER(SEARCH("'",BZ151))+BY151="","",IF(ISNUMBER(SEARCH("lw",BZ151)),BM151+SUBSTITUTE(BZ151,"lw+",""),MROUND(_xlfn.SWITCH(BU151,"sq",BY$7,"bn",BZ$7,"dl",CA$7,"")*IF(BZ151&gt;10,BZ151/100,VLOOKUP(BZ151,_rpe,SUBSTITUTE(BY151,"+","")+1,0)),IF(_xlfn.SWITCH(BU151,"sq",BY$7,"bn",BZ$7,"dl",CA$7,"")&lt;IF(_uom="lbs",175,80),1.25,IF(_uom="lbs",5,2.5))))),"")</f>
        <v/>
      </c>
      <c s="70"/>
      <c s="63"/>
      <c s="97"/>
      <c s="44" t="str">
        <f>IFERROR(__xludf.DUMMYFUNCTION("IF(CA151=MAX(FILTER(CA$10:CA$199,LOOKUP(ROW(BU$10:BU$199),FILTER(ROW(BU$10:BU$199),BU$10:BU$199&lt;&gt;BU$9:BU$198))=LOOKUP(ROW(BU151),FILTER(ROW(BU$10:BU$199),BU$10:BU$199&lt;&gt;BU$9:BU$198)))),CB151,)"),"")</f>
        <v/>
      </c>
      <c s="42"/>
      <c s="63"/>
      <c s="64" t="str">
        <f t="shared" si="24"/>
        <v/>
      </c>
      <c s="65" t="str">
        <f>IFERROR(__xludf.DUMMYFUNCTION("""COMPUTED_VALUE"""),"")</f>
        <v/>
      </c>
      <c s="66">
        <f ca="1"/>
        <v>45250</v>
      </c>
      <c s="93" t="str">
        <f t="shared" si="44"/>
        <v/>
      </c>
      <c s="94" t="str">
        <f t="shared" si="392"/>
        <v/>
      </c>
      <c s="95" t="str">
        <f t="shared" si="416"/>
        <v/>
      </c>
      <c s="98" t="str">
        <f t="shared" si="417"/>
        <v/>
      </c>
      <c s="97" t="str">
        <f t="array" ref="CO151">IFERROR(IF(CI151="ac"+ISNUMBER(SEARCH("'",CN151))+CM151="","",IF(ISNUMBER(SEARCH("lw",CN151)),CA151+SUBSTITUTE(CN151,"lw+",""),MROUND(_xlfn.SWITCH(CI151,"sq",CM$7,"bn",CN$7,"dl",CO$7,"")*IF(CN151&gt;10,CN151/100,VLOOKUP(CN151,_rpe,SUBSTITUTE(CM151,"+","")+1,0)),IF(_xlfn.SWITCH(CI151,"sq",CM$7,"bn",CN$7,"dl",CO$7,"")&lt;IF(_uom="lbs",175,80),1.25,IF(_uom="lbs",5,2.5))))),"")</f>
        <v/>
      </c>
      <c s="70"/>
      <c s="63"/>
      <c s="97"/>
      <c s="44" t="str">
        <f>IFERROR(__xludf.DUMMYFUNCTION("IF(CO151=MAX(FILTER(CO$10:CO$199,LOOKUP(ROW(CI$10:CI$199),FILTER(ROW(CI$10:CI$199),CI$10:CI$199&lt;&gt;CI$9:CI$198))=LOOKUP(ROW(CI151),FILTER(ROW(CI$10:CI$199),CI$10:CI$199&lt;&gt;CI$9:CI$198)))),CP151,)"),"")</f>
        <v/>
      </c>
      <c s="42"/>
      <c s="63"/>
      <c s="64" t="str">
        <f t="shared" si="27"/>
        <v/>
      </c>
      <c s="65" t="str">
        <f>IFERROR(__xludf.DUMMYFUNCTION("""COMPUTED_VALUE"""),"")</f>
        <v/>
      </c>
      <c s="66">
        <f ca="1"/>
        <v>45257</v>
      </c>
      <c s="93" t="str">
        <f t="shared" si="45"/>
        <v/>
      </c>
      <c s="94" t="str">
        <f t="shared" si="393"/>
        <v/>
      </c>
      <c s="95" t="str">
        <f t="shared" si="418"/>
        <v/>
      </c>
      <c s="98" t="str">
        <f t="shared" si="401"/>
        <v/>
      </c>
      <c s="97" t="str">
        <f t="array" ref="DC151">IFERROR(IF(CW151="ac"+ISNUMBER(SEARCH("'",DB151))+DA151="","",IF(ISNUMBER(SEARCH("lw",DB151)),CO151+SUBSTITUTE(DB151,"lw+",""),MROUND(_xlfn.SWITCH(CW151,"sq",DA$7,"bn",DB$7,"dl",DC$7,"")*IF(DB151&gt;10,DB151/100,VLOOKUP(DB151,_rpe,SUBSTITUTE(DA151,"+","")+1,0)),IF(_xlfn.SWITCH(CW151,"sq",DA$7,"bn",DB$7,"dl",DC$7,"")&lt;IF(_uom="lbs",175,80),1.25,IF(_uom="lbs",5,2.5))))),"")</f>
        <v/>
      </c>
      <c s="70"/>
      <c s="63"/>
      <c s="97"/>
      <c s="44" t="str">
        <f>IFERROR(__xludf.DUMMYFUNCTION("IF(DC151=MAX(FILTER(DC$10:DC$199,LOOKUP(ROW(CW$10:CW$199),FILTER(ROW(CW$10:CW$199),CW$10:CW$199&lt;&gt;CW$9:CW$198))=LOOKUP(ROW(CW151),FILTER(ROW(CW$10:CW$199),CW$10:CW$199&lt;&gt;CW$9:CW$198)))),DD151,)"),"")</f>
        <v/>
      </c>
      <c s="42"/>
      <c s="63"/>
      <c s="64" t="str">
        <f t="shared" si="30"/>
        <v/>
      </c>
      <c s="65" t="str">
        <f>IFERROR(__xludf.DUMMYFUNCTION("""COMPUTED_VALUE"""),"")</f>
        <v/>
      </c>
      <c s="66">
        <f ca="1"/>
        <v>45264</v>
      </c>
      <c s="93" t="str">
        <f t="shared" si="46"/>
        <v/>
      </c>
      <c s="94" t="str">
        <f t="shared" si="394"/>
        <v/>
      </c>
      <c s="95" t="str">
        <f t="shared" si="419"/>
        <v/>
      </c>
      <c s="98" t="str">
        <f t="shared" si="420"/>
        <v/>
      </c>
      <c s="97" t="str">
        <f t="array" ref="DQ151">IFERROR(IF(DK151="ac"+ISNUMBER(SEARCH("'",DP151))+DO151="","",IF(ISNUMBER(SEARCH("lw",DP151)),DC151+SUBSTITUTE(DP151,"lw+",""),MROUND(_xlfn.SWITCH(DK151,"sq",DO$7,"bn",DP$7,"dl",DQ$7,"")*IF(DP151&gt;10,DP151/100,VLOOKUP(DP151,_rpe,SUBSTITUTE(DO151,"+","")+1,0)),IF(_xlfn.SWITCH(DK151,"sq",DO$7,"bn",DP$7,"dl",DQ$7,"")&lt;IF(_uom="lbs",175,80),1.25,IF(_uom="lbs",5,2.5))))),"")</f>
        <v/>
      </c>
      <c s="70"/>
      <c s="63"/>
      <c s="97"/>
      <c s="44" t="str">
        <f>IFERROR(__xludf.DUMMYFUNCTION("IF(DQ151=MAX(FILTER(DQ$10:DQ$199,LOOKUP(ROW(DK$10:DK$199),FILTER(ROW(DK$10:DK$199),DK$10:DK$199&lt;&gt;DK$9:DK$198))=LOOKUP(ROW(DK151),FILTER(ROW(DK$10:DK$199),DK$10:DK$199&lt;&gt;DK$9:DK$198)))),DR151,)"),"")</f>
        <v/>
      </c>
      <c s="42"/>
      <c s="63"/>
      <c s="64" t="str">
        <f t="shared" si="32"/>
        <v/>
      </c>
      <c s="65" t="str">
        <f>IFERROR(__xludf.DUMMYFUNCTION("""COMPUTED_VALUE"""),"")</f>
        <v/>
      </c>
      <c s="66">
        <f ca="1"/>
        <v>45271</v>
      </c>
      <c s="93" t="str">
        <f t="shared" si="47"/>
        <v/>
      </c>
      <c s="94" t="str">
        <f t="shared" si="405"/>
        <v/>
      </c>
      <c s="95" t="str">
        <f t="shared" si="421"/>
        <v/>
      </c>
      <c s="98" t="str">
        <f t="shared" si="422"/>
        <v/>
      </c>
      <c s="97" t="str">
        <f t="array" ref="EE151">IFERROR(IF(DY151="ac"+ISNUMBER(SEARCH("'",ED151))+EC151="","",IF(ISNUMBER(SEARCH("lw",ED151)),DQ151+SUBSTITUTE(ED151,"lw+",""),MROUND(_xlfn.SWITCH(DY151,"sq",EC$7,"bn",ED$7,"dl",EE$7,"")*IF(ED151&gt;10,ED151/100,VLOOKUP(ED151,_rpe,SUBSTITUTE(EC151,"+","")+1,0)),IF(_xlfn.SWITCH(DY151,"sq",EC$7,"bn",ED$7,"dl",EE$7,"")&lt;IF(_uom="lbs",175,80),1.25,IF(_uom="lbs",5,2.5))))),"")</f>
        <v/>
      </c>
      <c s="70"/>
      <c s="63"/>
      <c s="97"/>
      <c s="44" t="str">
        <f>IFERROR(__xludf.DUMMYFUNCTION("IF(EE151=MAX(FILTER(EE$10:EE$199,LOOKUP(ROW(DY$10:DY$199),FILTER(ROW(DY$10:DY$199),DY$10:DY$199&lt;&gt;DY$9:DY$198))=LOOKUP(ROW(DY151),FILTER(ROW(DY$10:DY$199),DY$10:DY$199&lt;&gt;DY$9:DY$198)))),EF151,)"),"")</f>
        <v/>
      </c>
      <c s="42"/>
      <c s="63"/>
      <c s="64" t="str">
        <f t="shared" si="34"/>
        <v/>
      </c>
      <c s="65" t="str">
        <f>IFERROR(__xludf.DUMMYFUNCTION("""COMPUTED_VALUE"""),"")</f>
        <v/>
      </c>
      <c s="66">
        <f ca="1"/>
        <v>45278</v>
      </c>
      <c s="93" t="str">
        <f t="shared" si="48"/>
        <v/>
      </c>
      <c s="94" t="str">
        <f t="shared" si="395"/>
        <v/>
      </c>
      <c s="95" t="str">
        <f t="shared" si="423"/>
        <v/>
      </c>
      <c s="98" t="str">
        <f t="shared" si="402"/>
        <v/>
      </c>
      <c s="97" t="str">
        <f t="array" ref="ES151">IFERROR(IF(EM151="ac"+ISNUMBER(SEARCH("'",ER151))+EQ151="","",IF(ISNUMBER(SEARCH("lw",ER151)),EE151+SUBSTITUTE(ER151,"lw+",""),MROUND(_xlfn.SWITCH(EM151,"sq",EQ$7,"bn",ER$7,"dl",ES$7,"")*IF(ER151&gt;10,ER151/100,VLOOKUP(ER151,_rpe,SUBSTITUTE(EQ151,"+","")+1,0)),IF(_xlfn.SWITCH(EM151,"sq",EQ$7,"bn",ER$7,"dl",ES$7,"")&lt;IF(_uom="lbs",175,80),1.25,IF(_uom="lbs",5,2.5))))),"")</f>
        <v/>
      </c>
      <c s="70"/>
      <c s="63"/>
      <c s="97"/>
      <c s="44" t="str">
        <f>IFERROR(__xludf.DUMMYFUNCTION("IF(ES151=MAX(FILTER(ES$10:ES$199,LOOKUP(ROW(EM$10:EM$199),FILTER(ROW(EM$10:EM$199),EM$10:EM$199&lt;&gt;EM$9:EM$198))=LOOKUP(ROW(EM151),FILTER(ROW(EM$10:EM$199),EM$10:EM$199&lt;&gt;EM$9:EM$198)))),ET151,)"),"")</f>
        <v/>
      </c>
      <c s="42"/>
      <c s="63"/>
      <c s="64" t="str">
        <f t="shared" si="36"/>
        <v/>
      </c>
      <c s="65" t="str">
        <f>IFERROR(__xludf.DUMMYFUNCTION("""COMPUTED_VALUE"""),"")</f>
        <v/>
      </c>
      <c s="66">
        <f ca="1"/>
        <v>45285</v>
      </c>
      <c s="93" t="str">
        <f t="shared" si="49"/>
        <v/>
      </c>
      <c s="94" t="str">
        <f t="shared" si="396"/>
        <v/>
      </c>
      <c s="95" t="str">
        <f t="shared" si="424"/>
        <v/>
      </c>
      <c s="98" t="str">
        <f t="shared" si="403"/>
        <v/>
      </c>
      <c s="97" t="str">
        <f t="array" ref="FG151">IFERROR(IF(FA151="ac"+ISNUMBER(SEARCH("'",FF151))+FE151="","",IF(ISNUMBER(SEARCH("lw",FF151)),ES151+SUBSTITUTE(FF151,"lw+",""),MROUND(_xlfn.SWITCH(FA151,"sq",FE$7,"bn",FF$7,"dl",FG$7,"")*IF(FF151&gt;10,FF151/100,VLOOKUP(FF151,_rpe,SUBSTITUTE(FE151,"+","")+1,0)),IF(_xlfn.SWITCH(FA151,"sq",FE$7,"bn",FF$7,"dl",FG$7,"")&lt;IF(_uom="lbs",175,80),1.25,IF(_uom="lbs",5,2.5))))),"")</f>
        <v/>
      </c>
      <c s="70"/>
      <c s="63"/>
      <c s="97"/>
      <c s="44" t="str">
        <f>IFERROR(__xludf.DUMMYFUNCTION("IF(FG151=MAX(FILTER(FG$10:FG$199,LOOKUP(ROW(FA$10:FA$199),FILTER(ROW(FA$10:FA$199),FA$10:FA$199&lt;&gt;FA$9:FA$198))=LOOKUP(ROW(FA151),FILTER(ROW(FA$10:FA$199),FA$10:FA$199&lt;&gt;FA$9:FA$198)))),FH151,)"),"")</f>
        <v/>
      </c>
      <c s="42"/>
      <c s="63"/>
      <c s="64" t="str">
        <f t="shared" si="38"/>
        <v/>
      </c>
      <c s="65" t="str">
        <f>IFERROR(__xludf.DUMMYFUNCTION("""COMPUTED_VALUE"""),"")</f>
        <v/>
      </c>
      <c s="66">
        <f ca="1"/>
        <v>45292</v>
      </c>
      <c s="93" t="str">
        <f t="shared" si="495" ref="FQ151:FR151">IF(ISBLANK(FC151),"",FC151)</f>
        <v/>
      </c>
      <c s="94" t="str">
        <f t="shared" si="495"/>
        <v/>
      </c>
      <c s="95" t="str">
        <f t="shared" si="428"/>
        <v/>
      </c>
      <c s="98" t="str">
        <f t="shared" si="429"/>
        <v/>
      </c>
      <c s="97" t="str">
        <f t="array" ref="FU151">IFERROR(IF(FO151="ac"+ISNUMBER(SEARCH("'",FT151))+FS151="","",IF(ISNUMBER(SEARCH("lw",FT151)),FG151+SUBSTITUTE(FT151,"lw+",""),MROUND(_xlfn.SWITCH(FO151,"sq",FS$7,"bn",FT$7,"dl",FU$7,"")*IF(FT151&gt;10,FT151/100,VLOOKUP(FT151,_rpe,SUBSTITUTE(FS151,"+","")+1,0)),IF(_xlfn.SWITCH(FO151,"sq",FS$7,"bn",FT$7,"dl",FU$7,"")&lt;IF(_uom="lbs",175,80),1.25,IF(_uom="lbs",5,2.5))))),"")</f>
        <v/>
      </c>
      <c s="70"/>
      <c s="63"/>
      <c s="97"/>
      <c s="44" t="str">
        <f>IFERROR(__xludf.DUMMYFUNCTION("IF(FU151=MAX(FILTER(FU$10:FU$199,LOOKUP(ROW(FO$10:FO$199),FILTER(ROW(FO$10:FO$199),FO$10:FO$199&lt;&gt;FO$9:FO$198))=LOOKUP(ROW(FO151),FILTER(ROW(FO$10:FO$199),FO$10:FO$199&lt;&gt;FO$9:FO$198)))),FV151,)"),"")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52" spans="1:259" ht="15.75">
      <c r="A152" s="63"/>
      <c s="107"/>
      <c s="65" t="str">
        <f>IFERROR(__xludf.DUMMYFUNCTION("""COMPUTED_VALUE"""),"")</f>
        <v/>
      </c>
      <c s="66">
        <f ca="1"/>
        <v>45208</v>
      </c>
      <c s="108"/>
      <c s="94"/>
      <c s="95"/>
      <c s="96"/>
      <c s="97" t="str">
        <f t="array" ref="I152">IFERROR(IF(C152="ac"+ISNUMBER(SEARCH("'",H152))+G152="","",MROUND(_xlfn.SWITCH(C152,"sq",'Personal Info'!$O$15,"bn",'Personal Info'!$S$15,"dl",'Personal Info'!$W$15,"")*IF(H152&gt;10,H152/100,VLOOKUP(H152,_rpe,SUBSTITUTE(G152,"+","")+1,0)),IF(_xlfn.SWITCH(C152:C210,"sq",'Personal Info'!$O$15,"bn",'Personal Info'!$S$15,"dl",'Personal Info'!$W$15,"")&lt;IF(_uom="lbs",175,80),1.25,IF(_uom="lbs",5,2.5)))),"")</f>
        <v/>
      </c>
      <c s="70"/>
      <c s="63"/>
      <c s="97"/>
      <c s="44" t="str">
        <f>IFERROR(__xludf.DUMMYFUNCTION("IF(I152=MAX(FILTER(I$10:I$199,LOOKUP(ROW(C$10:C$199),FILTER(ROW(C$10:C$199),C$10:C$199&lt;&gt;C$9:C$198))=LOOKUP(ROW(C152),FILTER(ROW(C$10:C$199),C$10:C$199&lt;&gt;C$9:C$198)))),J152,)"),"")</f>
        <v/>
      </c>
      <c s="42"/>
      <c s="63"/>
      <c s="64" t="str">
        <f t="shared" si="11"/>
        <v/>
      </c>
      <c s="65" t="str">
        <f>IFERROR(__xludf.DUMMYFUNCTION("""COMPUTED_VALUE"""),"")</f>
        <v/>
      </c>
      <c s="66">
        <f ca="1"/>
        <v>45215</v>
      </c>
      <c s="93" t="str">
        <f t="shared" si="12"/>
        <v/>
      </c>
      <c s="94" t="str">
        <f t="shared" si="404"/>
        <v/>
      </c>
      <c s="95" t="str">
        <f t="shared" si="406"/>
        <v/>
      </c>
      <c s="98" t="str">
        <f t="shared" si="407"/>
        <v/>
      </c>
      <c s="97" t="str">
        <f t="array" ref="W152">IFERROR(IF(Q152="ac"+ISNUMBER(SEARCH("'",V152))+U152="","",IF(ISNUMBER(SEARCH("lw",V152)),I152+SUBSTITUTE(V152,"lw+",""),MROUND(_xlfn.SWITCH(Q152,"sq",U$7,"bn",V$7,"dl",W$7,"")*IF(V152&gt;10,V152/100,VLOOKUP(V152,_rpe,SUBSTITUTE(U152,"+","")+1,0)),IF(_xlfn.SWITCH(Q152,"sq",U$7,"bn",V$7,"dl",W$7,"")&lt;IF(_uom="lbs",175,80),1.25,IF(_uom="lbs",5,2.5))))),"")</f>
        <v/>
      </c>
      <c s="70"/>
      <c s="63"/>
      <c s="97"/>
      <c s="44" t="str">
        <f>IFERROR(__xludf.DUMMYFUNCTION("IF(W152=MAX(FILTER(W$10:W$199,LOOKUP(ROW(Q$10:Q$199),FILTER(ROW(Q$10:Q$199),Q$10:Q$199&lt;&gt;Q$9:Q$198))=LOOKUP(ROW(Q152),FILTER(ROW(Q$10:Q$199),Q$10:Q$199&lt;&gt;Q$9:Q$198)))),X152,)"),"")</f>
        <v/>
      </c>
      <c s="42"/>
      <c s="63"/>
      <c s="64" t="str">
        <f t="shared" si="14"/>
        <v/>
      </c>
      <c s="65" t="str">
        <f>IFERROR(__xludf.DUMMYFUNCTION("""COMPUTED_VALUE"""),"")</f>
        <v/>
      </c>
      <c s="66">
        <f ca="1"/>
        <v>45222</v>
      </c>
      <c s="93" t="str">
        <f t="shared" si="156"/>
        <v/>
      </c>
      <c s="94" t="str">
        <f t="shared" si="397"/>
        <v/>
      </c>
      <c s="95" t="str">
        <f t="shared" si="408"/>
        <v/>
      </c>
      <c s="98" t="str">
        <f t="shared" si="398"/>
        <v/>
      </c>
      <c s="97" t="str">
        <f t="array" ref="AK152">IFERROR(IF(AE152="ac"+ISNUMBER(SEARCH("'",AJ152))+AI152="","",IF(ISNUMBER(SEARCH("lw",AJ152)),W152+SUBSTITUTE(AJ152,"lw+",""),MROUND(_xlfn.SWITCH(AE152,"sq",AI$7,"bn",AJ$7,"dl",AK$7,"")*IF(AJ152&gt;10,AJ152/100,VLOOKUP(AJ152,_rpe,SUBSTITUTE(AI152,"+","")+1,0)),IF(_xlfn.SWITCH(AE152,"sq",AI$7,"bn",AJ$7,"dl",AK$7,"")&lt;IF(_uom="lbs",175,80),1.25,IF(_uom="lbs",5,2.5))))),"")</f>
        <v/>
      </c>
      <c s="70"/>
      <c s="63"/>
      <c s="97"/>
      <c s="44" t="str">
        <f>IFERROR(__xludf.DUMMYFUNCTION("IF(AK152=MAX(FILTER(AK$10:AK$199,LOOKUP(ROW(AE$10:AE$199),FILTER(ROW(AE$10:AE$199),AE$10:AE$199&lt;&gt;AE$9:AE$198))=LOOKUP(ROW(AE152),FILTER(ROW(AE$10:AE$199),AE$10:AE$199&lt;&gt;AE$9:AE$198)))),AL152,)"),"")</f>
        <v/>
      </c>
      <c s="42"/>
      <c s="63"/>
      <c s="64" t="str">
        <f t="shared" si="17"/>
        <v/>
      </c>
      <c s="65" t="str">
        <f>IFERROR(__xludf.DUMMYFUNCTION("""COMPUTED_VALUE"""),"")</f>
        <v/>
      </c>
      <c s="66">
        <f ca="1"/>
        <v>45229</v>
      </c>
      <c s="93" t="str">
        <f t="shared" si="157"/>
        <v/>
      </c>
      <c s="94" t="str">
        <f t="shared" si="399"/>
        <v/>
      </c>
      <c s="95" t="str">
        <f t="shared" si="409"/>
        <v/>
      </c>
      <c s="98" t="str">
        <f t="shared" si="400"/>
        <v/>
      </c>
      <c s="97" t="str">
        <f t="array" ref="AY152">IFERROR(IF(AS152="ac"+ISNUMBER(SEARCH("'",AX152))+AW152="","",IF(ISNUMBER(SEARCH("lw",AX152)),AK152+SUBSTITUTE(AX152,"lw+",""),MROUND(_xlfn.SWITCH(AS152,"sq",AW$7,"bn",AX$7,"dl",AY$7,"")*IF(AX152&gt;10,AX152/100,VLOOKUP(AX152,_rpe,SUBSTITUTE(AW152,"+","")+1,0)),IF(_xlfn.SWITCH(AS152,"sq",AW$7,"bn",AX$7,"dl",AY$7,"")&lt;IF(_uom="lbs",175,80),1.25,IF(_uom="lbs",5,2.5))))),"")</f>
        <v/>
      </c>
      <c s="70"/>
      <c s="63"/>
      <c s="97"/>
      <c s="44" t="str">
        <f>IFERROR(__xludf.DUMMYFUNCTION("IF(AY152=MAX(FILTER(AY$10:AY$199,LOOKUP(ROW(AS$10:AS$199),FILTER(ROW(AS$10:AS$199),AS$10:AS$199&lt;&gt;AS$9:AS$198))=LOOKUP(ROW(AS152),FILTER(ROW(AS$10:AS$199),AS$10:AS$199&lt;&gt;AS$9:AS$198)))),AZ152,)"),"")</f>
        <v/>
      </c>
      <c s="42"/>
      <c s="63"/>
      <c s="64" t="str">
        <f t="shared" si="19"/>
        <v/>
      </c>
      <c s="65" t="str">
        <f>IFERROR(__xludf.DUMMYFUNCTION("""COMPUTED_VALUE"""),"")</f>
        <v/>
      </c>
      <c s="66">
        <f ca="1"/>
        <v>45236</v>
      </c>
      <c s="93" t="str">
        <f t="shared" si="20"/>
        <v/>
      </c>
      <c s="94" t="str">
        <f t="shared" si="425"/>
        <v/>
      </c>
      <c s="95" t="str">
        <f t="shared" si="411"/>
        <v/>
      </c>
      <c s="98" t="str">
        <f t="shared" si="412"/>
        <v/>
      </c>
      <c s="97" t="str">
        <f t="array" ref="BM152">IFERROR(IF(BG152="ac"+ISNUMBER(SEARCH("'",BL152))+BK152="","",IF(ISNUMBER(SEARCH("lw",BL152)),AY152+SUBSTITUTE(BL152,"lw+",""),MROUND(_xlfn.SWITCH(BG152,"sq",BK$7,"bn",BL$7,"dl",BM$7,"")*IF(BL152&gt;10,BL152/100,VLOOKUP(BL152,_rpe,SUBSTITUTE(BK152,"+","")+1,0)),IF(_xlfn.SWITCH(BG152,"sq",BK$7,"bn",BL$7,"dl",BM$7,"")&lt;IF(_uom="lbs",175,80),1.25,IF(_uom="lbs",5,2.5))))),"")</f>
        <v/>
      </c>
      <c s="70"/>
      <c s="63"/>
      <c s="97"/>
      <c s="44" t="str">
        <f>IFERROR(__xludf.DUMMYFUNCTION("IF(BM152=MAX(FILTER(BM$10:BM$199,LOOKUP(ROW(BG$10:BG$199),FILTER(ROW(BG$10:BG$199),BG$10:BG$199&lt;&gt;BG$9:BG$198))=LOOKUP(ROW(BG152),FILTER(ROW(BG$10:BG$199),BG$10:BG$199&lt;&gt;BG$9:BG$198)))),BN152,)"),"")</f>
        <v/>
      </c>
      <c s="42"/>
      <c s="63"/>
      <c s="64" t="str">
        <f t="shared" si="21"/>
        <v/>
      </c>
      <c s="65" t="str">
        <f>IFERROR(__xludf.DUMMYFUNCTION("""COMPUTED_VALUE"""),"")</f>
        <v/>
      </c>
      <c s="66">
        <f ca="1"/>
        <v>45243</v>
      </c>
      <c s="93" t="str">
        <f t="shared" si="22"/>
        <v/>
      </c>
      <c s="94" t="str">
        <f t="shared" si="426"/>
        <v/>
      </c>
      <c s="95" t="str">
        <f t="shared" si="414"/>
        <v/>
      </c>
      <c s="98" t="str">
        <f t="shared" si="415"/>
        <v/>
      </c>
      <c s="97" t="str">
        <f t="array" ref="CA152">IFERROR(IF(BU152="ac"+ISNUMBER(SEARCH("'",BZ152))+BY152="","",IF(ISNUMBER(SEARCH("lw",BZ152)),BM152+SUBSTITUTE(BZ152,"lw+",""),MROUND(_xlfn.SWITCH(BU152,"sq",BY$7,"bn",BZ$7,"dl",CA$7,"")*IF(BZ152&gt;10,BZ152/100,VLOOKUP(BZ152,_rpe,SUBSTITUTE(BY152,"+","")+1,0)),IF(_xlfn.SWITCH(BU152,"sq",BY$7,"bn",BZ$7,"dl",CA$7,"")&lt;IF(_uom="lbs",175,80),1.25,IF(_uom="lbs",5,2.5))))),"")</f>
        <v/>
      </c>
      <c s="70"/>
      <c s="63"/>
      <c s="97"/>
      <c s="44" t="str">
        <f>IFERROR(__xludf.DUMMYFUNCTION("IF(CA152=MAX(FILTER(CA$10:CA$199,LOOKUP(ROW(BU$10:BU$199),FILTER(ROW(BU$10:BU$199),BU$10:BU$199&lt;&gt;BU$9:BU$198))=LOOKUP(ROW(BU152),FILTER(ROW(BU$10:BU$199),BU$10:BU$199&lt;&gt;BU$9:BU$198)))),CB152,)"),"")</f>
        <v/>
      </c>
      <c s="42"/>
      <c s="63"/>
      <c s="64" t="str">
        <f t="shared" si="24"/>
        <v/>
      </c>
      <c s="65" t="str">
        <f>IFERROR(__xludf.DUMMYFUNCTION("""COMPUTED_VALUE"""),"")</f>
        <v/>
      </c>
      <c s="66">
        <f ca="1"/>
        <v>45250</v>
      </c>
      <c s="93" t="str">
        <f t="shared" si="44"/>
        <v/>
      </c>
      <c s="94" t="str">
        <f t="shared" si="392"/>
        <v/>
      </c>
      <c s="95" t="str">
        <f t="shared" si="416"/>
        <v/>
      </c>
      <c s="98" t="str">
        <f t="shared" si="417"/>
        <v/>
      </c>
      <c s="97" t="str">
        <f t="array" ref="CO152">IFERROR(IF(CI152="ac"+ISNUMBER(SEARCH("'",CN152))+CM152="","",IF(ISNUMBER(SEARCH("lw",CN152)),CA152+SUBSTITUTE(CN152,"lw+",""),MROUND(_xlfn.SWITCH(CI152,"sq",CM$7,"bn",CN$7,"dl",CO$7,"")*IF(CN152&gt;10,CN152/100,VLOOKUP(CN152,_rpe,SUBSTITUTE(CM152,"+","")+1,0)),IF(_xlfn.SWITCH(CI152,"sq",CM$7,"bn",CN$7,"dl",CO$7,"")&lt;IF(_uom="lbs",175,80),1.25,IF(_uom="lbs",5,2.5))))),"")</f>
        <v/>
      </c>
      <c s="70"/>
      <c s="63"/>
      <c s="97"/>
      <c s="44" t="str">
        <f>IFERROR(__xludf.DUMMYFUNCTION("IF(CO152=MAX(FILTER(CO$10:CO$199,LOOKUP(ROW(CI$10:CI$199),FILTER(ROW(CI$10:CI$199),CI$10:CI$199&lt;&gt;CI$9:CI$198))=LOOKUP(ROW(CI152),FILTER(ROW(CI$10:CI$199),CI$10:CI$199&lt;&gt;CI$9:CI$198)))),CP152,)"),"")</f>
        <v/>
      </c>
      <c s="42"/>
      <c s="63"/>
      <c s="64" t="str">
        <f t="shared" si="27"/>
        <v/>
      </c>
      <c s="65" t="str">
        <f>IFERROR(__xludf.DUMMYFUNCTION("""COMPUTED_VALUE"""),"")</f>
        <v/>
      </c>
      <c s="66">
        <f ca="1"/>
        <v>45257</v>
      </c>
      <c s="93" t="str">
        <f t="shared" si="45"/>
        <v/>
      </c>
      <c s="94" t="str">
        <f t="shared" si="393"/>
        <v/>
      </c>
      <c s="95" t="str">
        <f t="shared" si="418"/>
        <v/>
      </c>
      <c s="98" t="str">
        <f t="shared" si="401"/>
        <v/>
      </c>
      <c s="97" t="str">
        <f t="array" ref="DC152">IFERROR(IF(CW152="ac"+ISNUMBER(SEARCH("'",DB152))+DA152="","",IF(ISNUMBER(SEARCH("lw",DB152)),CO152+SUBSTITUTE(DB152,"lw+",""),MROUND(_xlfn.SWITCH(CW152,"sq",DA$7,"bn",DB$7,"dl",DC$7,"")*IF(DB152&gt;10,DB152/100,VLOOKUP(DB152,_rpe,SUBSTITUTE(DA152,"+","")+1,0)),IF(_xlfn.SWITCH(CW152,"sq",DA$7,"bn",DB$7,"dl",DC$7,"")&lt;IF(_uom="lbs",175,80),1.25,IF(_uom="lbs",5,2.5))))),"")</f>
        <v/>
      </c>
      <c s="70"/>
      <c s="63"/>
      <c s="97"/>
      <c s="44" t="str">
        <f>IFERROR(__xludf.DUMMYFUNCTION("IF(DC152=MAX(FILTER(DC$10:DC$199,LOOKUP(ROW(CW$10:CW$199),FILTER(ROW(CW$10:CW$199),CW$10:CW$199&lt;&gt;CW$9:CW$198))=LOOKUP(ROW(CW152),FILTER(ROW(CW$10:CW$199),CW$10:CW$199&lt;&gt;CW$9:CW$198)))),DD152,)"),"")</f>
        <v/>
      </c>
      <c s="42"/>
      <c s="63"/>
      <c s="64" t="str">
        <f t="shared" si="30"/>
        <v/>
      </c>
      <c s="65" t="str">
        <f>IFERROR(__xludf.DUMMYFUNCTION("""COMPUTED_VALUE"""),"")</f>
        <v/>
      </c>
      <c s="66">
        <f ca="1"/>
        <v>45264</v>
      </c>
      <c s="93" t="str">
        <f t="shared" si="46"/>
        <v/>
      </c>
      <c s="94" t="str">
        <f t="shared" si="394"/>
        <v/>
      </c>
      <c s="95" t="str">
        <f t="shared" si="419"/>
        <v/>
      </c>
      <c s="98" t="str">
        <f t="shared" si="420"/>
        <v/>
      </c>
      <c s="97" t="str">
        <f t="array" ref="DQ152">IFERROR(IF(DK152="ac"+ISNUMBER(SEARCH("'",DP152))+DO152="","",IF(ISNUMBER(SEARCH("lw",DP152)),DC152+SUBSTITUTE(DP152,"lw+",""),MROUND(_xlfn.SWITCH(DK152,"sq",DO$7,"bn",DP$7,"dl",DQ$7,"")*IF(DP152&gt;10,DP152/100,VLOOKUP(DP152,_rpe,SUBSTITUTE(DO152,"+","")+1,0)),IF(_xlfn.SWITCH(DK152,"sq",DO$7,"bn",DP$7,"dl",DQ$7,"")&lt;IF(_uom="lbs",175,80),1.25,IF(_uom="lbs",5,2.5))))),"")</f>
        <v/>
      </c>
      <c s="70"/>
      <c s="63"/>
      <c s="97"/>
      <c s="44" t="str">
        <f>IFERROR(__xludf.DUMMYFUNCTION("IF(DQ152=MAX(FILTER(DQ$10:DQ$199,LOOKUP(ROW(DK$10:DK$199),FILTER(ROW(DK$10:DK$199),DK$10:DK$199&lt;&gt;DK$9:DK$198))=LOOKUP(ROW(DK152),FILTER(ROW(DK$10:DK$199),DK$10:DK$199&lt;&gt;DK$9:DK$198)))),DR152,)"),"")</f>
        <v/>
      </c>
      <c s="42"/>
      <c s="63"/>
      <c s="64" t="str">
        <f t="shared" si="32"/>
        <v/>
      </c>
      <c s="65" t="str">
        <f>IFERROR(__xludf.DUMMYFUNCTION("""COMPUTED_VALUE"""),"")</f>
        <v/>
      </c>
      <c s="66">
        <f ca="1"/>
        <v>45271</v>
      </c>
      <c s="93" t="str">
        <f t="shared" si="47"/>
        <v/>
      </c>
      <c s="94" t="str">
        <f t="shared" si="405"/>
        <v/>
      </c>
      <c s="95" t="str">
        <f t="shared" si="421"/>
        <v/>
      </c>
      <c s="98" t="str">
        <f t="shared" si="422"/>
        <v/>
      </c>
      <c s="97" t="str">
        <f t="array" ref="EE152">IFERROR(IF(DY152="ac"+ISNUMBER(SEARCH("'",ED152))+EC152="","",IF(ISNUMBER(SEARCH("lw",ED152)),DQ152+SUBSTITUTE(ED152,"lw+",""),MROUND(_xlfn.SWITCH(DY152,"sq",EC$7,"bn",ED$7,"dl",EE$7,"")*IF(ED152&gt;10,ED152/100,VLOOKUP(ED152,_rpe,SUBSTITUTE(EC152,"+","")+1,0)),IF(_xlfn.SWITCH(DY152,"sq",EC$7,"bn",ED$7,"dl",EE$7,"")&lt;IF(_uom="lbs",175,80),1.25,IF(_uom="lbs",5,2.5))))),"")</f>
        <v/>
      </c>
      <c s="70"/>
      <c s="63"/>
      <c s="97"/>
      <c s="44" t="str">
        <f>IFERROR(__xludf.DUMMYFUNCTION("IF(EE152=MAX(FILTER(EE$10:EE$199,LOOKUP(ROW(DY$10:DY$199),FILTER(ROW(DY$10:DY$199),DY$10:DY$199&lt;&gt;DY$9:DY$198))=LOOKUP(ROW(DY152),FILTER(ROW(DY$10:DY$199),DY$10:DY$199&lt;&gt;DY$9:DY$198)))),EF152,)"),"")</f>
        <v/>
      </c>
      <c s="42"/>
      <c s="63"/>
      <c s="64" t="str">
        <f t="shared" si="34"/>
        <v/>
      </c>
      <c s="65" t="str">
        <f>IFERROR(__xludf.DUMMYFUNCTION("""COMPUTED_VALUE"""),"")</f>
        <v/>
      </c>
      <c s="66">
        <f ca="1"/>
        <v>45278</v>
      </c>
      <c s="93" t="str">
        <f t="shared" si="48"/>
        <v/>
      </c>
      <c s="94" t="str">
        <f t="shared" si="395"/>
        <v/>
      </c>
      <c s="95" t="str">
        <f t="shared" si="423"/>
        <v/>
      </c>
      <c s="98" t="str">
        <f t="shared" si="402"/>
        <v/>
      </c>
      <c s="97" t="str">
        <f t="array" ref="ES152">IFERROR(IF(EM152="ac"+ISNUMBER(SEARCH("'",ER152))+EQ152="","",IF(ISNUMBER(SEARCH("lw",ER152)),EE152+SUBSTITUTE(ER152,"lw+",""),MROUND(_xlfn.SWITCH(EM152,"sq",EQ$7,"bn",ER$7,"dl",ES$7,"")*IF(ER152&gt;10,ER152/100,VLOOKUP(ER152,_rpe,SUBSTITUTE(EQ152,"+","")+1,0)),IF(_xlfn.SWITCH(EM152,"sq",EQ$7,"bn",ER$7,"dl",ES$7,"")&lt;IF(_uom="lbs",175,80),1.25,IF(_uom="lbs",5,2.5))))),"")</f>
        <v/>
      </c>
      <c s="70"/>
      <c s="63"/>
      <c s="97"/>
      <c s="44" t="str">
        <f>IFERROR(__xludf.DUMMYFUNCTION("IF(ES152=MAX(FILTER(ES$10:ES$199,LOOKUP(ROW(EM$10:EM$199),FILTER(ROW(EM$10:EM$199),EM$10:EM$199&lt;&gt;EM$9:EM$198))=LOOKUP(ROW(EM152),FILTER(ROW(EM$10:EM$199),EM$10:EM$199&lt;&gt;EM$9:EM$198)))),ET152,)"),"")</f>
        <v/>
      </c>
      <c s="42"/>
      <c s="63"/>
      <c s="64" t="str">
        <f t="shared" si="36"/>
        <v/>
      </c>
      <c s="65" t="str">
        <f>IFERROR(__xludf.DUMMYFUNCTION("""COMPUTED_VALUE"""),"")</f>
        <v/>
      </c>
      <c s="66">
        <f ca="1"/>
        <v>45285</v>
      </c>
      <c s="93" t="str">
        <f t="shared" si="49"/>
        <v/>
      </c>
      <c s="94" t="str">
        <f t="shared" si="396"/>
        <v/>
      </c>
      <c s="95" t="str">
        <f t="shared" si="424"/>
        <v/>
      </c>
      <c s="98" t="str">
        <f t="shared" si="403"/>
        <v/>
      </c>
      <c s="97" t="str">
        <f t="array" ref="FG152">IFERROR(IF(FA152="ac"+ISNUMBER(SEARCH("'",FF152))+FE152="","",IF(ISNUMBER(SEARCH("lw",FF152)),ES152+SUBSTITUTE(FF152,"lw+",""),MROUND(_xlfn.SWITCH(FA152,"sq",FE$7,"bn",FF$7,"dl",FG$7,"")*IF(FF152&gt;10,FF152/100,VLOOKUP(FF152,_rpe,SUBSTITUTE(FE152,"+","")+1,0)),IF(_xlfn.SWITCH(FA152,"sq",FE$7,"bn",FF$7,"dl",FG$7,"")&lt;IF(_uom="lbs",175,80),1.25,IF(_uom="lbs",5,2.5))))),"")</f>
        <v/>
      </c>
      <c s="70"/>
      <c s="63"/>
      <c s="97"/>
      <c s="44" t="str">
        <f>IFERROR(__xludf.DUMMYFUNCTION("IF(FG152=MAX(FILTER(FG$10:FG$199,LOOKUP(ROW(FA$10:FA$199),FILTER(ROW(FA$10:FA$199),FA$10:FA$199&lt;&gt;FA$9:FA$198))=LOOKUP(ROW(FA152),FILTER(ROW(FA$10:FA$199),FA$10:FA$199&lt;&gt;FA$9:FA$198)))),FH152,)"),"")</f>
        <v/>
      </c>
      <c s="42"/>
      <c s="63"/>
      <c s="64" t="str">
        <f t="shared" si="38"/>
        <v/>
      </c>
      <c s="65" t="str">
        <f>IFERROR(__xludf.DUMMYFUNCTION("""COMPUTED_VALUE"""),"")</f>
        <v/>
      </c>
      <c s="66">
        <f ca="1"/>
        <v>45292</v>
      </c>
      <c s="93" t="str">
        <f t="shared" si="496" ref="FQ152:FR152">IF(ISBLANK(FC152),"",FC152)</f>
        <v/>
      </c>
      <c s="94" t="str">
        <f t="shared" si="496"/>
        <v/>
      </c>
      <c s="95" t="str">
        <f t="shared" si="428"/>
        <v/>
      </c>
      <c s="98" t="str">
        <f t="shared" si="429"/>
        <v/>
      </c>
      <c s="97" t="str">
        <f t="array" ref="FU152">IFERROR(IF(FO152="ac"+ISNUMBER(SEARCH("'",FT152))+FS152="","",IF(ISNUMBER(SEARCH("lw",FT152)),FG152+SUBSTITUTE(FT152,"lw+",""),MROUND(_xlfn.SWITCH(FO152,"sq",FS$7,"bn",FT$7,"dl",FU$7,"")*IF(FT152&gt;10,FT152/100,VLOOKUP(FT152,_rpe,SUBSTITUTE(FS152,"+","")+1,0)),IF(_xlfn.SWITCH(FO152,"sq",FS$7,"bn",FT$7,"dl",FU$7,"")&lt;IF(_uom="lbs",175,80),1.25,IF(_uom="lbs",5,2.5))))),"")</f>
        <v/>
      </c>
      <c s="70"/>
      <c s="63"/>
      <c s="97"/>
      <c s="44" t="str">
        <f>IFERROR(__xludf.DUMMYFUNCTION("IF(FU152=MAX(FILTER(FU$10:FU$199,LOOKUP(ROW(FO$10:FO$199),FILTER(ROW(FO$10:FO$199),FO$10:FO$199&lt;&gt;FO$9:FO$198))=LOOKUP(ROW(FO152),FILTER(ROW(FO$10:FO$199),FO$10:FO$199&lt;&gt;FO$9:FO$198)))),FV152,)"),"")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53" spans="1:259" ht="15.75">
      <c r="A153" s="63"/>
      <c s="107"/>
      <c s="65" t="str">
        <f>IFERROR(__xludf.DUMMYFUNCTION("""COMPUTED_VALUE"""),"")</f>
        <v/>
      </c>
      <c s="66">
        <f ca="1"/>
        <v>45208</v>
      </c>
      <c s="108"/>
      <c s="94"/>
      <c s="95"/>
      <c s="96"/>
      <c s="97" t="str">
        <f t="array" ref="I153">IFERROR(IF(C153="ac"+ISNUMBER(SEARCH("'",H153))+G153="","",MROUND(_xlfn.SWITCH(C153,"sq",'Personal Info'!$O$15,"bn",'Personal Info'!$S$15,"dl",'Personal Info'!$W$15,"")*IF(H153&gt;10,H153/100,VLOOKUP(H153,_rpe,SUBSTITUTE(G153,"+","")+1,0)),IF(_xlfn.SWITCH(C153:C210,"sq",'Personal Info'!$O$15,"bn",'Personal Info'!$S$15,"dl",'Personal Info'!$W$15,"")&lt;IF(_uom="lbs",175,80),1.25,IF(_uom="lbs",5,2.5)))),"")</f>
        <v/>
      </c>
      <c s="70"/>
      <c s="63"/>
      <c s="97"/>
      <c s="44" t="str">
        <f>IFERROR(__xludf.DUMMYFUNCTION("IF(I153=MAX(FILTER(I$10:I$199,LOOKUP(ROW(C$10:C$199),FILTER(ROW(C$10:C$199),C$10:C$199&lt;&gt;C$9:C$198))=LOOKUP(ROW(C153),FILTER(ROW(C$10:C$199),C$10:C$199&lt;&gt;C$9:C$198)))),J153,)"),"")</f>
        <v/>
      </c>
      <c s="42"/>
      <c s="63"/>
      <c s="64" t="str">
        <f t="shared" si="11"/>
        <v/>
      </c>
      <c s="65" t="str">
        <f>IFERROR(__xludf.DUMMYFUNCTION("""COMPUTED_VALUE"""),"")</f>
        <v/>
      </c>
      <c s="66">
        <f ca="1"/>
        <v>45215</v>
      </c>
      <c s="93" t="str">
        <f t="shared" si="12"/>
        <v/>
      </c>
      <c s="94" t="str">
        <f t="shared" si="404"/>
        <v/>
      </c>
      <c s="95" t="str">
        <f t="shared" si="406"/>
        <v/>
      </c>
      <c s="98" t="str">
        <f t="shared" si="407"/>
        <v/>
      </c>
      <c s="97" t="str">
        <f t="array" ref="W153">IFERROR(IF(Q153="ac"+ISNUMBER(SEARCH("'",V153))+U153="","",IF(ISNUMBER(SEARCH("lw",V153)),I153+SUBSTITUTE(V153,"lw+",""),MROUND(_xlfn.SWITCH(Q153,"sq",U$7,"bn",V$7,"dl",W$7,"")*IF(V153&gt;10,V153/100,VLOOKUP(V153,_rpe,SUBSTITUTE(U153,"+","")+1,0)),IF(_xlfn.SWITCH(Q153,"sq",U$7,"bn",V$7,"dl",W$7,"")&lt;IF(_uom="lbs",175,80),1.25,IF(_uom="lbs",5,2.5))))),"")</f>
        <v/>
      </c>
      <c s="70"/>
      <c s="63"/>
      <c s="97"/>
      <c s="44" t="str">
        <f>IFERROR(__xludf.DUMMYFUNCTION("IF(W153=MAX(FILTER(W$10:W$199,LOOKUP(ROW(Q$10:Q$199),FILTER(ROW(Q$10:Q$199),Q$10:Q$199&lt;&gt;Q$9:Q$198))=LOOKUP(ROW(Q153),FILTER(ROW(Q$10:Q$199),Q$10:Q$199&lt;&gt;Q$9:Q$198)))),X153,)"),"")</f>
        <v/>
      </c>
      <c s="42"/>
      <c s="63"/>
      <c s="64" t="str">
        <f t="shared" si="14"/>
        <v/>
      </c>
      <c s="65" t="str">
        <f>IFERROR(__xludf.DUMMYFUNCTION("""COMPUTED_VALUE"""),"")</f>
        <v/>
      </c>
      <c s="66">
        <f ca="1"/>
        <v>45222</v>
      </c>
      <c s="93" t="str">
        <f t="shared" si="156"/>
        <v/>
      </c>
      <c s="94" t="str">
        <f t="shared" si="397"/>
        <v/>
      </c>
      <c s="95" t="str">
        <f t="shared" si="408"/>
        <v/>
      </c>
      <c s="98" t="str">
        <f t="shared" si="398"/>
        <v/>
      </c>
      <c s="97" t="str">
        <f t="array" ref="AK153">IFERROR(IF(AE153="ac"+ISNUMBER(SEARCH("'",AJ153))+AI153="","",IF(ISNUMBER(SEARCH("lw",AJ153)),W153+SUBSTITUTE(AJ153,"lw+",""),MROUND(_xlfn.SWITCH(AE153,"sq",AI$7,"bn",AJ$7,"dl",AK$7,"")*IF(AJ153&gt;10,AJ153/100,VLOOKUP(AJ153,_rpe,SUBSTITUTE(AI153,"+","")+1,0)),IF(_xlfn.SWITCH(AE153,"sq",AI$7,"bn",AJ$7,"dl",AK$7,"")&lt;IF(_uom="lbs",175,80),1.25,IF(_uom="lbs",5,2.5))))),"")</f>
        <v/>
      </c>
      <c s="70"/>
      <c s="63"/>
      <c s="97"/>
      <c s="44" t="str">
        <f>IFERROR(__xludf.DUMMYFUNCTION("IF(AK153=MAX(FILTER(AK$10:AK$199,LOOKUP(ROW(AE$10:AE$199),FILTER(ROW(AE$10:AE$199),AE$10:AE$199&lt;&gt;AE$9:AE$198))=LOOKUP(ROW(AE153),FILTER(ROW(AE$10:AE$199),AE$10:AE$199&lt;&gt;AE$9:AE$198)))),AL153,)"),"")</f>
        <v/>
      </c>
      <c s="42"/>
      <c s="63"/>
      <c s="64" t="str">
        <f t="shared" si="17"/>
        <v/>
      </c>
      <c s="65" t="str">
        <f>IFERROR(__xludf.DUMMYFUNCTION("""COMPUTED_VALUE"""),"")</f>
        <v/>
      </c>
      <c s="66">
        <f ca="1"/>
        <v>45229</v>
      </c>
      <c s="93" t="str">
        <f t="shared" si="157"/>
        <v/>
      </c>
      <c s="94" t="str">
        <f t="shared" si="399"/>
        <v/>
      </c>
      <c s="95" t="str">
        <f t="shared" si="409"/>
        <v/>
      </c>
      <c s="98" t="str">
        <f t="shared" si="400"/>
        <v/>
      </c>
      <c s="97" t="str">
        <f t="array" ref="AY153">IFERROR(IF(AS153="ac"+ISNUMBER(SEARCH("'",AX153))+AW153="","",IF(ISNUMBER(SEARCH("lw",AX153)),AK153+SUBSTITUTE(AX153,"lw+",""),MROUND(_xlfn.SWITCH(AS153,"sq",AW$7,"bn",AX$7,"dl",AY$7,"")*IF(AX153&gt;10,AX153/100,VLOOKUP(AX153,_rpe,SUBSTITUTE(AW153,"+","")+1,0)),IF(_xlfn.SWITCH(AS153,"sq",AW$7,"bn",AX$7,"dl",AY$7,"")&lt;IF(_uom="lbs",175,80),1.25,IF(_uom="lbs",5,2.5))))),"")</f>
        <v/>
      </c>
      <c s="70"/>
      <c s="63"/>
      <c s="97"/>
      <c s="44" t="str">
        <f>IFERROR(__xludf.DUMMYFUNCTION("IF(AY153=MAX(FILTER(AY$10:AY$199,LOOKUP(ROW(AS$10:AS$199),FILTER(ROW(AS$10:AS$199),AS$10:AS$199&lt;&gt;AS$9:AS$198))=LOOKUP(ROW(AS153),FILTER(ROW(AS$10:AS$199),AS$10:AS$199&lt;&gt;AS$9:AS$198)))),AZ153,)"),"")</f>
        <v/>
      </c>
      <c s="42"/>
      <c s="63"/>
      <c s="64" t="str">
        <f t="shared" si="19"/>
        <v/>
      </c>
      <c s="65" t="str">
        <f>IFERROR(__xludf.DUMMYFUNCTION("""COMPUTED_VALUE"""),"")</f>
        <v/>
      </c>
      <c s="66">
        <f ca="1"/>
        <v>45236</v>
      </c>
      <c s="93" t="str">
        <f t="shared" si="20"/>
        <v/>
      </c>
      <c s="94" t="str">
        <f t="shared" si="425"/>
        <v/>
      </c>
      <c s="95" t="str">
        <f t="shared" si="411"/>
        <v/>
      </c>
      <c s="98" t="str">
        <f t="shared" si="412"/>
        <v/>
      </c>
      <c s="97" t="str">
        <f t="array" ref="BM153">IFERROR(IF(BG153="ac"+ISNUMBER(SEARCH("'",BL153))+BK153="","",IF(ISNUMBER(SEARCH("lw",BL153)),AY153+SUBSTITUTE(BL153,"lw+",""),MROUND(_xlfn.SWITCH(BG153,"sq",BK$7,"bn",BL$7,"dl",BM$7,"")*IF(BL153&gt;10,BL153/100,VLOOKUP(BL153,_rpe,SUBSTITUTE(BK153,"+","")+1,0)),IF(_xlfn.SWITCH(BG153,"sq",BK$7,"bn",BL$7,"dl",BM$7,"")&lt;IF(_uom="lbs",175,80),1.25,IF(_uom="lbs",5,2.5))))),"")</f>
        <v/>
      </c>
      <c s="70"/>
      <c s="63"/>
      <c s="97"/>
      <c s="44" t="str">
        <f>IFERROR(__xludf.DUMMYFUNCTION("IF(BM153=MAX(FILTER(BM$10:BM$199,LOOKUP(ROW(BG$10:BG$199),FILTER(ROW(BG$10:BG$199),BG$10:BG$199&lt;&gt;BG$9:BG$198))=LOOKUP(ROW(BG153),FILTER(ROW(BG$10:BG$199),BG$10:BG$199&lt;&gt;BG$9:BG$198)))),BN153,)"),"")</f>
        <v/>
      </c>
      <c s="42"/>
      <c s="63"/>
      <c s="64" t="str">
        <f t="shared" si="21"/>
        <v/>
      </c>
      <c s="65" t="str">
        <f>IFERROR(__xludf.DUMMYFUNCTION("""COMPUTED_VALUE"""),"")</f>
        <v/>
      </c>
      <c s="66">
        <f ca="1"/>
        <v>45243</v>
      </c>
      <c s="93" t="str">
        <f t="shared" si="22"/>
        <v/>
      </c>
      <c s="94" t="str">
        <f t="shared" si="426"/>
        <v/>
      </c>
      <c s="95" t="str">
        <f t="shared" si="414"/>
        <v/>
      </c>
      <c s="98" t="str">
        <f t="shared" si="415"/>
        <v/>
      </c>
      <c s="97" t="str">
        <f t="array" ref="CA153">IFERROR(IF(BU153="ac"+ISNUMBER(SEARCH("'",BZ153))+BY153="","",IF(ISNUMBER(SEARCH("lw",BZ153)),BM153+SUBSTITUTE(BZ153,"lw+",""),MROUND(_xlfn.SWITCH(BU153,"sq",BY$7,"bn",BZ$7,"dl",CA$7,"")*IF(BZ153&gt;10,BZ153/100,VLOOKUP(BZ153,_rpe,SUBSTITUTE(BY153,"+","")+1,0)),IF(_xlfn.SWITCH(BU153,"sq",BY$7,"bn",BZ$7,"dl",CA$7,"")&lt;IF(_uom="lbs",175,80),1.25,IF(_uom="lbs",5,2.5))))),"")</f>
        <v/>
      </c>
      <c s="70"/>
      <c s="63"/>
      <c s="97"/>
      <c s="44" t="str">
        <f>IFERROR(__xludf.DUMMYFUNCTION("IF(CA153=MAX(FILTER(CA$10:CA$199,LOOKUP(ROW(BU$10:BU$199),FILTER(ROW(BU$10:BU$199),BU$10:BU$199&lt;&gt;BU$9:BU$198))=LOOKUP(ROW(BU153),FILTER(ROW(BU$10:BU$199),BU$10:BU$199&lt;&gt;BU$9:BU$198)))),CB153,)"),"")</f>
        <v/>
      </c>
      <c s="42"/>
      <c s="63"/>
      <c s="64" t="str">
        <f t="shared" si="24"/>
        <v/>
      </c>
      <c s="65" t="str">
        <f>IFERROR(__xludf.DUMMYFUNCTION("""COMPUTED_VALUE"""),"")</f>
        <v/>
      </c>
      <c s="66">
        <f ca="1"/>
        <v>45250</v>
      </c>
      <c s="93" t="str">
        <f t="shared" si="44"/>
        <v/>
      </c>
      <c s="94" t="str">
        <f t="shared" si="392"/>
        <v/>
      </c>
      <c s="95" t="str">
        <f t="shared" si="416"/>
        <v/>
      </c>
      <c s="98" t="str">
        <f t="shared" si="417"/>
        <v/>
      </c>
      <c s="97" t="str">
        <f t="array" ref="CO153">IFERROR(IF(CI153="ac"+ISNUMBER(SEARCH("'",CN153))+CM153="","",IF(ISNUMBER(SEARCH("lw",CN153)),CA153+SUBSTITUTE(CN153,"lw+",""),MROUND(_xlfn.SWITCH(CI153,"sq",CM$7,"bn",CN$7,"dl",CO$7,"")*IF(CN153&gt;10,CN153/100,VLOOKUP(CN153,_rpe,SUBSTITUTE(CM153,"+","")+1,0)),IF(_xlfn.SWITCH(CI153,"sq",CM$7,"bn",CN$7,"dl",CO$7,"")&lt;IF(_uom="lbs",175,80),1.25,IF(_uom="lbs",5,2.5))))),"")</f>
        <v/>
      </c>
      <c s="70"/>
      <c s="63"/>
      <c s="97"/>
      <c s="44" t="str">
        <f>IFERROR(__xludf.DUMMYFUNCTION("IF(CO153=MAX(FILTER(CO$10:CO$199,LOOKUP(ROW(CI$10:CI$199),FILTER(ROW(CI$10:CI$199),CI$10:CI$199&lt;&gt;CI$9:CI$198))=LOOKUP(ROW(CI153),FILTER(ROW(CI$10:CI$199),CI$10:CI$199&lt;&gt;CI$9:CI$198)))),CP153,)"),"")</f>
        <v/>
      </c>
      <c s="42"/>
      <c s="63"/>
      <c s="64" t="str">
        <f t="shared" si="27"/>
        <v/>
      </c>
      <c s="65" t="str">
        <f>IFERROR(__xludf.DUMMYFUNCTION("""COMPUTED_VALUE"""),"")</f>
        <v/>
      </c>
      <c s="66">
        <f ca="1"/>
        <v>45257</v>
      </c>
      <c s="93" t="str">
        <f t="shared" si="45"/>
        <v/>
      </c>
      <c s="94" t="str">
        <f t="shared" si="393"/>
        <v/>
      </c>
      <c s="95" t="str">
        <f t="shared" si="418"/>
        <v/>
      </c>
      <c s="98" t="str">
        <f t="shared" si="401"/>
        <v/>
      </c>
      <c s="97" t="str">
        <f t="array" ref="DC153">IFERROR(IF(CW153="ac"+ISNUMBER(SEARCH("'",DB153))+DA153="","",IF(ISNUMBER(SEARCH("lw",DB153)),CO153+SUBSTITUTE(DB153,"lw+",""),MROUND(_xlfn.SWITCH(CW153,"sq",DA$7,"bn",DB$7,"dl",DC$7,"")*IF(DB153&gt;10,DB153/100,VLOOKUP(DB153,_rpe,SUBSTITUTE(DA153,"+","")+1,0)),IF(_xlfn.SWITCH(CW153,"sq",DA$7,"bn",DB$7,"dl",DC$7,"")&lt;IF(_uom="lbs",175,80),1.25,IF(_uom="lbs",5,2.5))))),"")</f>
        <v/>
      </c>
      <c s="70"/>
      <c s="63"/>
      <c s="97"/>
      <c s="44" t="str">
        <f>IFERROR(__xludf.DUMMYFUNCTION("IF(DC153=MAX(FILTER(DC$10:DC$199,LOOKUP(ROW(CW$10:CW$199),FILTER(ROW(CW$10:CW$199),CW$10:CW$199&lt;&gt;CW$9:CW$198))=LOOKUP(ROW(CW153),FILTER(ROW(CW$10:CW$199),CW$10:CW$199&lt;&gt;CW$9:CW$198)))),DD153,)"),"")</f>
        <v/>
      </c>
      <c s="42"/>
      <c s="63"/>
      <c s="64" t="str">
        <f t="shared" si="30"/>
        <v/>
      </c>
      <c s="65" t="str">
        <f>IFERROR(__xludf.DUMMYFUNCTION("""COMPUTED_VALUE"""),"")</f>
        <v/>
      </c>
      <c s="66">
        <f ca="1"/>
        <v>45264</v>
      </c>
      <c s="93" t="str">
        <f t="shared" si="46"/>
        <v/>
      </c>
      <c s="94" t="str">
        <f t="shared" si="394"/>
        <v/>
      </c>
      <c s="95" t="str">
        <f t="shared" si="419"/>
        <v/>
      </c>
      <c s="98" t="str">
        <f t="shared" si="420"/>
        <v/>
      </c>
      <c s="97" t="str">
        <f t="array" ref="DQ153">IFERROR(IF(DK153="ac"+ISNUMBER(SEARCH("'",DP153))+DO153="","",IF(ISNUMBER(SEARCH("lw",DP153)),DC153+SUBSTITUTE(DP153,"lw+",""),MROUND(_xlfn.SWITCH(DK153,"sq",DO$7,"bn",DP$7,"dl",DQ$7,"")*IF(DP153&gt;10,DP153/100,VLOOKUP(DP153,_rpe,SUBSTITUTE(DO153,"+","")+1,0)),IF(_xlfn.SWITCH(DK153,"sq",DO$7,"bn",DP$7,"dl",DQ$7,"")&lt;IF(_uom="lbs",175,80),1.25,IF(_uom="lbs",5,2.5))))),"")</f>
        <v/>
      </c>
      <c s="70"/>
      <c s="63"/>
      <c s="97"/>
      <c s="44" t="str">
        <f>IFERROR(__xludf.DUMMYFUNCTION("IF(DQ153=MAX(FILTER(DQ$10:DQ$199,LOOKUP(ROW(DK$10:DK$199),FILTER(ROW(DK$10:DK$199),DK$10:DK$199&lt;&gt;DK$9:DK$198))=LOOKUP(ROW(DK153),FILTER(ROW(DK$10:DK$199),DK$10:DK$199&lt;&gt;DK$9:DK$198)))),DR153,)"),"")</f>
        <v/>
      </c>
      <c s="42"/>
      <c s="63"/>
      <c s="64" t="str">
        <f t="shared" si="32"/>
        <v/>
      </c>
      <c s="65" t="str">
        <f>IFERROR(__xludf.DUMMYFUNCTION("""COMPUTED_VALUE"""),"")</f>
        <v/>
      </c>
      <c s="66">
        <f ca="1"/>
        <v>45271</v>
      </c>
      <c s="93" t="str">
        <f t="shared" si="47"/>
        <v/>
      </c>
      <c s="94" t="str">
        <f t="shared" si="405"/>
        <v/>
      </c>
      <c s="95" t="str">
        <f t="shared" si="421"/>
        <v/>
      </c>
      <c s="98" t="str">
        <f t="shared" si="422"/>
        <v/>
      </c>
      <c s="97" t="str">
        <f t="array" ref="EE153">IFERROR(IF(DY153="ac"+ISNUMBER(SEARCH("'",ED153))+EC153="","",IF(ISNUMBER(SEARCH("lw",ED153)),DQ153+SUBSTITUTE(ED153,"lw+",""),MROUND(_xlfn.SWITCH(DY153,"sq",EC$7,"bn",ED$7,"dl",EE$7,"")*IF(ED153&gt;10,ED153/100,VLOOKUP(ED153,_rpe,SUBSTITUTE(EC153,"+","")+1,0)),IF(_xlfn.SWITCH(DY153,"sq",EC$7,"bn",ED$7,"dl",EE$7,"")&lt;IF(_uom="lbs",175,80),1.25,IF(_uom="lbs",5,2.5))))),"")</f>
        <v/>
      </c>
      <c s="70"/>
      <c s="63"/>
      <c s="97"/>
      <c s="44" t="str">
        <f>IFERROR(__xludf.DUMMYFUNCTION("IF(EE153=MAX(FILTER(EE$10:EE$199,LOOKUP(ROW(DY$10:DY$199),FILTER(ROW(DY$10:DY$199),DY$10:DY$199&lt;&gt;DY$9:DY$198))=LOOKUP(ROW(DY153),FILTER(ROW(DY$10:DY$199),DY$10:DY$199&lt;&gt;DY$9:DY$198)))),EF153,)"),"")</f>
        <v/>
      </c>
      <c s="42"/>
      <c s="63"/>
      <c s="64" t="str">
        <f t="shared" si="34"/>
        <v/>
      </c>
      <c s="65" t="str">
        <f>IFERROR(__xludf.DUMMYFUNCTION("""COMPUTED_VALUE"""),"")</f>
        <v/>
      </c>
      <c s="66">
        <f ca="1"/>
        <v>45278</v>
      </c>
      <c s="93" t="str">
        <f t="shared" si="48"/>
        <v/>
      </c>
      <c s="94" t="str">
        <f t="shared" si="395"/>
        <v/>
      </c>
      <c s="95" t="str">
        <f t="shared" si="423"/>
        <v/>
      </c>
      <c s="98" t="str">
        <f t="shared" si="402"/>
        <v/>
      </c>
      <c s="97" t="str">
        <f t="array" ref="ES153">IFERROR(IF(EM153="ac"+ISNUMBER(SEARCH("'",ER153))+EQ153="","",IF(ISNUMBER(SEARCH("lw",ER153)),EE153+SUBSTITUTE(ER153,"lw+",""),MROUND(_xlfn.SWITCH(EM153,"sq",EQ$7,"bn",ER$7,"dl",ES$7,"")*IF(ER153&gt;10,ER153/100,VLOOKUP(ER153,_rpe,SUBSTITUTE(EQ153,"+","")+1,0)),IF(_xlfn.SWITCH(EM153,"sq",EQ$7,"bn",ER$7,"dl",ES$7,"")&lt;IF(_uom="lbs",175,80),1.25,IF(_uom="lbs",5,2.5))))),"")</f>
        <v/>
      </c>
      <c s="70"/>
      <c s="63"/>
      <c s="97"/>
      <c s="44" t="str">
        <f>IFERROR(__xludf.DUMMYFUNCTION("IF(ES153=MAX(FILTER(ES$10:ES$199,LOOKUP(ROW(EM$10:EM$199),FILTER(ROW(EM$10:EM$199),EM$10:EM$199&lt;&gt;EM$9:EM$198))=LOOKUP(ROW(EM153),FILTER(ROW(EM$10:EM$199),EM$10:EM$199&lt;&gt;EM$9:EM$198)))),ET153,)"),"")</f>
        <v/>
      </c>
      <c s="42"/>
      <c s="63"/>
      <c s="64" t="str">
        <f t="shared" si="36"/>
        <v/>
      </c>
      <c s="65" t="str">
        <f>IFERROR(__xludf.DUMMYFUNCTION("""COMPUTED_VALUE"""),"")</f>
        <v/>
      </c>
      <c s="66">
        <f ca="1"/>
        <v>45285</v>
      </c>
      <c s="93" t="str">
        <f t="shared" si="49"/>
        <v/>
      </c>
      <c s="94" t="str">
        <f t="shared" si="396"/>
        <v/>
      </c>
      <c s="95" t="str">
        <f t="shared" si="424"/>
        <v/>
      </c>
      <c s="98" t="str">
        <f t="shared" si="403"/>
        <v/>
      </c>
      <c s="97" t="str">
        <f t="array" ref="FG153">IFERROR(IF(FA153="ac"+ISNUMBER(SEARCH("'",FF153))+FE153="","",IF(ISNUMBER(SEARCH("lw",FF153)),ES153+SUBSTITUTE(FF153,"lw+",""),MROUND(_xlfn.SWITCH(FA153,"sq",FE$7,"bn",FF$7,"dl",FG$7,"")*IF(FF153&gt;10,FF153/100,VLOOKUP(FF153,_rpe,SUBSTITUTE(FE153,"+","")+1,0)),IF(_xlfn.SWITCH(FA153,"sq",FE$7,"bn",FF$7,"dl",FG$7,"")&lt;IF(_uom="lbs",175,80),1.25,IF(_uom="lbs",5,2.5))))),"")</f>
        <v/>
      </c>
      <c s="70"/>
      <c s="63"/>
      <c s="97"/>
      <c s="44" t="str">
        <f>IFERROR(__xludf.DUMMYFUNCTION("IF(FG153=MAX(FILTER(FG$10:FG$199,LOOKUP(ROW(FA$10:FA$199),FILTER(ROW(FA$10:FA$199),FA$10:FA$199&lt;&gt;FA$9:FA$198))=LOOKUP(ROW(FA153),FILTER(ROW(FA$10:FA$199),FA$10:FA$199&lt;&gt;FA$9:FA$198)))),FH153,)"),"")</f>
        <v/>
      </c>
      <c s="42"/>
      <c s="63"/>
      <c s="64" t="str">
        <f t="shared" si="38"/>
        <v/>
      </c>
      <c s="65" t="str">
        <f>IFERROR(__xludf.DUMMYFUNCTION("""COMPUTED_VALUE"""),"")</f>
        <v/>
      </c>
      <c s="66">
        <f ca="1"/>
        <v>45292</v>
      </c>
      <c s="93" t="str">
        <f t="shared" si="497" ref="FQ153:FR153">IF(ISBLANK(FC153),"",FC153)</f>
        <v/>
      </c>
      <c s="94" t="str">
        <f t="shared" si="497"/>
        <v/>
      </c>
      <c s="95" t="str">
        <f t="shared" si="428"/>
        <v/>
      </c>
      <c s="98" t="str">
        <f t="shared" si="429"/>
        <v/>
      </c>
      <c s="97" t="str">
        <f t="array" ref="FU153">IFERROR(IF(FO153="ac"+ISNUMBER(SEARCH("'",FT153))+FS153="","",IF(ISNUMBER(SEARCH("lw",FT153)),FG153+SUBSTITUTE(FT153,"lw+",""),MROUND(_xlfn.SWITCH(FO153,"sq",FS$7,"bn",FT$7,"dl",FU$7,"")*IF(FT153&gt;10,FT153/100,VLOOKUP(FT153,_rpe,SUBSTITUTE(FS153,"+","")+1,0)),IF(_xlfn.SWITCH(FO153,"sq",FS$7,"bn",FT$7,"dl",FU$7,"")&lt;IF(_uom="lbs",175,80),1.25,IF(_uom="lbs",5,2.5))))),"")</f>
        <v/>
      </c>
      <c s="70"/>
      <c s="63"/>
      <c s="97"/>
      <c s="44" t="str">
        <f>IFERROR(__xludf.DUMMYFUNCTION("IF(FU153=MAX(FILTER(FU$10:FU$199,LOOKUP(ROW(FO$10:FO$199),FILTER(ROW(FO$10:FO$199),FO$10:FO$199&lt;&gt;FO$9:FO$198))=LOOKUP(ROW(FO153),FILTER(ROW(FO$10:FO$199),FO$10:FO$199&lt;&gt;FO$9:FO$198)))),FV153,)"),"")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54" spans="1:259" ht="15.75">
      <c r="A154" s="63"/>
      <c s="107"/>
      <c s="65" t="str">
        <f>IFERROR(__xludf.DUMMYFUNCTION("""COMPUTED_VALUE"""),"")</f>
        <v/>
      </c>
      <c s="66">
        <f ca="1"/>
        <v>45208</v>
      </c>
      <c s="108"/>
      <c s="94"/>
      <c s="95"/>
      <c s="96"/>
      <c s="97" t="str">
        <f t="array" ref="I154">IFERROR(IF(C154="ac"+ISNUMBER(SEARCH("'",H154))+G154="","",MROUND(_xlfn.SWITCH(C154,"sq",'Personal Info'!$O$15,"bn",'Personal Info'!$S$15,"dl",'Personal Info'!$W$15,"")*IF(H154&gt;10,H154/100,VLOOKUP(H154,_rpe,SUBSTITUTE(G154,"+","")+1,0)),IF(_xlfn.SWITCH(C154:C210,"sq",'Personal Info'!$O$15,"bn",'Personal Info'!$S$15,"dl",'Personal Info'!$W$15,"")&lt;IF(_uom="lbs",175,80),1.25,IF(_uom="lbs",5,2.5)))),"")</f>
        <v/>
      </c>
      <c s="70"/>
      <c s="63"/>
      <c s="97"/>
      <c s="44" t="str">
        <f>IFERROR(__xludf.DUMMYFUNCTION("IF(I154=MAX(FILTER(I$10:I$199,LOOKUP(ROW(C$10:C$199),FILTER(ROW(C$10:C$199),C$10:C$199&lt;&gt;C$9:C$198))=LOOKUP(ROW(C154),FILTER(ROW(C$10:C$199),C$10:C$199&lt;&gt;C$9:C$198)))),J154,)"),"")</f>
        <v/>
      </c>
      <c s="42"/>
      <c s="63"/>
      <c s="64" t="str">
        <f t="shared" si="11"/>
        <v/>
      </c>
      <c s="65" t="str">
        <f>IFERROR(__xludf.DUMMYFUNCTION("""COMPUTED_VALUE"""),"")</f>
        <v/>
      </c>
      <c s="66">
        <f ca="1"/>
        <v>45215</v>
      </c>
      <c s="93" t="str">
        <f t="shared" si="12"/>
        <v/>
      </c>
      <c s="94" t="str">
        <f t="shared" si="404"/>
        <v/>
      </c>
      <c s="95" t="str">
        <f t="shared" si="406"/>
        <v/>
      </c>
      <c s="98" t="str">
        <f t="shared" si="407"/>
        <v/>
      </c>
      <c s="97" t="str">
        <f t="array" ref="W154">IFERROR(IF(Q154="ac"+ISNUMBER(SEARCH("'",V154))+U154="","",IF(ISNUMBER(SEARCH("lw",V154)),I154+SUBSTITUTE(V154,"lw+",""),MROUND(_xlfn.SWITCH(Q154,"sq",U$7,"bn",V$7,"dl",W$7,"")*IF(V154&gt;10,V154/100,VLOOKUP(V154,_rpe,SUBSTITUTE(U154,"+","")+1,0)),IF(_xlfn.SWITCH(Q154,"sq",U$7,"bn",V$7,"dl",W$7,"")&lt;IF(_uom="lbs",175,80),1.25,IF(_uom="lbs",5,2.5))))),"")</f>
        <v/>
      </c>
      <c s="70"/>
      <c s="63"/>
      <c s="97"/>
      <c s="44" t="str">
        <f>IFERROR(__xludf.DUMMYFUNCTION("IF(W154=MAX(FILTER(W$10:W$199,LOOKUP(ROW(Q$10:Q$199),FILTER(ROW(Q$10:Q$199),Q$10:Q$199&lt;&gt;Q$9:Q$198))=LOOKUP(ROW(Q154),FILTER(ROW(Q$10:Q$199),Q$10:Q$199&lt;&gt;Q$9:Q$198)))),X154,)"),"")</f>
        <v/>
      </c>
      <c s="42"/>
      <c s="63"/>
      <c s="64" t="str">
        <f t="shared" si="14"/>
        <v/>
      </c>
      <c s="65" t="str">
        <f>IFERROR(__xludf.DUMMYFUNCTION("""COMPUTED_VALUE"""),"")</f>
        <v/>
      </c>
      <c s="66">
        <f ca="1"/>
        <v>45222</v>
      </c>
      <c s="93" t="str">
        <f t="shared" si="156"/>
        <v/>
      </c>
      <c s="94" t="str">
        <f t="shared" si="397"/>
        <v/>
      </c>
      <c s="95" t="str">
        <f t="shared" si="408"/>
        <v/>
      </c>
      <c s="98" t="str">
        <f t="shared" si="398"/>
        <v/>
      </c>
      <c s="97" t="str">
        <f t="array" ref="AK154">IFERROR(IF(AE154="ac"+ISNUMBER(SEARCH("'",AJ154))+AI154="","",IF(ISNUMBER(SEARCH("lw",AJ154)),W154+SUBSTITUTE(AJ154,"lw+",""),MROUND(_xlfn.SWITCH(AE154,"sq",AI$7,"bn",AJ$7,"dl",AK$7,"")*IF(AJ154&gt;10,AJ154/100,VLOOKUP(AJ154,_rpe,SUBSTITUTE(AI154,"+","")+1,0)),IF(_xlfn.SWITCH(AE154,"sq",AI$7,"bn",AJ$7,"dl",AK$7,"")&lt;IF(_uom="lbs",175,80),1.25,IF(_uom="lbs",5,2.5))))),"")</f>
        <v/>
      </c>
      <c s="70"/>
      <c s="63"/>
      <c s="97"/>
      <c s="44" t="str">
        <f>IFERROR(__xludf.DUMMYFUNCTION("IF(AK154=MAX(FILTER(AK$10:AK$199,LOOKUP(ROW(AE$10:AE$199),FILTER(ROW(AE$10:AE$199),AE$10:AE$199&lt;&gt;AE$9:AE$198))=LOOKUP(ROW(AE154),FILTER(ROW(AE$10:AE$199),AE$10:AE$199&lt;&gt;AE$9:AE$198)))),AL154,)"),"")</f>
        <v/>
      </c>
      <c s="42"/>
      <c s="63"/>
      <c s="64" t="str">
        <f t="shared" si="17"/>
        <v/>
      </c>
      <c s="65" t="str">
        <f>IFERROR(__xludf.DUMMYFUNCTION("""COMPUTED_VALUE"""),"")</f>
        <v/>
      </c>
      <c s="66">
        <f ca="1"/>
        <v>45229</v>
      </c>
      <c s="93" t="str">
        <f t="shared" si="157"/>
        <v/>
      </c>
      <c s="94" t="str">
        <f t="shared" si="399"/>
        <v/>
      </c>
      <c s="95" t="str">
        <f t="shared" si="409"/>
        <v/>
      </c>
      <c s="98" t="str">
        <f t="shared" si="400"/>
        <v/>
      </c>
      <c s="97" t="str">
        <f t="array" ref="AY154">IFERROR(IF(AS154="ac"+ISNUMBER(SEARCH("'",AX154))+AW154="","",IF(ISNUMBER(SEARCH("lw",AX154)),AK154+SUBSTITUTE(AX154,"lw+",""),MROUND(_xlfn.SWITCH(AS154,"sq",AW$7,"bn",AX$7,"dl",AY$7,"")*IF(AX154&gt;10,AX154/100,VLOOKUP(AX154,_rpe,SUBSTITUTE(AW154,"+","")+1,0)),IF(_xlfn.SWITCH(AS154,"sq",AW$7,"bn",AX$7,"dl",AY$7,"")&lt;IF(_uom="lbs",175,80),1.25,IF(_uom="lbs",5,2.5))))),"")</f>
        <v/>
      </c>
      <c s="70"/>
      <c s="63"/>
      <c s="97"/>
      <c s="44" t="str">
        <f>IFERROR(__xludf.DUMMYFUNCTION("IF(AY154=MAX(FILTER(AY$10:AY$199,LOOKUP(ROW(AS$10:AS$199),FILTER(ROW(AS$10:AS$199),AS$10:AS$199&lt;&gt;AS$9:AS$198))=LOOKUP(ROW(AS154),FILTER(ROW(AS$10:AS$199),AS$10:AS$199&lt;&gt;AS$9:AS$198)))),AZ154,)"),"")</f>
        <v/>
      </c>
      <c s="42"/>
      <c s="63"/>
      <c s="64" t="str">
        <f t="shared" si="19"/>
        <v/>
      </c>
      <c s="65" t="str">
        <f>IFERROR(__xludf.DUMMYFUNCTION("""COMPUTED_VALUE"""),"")</f>
        <v/>
      </c>
      <c s="66">
        <f ca="1"/>
        <v>45236</v>
      </c>
      <c s="93" t="str">
        <f t="shared" si="20"/>
        <v/>
      </c>
      <c s="94" t="str">
        <f t="shared" si="425"/>
        <v/>
      </c>
      <c s="95" t="str">
        <f t="shared" si="411"/>
        <v/>
      </c>
      <c s="98" t="str">
        <f t="shared" si="412"/>
        <v/>
      </c>
      <c s="97" t="str">
        <f t="array" ref="BM154">IFERROR(IF(BG154="ac"+ISNUMBER(SEARCH("'",BL154))+BK154="","",IF(ISNUMBER(SEARCH("lw",BL154)),AY154+SUBSTITUTE(BL154,"lw+",""),MROUND(_xlfn.SWITCH(BG154,"sq",BK$7,"bn",BL$7,"dl",BM$7,"")*IF(BL154&gt;10,BL154/100,VLOOKUP(BL154,_rpe,SUBSTITUTE(BK154,"+","")+1,0)),IF(_xlfn.SWITCH(BG154,"sq",BK$7,"bn",BL$7,"dl",BM$7,"")&lt;IF(_uom="lbs",175,80),1.25,IF(_uom="lbs",5,2.5))))),"")</f>
        <v/>
      </c>
      <c s="70"/>
      <c s="63"/>
      <c s="97"/>
      <c s="44" t="str">
        <f>IFERROR(__xludf.DUMMYFUNCTION("IF(BM154=MAX(FILTER(BM$10:BM$199,LOOKUP(ROW(BG$10:BG$199),FILTER(ROW(BG$10:BG$199),BG$10:BG$199&lt;&gt;BG$9:BG$198))=LOOKUP(ROW(BG154),FILTER(ROW(BG$10:BG$199),BG$10:BG$199&lt;&gt;BG$9:BG$198)))),BN154,)"),"")</f>
        <v/>
      </c>
      <c s="42"/>
      <c s="63"/>
      <c s="64" t="str">
        <f t="shared" si="21"/>
        <v/>
      </c>
      <c s="65" t="str">
        <f>IFERROR(__xludf.DUMMYFUNCTION("""COMPUTED_VALUE"""),"")</f>
        <v/>
      </c>
      <c s="66">
        <f ca="1"/>
        <v>45243</v>
      </c>
      <c s="93" t="str">
        <f t="shared" si="22"/>
        <v/>
      </c>
      <c s="94" t="str">
        <f t="shared" si="426"/>
        <v/>
      </c>
      <c s="95" t="str">
        <f t="shared" si="414"/>
        <v/>
      </c>
      <c s="98" t="str">
        <f t="shared" si="415"/>
        <v/>
      </c>
      <c s="97" t="str">
        <f t="array" ref="CA154">IFERROR(IF(BU154="ac"+ISNUMBER(SEARCH("'",BZ154))+BY154="","",IF(ISNUMBER(SEARCH("lw",BZ154)),BM154+SUBSTITUTE(BZ154,"lw+",""),MROUND(_xlfn.SWITCH(BU154,"sq",BY$7,"bn",BZ$7,"dl",CA$7,"")*IF(BZ154&gt;10,BZ154/100,VLOOKUP(BZ154,_rpe,SUBSTITUTE(BY154,"+","")+1,0)),IF(_xlfn.SWITCH(BU154,"sq",BY$7,"bn",BZ$7,"dl",CA$7,"")&lt;IF(_uom="lbs",175,80),1.25,IF(_uom="lbs",5,2.5))))),"")</f>
        <v/>
      </c>
      <c s="70"/>
      <c s="63"/>
      <c s="97"/>
      <c s="44" t="str">
        <f>IFERROR(__xludf.DUMMYFUNCTION("IF(CA154=MAX(FILTER(CA$10:CA$199,LOOKUP(ROW(BU$10:BU$199),FILTER(ROW(BU$10:BU$199),BU$10:BU$199&lt;&gt;BU$9:BU$198))=LOOKUP(ROW(BU154),FILTER(ROW(BU$10:BU$199),BU$10:BU$199&lt;&gt;BU$9:BU$198)))),CB154,)"),"")</f>
        <v/>
      </c>
      <c s="42"/>
      <c s="63"/>
      <c s="64" t="str">
        <f t="shared" si="24"/>
        <v/>
      </c>
      <c s="65" t="str">
        <f>IFERROR(__xludf.DUMMYFUNCTION("""COMPUTED_VALUE"""),"")</f>
        <v/>
      </c>
      <c s="66">
        <f ca="1"/>
        <v>45250</v>
      </c>
      <c s="93" t="str">
        <f t="shared" si="44"/>
        <v/>
      </c>
      <c s="94" t="str">
        <f t="shared" si="392"/>
        <v/>
      </c>
      <c s="95" t="str">
        <f t="shared" si="416"/>
        <v/>
      </c>
      <c s="98" t="str">
        <f t="shared" si="417"/>
        <v/>
      </c>
      <c s="97" t="str">
        <f t="array" ref="CO154">IFERROR(IF(CI154="ac"+ISNUMBER(SEARCH("'",CN154))+CM154="","",IF(ISNUMBER(SEARCH("lw",CN154)),CA154+SUBSTITUTE(CN154,"lw+",""),MROUND(_xlfn.SWITCH(CI154,"sq",CM$7,"bn",CN$7,"dl",CO$7,"")*IF(CN154&gt;10,CN154/100,VLOOKUP(CN154,_rpe,SUBSTITUTE(CM154,"+","")+1,0)),IF(_xlfn.SWITCH(CI154,"sq",CM$7,"bn",CN$7,"dl",CO$7,"")&lt;IF(_uom="lbs",175,80),1.25,IF(_uom="lbs",5,2.5))))),"")</f>
        <v/>
      </c>
      <c s="70"/>
      <c s="63"/>
      <c s="97"/>
      <c s="44" t="str">
        <f>IFERROR(__xludf.DUMMYFUNCTION("IF(CO154=MAX(FILTER(CO$10:CO$199,LOOKUP(ROW(CI$10:CI$199),FILTER(ROW(CI$10:CI$199),CI$10:CI$199&lt;&gt;CI$9:CI$198))=LOOKUP(ROW(CI154),FILTER(ROW(CI$10:CI$199),CI$10:CI$199&lt;&gt;CI$9:CI$198)))),CP154,)"),"")</f>
        <v/>
      </c>
      <c s="42"/>
      <c s="63"/>
      <c s="64" t="str">
        <f t="shared" si="27"/>
        <v/>
      </c>
      <c s="65" t="str">
        <f>IFERROR(__xludf.DUMMYFUNCTION("""COMPUTED_VALUE"""),"")</f>
        <v/>
      </c>
      <c s="66">
        <f ca="1"/>
        <v>45257</v>
      </c>
      <c s="93" t="str">
        <f t="shared" si="45"/>
        <v/>
      </c>
      <c s="94" t="str">
        <f t="shared" si="393"/>
        <v/>
      </c>
      <c s="95" t="str">
        <f t="shared" si="418"/>
        <v/>
      </c>
      <c s="98" t="str">
        <f t="shared" si="401"/>
        <v/>
      </c>
      <c s="97" t="str">
        <f t="array" ref="DC154">IFERROR(IF(CW154="ac"+ISNUMBER(SEARCH("'",DB154))+DA154="","",IF(ISNUMBER(SEARCH("lw",DB154)),CO154+SUBSTITUTE(DB154,"lw+",""),MROUND(_xlfn.SWITCH(CW154,"sq",DA$7,"bn",DB$7,"dl",DC$7,"")*IF(DB154&gt;10,DB154/100,VLOOKUP(DB154,_rpe,SUBSTITUTE(DA154,"+","")+1,0)),IF(_xlfn.SWITCH(CW154,"sq",DA$7,"bn",DB$7,"dl",DC$7,"")&lt;IF(_uom="lbs",175,80),1.25,IF(_uom="lbs",5,2.5))))),"")</f>
        <v/>
      </c>
      <c s="70"/>
      <c s="63"/>
      <c s="97"/>
      <c s="44" t="str">
        <f>IFERROR(__xludf.DUMMYFUNCTION("IF(DC154=MAX(FILTER(DC$10:DC$199,LOOKUP(ROW(CW$10:CW$199),FILTER(ROW(CW$10:CW$199),CW$10:CW$199&lt;&gt;CW$9:CW$198))=LOOKUP(ROW(CW154),FILTER(ROW(CW$10:CW$199),CW$10:CW$199&lt;&gt;CW$9:CW$198)))),DD154,)"),"")</f>
        <v/>
      </c>
      <c s="42"/>
      <c s="63"/>
      <c s="64" t="str">
        <f t="shared" si="30"/>
        <v/>
      </c>
      <c s="65" t="str">
        <f>IFERROR(__xludf.DUMMYFUNCTION("""COMPUTED_VALUE"""),"")</f>
        <v/>
      </c>
      <c s="66">
        <f ca="1"/>
        <v>45264</v>
      </c>
      <c s="93" t="str">
        <f t="shared" si="46"/>
        <v/>
      </c>
      <c s="94" t="str">
        <f t="shared" si="394"/>
        <v/>
      </c>
      <c s="95" t="str">
        <f t="shared" si="419"/>
        <v/>
      </c>
      <c s="98" t="str">
        <f t="shared" si="420"/>
        <v/>
      </c>
      <c s="97" t="str">
        <f t="array" ref="DQ154">IFERROR(IF(DK154="ac"+ISNUMBER(SEARCH("'",DP154))+DO154="","",IF(ISNUMBER(SEARCH("lw",DP154)),DC154+SUBSTITUTE(DP154,"lw+",""),MROUND(_xlfn.SWITCH(DK154,"sq",DO$7,"bn",DP$7,"dl",DQ$7,"")*IF(DP154&gt;10,DP154/100,VLOOKUP(DP154,_rpe,SUBSTITUTE(DO154,"+","")+1,0)),IF(_xlfn.SWITCH(DK154,"sq",DO$7,"bn",DP$7,"dl",DQ$7,"")&lt;IF(_uom="lbs",175,80),1.25,IF(_uom="lbs",5,2.5))))),"")</f>
        <v/>
      </c>
      <c s="70"/>
      <c s="63"/>
      <c s="97"/>
      <c s="44" t="str">
        <f>IFERROR(__xludf.DUMMYFUNCTION("IF(DQ154=MAX(FILTER(DQ$10:DQ$199,LOOKUP(ROW(DK$10:DK$199),FILTER(ROW(DK$10:DK$199),DK$10:DK$199&lt;&gt;DK$9:DK$198))=LOOKUP(ROW(DK154),FILTER(ROW(DK$10:DK$199),DK$10:DK$199&lt;&gt;DK$9:DK$198)))),DR154,)"),"")</f>
        <v/>
      </c>
      <c s="42"/>
      <c s="63"/>
      <c s="64" t="str">
        <f t="shared" si="32"/>
        <v/>
      </c>
      <c s="65" t="str">
        <f>IFERROR(__xludf.DUMMYFUNCTION("""COMPUTED_VALUE"""),"")</f>
        <v/>
      </c>
      <c s="66">
        <f ca="1"/>
        <v>45271</v>
      </c>
      <c s="93" t="str">
        <f t="shared" si="47"/>
        <v/>
      </c>
      <c s="94" t="str">
        <f t="shared" si="405"/>
        <v/>
      </c>
      <c s="95" t="str">
        <f t="shared" si="421"/>
        <v/>
      </c>
      <c s="98" t="str">
        <f t="shared" si="422"/>
        <v/>
      </c>
      <c s="97" t="str">
        <f t="array" ref="EE154">IFERROR(IF(DY154="ac"+ISNUMBER(SEARCH("'",ED154))+EC154="","",IF(ISNUMBER(SEARCH("lw",ED154)),DQ154+SUBSTITUTE(ED154,"lw+",""),MROUND(_xlfn.SWITCH(DY154,"sq",EC$7,"bn",ED$7,"dl",EE$7,"")*IF(ED154&gt;10,ED154/100,VLOOKUP(ED154,_rpe,SUBSTITUTE(EC154,"+","")+1,0)),IF(_xlfn.SWITCH(DY154,"sq",EC$7,"bn",ED$7,"dl",EE$7,"")&lt;IF(_uom="lbs",175,80),1.25,IF(_uom="lbs",5,2.5))))),"")</f>
        <v/>
      </c>
      <c s="70"/>
      <c s="63"/>
      <c s="97"/>
      <c s="44" t="str">
        <f>IFERROR(__xludf.DUMMYFUNCTION("IF(EE154=MAX(FILTER(EE$10:EE$199,LOOKUP(ROW(DY$10:DY$199),FILTER(ROW(DY$10:DY$199),DY$10:DY$199&lt;&gt;DY$9:DY$198))=LOOKUP(ROW(DY154),FILTER(ROW(DY$10:DY$199),DY$10:DY$199&lt;&gt;DY$9:DY$198)))),EF154,)"),"")</f>
        <v/>
      </c>
      <c s="42"/>
      <c s="63"/>
      <c s="64" t="str">
        <f t="shared" si="34"/>
        <v/>
      </c>
      <c s="65" t="str">
        <f>IFERROR(__xludf.DUMMYFUNCTION("""COMPUTED_VALUE"""),"")</f>
        <v/>
      </c>
      <c s="66">
        <f ca="1"/>
        <v>45278</v>
      </c>
      <c s="93" t="str">
        <f t="shared" si="48"/>
        <v/>
      </c>
      <c s="94" t="str">
        <f t="shared" si="395"/>
        <v/>
      </c>
      <c s="95" t="str">
        <f t="shared" si="423"/>
        <v/>
      </c>
      <c s="98" t="str">
        <f t="shared" si="402"/>
        <v/>
      </c>
      <c s="97" t="str">
        <f t="array" ref="ES154">IFERROR(IF(EM154="ac"+ISNUMBER(SEARCH("'",ER154))+EQ154="","",IF(ISNUMBER(SEARCH("lw",ER154)),EE154+SUBSTITUTE(ER154,"lw+",""),MROUND(_xlfn.SWITCH(EM154,"sq",EQ$7,"bn",ER$7,"dl",ES$7,"")*IF(ER154&gt;10,ER154/100,VLOOKUP(ER154,_rpe,SUBSTITUTE(EQ154,"+","")+1,0)),IF(_xlfn.SWITCH(EM154,"sq",EQ$7,"bn",ER$7,"dl",ES$7,"")&lt;IF(_uom="lbs",175,80),1.25,IF(_uom="lbs",5,2.5))))),"")</f>
        <v/>
      </c>
      <c s="70"/>
      <c s="63"/>
      <c s="97"/>
      <c s="44" t="str">
        <f>IFERROR(__xludf.DUMMYFUNCTION("IF(ES154=MAX(FILTER(ES$10:ES$199,LOOKUP(ROW(EM$10:EM$199),FILTER(ROW(EM$10:EM$199),EM$10:EM$199&lt;&gt;EM$9:EM$198))=LOOKUP(ROW(EM154),FILTER(ROW(EM$10:EM$199),EM$10:EM$199&lt;&gt;EM$9:EM$198)))),ET154,)"),"")</f>
        <v/>
      </c>
      <c s="42"/>
      <c s="63"/>
      <c s="64" t="str">
        <f t="shared" si="36"/>
        <v/>
      </c>
      <c s="65" t="str">
        <f>IFERROR(__xludf.DUMMYFUNCTION("""COMPUTED_VALUE"""),"")</f>
        <v/>
      </c>
      <c s="66">
        <f ca="1"/>
        <v>45285</v>
      </c>
      <c s="93" t="str">
        <f t="shared" si="49"/>
        <v/>
      </c>
      <c s="94" t="str">
        <f t="shared" si="396"/>
        <v/>
      </c>
      <c s="95" t="str">
        <f t="shared" si="424"/>
        <v/>
      </c>
      <c s="98" t="str">
        <f t="shared" si="403"/>
        <v/>
      </c>
      <c s="97" t="str">
        <f t="array" ref="FG154">IFERROR(IF(FA154="ac"+ISNUMBER(SEARCH("'",FF154))+FE154="","",IF(ISNUMBER(SEARCH("lw",FF154)),ES154+SUBSTITUTE(FF154,"lw+",""),MROUND(_xlfn.SWITCH(FA154,"sq",FE$7,"bn",FF$7,"dl",FG$7,"")*IF(FF154&gt;10,FF154/100,VLOOKUP(FF154,_rpe,SUBSTITUTE(FE154,"+","")+1,0)),IF(_xlfn.SWITCH(FA154,"sq",FE$7,"bn",FF$7,"dl",FG$7,"")&lt;IF(_uom="lbs",175,80),1.25,IF(_uom="lbs",5,2.5))))),"")</f>
        <v/>
      </c>
      <c s="70"/>
      <c s="63"/>
      <c s="97"/>
      <c s="44" t="str">
        <f>IFERROR(__xludf.DUMMYFUNCTION("IF(FG154=MAX(FILTER(FG$10:FG$199,LOOKUP(ROW(FA$10:FA$199),FILTER(ROW(FA$10:FA$199),FA$10:FA$199&lt;&gt;FA$9:FA$198))=LOOKUP(ROW(FA154),FILTER(ROW(FA$10:FA$199),FA$10:FA$199&lt;&gt;FA$9:FA$198)))),FH154,)"),"")</f>
        <v/>
      </c>
      <c s="42"/>
      <c s="63"/>
      <c s="64" t="str">
        <f t="shared" si="38"/>
        <v/>
      </c>
      <c s="65" t="str">
        <f>IFERROR(__xludf.DUMMYFUNCTION("""COMPUTED_VALUE"""),"")</f>
        <v/>
      </c>
      <c s="66">
        <f ca="1"/>
        <v>45292</v>
      </c>
      <c s="93" t="str">
        <f t="shared" si="498" ref="FQ154:FR154">IF(ISBLANK(FC154),"",FC154)</f>
        <v/>
      </c>
      <c s="94" t="str">
        <f t="shared" si="498"/>
        <v/>
      </c>
      <c s="95" t="str">
        <f t="shared" si="428"/>
        <v/>
      </c>
      <c s="98" t="str">
        <f t="shared" si="429"/>
        <v/>
      </c>
      <c s="97" t="str">
        <f t="array" ref="FU154">IFERROR(IF(FO154="ac"+ISNUMBER(SEARCH("'",FT154))+FS154="","",IF(ISNUMBER(SEARCH("lw",FT154)),FG154+SUBSTITUTE(FT154,"lw+",""),MROUND(_xlfn.SWITCH(FO154,"sq",FS$7,"bn",FT$7,"dl",FU$7,"")*IF(FT154&gt;10,FT154/100,VLOOKUP(FT154,_rpe,SUBSTITUTE(FS154,"+","")+1,0)),IF(_xlfn.SWITCH(FO154,"sq",FS$7,"bn",FT$7,"dl",FU$7,"")&lt;IF(_uom="lbs",175,80),1.25,IF(_uom="lbs",5,2.5))))),"")</f>
        <v/>
      </c>
      <c s="70"/>
      <c s="63"/>
      <c s="97"/>
      <c s="44" t="str">
        <f>IFERROR(__xludf.DUMMYFUNCTION("IF(FU154=MAX(FILTER(FU$10:FU$199,LOOKUP(ROW(FO$10:FO$199),FILTER(ROW(FO$10:FO$199),FO$10:FO$199&lt;&gt;FO$9:FO$198))=LOOKUP(ROW(FO154),FILTER(ROW(FO$10:FO$199),FO$10:FO$199&lt;&gt;FO$9:FO$198)))),FV154,)"),"")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55" spans="1:259" ht="15.75">
      <c r="A155" s="63"/>
      <c s="107"/>
      <c s="65" t="str">
        <f>IFERROR(__xludf.DUMMYFUNCTION("""COMPUTED_VALUE"""),"")</f>
        <v/>
      </c>
      <c s="66">
        <f ca="1"/>
        <v>45208</v>
      </c>
      <c s="108"/>
      <c s="94"/>
      <c s="95"/>
      <c s="96"/>
      <c s="97" t="str">
        <f t="array" ref="I155">IFERROR(IF(C155="ac"+ISNUMBER(SEARCH("'",H155))+G155="","",MROUND(_xlfn.SWITCH(C155,"sq",'Personal Info'!$O$15,"bn",'Personal Info'!$S$15,"dl",'Personal Info'!$W$15,"")*IF(H155&gt;10,H155/100,VLOOKUP(H155,_rpe,SUBSTITUTE(G155,"+","")+1,0)),IF(_xlfn.SWITCH(C155:C210,"sq",'Personal Info'!$O$15,"bn",'Personal Info'!$S$15,"dl",'Personal Info'!$W$15,"")&lt;IF(_uom="lbs",175,80),1.25,IF(_uom="lbs",5,2.5)))),"")</f>
        <v/>
      </c>
      <c s="70"/>
      <c s="63"/>
      <c s="97"/>
      <c s="44" t="str">
        <f>IFERROR(__xludf.DUMMYFUNCTION("IF(I155=MAX(FILTER(I$10:I$199,LOOKUP(ROW(C$10:C$199),FILTER(ROW(C$10:C$199),C$10:C$199&lt;&gt;C$9:C$198))=LOOKUP(ROW(C155),FILTER(ROW(C$10:C$199),C$10:C$199&lt;&gt;C$9:C$198)))),J155,)"),"")</f>
        <v/>
      </c>
      <c s="42"/>
      <c s="63"/>
      <c s="64" t="str">
        <f t="shared" si="11"/>
        <v/>
      </c>
      <c s="65" t="str">
        <f>IFERROR(__xludf.DUMMYFUNCTION("""COMPUTED_VALUE"""),"")</f>
        <v/>
      </c>
      <c s="66">
        <f ca="1"/>
        <v>45215</v>
      </c>
      <c s="93" t="str">
        <f t="shared" si="12"/>
        <v/>
      </c>
      <c s="94" t="str">
        <f t="shared" si="404"/>
        <v/>
      </c>
      <c s="95" t="str">
        <f t="shared" si="406"/>
        <v/>
      </c>
      <c s="98" t="str">
        <f t="shared" si="407"/>
        <v/>
      </c>
      <c s="97" t="str">
        <f t="array" ref="W155">IFERROR(IF(Q155="ac"+ISNUMBER(SEARCH("'",V155))+U155="","",IF(ISNUMBER(SEARCH("lw",V155)),I155+SUBSTITUTE(V155,"lw+",""),MROUND(_xlfn.SWITCH(Q155,"sq",U$7,"bn",V$7,"dl",W$7,"")*IF(V155&gt;10,V155/100,VLOOKUP(V155,_rpe,SUBSTITUTE(U155,"+","")+1,0)),IF(_xlfn.SWITCH(Q155,"sq",U$7,"bn",V$7,"dl",W$7,"")&lt;IF(_uom="lbs",175,80),1.25,IF(_uom="lbs",5,2.5))))),"")</f>
        <v/>
      </c>
      <c s="70"/>
      <c s="63"/>
      <c s="97"/>
      <c s="44" t="str">
        <f>IFERROR(__xludf.DUMMYFUNCTION("IF(W155=MAX(FILTER(W$10:W$199,LOOKUP(ROW(Q$10:Q$199),FILTER(ROW(Q$10:Q$199),Q$10:Q$199&lt;&gt;Q$9:Q$198))=LOOKUP(ROW(Q155),FILTER(ROW(Q$10:Q$199),Q$10:Q$199&lt;&gt;Q$9:Q$198)))),X155,)"),"")</f>
        <v/>
      </c>
      <c s="42"/>
      <c s="63"/>
      <c s="64" t="str">
        <f t="shared" si="14"/>
        <v/>
      </c>
      <c s="65" t="str">
        <f>IFERROR(__xludf.DUMMYFUNCTION("""COMPUTED_VALUE"""),"")</f>
        <v/>
      </c>
      <c s="66">
        <f ca="1"/>
        <v>45222</v>
      </c>
      <c s="93" t="str">
        <f t="shared" si="156"/>
        <v/>
      </c>
      <c s="94" t="str">
        <f t="shared" si="397"/>
        <v/>
      </c>
      <c s="95" t="str">
        <f t="shared" si="408"/>
        <v/>
      </c>
      <c s="98" t="str">
        <f t="shared" si="398"/>
        <v/>
      </c>
      <c s="97" t="str">
        <f t="array" ref="AK155">IFERROR(IF(AE155="ac"+ISNUMBER(SEARCH("'",AJ155))+AI155="","",IF(ISNUMBER(SEARCH("lw",AJ155)),W155+SUBSTITUTE(AJ155,"lw+",""),MROUND(_xlfn.SWITCH(AE155,"sq",AI$7,"bn",AJ$7,"dl",AK$7,"")*IF(AJ155&gt;10,AJ155/100,VLOOKUP(AJ155,_rpe,SUBSTITUTE(AI155,"+","")+1,0)),IF(_xlfn.SWITCH(AE155,"sq",AI$7,"bn",AJ$7,"dl",AK$7,"")&lt;IF(_uom="lbs",175,80),1.25,IF(_uom="lbs",5,2.5))))),"")</f>
        <v/>
      </c>
      <c s="70"/>
      <c s="63"/>
      <c s="97"/>
      <c s="44" t="str">
        <f>IFERROR(__xludf.DUMMYFUNCTION("IF(AK155=MAX(FILTER(AK$10:AK$199,LOOKUP(ROW(AE$10:AE$199),FILTER(ROW(AE$10:AE$199),AE$10:AE$199&lt;&gt;AE$9:AE$198))=LOOKUP(ROW(AE155),FILTER(ROW(AE$10:AE$199),AE$10:AE$199&lt;&gt;AE$9:AE$198)))),AL155,)"),"")</f>
        <v/>
      </c>
      <c s="42"/>
      <c s="63"/>
      <c s="64" t="str">
        <f t="shared" si="17"/>
        <v/>
      </c>
      <c s="65" t="str">
        <f>IFERROR(__xludf.DUMMYFUNCTION("""COMPUTED_VALUE"""),"")</f>
        <v/>
      </c>
      <c s="66">
        <f ca="1"/>
        <v>45229</v>
      </c>
      <c s="93" t="str">
        <f t="shared" si="157"/>
        <v/>
      </c>
      <c s="94" t="str">
        <f t="shared" si="399"/>
        <v/>
      </c>
      <c s="95" t="str">
        <f t="shared" si="409"/>
        <v/>
      </c>
      <c s="98" t="str">
        <f t="shared" si="400"/>
        <v/>
      </c>
      <c s="97" t="str">
        <f t="array" ref="AY155">IFERROR(IF(AS155="ac"+ISNUMBER(SEARCH("'",AX155))+AW155="","",IF(ISNUMBER(SEARCH("lw",AX155)),AK155+SUBSTITUTE(AX155,"lw+",""),MROUND(_xlfn.SWITCH(AS155,"sq",AW$7,"bn",AX$7,"dl",AY$7,"")*IF(AX155&gt;10,AX155/100,VLOOKUP(AX155,_rpe,SUBSTITUTE(AW155,"+","")+1,0)),IF(_xlfn.SWITCH(AS155,"sq",AW$7,"bn",AX$7,"dl",AY$7,"")&lt;IF(_uom="lbs",175,80),1.25,IF(_uom="lbs",5,2.5))))),"")</f>
        <v/>
      </c>
      <c s="70"/>
      <c s="63"/>
      <c s="97"/>
      <c s="44" t="str">
        <f>IFERROR(__xludf.DUMMYFUNCTION("IF(AY155=MAX(FILTER(AY$10:AY$199,LOOKUP(ROW(AS$10:AS$199),FILTER(ROW(AS$10:AS$199),AS$10:AS$199&lt;&gt;AS$9:AS$198))=LOOKUP(ROW(AS155),FILTER(ROW(AS$10:AS$199),AS$10:AS$199&lt;&gt;AS$9:AS$198)))),AZ155,)"),"")</f>
        <v/>
      </c>
      <c s="42"/>
      <c s="63"/>
      <c s="64" t="str">
        <f t="shared" si="19"/>
        <v/>
      </c>
      <c s="65" t="str">
        <f>IFERROR(__xludf.DUMMYFUNCTION("""COMPUTED_VALUE"""),"")</f>
        <v/>
      </c>
      <c s="66">
        <f ca="1"/>
        <v>45236</v>
      </c>
      <c s="93" t="str">
        <f t="shared" si="20"/>
        <v/>
      </c>
      <c s="94" t="str">
        <f t="shared" si="425"/>
        <v/>
      </c>
      <c s="95" t="str">
        <f t="shared" si="411"/>
        <v/>
      </c>
      <c s="98" t="str">
        <f t="shared" si="412"/>
        <v/>
      </c>
      <c s="97" t="str">
        <f t="array" ref="BM155">IFERROR(IF(BG155="ac"+ISNUMBER(SEARCH("'",BL155))+BK155="","",IF(ISNUMBER(SEARCH("lw",BL155)),AY155+SUBSTITUTE(BL155,"lw+",""),MROUND(_xlfn.SWITCH(BG155,"sq",BK$7,"bn",BL$7,"dl",BM$7,"")*IF(BL155&gt;10,BL155/100,VLOOKUP(BL155,_rpe,SUBSTITUTE(BK155,"+","")+1,0)),IF(_xlfn.SWITCH(BG155,"sq",BK$7,"bn",BL$7,"dl",BM$7,"")&lt;IF(_uom="lbs",175,80),1.25,IF(_uom="lbs",5,2.5))))),"")</f>
        <v/>
      </c>
      <c s="70"/>
      <c s="63"/>
      <c s="97"/>
      <c s="44" t="str">
        <f>IFERROR(__xludf.DUMMYFUNCTION("IF(BM155=MAX(FILTER(BM$10:BM$199,LOOKUP(ROW(BG$10:BG$199),FILTER(ROW(BG$10:BG$199),BG$10:BG$199&lt;&gt;BG$9:BG$198))=LOOKUP(ROW(BG155),FILTER(ROW(BG$10:BG$199),BG$10:BG$199&lt;&gt;BG$9:BG$198)))),BN155,)"),"")</f>
        <v/>
      </c>
      <c s="42"/>
      <c s="63"/>
      <c s="64" t="str">
        <f t="shared" si="21"/>
        <v/>
      </c>
      <c s="65" t="str">
        <f>IFERROR(__xludf.DUMMYFUNCTION("""COMPUTED_VALUE"""),"")</f>
        <v/>
      </c>
      <c s="66">
        <f ca="1"/>
        <v>45243</v>
      </c>
      <c s="93" t="str">
        <f t="shared" si="22"/>
        <v/>
      </c>
      <c s="94" t="str">
        <f t="shared" si="426"/>
        <v/>
      </c>
      <c s="95" t="str">
        <f t="shared" si="414"/>
        <v/>
      </c>
      <c s="98" t="str">
        <f t="shared" si="415"/>
        <v/>
      </c>
      <c s="97" t="str">
        <f t="array" ref="CA155">IFERROR(IF(BU155="ac"+ISNUMBER(SEARCH("'",BZ155))+BY155="","",IF(ISNUMBER(SEARCH("lw",BZ155)),BM155+SUBSTITUTE(BZ155,"lw+",""),MROUND(_xlfn.SWITCH(BU155,"sq",BY$7,"bn",BZ$7,"dl",CA$7,"")*IF(BZ155&gt;10,BZ155/100,VLOOKUP(BZ155,_rpe,SUBSTITUTE(BY155,"+","")+1,0)),IF(_xlfn.SWITCH(BU155,"sq",BY$7,"bn",BZ$7,"dl",CA$7,"")&lt;IF(_uom="lbs",175,80),1.25,IF(_uom="lbs",5,2.5))))),"")</f>
        <v/>
      </c>
      <c s="70"/>
      <c s="63"/>
      <c s="97"/>
      <c s="44" t="str">
        <f>IFERROR(__xludf.DUMMYFUNCTION("IF(CA155=MAX(FILTER(CA$10:CA$199,LOOKUP(ROW(BU$10:BU$199),FILTER(ROW(BU$10:BU$199),BU$10:BU$199&lt;&gt;BU$9:BU$198))=LOOKUP(ROW(BU155),FILTER(ROW(BU$10:BU$199),BU$10:BU$199&lt;&gt;BU$9:BU$198)))),CB155,)"),"")</f>
        <v/>
      </c>
      <c s="42"/>
      <c s="63"/>
      <c s="64" t="str">
        <f t="shared" si="24"/>
        <v/>
      </c>
      <c s="65" t="str">
        <f>IFERROR(__xludf.DUMMYFUNCTION("""COMPUTED_VALUE"""),"")</f>
        <v/>
      </c>
      <c s="66">
        <f ca="1"/>
        <v>45250</v>
      </c>
      <c s="93" t="str">
        <f t="shared" si="44"/>
        <v/>
      </c>
      <c s="94" t="str">
        <f t="shared" si="392"/>
        <v/>
      </c>
      <c s="95" t="str">
        <f t="shared" si="416"/>
        <v/>
      </c>
      <c s="98" t="str">
        <f t="shared" si="417"/>
        <v/>
      </c>
      <c s="97" t="str">
        <f t="array" ref="CO155">IFERROR(IF(CI155="ac"+ISNUMBER(SEARCH("'",CN155))+CM155="","",IF(ISNUMBER(SEARCH("lw",CN155)),CA155+SUBSTITUTE(CN155,"lw+",""),MROUND(_xlfn.SWITCH(CI155,"sq",CM$7,"bn",CN$7,"dl",CO$7,"")*IF(CN155&gt;10,CN155/100,VLOOKUP(CN155,_rpe,SUBSTITUTE(CM155,"+","")+1,0)),IF(_xlfn.SWITCH(CI155,"sq",CM$7,"bn",CN$7,"dl",CO$7,"")&lt;IF(_uom="lbs",175,80),1.25,IF(_uom="lbs",5,2.5))))),"")</f>
        <v/>
      </c>
      <c s="70"/>
      <c s="63"/>
      <c s="97"/>
      <c s="44" t="str">
        <f>IFERROR(__xludf.DUMMYFUNCTION("IF(CO155=MAX(FILTER(CO$10:CO$199,LOOKUP(ROW(CI$10:CI$199),FILTER(ROW(CI$10:CI$199),CI$10:CI$199&lt;&gt;CI$9:CI$198))=LOOKUP(ROW(CI155),FILTER(ROW(CI$10:CI$199),CI$10:CI$199&lt;&gt;CI$9:CI$198)))),CP155,)"),"")</f>
        <v/>
      </c>
      <c s="42"/>
      <c s="63"/>
      <c s="64" t="str">
        <f t="shared" si="27"/>
        <v/>
      </c>
      <c s="65" t="str">
        <f>IFERROR(__xludf.DUMMYFUNCTION("""COMPUTED_VALUE"""),"")</f>
        <v/>
      </c>
      <c s="66">
        <f ca="1"/>
        <v>45257</v>
      </c>
      <c s="93" t="str">
        <f t="shared" si="45"/>
        <v/>
      </c>
      <c s="94" t="str">
        <f t="shared" si="393"/>
        <v/>
      </c>
      <c s="95" t="str">
        <f t="shared" si="418"/>
        <v/>
      </c>
      <c s="98" t="str">
        <f t="shared" si="401"/>
        <v/>
      </c>
      <c s="97" t="str">
        <f t="array" ref="DC155">IFERROR(IF(CW155="ac"+ISNUMBER(SEARCH("'",DB155))+DA155="","",IF(ISNUMBER(SEARCH("lw",DB155)),CO155+SUBSTITUTE(DB155,"lw+",""),MROUND(_xlfn.SWITCH(CW155,"sq",DA$7,"bn",DB$7,"dl",DC$7,"")*IF(DB155&gt;10,DB155/100,VLOOKUP(DB155,_rpe,SUBSTITUTE(DA155,"+","")+1,0)),IF(_xlfn.SWITCH(CW155,"sq",DA$7,"bn",DB$7,"dl",DC$7,"")&lt;IF(_uom="lbs",175,80),1.25,IF(_uom="lbs",5,2.5))))),"")</f>
        <v/>
      </c>
      <c s="70"/>
      <c s="63"/>
      <c s="97"/>
      <c s="44" t="str">
        <f>IFERROR(__xludf.DUMMYFUNCTION("IF(DC155=MAX(FILTER(DC$10:DC$199,LOOKUP(ROW(CW$10:CW$199),FILTER(ROW(CW$10:CW$199),CW$10:CW$199&lt;&gt;CW$9:CW$198))=LOOKUP(ROW(CW155),FILTER(ROW(CW$10:CW$199),CW$10:CW$199&lt;&gt;CW$9:CW$198)))),DD155,)"),"")</f>
        <v/>
      </c>
      <c s="42"/>
      <c s="63"/>
      <c s="64" t="str">
        <f t="shared" si="30"/>
        <v/>
      </c>
      <c s="65" t="str">
        <f>IFERROR(__xludf.DUMMYFUNCTION("""COMPUTED_VALUE"""),"")</f>
        <v/>
      </c>
      <c s="66">
        <f ca="1"/>
        <v>45264</v>
      </c>
      <c s="93" t="str">
        <f t="shared" si="46"/>
        <v/>
      </c>
      <c s="94" t="str">
        <f t="shared" si="394"/>
        <v/>
      </c>
      <c s="95" t="str">
        <f t="shared" si="419"/>
        <v/>
      </c>
      <c s="98" t="str">
        <f t="shared" si="420"/>
        <v/>
      </c>
      <c s="97" t="str">
        <f t="array" ref="DQ155">IFERROR(IF(DK155="ac"+ISNUMBER(SEARCH("'",DP155))+DO155="","",IF(ISNUMBER(SEARCH("lw",DP155)),DC155+SUBSTITUTE(DP155,"lw+",""),MROUND(_xlfn.SWITCH(DK155,"sq",DO$7,"bn",DP$7,"dl",DQ$7,"")*IF(DP155&gt;10,DP155/100,VLOOKUP(DP155,_rpe,SUBSTITUTE(DO155,"+","")+1,0)),IF(_xlfn.SWITCH(DK155,"sq",DO$7,"bn",DP$7,"dl",DQ$7,"")&lt;IF(_uom="lbs",175,80),1.25,IF(_uom="lbs",5,2.5))))),"")</f>
        <v/>
      </c>
      <c s="70"/>
      <c s="63"/>
      <c s="97"/>
      <c s="44" t="str">
        <f>IFERROR(__xludf.DUMMYFUNCTION("IF(DQ155=MAX(FILTER(DQ$10:DQ$199,LOOKUP(ROW(DK$10:DK$199),FILTER(ROW(DK$10:DK$199),DK$10:DK$199&lt;&gt;DK$9:DK$198))=LOOKUP(ROW(DK155),FILTER(ROW(DK$10:DK$199),DK$10:DK$199&lt;&gt;DK$9:DK$198)))),DR155,)"),"")</f>
        <v/>
      </c>
      <c s="42"/>
      <c s="63"/>
      <c s="64" t="str">
        <f t="shared" si="32"/>
        <v/>
      </c>
      <c s="65" t="str">
        <f>IFERROR(__xludf.DUMMYFUNCTION("""COMPUTED_VALUE"""),"")</f>
        <v/>
      </c>
      <c s="66">
        <f ca="1"/>
        <v>45271</v>
      </c>
      <c s="93" t="str">
        <f t="shared" si="47"/>
        <v/>
      </c>
      <c s="94" t="str">
        <f t="shared" si="405"/>
        <v/>
      </c>
      <c s="95" t="str">
        <f t="shared" si="421"/>
        <v/>
      </c>
      <c s="98" t="str">
        <f t="shared" si="422"/>
        <v/>
      </c>
      <c s="97" t="str">
        <f t="array" ref="EE155">IFERROR(IF(DY155="ac"+ISNUMBER(SEARCH("'",ED155))+EC155="","",IF(ISNUMBER(SEARCH("lw",ED155)),DQ155+SUBSTITUTE(ED155,"lw+",""),MROUND(_xlfn.SWITCH(DY155,"sq",EC$7,"bn",ED$7,"dl",EE$7,"")*IF(ED155&gt;10,ED155/100,VLOOKUP(ED155,_rpe,SUBSTITUTE(EC155,"+","")+1,0)),IF(_xlfn.SWITCH(DY155,"sq",EC$7,"bn",ED$7,"dl",EE$7,"")&lt;IF(_uom="lbs",175,80),1.25,IF(_uom="lbs",5,2.5))))),"")</f>
        <v/>
      </c>
      <c s="70"/>
      <c s="63"/>
      <c s="97"/>
      <c s="44" t="str">
        <f>IFERROR(__xludf.DUMMYFUNCTION("IF(EE155=MAX(FILTER(EE$10:EE$199,LOOKUP(ROW(DY$10:DY$199),FILTER(ROW(DY$10:DY$199),DY$10:DY$199&lt;&gt;DY$9:DY$198))=LOOKUP(ROW(DY155),FILTER(ROW(DY$10:DY$199),DY$10:DY$199&lt;&gt;DY$9:DY$198)))),EF155,)"),"")</f>
        <v/>
      </c>
      <c s="42"/>
      <c s="63"/>
      <c s="64" t="str">
        <f t="shared" si="34"/>
        <v/>
      </c>
      <c s="65" t="str">
        <f>IFERROR(__xludf.DUMMYFUNCTION("""COMPUTED_VALUE"""),"")</f>
        <v/>
      </c>
      <c s="66">
        <f ca="1"/>
        <v>45278</v>
      </c>
      <c s="93" t="str">
        <f t="shared" si="48"/>
        <v/>
      </c>
      <c s="94" t="str">
        <f t="shared" si="395"/>
        <v/>
      </c>
      <c s="95" t="str">
        <f t="shared" si="423"/>
        <v/>
      </c>
      <c s="98" t="str">
        <f t="shared" si="402"/>
        <v/>
      </c>
      <c s="97" t="str">
        <f t="array" ref="ES155">IFERROR(IF(EM155="ac"+ISNUMBER(SEARCH("'",ER155))+EQ155="","",IF(ISNUMBER(SEARCH("lw",ER155)),EE155+SUBSTITUTE(ER155,"lw+",""),MROUND(_xlfn.SWITCH(EM155,"sq",EQ$7,"bn",ER$7,"dl",ES$7,"")*IF(ER155&gt;10,ER155/100,VLOOKUP(ER155,_rpe,SUBSTITUTE(EQ155,"+","")+1,0)),IF(_xlfn.SWITCH(EM155,"sq",EQ$7,"bn",ER$7,"dl",ES$7,"")&lt;IF(_uom="lbs",175,80),1.25,IF(_uom="lbs",5,2.5))))),"")</f>
        <v/>
      </c>
      <c s="70"/>
      <c s="63"/>
      <c s="97"/>
      <c s="44" t="str">
        <f>IFERROR(__xludf.DUMMYFUNCTION("IF(ES155=MAX(FILTER(ES$10:ES$199,LOOKUP(ROW(EM$10:EM$199),FILTER(ROW(EM$10:EM$199),EM$10:EM$199&lt;&gt;EM$9:EM$198))=LOOKUP(ROW(EM155),FILTER(ROW(EM$10:EM$199),EM$10:EM$199&lt;&gt;EM$9:EM$198)))),ET155,)"),"")</f>
        <v/>
      </c>
      <c s="42"/>
      <c s="63"/>
      <c s="64" t="str">
        <f t="shared" si="36"/>
        <v/>
      </c>
      <c s="65" t="str">
        <f>IFERROR(__xludf.DUMMYFUNCTION("""COMPUTED_VALUE"""),"")</f>
        <v/>
      </c>
      <c s="66">
        <f ca="1"/>
        <v>45285</v>
      </c>
      <c s="93" t="str">
        <f t="shared" si="49"/>
        <v/>
      </c>
      <c s="94" t="str">
        <f t="shared" si="396"/>
        <v/>
      </c>
      <c s="95" t="str">
        <f t="shared" si="424"/>
        <v/>
      </c>
      <c s="98" t="str">
        <f t="shared" si="403"/>
        <v/>
      </c>
      <c s="97" t="str">
        <f t="array" ref="FG155">IFERROR(IF(FA155="ac"+ISNUMBER(SEARCH("'",FF155))+FE155="","",IF(ISNUMBER(SEARCH("lw",FF155)),ES155+SUBSTITUTE(FF155,"lw+",""),MROUND(_xlfn.SWITCH(FA155,"sq",FE$7,"bn",FF$7,"dl",FG$7,"")*IF(FF155&gt;10,FF155/100,VLOOKUP(FF155,_rpe,SUBSTITUTE(FE155,"+","")+1,0)),IF(_xlfn.SWITCH(FA155,"sq",FE$7,"bn",FF$7,"dl",FG$7,"")&lt;IF(_uom="lbs",175,80),1.25,IF(_uom="lbs",5,2.5))))),"")</f>
        <v/>
      </c>
      <c s="70"/>
      <c s="63"/>
      <c s="97"/>
      <c s="44" t="str">
        <f>IFERROR(__xludf.DUMMYFUNCTION("IF(FG155=MAX(FILTER(FG$10:FG$199,LOOKUP(ROW(FA$10:FA$199),FILTER(ROW(FA$10:FA$199),FA$10:FA$199&lt;&gt;FA$9:FA$198))=LOOKUP(ROW(FA155),FILTER(ROW(FA$10:FA$199),FA$10:FA$199&lt;&gt;FA$9:FA$198)))),FH155,)"),"")</f>
        <v/>
      </c>
      <c s="42"/>
      <c s="63"/>
      <c s="64" t="str">
        <f t="shared" si="38"/>
        <v/>
      </c>
      <c s="65" t="str">
        <f>IFERROR(__xludf.DUMMYFUNCTION("""COMPUTED_VALUE"""),"")</f>
        <v/>
      </c>
      <c s="66">
        <f ca="1"/>
        <v>45292</v>
      </c>
      <c s="93" t="str">
        <f t="shared" si="499" ref="FQ155:FR155">IF(ISBLANK(FC155),"",FC155)</f>
        <v/>
      </c>
      <c s="94" t="str">
        <f t="shared" si="499"/>
        <v/>
      </c>
      <c s="95" t="str">
        <f t="shared" si="428"/>
        <v/>
      </c>
      <c s="98" t="str">
        <f t="shared" si="429"/>
        <v/>
      </c>
      <c s="97" t="str">
        <f t="array" ref="FU155">IFERROR(IF(FO155="ac"+ISNUMBER(SEARCH("'",FT155))+FS155="","",IF(ISNUMBER(SEARCH("lw",FT155)),FG155+SUBSTITUTE(FT155,"lw+",""),MROUND(_xlfn.SWITCH(FO155,"sq",FS$7,"bn",FT$7,"dl",FU$7,"")*IF(FT155&gt;10,FT155/100,VLOOKUP(FT155,_rpe,SUBSTITUTE(FS155,"+","")+1,0)),IF(_xlfn.SWITCH(FO155,"sq",FS$7,"bn",FT$7,"dl",FU$7,"")&lt;IF(_uom="lbs",175,80),1.25,IF(_uom="lbs",5,2.5))))),"")</f>
        <v/>
      </c>
      <c s="70"/>
      <c s="63"/>
      <c s="97"/>
      <c s="44" t="str">
        <f>IFERROR(__xludf.DUMMYFUNCTION("IF(FU155=MAX(FILTER(FU$10:FU$199,LOOKUP(ROW(FO$10:FO$199),FILTER(ROW(FO$10:FO$199),FO$10:FO$199&lt;&gt;FO$9:FO$198))=LOOKUP(ROW(FO155),FILTER(ROW(FO$10:FO$199),FO$10:FO$199&lt;&gt;FO$9:FO$198)))),FV155,)"),"")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56" spans="1:259" ht="15.75">
      <c r="A156" s="63"/>
      <c s="107"/>
      <c s="65" t="str">
        <f>IFERROR(__xludf.DUMMYFUNCTION("""COMPUTED_VALUE"""),"")</f>
        <v/>
      </c>
      <c s="66">
        <f ca="1"/>
        <v>45208</v>
      </c>
      <c s="108"/>
      <c s="94"/>
      <c s="95"/>
      <c s="96"/>
      <c s="97" t="str">
        <f t="array" ref="I156">IFERROR(IF(C156="ac"+ISNUMBER(SEARCH("'",H156))+G156="","",MROUND(_xlfn.SWITCH(C156,"sq",'Personal Info'!$O$15,"bn",'Personal Info'!$S$15,"dl",'Personal Info'!$W$15,"")*IF(H156&gt;10,H156/100,VLOOKUP(H156,_rpe,SUBSTITUTE(G156,"+","")+1,0)),IF(_xlfn.SWITCH(C156:C210,"sq",'Personal Info'!$O$15,"bn",'Personal Info'!$S$15,"dl",'Personal Info'!$W$15,"")&lt;IF(_uom="lbs",175,80),1.25,IF(_uom="lbs",5,2.5)))),"")</f>
        <v/>
      </c>
      <c s="70"/>
      <c s="63"/>
      <c s="97"/>
      <c s="44" t="str">
        <f>IFERROR(__xludf.DUMMYFUNCTION("IF(I156=MAX(FILTER(I$10:I$199,LOOKUP(ROW(C$10:C$199),FILTER(ROW(C$10:C$199),C$10:C$199&lt;&gt;C$9:C$198))=LOOKUP(ROW(C156),FILTER(ROW(C$10:C$199),C$10:C$199&lt;&gt;C$9:C$198)))),J156,)"),"")</f>
        <v/>
      </c>
      <c s="42"/>
      <c s="63"/>
      <c s="64" t="str">
        <f t="shared" si="11"/>
        <v/>
      </c>
      <c s="65" t="str">
        <f>IFERROR(__xludf.DUMMYFUNCTION("""COMPUTED_VALUE"""),"")</f>
        <v/>
      </c>
      <c s="66">
        <f ca="1"/>
        <v>45215</v>
      </c>
      <c s="93" t="str">
        <f t="shared" si="12"/>
        <v/>
      </c>
      <c s="94" t="str">
        <f t="shared" si="404"/>
        <v/>
      </c>
      <c s="95" t="str">
        <f t="shared" si="406"/>
        <v/>
      </c>
      <c s="98" t="str">
        <f t="shared" si="407"/>
        <v/>
      </c>
      <c s="97" t="str">
        <f t="array" ref="W156">IFERROR(IF(Q156="ac"+ISNUMBER(SEARCH("'",V156))+U156="","",IF(ISNUMBER(SEARCH("lw",V156)),I156+SUBSTITUTE(V156,"lw+",""),MROUND(_xlfn.SWITCH(Q156,"sq",U$7,"bn",V$7,"dl",W$7,"")*IF(V156&gt;10,V156/100,VLOOKUP(V156,_rpe,SUBSTITUTE(U156,"+","")+1,0)),IF(_xlfn.SWITCH(Q156,"sq",U$7,"bn",V$7,"dl",W$7,"")&lt;IF(_uom="lbs",175,80),1.25,IF(_uom="lbs",5,2.5))))),"")</f>
        <v/>
      </c>
      <c s="70"/>
      <c s="63"/>
      <c s="97"/>
      <c s="44" t="str">
        <f>IFERROR(__xludf.DUMMYFUNCTION("IF(W156=MAX(FILTER(W$10:W$199,LOOKUP(ROW(Q$10:Q$199),FILTER(ROW(Q$10:Q$199),Q$10:Q$199&lt;&gt;Q$9:Q$198))=LOOKUP(ROW(Q156),FILTER(ROW(Q$10:Q$199),Q$10:Q$199&lt;&gt;Q$9:Q$198)))),X156,)"),"")</f>
        <v/>
      </c>
      <c s="42"/>
      <c s="63"/>
      <c s="64" t="str">
        <f t="shared" si="14"/>
        <v/>
      </c>
      <c s="65" t="str">
        <f>IFERROR(__xludf.DUMMYFUNCTION("""COMPUTED_VALUE"""),"")</f>
        <v/>
      </c>
      <c s="66">
        <f ca="1"/>
        <v>45222</v>
      </c>
      <c s="93" t="str">
        <f t="shared" si="156"/>
        <v/>
      </c>
      <c s="94" t="str">
        <f t="shared" si="397"/>
        <v/>
      </c>
      <c s="95" t="str">
        <f t="shared" si="408"/>
        <v/>
      </c>
      <c s="98" t="str">
        <f t="shared" si="398"/>
        <v/>
      </c>
      <c s="97" t="str">
        <f t="array" ref="AK156">IFERROR(IF(AE156="ac"+ISNUMBER(SEARCH("'",AJ156))+AI156="","",IF(ISNUMBER(SEARCH("lw",AJ156)),W156+SUBSTITUTE(AJ156,"lw+",""),MROUND(_xlfn.SWITCH(AE156,"sq",AI$7,"bn",AJ$7,"dl",AK$7,"")*IF(AJ156&gt;10,AJ156/100,VLOOKUP(AJ156,_rpe,SUBSTITUTE(AI156,"+","")+1,0)),IF(_xlfn.SWITCH(AE156,"sq",AI$7,"bn",AJ$7,"dl",AK$7,"")&lt;IF(_uom="lbs",175,80),1.25,IF(_uom="lbs",5,2.5))))),"")</f>
        <v/>
      </c>
      <c s="70"/>
      <c s="63"/>
      <c s="97"/>
      <c s="44" t="str">
        <f>IFERROR(__xludf.DUMMYFUNCTION("IF(AK156=MAX(FILTER(AK$10:AK$199,LOOKUP(ROW(AE$10:AE$199),FILTER(ROW(AE$10:AE$199),AE$10:AE$199&lt;&gt;AE$9:AE$198))=LOOKUP(ROW(AE156),FILTER(ROW(AE$10:AE$199),AE$10:AE$199&lt;&gt;AE$9:AE$198)))),AL156,)"),"")</f>
        <v/>
      </c>
      <c s="42"/>
      <c s="63"/>
      <c s="64" t="str">
        <f t="shared" si="17"/>
        <v/>
      </c>
      <c s="65" t="str">
        <f>IFERROR(__xludf.DUMMYFUNCTION("""COMPUTED_VALUE"""),"")</f>
        <v/>
      </c>
      <c s="66">
        <f ca="1"/>
        <v>45229</v>
      </c>
      <c s="93" t="str">
        <f t="shared" si="157"/>
        <v/>
      </c>
      <c s="94" t="str">
        <f t="shared" si="399"/>
        <v/>
      </c>
      <c s="95" t="str">
        <f t="shared" si="409"/>
        <v/>
      </c>
      <c s="98" t="str">
        <f t="shared" si="400"/>
        <v/>
      </c>
      <c s="97" t="str">
        <f t="array" ref="AY156">IFERROR(IF(AS156="ac"+ISNUMBER(SEARCH("'",AX156))+AW156="","",IF(ISNUMBER(SEARCH("lw",AX156)),AK156+SUBSTITUTE(AX156,"lw+",""),MROUND(_xlfn.SWITCH(AS156,"sq",AW$7,"bn",AX$7,"dl",AY$7,"")*IF(AX156&gt;10,AX156/100,VLOOKUP(AX156,_rpe,SUBSTITUTE(AW156,"+","")+1,0)),IF(_xlfn.SWITCH(AS156,"sq",AW$7,"bn",AX$7,"dl",AY$7,"")&lt;IF(_uom="lbs",175,80),1.25,IF(_uom="lbs",5,2.5))))),"")</f>
        <v/>
      </c>
      <c s="70"/>
      <c s="63"/>
      <c s="97"/>
      <c s="44" t="str">
        <f>IFERROR(__xludf.DUMMYFUNCTION("IF(AY156=MAX(FILTER(AY$10:AY$199,LOOKUP(ROW(AS$10:AS$199),FILTER(ROW(AS$10:AS$199),AS$10:AS$199&lt;&gt;AS$9:AS$198))=LOOKUP(ROW(AS156),FILTER(ROW(AS$10:AS$199),AS$10:AS$199&lt;&gt;AS$9:AS$198)))),AZ156,)"),"")</f>
        <v/>
      </c>
      <c s="42"/>
      <c s="63"/>
      <c s="64" t="str">
        <f t="shared" si="19"/>
        <v/>
      </c>
      <c s="65" t="str">
        <f>IFERROR(__xludf.DUMMYFUNCTION("""COMPUTED_VALUE"""),"")</f>
        <v/>
      </c>
      <c s="66">
        <f ca="1"/>
        <v>45236</v>
      </c>
      <c s="93" t="str">
        <f t="shared" si="20"/>
        <v/>
      </c>
      <c s="94" t="str">
        <f t="shared" si="425"/>
        <v/>
      </c>
      <c s="95" t="str">
        <f t="shared" si="411"/>
        <v/>
      </c>
      <c s="98" t="str">
        <f t="shared" si="412"/>
        <v/>
      </c>
      <c s="97" t="str">
        <f t="array" ref="BM156">IFERROR(IF(BG156="ac"+ISNUMBER(SEARCH("'",BL156))+BK156="","",IF(ISNUMBER(SEARCH("lw",BL156)),AY156+SUBSTITUTE(BL156,"lw+",""),MROUND(_xlfn.SWITCH(BG156,"sq",BK$7,"bn",BL$7,"dl",BM$7,"")*IF(BL156&gt;10,BL156/100,VLOOKUP(BL156,_rpe,SUBSTITUTE(BK156,"+","")+1,0)),IF(_xlfn.SWITCH(BG156,"sq",BK$7,"bn",BL$7,"dl",BM$7,"")&lt;IF(_uom="lbs",175,80),1.25,IF(_uom="lbs",5,2.5))))),"")</f>
        <v/>
      </c>
      <c s="70"/>
      <c s="63"/>
      <c s="97"/>
      <c s="44" t="str">
        <f>IFERROR(__xludf.DUMMYFUNCTION("IF(BM156=MAX(FILTER(BM$10:BM$199,LOOKUP(ROW(BG$10:BG$199),FILTER(ROW(BG$10:BG$199),BG$10:BG$199&lt;&gt;BG$9:BG$198))=LOOKUP(ROW(BG156),FILTER(ROW(BG$10:BG$199),BG$10:BG$199&lt;&gt;BG$9:BG$198)))),BN156,)"),"")</f>
        <v/>
      </c>
      <c s="42"/>
      <c s="63"/>
      <c s="64" t="str">
        <f t="shared" si="21"/>
        <v/>
      </c>
      <c s="65" t="str">
        <f>IFERROR(__xludf.DUMMYFUNCTION("""COMPUTED_VALUE"""),"")</f>
        <v/>
      </c>
      <c s="66">
        <f ca="1"/>
        <v>45243</v>
      </c>
      <c s="93" t="str">
        <f t="shared" si="22"/>
        <v/>
      </c>
      <c s="94" t="str">
        <f t="shared" si="426"/>
        <v/>
      </c>
      <c s="95" t="str">
        <f t="shared" si="414"/>
        <v/>
      </c>
      <c s="98" t="str">
        <f t="shared" si="415"/>
        <v/>
      </c>
      <c s="97" t="str">
        <f t="array" ref="CA156">IFERROR(IF(BU156="ac"+ISNUMBER(SEARCH("'",BZ156))+BY156="","",IF(ISNUMBER(SEARCH("lw",BZ156)),BM156+SUBSTITUTE(BZ156,"lw+",""),MROUND(_xlfn.SWITCH(BU156,"sq",BY$7,"bn",BZ$7,"dl",CA$7,"")*IF(BZ156&gt;10,BZ156/100,VLOOKUP(BZ156,_rpe,SUBSTITUTE(BY156,"+","")+1,0)),IF(_xlfn.SWITCH(BU156,"sq",BY$7,"bn",BZ$7,"dl",CA$7,"")&lt;IF(_uom="lbs",175,80),1.25,IF(_uom="lbs",5,2.5))))),"")</f>
        <v/>
      </c>
      <c s="70"/>
      <c s="63"/>
      <c s="97"/>
      <c s="44" t="str">
        <f>IFERROR(__xludf.DUMMYFUNCTION("IF(CA156=MAX(FILTER(CA$10:CA$199,LOOKUP(ROW(BU$10:BU$199),FILTER(ROW(BU$10:BU$199),BU$10:BU$199&lt;&gt;BU$9:BU$198))=LOOKUP(ROW(BU156),FILTER(ROW(BU$10:BU$199),BU$10:BU$199&lt;&gt;BU$9:BU$198)))),CB156,)"),"")</f>
        <v/>
      </c>
      <c s="42"/>
      <c s="63"/>
      <c s="64" t="str">
        <f t="shared" si="24"/>
        <v/>
      </c>
      <c s="65" t="str">
        <f>IFERROR(__xludf.DUMMYFUNCTION("""COMPUTED_VALUE"""),"")</f>
        <v/>
      </c>
      <c s="66">
        <f ca="1"/>
        <v>45250</v>
      </c>
      <c s="93" t="str">
        <f t="shared" si="44"/>
        <v/>
      </c>
      <c s="94" t="str">
        <f t="shared" si="392"/>
        <v/>
      </c>
      <c s="95" t="str">
        <f t="shared" si="416"/>
        <v/>
      </c>
      <c s="98" t="str">
        <f t="shared" si="417"/>
        <v/>
      </c>
      <c s="97" t="str">
        <f t="array" ref="CO156">IFERROR(IF(CI156="ac"+ISNUMBER(SEARCH("'",CN156))+CM156="","",IF(ISNUMBER(SEARCH("lw",CN156)),CA156+SUBSTITUTE(CN156,"lw+",""),MROUND(_xlfn.SWITCH(CI156,"sq",CM$7,"bn",CN$7,"dl",CO$7,"")*IF(CN156&gt;10,CN156/100,VLOOKUP(CN156,_rpe,SUBSTITUTE(CM156,"+","")+1,0)),IF(_xlfn.SWITCH(CI156,"sq",CM$7,"bn",CN$7,"dl",CO$7,"")&lt;IF(_uom="lbs",175,80),1.25,IF(_uom="lbs",5,2.5))))),"")</f>
        <v/>
      </c>
      <c s="70"/>
      <c s="63"/>
      <c s="97"/>
      <c s="44" t="str">
        <f>IFERROR(__xludf.DUMMYFUNCTION("IF(CO156=MAX(FILTER(CO$10:CO$199,LOOKUP(ROW(CI$10:CI$199),FILTER(ROW(CI$10:CI$199),CI$10:CI$199&lt;&gt;CI$9:CI$198))=LOOKUP(ROW(CI156),FILTER(ROW(CI$10:CI$199),CI$10:CI$199&lt;&gt;CI$9:CI$198)))),CP156,)"),"")</f>
        <v/>
      </c>
      <c s="42"/>
      <c s="63"/>
      <c s="64" t="str">
        <f t="shared" si="27"/>
        <v/>
      </c>
      <c s="65" t="str">
        <f>IFERROR(__xludf.DUMMYFUNCTION("""COMPUTED_VALUE"""),"")</f>
        <v/>
      </c>
      <c s="66">
        <f ca="1"/>
        <v>45257</v>
      </c>
      <c s="93" t="str">
        <f t="shared" si="45"/>
        <v/>
      </c>
      <c s="94" t="str">
        <f t="shared" si="393"/>
        <v/>
      </c>
      <c s="95" t="str">
        <f t="shared" si="418"/>
        <v/>
      </c>
      <c s="98" t="str">
        <f t="shared" si="401"/>
        <v/>
      </c>
      <c s="97" t="str">
        <f t="array" ref="DC156">IFERROR(IF(CW156="ac"+ISNUMBER(SEARCH("'",DB156))+DA156="","",IF(ISNUMBER(SEARCH("lw",DB156)),CO156+SUBSTITUTE(DB156,"lw+",""),MROUND(_xlfn.SWITCH(CW156,"sq",DA$7,"bn",DB$7,"dl",DC$7,"")*IF(DB156&gt;10,DB156/100,VLOOKUP(DB156,_rpe,SUBSTITUTE(DA156,"+","")+1,0)),IF(_xlfn.SWITCH(CW156,"sq",DA$7,"bn",DB$7,"dl",DC$7,"")&lt;IF(_uom="lbs",175,80),1.25,IF(_uom="lbs",5,2.5))))),"")</f>
        <v/>
      </c>
      <c s="70"/>
      <c s="63"/>
      <c s="97"/>
      <c s="44" t="str">
        <f>IFERROR(__xludf.DUMMYFUNCTION("IF(DC156=MAX(FILTER(DC$10:DC$199,LOOKUP(ROW(CW$10:CW$199),FILTER(ROW(CW$10:CW$199),CW$10:CW$199&lt;&gt;CW$9:CW$198))=LOOKUP(ROW(CW156),FILTER(ROW(CW$10:CW$199),CW$10:CW$199&lt;&gt;CW$9:CW$198)))),DD156,)"),"")</f>
        <v/>
      </c>
      <c s="42"/>
      <c s="63"/>
      <c s="64" t="str">
        <f t="shared" si="30"/>
        <v/>
      </c>
      <c s="65" t="str">
        <f>IFERROR(__xludf.DUMMYFUNCTION("""COMPUTED_VALUE"""),"")</f>
        <v/>
      </c>
      <c s="66">
        <f ca="1"/>
        <v>45264</v>
      </c>
      <c s="93" t="str">
        <f t="shared" si="46"/>
        <v/>
      </c>
      <c s="94" t="str">
        <f t="shared" si="394"/>
        <v/>
      </c>
      <c s="95" t="str">
        <f t="shared" si="419"/>
        <v/>
      </c>
      <c s="98" t="str">
        <f t="shared" si="420"/>
        <v/>
      </c>
      <c s="97" t="str">
        <f t="array" ref="DQ156">IFERROR(IF(DK156="ac"+ISNUMBER(SEARCH("'",DP156))+DO156="","",IF(ISNUMBER(SEARCH("lw",DP156)),DC156+SUBSTITUTE(DP156,"lw+",""),MROUND(_xlfn.SWITCH(DK156,"sq",DO$7,"bn",DP$7,"dl",DQ$7,"")*IF(DP156&gt;10,DP156/100,VLOOKUP(DP156,_rpe,SUBSTITUTE(DO156,"+","")+1,0)),IF(_xlfn.SWITCH(DK156,"sq",DO$7,"bn",DP$7,"dl",DQ$7,"")&lt;IF(_uom="lbs",175,80),1.25,IF(_uom="lbs",5,2.5))))),"")</f>
        <v/>
      </c>
      <c s="70"/>
      <c s="63"/>
      <c s="97"/>
      <c s="44" t="str">
        <f>IFERROR(__xludf.DUMMYFUNCTION("IF(DQ156=MAX(FILTER(DQ$10:DQ$199,LOOKUP(ROW(DK$10:DK$199),FILTER(ROW(DK$10:DK$199),DK$10:DK$199&lt;&gt;DK$9:DK$198))=LOOKUP(ROW(DK156),FILTER(ROW(DK$10:DK$199),DK$10:DK$199&lt;&gt;DK$9:DK$198)))),DR156,)"),"")</f>
        <v/>
      </c>
      <c s="42"/>
      <c s="63"/>
      <c s="64" t="str">
        <f t="shared" si="32"/>
        <v/>
      </c>
      <c s="65" t="str">
        <f>IFERROR(__xludf.DUMMYFUNCTION("""COMPUTED_VALUE"""),"")</f>
        <v/>
      </c>
      <c s="66">
        <f ca="1"/>
        <v>45271</v>
      </c>
      <c s="93" t="str">
        <f t="shared" si="47"/>
        <v/>
      </c>
      <c s="94" t="str">
        <f t="shared" si="405"/>
        <v/>
      </c>
      <c s="95" t="str">
        <f t="shared" si="421"/>
        <v/>
      </c>
      <c s="98" t="str">
        <f t="shared" si="422"/>
        <v/>
      </c>
      <c s="97" t="str">
        <f t="array" ref="EE156">IFERROR(IF(DY156="ac"+ISNUMBER(SEARCH("'",ED156))+EC156="","",IF(ISNUMBER(SEARCH("lw",ED156)),DQ156+SUBSTITUTE(ED156,"lw+",""),MROUND(_xlfn.SWITCH(DY156,"sq",EC$7,"bn",ED$7,"dl",EE$7,"")*IF(ED156&gt;10,ED156/100,VLOOKUP(ED156,_rpe,SUBSTITUTE(EC156,"+","")+1,0)),IF(_xlfn.SWITCH(DY156,"sq",EC$7,"bn",ED$7,"dl",EE$7,"")&lt;IF(_uom="lbs",175,80),1.25,IF(_uom="lbs",5,2.5))))),"")</f>
        <v/>
      </c>
      <c s="70"/>
      <c s="63"/>
      <c s="97"/>
      <c s="44" t="str">
        <f>IFERROR(__xludf.DUMMYFUNCTION("IF(EE156=MAX(FILTER(EE$10:EE$199,LOOKUP(ROW(DY$10:DY$199),FILTER(ROW(DY$10:DY$199),DY$10:DY$199&lt;&gt;DY$9:DY$198))=LOOKUP(ROW(DY156),FILTER(ROW(DY$10:DY$199),DY$10:DY$199&lt;&gt;DY$9:DY$198)))),EF156,)"),"")</f>
        <v/>
      </c>
      <c s="42"/>
      <c s="63"/>
      <c s="64" t="str">
        <f t="shared" si="34"/>
        <v/>
      </c>
      <c s="65" t="str">
        <f>IFERROR(__xludf.DUMMYFUNCTION("""COMPUTED_VALUE"""),"")</f>
        <v/>
      </c>
      <c s="66">
        <f ca="1"/>
        <v>45278</v>
      </c>
      <c s="93" t="str">
        <f t="shared" si="48"/>
        <v/>
      </c>
      <c s="94" t="str">
        <f t="shared" si="395"/>
        <v/>
      </c>
      <c s="95" t="str">
        <f t="shared" si="423"/>
        <v/>
      </c>
      <c s="98" t="str">
        <f t="shared" si="402"/>
        <v/>
      </c>
      <c s="97" t="str">
        <f t="array" ref="ES156">IFERROR(IF(EM156="ac"+ISNUMBER(SEARCH("'",ER156))+EQ156="","",IF(ISNUMBER(SEARCH("lw",ER156)),EE156+SUBSTITUTE(ER156,"lw+",""),MROUND(_xlfn.SWITCH(EM156,"sq",EQ$7,"bn",ER$7,"dl",ES$7,"")*IF(ER156&gt;10,ER156/100,VLOOKUP(ER156,_rpe,SUBSTITUTE(EQ156,"+","")+1,0)),IF(_xlfn.SWITCH(EM156,"sq",EQ$7,"bn",ER$7,"dl",ES$7,"")&lt;IF(_uom="lbs",175,80),1.25,IF(_uom="lbs",5,2.5))))),"")</f>
        <v/>
      </c>
      <c s="70"/>
      <c s="63"/>
      <c s="97"/>
      <c s="44" t="str">
        <f>IFERROR(__xludf.DUMMYFUNCTION("IF(ES156=MAX(FILTER(ES$10:ES$199,LOOKUP(ROW(EM$10:EM$199),FILTER(ROW(EM$10:EM$199),EM$10:EM$199&lt;&gt;EM$9:EM$198))=LOOKUP(ROW(EM156),FILTER(ROW(EM$10:EM$199),EM$10:EM$199&lt;&gt;EM$9:EM$198)))),ET156,)"),"")</f>
        <v/>
      </c>
      <c s="42"/>
      <c s="63"/>
      <c s="64" t="str">
        <f t="shared" si="36"/>
        <v/>
      </c>
      <c s="65" t="str">
        <f>IFERROR(__xludf.DUMMYFUNCTION("""COMPUTED_VALUE"""),"")</f>
        <v/>
      </c>
      <c s="66">
        <f ca="1"/>
        <v>45285</v>
      </c>
      <c s="93" t="str">
        <f t="shared" si="49"/>
        <v/>
      </c>
      <c s="94" t="str">
        <f t="shared" si="396"/>
        <v/>
      </c>
      <c s="95" t="str">
        <f t="shared" si="424"/>
        <v/>
      </c>
      <c s="98" t="str">
        <f t="shared" si="403"/>
        <v/>
      </c>
      <c s="97" t="str">
        <f t="array" ref="FG156">IFERROR(IF(FA156="ac"+ISNUMBER(SEARCH("'",FF156))+FE156="","",IF(ISNUMBER(SEARCH("lw",FF156)),ES156+SUBSTITUTE(FF156,"lw+",""),MROUND(_xlfn.SWITCH(FA156,"sq",FE$7,"bn",FF$7,"dl",FG$7,"")*IF(FF156&gt;10,FF156/100,VLOOKUP(FF156,_rpe,SUBSTITUTE(FE156,"+","")+1,0)),IF(_xlfn.SWITCH(FA156,"sq",FE$7,"bn",FF$7,"dl",FG$7,"")&lt;IF(_uom="lbs",175,80),1.25,IF(_uom="lbs",5,2.5))))),"")</f>
        <v/>
      </c>
      <c s="70"/>
      <c s="63"/>
      <c s="97"/>
      <c s="44" t="str">
        <f>IFERROR(__xludf.DUMMYFUNCTION("IF(FG156=MAX(FILTER(FG$10:FG$199,LOOKUP(ROW(FA$10:FA$199),FILTER(ROW(FA$10:FA$199),FA$10:FA$199&lt;&gt;FA$9:FA$198))=LOOKUP(ROW(FA156),FILTER(ROW(FA$10:FA$199),FA$10:FA$199&lt;&gt;FA$9:FA$198)))),FH156,)"),"")</f>
        <v/>
      </c>
      <c s="42"/>
      <c s="63"/>
      <c s="64" t="str">
        <f t="shared" si="38"/>
        <v/>
      </c>
      <c s="65" t="str">
        <f>IFERROR(__xludf.DUMMYFUNCTION("""COMPUTED_VALUE"""),"")</f>
        <v/>
      </c>
      <c s="66">
        <f ca="1"/>
        <v>45292</v>
      </c>
      <c s="93" t="str">
        <f t="shared" si="500" ref="FQ156:FR156">IF(ISBLANK(FC156),"",FC156)</f>
        <v/>
      </c>
      <c s="94" t="str">
        <f t="shared" si="500"/>
        <v/>
      </c>
      <c s="95" t="str">
        <f t="shared" si="428"/>
        <v/>
      </c>
      <c s="98" t="str">
        <f t="shared" si="429"/>
        <v/>
      </c>
      <c s="97" t="str">
        <f t="array" ref="FU156">IFERROR(IF(FO156="ac"+ISNUMBER(SEARCH("'",FT156))+FS156="","",IF(ISNUMBER(SEARCH("lw",FT156)),FG156+SUBSTITUTE(FT156,"lw+",""),MROUND(_xlfn.SWITCH(FO156,"sq",FS$7,"bn",FT$7,"dl",FU$7,"")*IF(FT156&gt;10,FT156/100,VLOOKUP(FT156,_rpe,SUBSTITUTE(FS156,"+","")+1,0)),IF(_xlfn.SWITCH(FO156,"sq",FS$7,"bn",FT$7,"dl",FU$7,"")&lt;IF(_uom="lbs",175,80),1.25,IF(_uom="lbs",5,2.5))))),"")</f>
        <v/>
      </c>
      <c s="70"/>
      <c s="63"/>
      <c s="97"/>
      <c s="44" t="str">
        <f>IFERROR(__xludf.DUMMYFUNCTION("IF(FU156=MAX(FILTER(FU$10:FU$199,LOOKUP(ROW(FO$10:FO$199),FILTER(ROW(FO$10:FO$199),FO$10:FO$199&lt;&gt;FO$9:FO$198))=LOOKUP(ROW(FO156),FILTER(ROW(FO$10:FO$199),FO$10:FO$199&lt;&gt;FO$9:FO$198)))),FV156,)"),"")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57" spans="1:259" ht="15.75">
      <c r="A157" s="63"/>
      <c s="107"/>
      <c s="65" t="str">
        <f>IFERROR(__xludf.DUMMYFUNCTION("""COMPUTED_VALUE"""),"")</f>
        <v/>
      </c>
      <c s="66">
        <f ca="1"/>
        <v>45208</v>
      </c>
      <c s="108"/>
      <c s="94"/>
      <c s="95"/>
      <c s="96"/>
      <c s="97" t="str">
        <f t="array" ref="I157">IFERROR(IF(C157="ac"+ISNUMBER(SEARCH("'",H157))+G157="","",MROUND(_xlfn.SWITCH(C157,"sq",'Personal Info'!$O$15,"bn",'Personal Info'!$S$15,"dl",'Personal Info'!$W$15,"")*IF(H157&gt;10,H157/100,VLOOKUP(H157,_rpe,SUBSTITUTE(G157,"+","")+1,0)),IF(_xlfn.SWITCH(C157:C210,"sq",'Personal Info'!$O$15,"bn",'Personal Info'!$S$15,"dl",'Personal Info'!$W$15,"")&lt;IF(_uom="lbs",175,80),1.25,IF(_uom="lbs",5,2.5)))),"")</f>
        <v/>
      </c>
      <c s="70"/>
      <c s="63"/>
      <c s="97"/>
      <c s="44" t="str">
        <f>IFERROR(__xludf.DUMMYFUNCTION("IF(I157=MAX(FILTER(I$10:I$199,LOOKUP(ROW(C$10:C$199),FILTER(ROW(C$10:C$199),C$10:C$199&lt;&gt;C$9:C$198))=LOOKUP(ROW(C157),FILTER(ROW(C$10:C$199),C$10:C$199&lt;&gt;C$9:C$198)))),J157,)"),"")</f>
        <v/>
      </c>
      <c s="42"/>
      <c s="63"/>
      <c s="64" t="str">
        <f t="shared" si="11"/>
        <v/>
      </c>
      <c s="65" t="str">
        <f>IFERROR(__xludf.DUMMYFUNCTION("""COMPUTED_VALUE"""),"")</f>
        <v/>
      </c>
      <c s="66">
        <f ca="1"/>
        <v>45215</v>
      </c>
      <c s="93" t="str">
        <f t="shared" si="12"/>
        <v/>
      </c>
      <c s="94" t="str">
        <f t="shared" si="404"/>
        <v/>
      </c>
      <c s="95" t="str">
        <f t="shared" si="406"/>
        <v/>
      </c>
      <c s="98" t="str">
        <f t="shared" si="407"/>
        <v/>
      </c>
      <c s="97" t="str">
        <f t="array" ref="W157">IFERROR(IF(Q157="ac"+ISNUMBER(SEARCH("'",V157))+U157="","",IF(ISNUMBER(SEARCH("lw",V157)),I157+SUBSTITUTE(V157,"lw+",""),MROUND(_xlfn.SWITCH(Q157,"sq",U$7,"bn",V$7,"dl",W$7,"")*IF(V157&gt;10,V157/100,VLOOKUP(V157,_rpe,SUBSTITUTE(U157,"+","")+1,0)),IF(_xlfn.SWITCH(Q157,"sq",U$7,"bn",V$7,"dl",W$7,"")&lt;IF(_uom="lbs",175,80),1.25,IF(_uom="lbs",5,2.5))))),"")</f>
        <v/>
      </c>
      <c s="70"/>
      <c s="63"/>
      <c s="97"/>
      <c s="44" t="str">
        <f>IFERROR(__xludf.DUMMYFUNCTION("IF(W157=MAX(FILTER(W$10:W$199,LOOKUP(ROW(Q$10:Q$199),FILTER(ROW(Q$10:Q$199),Q$10:Q$199&lt;&gt;Q$9:Q$198))=LOOKUP(ROW(Q157),FILTER(ROW(Q$10:Q$199),Q$10:Q$199&lt;&gt;Q$9:Q$198)))),X157,)"),"")</f>
        <v/>
      </c>
      <c s="42"/>
      <c s="63"/>
      <c s="64" t="str">
        <f t="shared" si="14"/>
        <v/>
      </c>
      <c s="65" t="str">
        <f>IFERROR(__xludf.DUMMYFUNCTION("""COMPUTED_VALUE"""),"")</f>
        <v/>
      </c>
      <c s="66">
        <f ca="1"/>
        <v>45222</v>
      </c>
      <c s="93" t="str">
        <f t="shared" si="156"/>
        <v/>
      </c>
      <c s="94" t="str">
        <f t="shared" si="397"/>
        <v/>
      </c>
      <c s="95" t="str">
        <f t="shared" si="408"/>
        <v/>
      </c>
      <c s="98" t="str">
        <f t="shared" si="398"/>
        <v/>
      </c>
      <c s="97" t="str">
        <f t="array" ref="AK157">IFERROR(IF(AE157="ac"+ISNUMBER(SEARCH("'",AJ157))+AI157="","",IF(ISNUMBER(SEARCH("lw",AJ157)),W157+SUBSTITUTE(AJ157,"lw+",""),MROUND(_xlfn.SWITCH(AE157,"sq",AI$7,"bn",AJ$7,"dl",AK$7,"")*IF(AJ157&gt;10,AJ157/100,VLOOKUP(AJ157,_rpe,SUBSTITUTE(AI157,"+","")+1,0)),IF(_xlfn.SWITCH(AE157,"sq",AI$7,"bn",AJ$7,"dl",AK$7,"")&lt;IF(_uom="lbs",175,80),1.25,IF(_uom="lbs",5,2.5))))),"")</f>
        <v/>
      </c>
      <c s="70"/>
      <c s="63"/>
      <c s="97"/>
      <c s="44" t="str">
        <f>IFERROR(__xludf.DUMMYFUNCTION("IF(AK157=MAX(FILTER(AK$10:AK$199,LOOKUP(ROW(AE$10:AE$199),FILTER(ROW(AE$10:AE$199),AE$10:AE$199&lt;&gt;AE$9:AE$198))=LOOKUP(ROW(AE157),FILTER(ROW(AE$10:AE$199),AE$10:AE$199&lt;&gt;AE$9:AE$198)))),AL157,)"),"")</f>
        <v/>
      </c>
      <c s="42"/>
      <c s="63"/>
      <c s="64" t="str">
        <f t="shared" si="17"/>
        <v/>
      </c>
      <c s="65" t="str">
        <f>IFERROR(__xludf.DUMMYFUNCTION("""COMPUTED_VALUE"""),"")</f>
        <v/>
      </c>
      <c s="66">
        <f ca="1"/>
        <v>45229</v>
      </c>
      <c s="93" t="str">
        <f t="shared" si="157"/>
        <v/>
      </c>
      <c s="94" t="str">
        <f t="shared" si="399"/>
        <v/>
      </c>
      <c s="95" t="str">
        <f t="shared" si="409"/>
        <v/>
      </c>
      <c s="98" t="str">
        <f t="shared" si="400"/>
        <v/>
      </c>
      <c s="97" t="str">
        <f t="array" ref="AY157">IFERROR(IF(AS157="ac"+ISNUMBER(SEARCH("'",AX157))+AW157="","",IF(ISNUMBER(SEARCH("lw",AX157)),AK157+SUBSTITUTE(AX157,"lw+",""),MROUND(_xlfn.SWITCH(AS157,"sq",AW$7,"bn",AX$7,"dl",AY$7,"")*IF(AX157&gt;10,AX157/100,VLOOKUP(AX157,_rpe,SUBSTITUTE(AW157,"+","")+1,0)),IF(_xlfn.SWITCH(AS157,"sq",AW$7,"bn",AX$7,"dl",AY$7,"")&lt;IF(_uom="lbs",175,80),1.25,IF(_uom="lbs",5,2.5))))),"")</f>
        <v/>
      </c>
      <c s="70"/>
      <c s="63"/>
      <c s="97"/>
      <c s="44" t="str">
        <f>IFERROR(__xludf.DUMMYFUNCTION("IF(AY157=MAX(FILTER(AY$10:AY$199,LOOKUP(ROW(AS$10:AS$199),FILTER(ROW(AS$10:AS$199),AS$10:AS$199&lt;&gt;AS$9:AS$198))=LOOKUP(ROW(AS157),FILTER(ROW(AS$10:AS$199),AS$10:AS$199&lt;&gt;AS$9:AS$198)))),AZ157,)"),"")</f>
        <v/>
      </c>
      <c s="42"/>
      <c s="63"/>
      <c s="64" t="str">
        <f t="shared" si="19"/>
        <v/>
      </c>
      <c s="65" t="str">
        <f>IFERROR(__xludf.DUMMYFUNCTION("""COMPUTED_VALUE"""),"")</f>
        <v/>
      </c>
      <c s="66">
        <f ca="1"/>
        <v>45236</v>
      </c>
      <c s="93" t="str">
        <f t="shared" si="20"/>
        <v/>
      </c>
      <c s="94" t="str">
        <f t="shared" si="425"/>
        <v/>
      </c>
      <c s="95" t="str">
        <f t="shared" si="411"/>
        <v/>
      </c>
      <c s="98" t="str">
        <f t="shared" si="412"/>
        <v/>
      </c>
      <c s="97" t="str">
        <f t="array" ref="BM157">IFERROR(IF(BG157="ac"+ISNUMBER(SEARCH("'",BL157))+BK157="","",IF(ISNUMBER(SEARCH("lw",BL157)),AY157+SUBSTITUTE(BL157,"lw+",""),MROUND(_xlfn.SWITCH(BG157,"sq",BK$7,"bn",BL$7,"dl",BM$7,"")*IF(BL157&gt;10,BL157/100,VLOOKUP(BL157,_rpe,SUBSTITUTE(BK157,"+","")+1,0)),IF(_xlfn.SWITCH(BG157,"sq",BK$7,"bn",BL$7,"dl",BM$7,"")&lt;IF(_uom="lbs",175,80),1.25,IF(_uom="lbs",5,2.5))))),"")</f>
        <v/>
      </c>
      <c s="70"/>
      <c s="63"/>
      <c s="97"/>
      <c s="44" t="str">
        <f>IFERROR(__xludf.DUMMYFUNCTION("IF(BM157=MAX(FILTER(BM$10:BM$199,LOOKUP(ROW(BG$10:BG$199),FILTER(ROW(BG$10:BG$199),BG$10:BG$199&lt;&gt;BG$9:BG$198))=LOOKUP(ROW(BG157),FILTER(ROW(BG$10:BG$199),BG$10:BG$199&lt;&gt;BG$9:BG$198)))),BN157,)"),"")</f>
        <v/>
      </c>
      <c s="42"/>
      <c s="63"/>
      <c s="64" t="str">
        <f t="shared" si="21"/>
        <v/>
      </c>
      <c s="65" t="str">
        <f>IFERROR(__xludf.DUMMYFUNCTION("""COMPUTED_VALUE"""),"")</f>
        <v/>
      </c>
      <c s="66">
        <f ca="1"/>
        <v>45243</v>
      </c>
      <c s="93" t="str">
        <f t="shared" si="22"/>
        <v/>
      </c>
      <c s="94" t="str">
        <f t="shared" si="426"/>
        <v/>
      </c>
      <c s="95" t="str">
        <f t="shared" si="414"/>
        <v/>
      </c>
      <c s="98" t="str">
        <f t="shared" si="415"/>
        <v/>
      </c>
      <c s="97" t="str">
        <f t="array" ref="CA157">IFERROR(IF(BU157="ac"+ISNUMBER(SEARCH("'",BZ157))+BY157="","",IF(ISNUMBER(SEARCH("lw",BZ157)),BM157+SUBSTITUTE(BZ157,"lw+",""),MROUND(_xlfn.SWITCH(BU157,"sq",BY$7,"bn",BZ$7,"dl",CA$7,"")*IF(BZ157&gt;10,BZ157/100,VLOOKUP(BZ157,_rpe,SUBSTITUTE(BY157,"+","")+1,0)),IF(_xlfn.SWITCH(BU157,"sq",BY$7,"bn",BZ$7,"dl",CA$7,"")&lt;IF(_uom="lbs",175,80),1.25,IF(_uom="lbs",5,2.5))))),"")</f>
        <v/>
      </c>
      <c s="70"/>
      <c s="63"/>
      <c s="97"/>
      <c s="44" t="str">
        <f>IFERROR(__xludf.DUMMYFUNCTION("IF(CA157=MAX(FILTER(CA$10:CA$199,LOOKUP(ROW(BU$10:BU$199),FILTER(ROW(BU$10:BU$199),BU$10:BU$199&lt;&gt;BU$9:BU$198))=LOOKUP(ROW(BU157),FILTER(ROW(BU$10:BU$199),BU$10:BU$199&lt;&gt;BU$9:BU$198)))),CB157,)"),"")</f>
        <v/>
      </c>
      <c s="42"/>
      <c s="63"/>
      <c s="64" t="str">
        <f t="shared" si="24"/>
        <v/>
      </c>
      <c s="65" t="str">
        <f>IFERROR(__xludf.DUMMYFUNCTION("""COMPUTED_VALUE"""),"")</f>
        <v/>
      </c>
      <c s="66">
        <f ca="1"/>
        <v>45250</v>
      </c>
      <c s="93" t="str">
        <f t="shared" si="44"/>
        <v/>
      </c>
      <c s="94" t="str">
        <f t="shared" si="392"/>
        <v/>
      </c>
      <c s="95" t="str">
        <f t="shared" si="416"/>
        <v/>
      </c>
      <c s="98" t="str">
        <f t="shared" si="417"/>
        <v/>
      </c>
      <c s="97" t="str">
        <f t="array" ref="CO157">IFERROR(IF(CI157="ac"+ISNUMBER(SEARCH("'",CN157))+CM157="","",IF(ISNUMBER(SEARCH("lw",CN157)),CA157+SUBSTITUTE(CN157,"lw+",""),MROUND(_xlfn.SWITCH(CI157,"sq",CM$7,"bn",CN$7,"dl",CO$7,"")*IF(CN157&gt;10,CN157/100,VLOOKUP(CN157,_rpe,SUBSTITUTE(CM157,"+","")+1,0)),IF(_xlfn.SWITCH(CI157,"sq",CM$7,"bn",CN$7,"dl",CO$7,"")&lt;IF(_uom="lbs",175,80),1.25,IF(_uom="lbs",5,2.5))))),"")</f>
        <v/>
      </c>
      <c s="70"/>
      <c s="63"/>
      <c s="97"/>
      <c s="44" t="str">
        <f>IFERROR(__xludf.DUMMYFUNCTION("IF(CO157=MAX(FILTER(CO$10:CO$199,LOOKUP(ROW(CI$10:CI$199),FILTER(ROW(CI$10:CI$199),CI$10:CI$199&lt;&gt;CI$9:CI$198))=LOOKUP(ROW(CI157),FILTER(ROW(CI$10:CI$199),CI$10:CI$199&lt;&gt;CI$9:CI$198)))),CP157,)"),"")</f>
        <v/>
      </c>
      <c s="42"/>
      <c s="63"/>
      <c s="64" t="str">
        <f t="shared" si="27"/>
        <v/>
      </c>
      <c s="65" t="str">
        <f>IFERROR(__xludf.DUMMYFUNCTION("""COMPUTED_VALUE"""),"")</f>
        <v/>
      </c>
      <c s="66">
        <f ca="1"/>
        <v>45257</v>
      </c>
      <c s="93" t="str">
        <f t="shared" si="45"/>
        <v/>
      </c>
      <c s="94" t="str">
        <f t="shared" si="393"/>
        <v/>
      </c>
      <c s="95" t="str">
        <f t="shared" si="418"/>
        <v/>
      </c>
      <c s="98" t="str">
        <f t="shared" si="401"/>
        <v/>
      </c>
      <c s="97" t="str">
        <f t="array" ref="DC157">IFERROR(IF(CW157="ac"+ISNUMBER(SEARCH("'",DB157))+DA157="","",IF(ISNUMBER(SEARCH("lw",DB157)),CO157+SUBSTITUTE(DB157,"lw+",""),MROUND(_xlfn.SWITCH(CW157,"sq",DA$7,"bn",DB$7,"dl",DC$7,"")*IF(DB157&gt;10,DB157/100,VLOOKUP(DB157,_rpe,SUBSTITUTE(DA157,"+","")+1,0)),IF(_xlfn.SWITCH(CW157,"sq",DA$7,"bn",DB$7,"dl",DC$7,"")&lt;IF(_uom="lbs",175,80),1.25,IF(_uom="lbs",5,2.5))))),"")</f>
        <v/>
      </c>
      <c s="70"/>
      <c s="63"/>
      <c s="97"/>
      <c s="44" t="str">
        <f>IFERROR(__xludf.DUMMYFUNCTION("IF(DC157=MAX(FILTER(DC$10:DC$199,LOOKUP(ROW(CW$10:CW$199),FILTER(ROW(CW$10:CW$199),CW$10:CW$199&lt;&gt;CW$9:CW$198))=LOOKUP(ROW(CW157),FILTER(ROW(CW$10:CW$199),CW$10:CW$199&lt;&gt;CW$9:CW$198)))),DD157,)"),"")</f>
        <v/>
      </c>
      <c s="42"/>
      <c s="63"/>
      <c s="64" t="str">
        <f t="shared" si="30"/>
        <v/>
      </c>
      <c s="65" t="str">
        <f>IFERROR(__xludf.DUMMYFUNCTION("""COMPUTED_VALUE"""),"")</f>
        <v/>
      </c>
      <c s="66">
        <f ca="1"/>
        <v>45264</v>
      </c>
      <c s="93" t="str">
        <f t="shared" si="46"/>
        <v/>
      </c>
      <c s="94" t="str">
        <f t="shared" si="394"/>
        <v/>
      </c>
      <c s="95" t="str">
        <f t="shared" si="419"/>
        <v/>
      </c>
      <c s="98" t="str">
        <f t="shared" si="420"/>
        <v/>
      </c>
      <c s="97" t="str">
        <f t="array" ref="DQ157">IFERROR(IF(DK157="ac"+ISNUMBER(SEARCH("'",DP157))+DO157="","",IF(ISNUMBER(SEARCH("lw",DP157)),DC157+SUBSTITUTE(DP157,"lw+",""),MROUND(_xlfn.SWITCH(DK157,"sq",DO$7,"bn",DP$7,"dl",DQ$7,"")*IF(DP157&gt;10,DP157/100,VLOOKUP(DP157,_rpe,SUBSTITUTE(DO157,"+","")+1,0)),IF(_xlfn.SWITCH(DK157,"sq",DO$7,"bn",DP$7,"dl",DQ$7,"")&lt;IF(_uom="lbs",175,80),1.25,IF(_uom="lbs",5,2.5))))),"")</f>
        <v/>
      </c>
      <c s="70"/>
      <c s="63"/>
      <c s="97"/>
      <c s="44" t="str">
        <f>IFERROR(__xludf.DUMMYFUNCTION("IF(DQ157=MAX(FILTER(DQ$10:DQ$199,LOOKUP(ROW(DK$10:DK$199),FILTER(ROW(DK$10:DK$199),DK$10:DK$199&lt;&gt;DK$9:DK$198))=LOOKUP(ROW(DK157),FILTER(ROW(DK$10:DK$199),DK$10:DK$199&lt;&gt;DK$9:DK$198)))),DR157,)"),"")</f>
        <v/>
      </c>
      <c s="42"/>
      <c s="63"/>
      <c s="64" t="str">
        <f t="shared" si="32"/>
        <v/>
      </c>
      <c s="65" t="str">
        <f>IFERROR(__xludf.DUMMYFUNCTION("""COMPUTED_VALUE"""),"")</f>
        <v/>
      </c>
      <c s="66">
        <f ca="1"/>
        <v>45271</v>
      </c>
      <c s="93" t="str">
        <f t="shared" si="47"/>
        <v/>
      </c>
      <c s="94" t="str">
        <f t="shared" si="405"/>
        <v/>
      </c>
      <c s="95" t="str">
        <f t="shared" si="421"/>
        <v/>
      </c>
      <c s="98" t="str">
        <f t="shared" si="422"/>
        <v/>
      </c>
      <c s="97" t="str">
        <f t="array" ref="EE157">IFERROR(IF(DY157="ac"+ISNUMBER(SEARCH("'",ED157))+EC157="","",IF(ISNUMBER(SEARCH("lw",ED157)),DQ157+SUBSTITUTE(ED157,"lw+",""),MROUND(_xlfn.SWITCH(DY157,"sq",EC$7,"bn",ED$7,"dl",EE$7,"")*IF(ED157&gt;10,ED157/100,VLOOKUP(ED157,_rpe,SUBSTITUTE(EC157,"+","")+1,0)),IF(_xlfn.SWITCH(DY157,"sq",EC$7,"bn",ED$7,"dl",EE$7,"")&lt;IF(_uom="lbs",175,80),1.25,IF(_uom="lbs",5,2.5))))),"")</f>
        <v/>
      </c>
      <c s="70"/>
      <c s="63"/>
      <c s="97"/>
      <c s="44" t="str">
        <f>IFERROR(__xludf.DUMMYFUNCTION("IF(EE157=MAX(FILTER(EE$10:EE$199,LOOKUP(ROW(DY$10:DY$199),FILTER(ROW(DY$10:DY$199),DY$10:DY$199&lt;&gt;DY$9:DY$198))=LOOKUP(ROW(DY157),FILTER(ROW(DY$10:DY$199),DY$10:DY$199&lt;&gt;DY$9:DY$198)))),EF157,)"),"")</f>
        <v/>
      </c>
      <c s="42"/>
      <c s="63"/>
      <c s="64" t="str">
        <f t="shared" si="34"/>
        <v/>
      </c>
      <c s="65" t="str">
        <f>IFERROR(__xludf.DUMMYFUNCTION("""COMPUTED_VALUE"""),"")</f>
        <v/>
      </c>
      <c s="66">
        <f ca="1"/>
        <v>45278</v>
      </c>
      <c s="93" t="str">
        <f t="shared" si="48"/>
        <v/>
      </c>
      <c s="94" t="str">
        <f t="shared" si="395"/>
        <v/>
      </c>
      <c s="95" t="str">
        <f t="shared" si="423"/>
        <v/>
      </c>
      <c s="98" t="str">
        <f t="shared" si="402"/>
        <v/>
      </c>
      <c s="97" t="str">
        <f t="array" ref="ES157">IFERROR(IF(EM157="ac"+ISNUMBER(SEARCH("'",ER157))+EQ157="","",IF(ISNUMBER(SEARCH("lw",ER157)),EE157+SUBSTITUTE(ER157,"lw+",""),MROUND(_xlfn.SWITCH(EM157,"sq",EQ$7,"bn",ER$7,"dl",ES$7,"")*IF(ER157&gt;10,ER157/100,VLOOKUP(ER157,_rpe,SUBSTITUTE(EQ157,"+","")+1,0)),IF(_xlfn.SWITCH(EM157,"sq",EQ$7,"bn",ER$7,"dl",ES$7,"")&lt;IF(_uom="lbs",175,80),1.25,IF(_uom="lbs",5,2.5))))),"")</f>
        <v/>
      </c>
      <c s="70"/>
      <c s="63"/>
      <c s="97"/>
      <c s="44" t="str">
        <f>IFERROR(__xludf.DUMMYFUNCTION("IF(ES157=MAX(FILTER(ES$10:ES$199,LOOKUP(ROW(EM$10:EM$199),FILTER(ROW(EM$10:EM$199),EM$10:EM$199&lt;&gt;EM$9:EM$198))=LOOKUP(ROW(EM157),FILTER(ROW(EM$10:EM$199),EM$10:EM$199&lt;&gt;EM$9:EM$198)))),ET157,)"),"")</f>
        <v/>
      </c>
      <c s="42"/>
      <c s="63"/>
      <c s="64" t="str">
        <f t="shared" si="36"/>
        <v/>
      </c>
      <c s="65" t="str">
        <f>IFERROR(__xludf.DUMMYFUNCTION("""COMPUTED_VALUE"""),"")</f>
        <v/>
      </c>
      <c s="66">
        <f ca="1"/>
        <v>45285</v>
      </c>
      <c s="93" t="str">
        <f t="shared" si="49"/>
        <v/>
      </c>
      <c s="94" t="str">
        <f t="shared" si="396"/>
        <v/>
      </c>
      <c s="95" t="str">
        <f t="shared" si="424"/>
        <v/>
      </c>
      <c s="98" t="str">
        <f t="shared" si="403"/>
        <v/>
      </c>
      <c s="97" t="str">
        <f t="array" ref="FG157">IFERROR(IF(FA157="ac"+ISNUMBER(SEARCH("'",FF157))+FE157="","",IF(ISNUMBER(SEARCH("lw",FF157)),ES157+SUBSTITUTE(FF157,"lw+",""),MROUND(_xlfn.SWITCH(FA157,"sq",FE$7,"bn",FF$7,"dl",FG$7,"")*IF(FF157&gt;10,FF157/100,VLOOKUP(FF157,_rpe,SUBSTITUTE(FE157,"+","")+1,0)),IF(_xlfn.SWITCH(FA157,"sq",FE$7,"bn",FF$7,"dl",FG$7,"")&lt;IF(_uom="lbs",175,80),1.25,IF(_uom="lbs",5,2.5))))),"")</f>
        <v/>
      </c>
      <c s="70"/>
      <c s="63"/>
      <c s="97"/>
      <c s="44" t="str">
        <f>IFERROR(__xludf.DUMMYFUNCTION("IF(FG157=MAX(FILTER(FG$10:FG$199,LOOKUP(ROW(FA$10:FA$199),FILTER(ROW(FA$10:FA$199),FA$10:FA$199&lt;&gt;FA$9:FA$198))=LOOKUP(ROW(FA157),FILTER(ROW(FA$10:FA$199),FA$10:FA$199&lt;&gt;FA$9:FA$198)))),FH157,)"),"")</f>
        <v/>
      </c>
      <c s="42"/>
      <c s="63"/>
      <c s="64" t="str">
        <f t="shared" si="38"/>
        <v/>
      </c>
      <c s="65" t="str">
        <f>IFERROR(__xludf.DUMMYFUNCTION("""COMPUTED_VALUE"""),"")</f>
        <v/>
      </c>
      <c s="66">
        <f ca="1"/>
        <v>45292</v>
      </c>
      <c s="93" t="str">
        <f t="shared" si="501" ref="FQ157:FR157">IF(ISBLANK(FC157),"",FC157)</f>
        <v/>
      </c>
      <c s="94" t="str">
        <f t="shared" si="501"/>
        <v/>
      </c>
      <c s="95" t="str">
        <f t="shared" si="428"/>
        <v/>
      </c>
      <c s="98" t="str">
        <f t="shared" si="429"/>
        <v/>
      </c>
      <c s="97" t="str">
        <f t="array" ref="FU157">IFERROR(IF(FO157="ac"+ISNUMBER(SEARCH("'",FT157))+FS157="","",IF(ISNUMBER(SEARCH("lw",FT157)),FG157+SUBSTITUTE(FT157,"lw+",""),MROUND(_xlfn.SWITCH(FO157,"sq",FS$7,"bn",FT$7,"dl",FU$7,"")*IF(FT157&gt;10,FT157/100,VLOOKUP(FT157,_rpe,SUBSTITUTE(FS157,"+","")+1,0)),IF(_xlfn.SWITCH(FO157,"sq",FS$7,"bn",FT$7,"dl",FU$7,"")&lt;IF(_uom="lbs",175,80),1.25,IF(_uom="lbs",5,2.5))))),"")</f>
        <v/>
      </c>
      <c s="70"/>
      <c s="63"/>
      <c s="97"/>
      <c s="44" t="str">
        <f>IFERROR(__xludf.DUMMYFUNCTION("IF(FU157=MAX(FILTER(FU$10:FU$199,LOOKUP(ROW(FO$10:FO$199),FILTER(ROW(FO$10:FO$199),FO$10:FO$199&lt;&gt;FO$9:FO$198))=LOOKUP(ROW(FO157),FILTER(ROW(FO$10:FO$199),FO$10:FO$199&lt;&gt;FO$9:FO$198)))),FV157,)"),"")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58" spans="1:259" ht="15.75">
      <c r="A158" s="63"/>
      <c s="107"/>
      <c s="65" t="str">
        <f>IFERROR(__xludf.DUMMYFUNCTION("""COMPUTED_VALUE"""),"")</f>
        <v/>
      </c>
      <c s="66">
        <f ca="1"/>
        <v>45208</v>
      </c>
      <c s="108"/>
      <c s="94"/>
      <c s="95"/>
      <c s="96"/>
      <c s="97" t="str">
        <f t="array" ref="I158">IFERROR(IF(C158="ac"+ISNUMBER(SEARCH("'",H158))+G158="","",MROUND(_xlfn.SWITCH(C158,"sq",'Personal Info'!$O$15,"bn",'Personal Info'!$S$15,"dl",'Personal Info'!$W$15,"")*IF(H158&gt;10,H158/100,VLOOKUP(H158,_rpe,SUBSTITUTE(G158,"+","")+1,0)),IF(_xlfn.SWITCH(C158:C210,"sq",'Personal Info'!$O$15,"bn",'Personal Info'!$S$15,"dl",'Personal Info'!$W$15,"")&lt;IF(_uom="lbs",175,80),1.25,IF(_uom="lbs",5,2.5)))),"")</f>
        <v/>
      </c>
      <c s="70"/>
      <c s="63"/>
      <c s="97"/>
      <c s="44" t="str">
        <f>IFERROR(__xludf.DUMMYFUNCTION("IF(I158=MAX(FILTER(I$10:I$199,LOOKUP(ROW(C$10:C$199),FILTER(ROW(C$10:C$199),C$10:C$199&lt;&gt;C$9:C$198))=LOOKUP(ROW(C158),FILTER(ROW(C$10:C$199),C$10:C$199&lt;&gt;C$9:C$198)))),J158,)"),"")</f>
        <v/>
      </c>
      <c s="42"/>
      <c s="63"/>
      <c s="64" t="str">
        <f t="shared" si="11"/>
        <v/>
      </c>
      <c s="65" t="str">
        <f>IFERROR(__xludf.DUMMYFUNCTION("""COMPUTED_VALUE"""),"")</f>
        <v/>
      </c>
      <c s="66">
        <f ca="1"/>
        <v>45215</v>
      </c>
      <c s="93" t="str">
        <f t="shared" si="12"/>
        <v/>
      </c>
      <c s="94" t="str">
        <f t="shared" si="404"/>
        <v/>
      </c>
      <c s="95" t="str">
        <f t="shared" si="406"/>
        <v/>
      </c>
      <c s="98" t="str">
        <f t="shared" si="407"/>
        <v/>
      </c>
      <c s="97" t="str">
        <f t="array" ref="W158">IFERROR(IF(Q158="ac"+ISNUMBER(SEARCH("'",V158))+U158="","",IF(ISNUMBER(SEARCH("lw",V158)),I158+SUBSTITUTE(V158,"lw+",""),MROUND(_xlfn.SWITCH(Q158,"sq",U$7,"bn",V$7,"dl",W$7,"")*IF(V158&gt;10,V158/100,VLOOKUP(V158,_rpe,SUBSTITUTE(U158,"+","")+1,0)),IF(_xlfn.SWITCH(Q158,"sq",U$7,"bn",V$7,"dl",W$7,"")&lt;IF(_uom="lbs",175,80),1.25,IF(_uom="lbs",5,2.5))))),"")</f>
        <v/>
      </c>
      <c s="70"/>
      <c s="63"/>
      <c s="97"/>
      <c s="44" t="str">
        <f>IFERROR(__xludf.DUMMYFUNCTION("IF(W158=MAX(FILTER(W$10:W$199,LOOKUP(ROW(Q$10:Q$199),FILTER(ROW(Q$10:Q$199),Q$10:Q$199&lt;&gt;Q$9:Q$198))=LOOKUP(ROW(Q158),FILTER(ROW(Q$10:Q$199),Q$10:Q$199&lt;&gt;Q$9:Q$198)))),X158,)"),"")</f>
        <v/>
      </c>
      <c s="42"/>
      <c s="63"/>
      <c s="64" t="str">
        <f t="shared" si="14"/>
        <v/>
      </c>
      <c s="65" t="str">
        <f>IFERROR(__xludf.DUMMYFUNCTION("""COMPUTED_VALUE"""),"")</f>
        <v/>
      </c>
      <c s="66">
        <f ca="1"/>
        <v>45222</v>
      </c>
      <c s="93" t="str">
        <f t="shared" si="156"/>
        <v/>
      </c>
      <c s="94" t="str">
        <f t="shared" si="397"/>
        <v/>
      </c>
      <c s="95" t="str">
        <f t="shared" si="408"/>
        <v/>
      </c>
      <c s="98" t="str">
        <f t="shared" si="398"/>
        <v/>
      </c>
      <c s="97" t="str">
        <f t="array" ref="AK158">IFERROR(IF(AE158="ac"+ISNUMBER(SEARCH("'",AJ158))+AI158="","",IF(ISNUMBER(SEARCH("lw",AJ158)),W158+SUBSTITUTE(AJ158,"lw+",""),MROUND(_xlfn.SWITCH(AE158,"sq",AI$7,"bn",AJ$7,"dl",AK$7,"")*IF(AJ158&gt;10,AJ158/100,VLOOKUP(AJ158,_rpe,SUBSTITUTE(AI158,"+","")+1,0)),IF(_xlfn.SWITCH(AE158,"sq",AI$7,"bn",AJ$7,"dl",AK$7,"")&lt;IF(_uom="lbs",175,80),1.25,IF(_uom="lbs",5,2.5))))),"")</f>
        <v/>
      </c>
      <c s="70"/>
      <c s="63"/>
      <c s="97"/>
      <c s="44" t="str">
        <f>IFERROR(__xludf.DUMMYFUNCTION("IF(AK158=MAX(FILTER(AK$10:AK$199,LOOKUP(ROW(AE$10:AE$199),FILTER(ROW(AE$10:AE$199),AE$10:AE$199&lt;&gt;AE$9:AE$198))=LOOKUP(ROW(AE158),FILTER(ROW(AE$10:AE$199),AE$10:AE$199&lt;&gt;AE$9:AE$198)))),AL158,)"),"")</f>
        <v/>
      </c>
      <c s="42"/>
      <c s="63"/>
      <c s="64" t="str">
        <f t="shared" si="17"/>
        <v/>
      </c>
      <c s="65" t="str">
        <f>IFERROR(__xludf.DUMMYFUNCTION("""COMPUTED_VALUE"""),"")</f>
        <v/>
      </c>
      <c s="66">
        <f ca="1"/>
        <v>45229</v>
      </c>
      <c s="93" t="str">
        <f t="shared" si="157"/>
        <v/>
      </c>
      <c s="94" t="str">
        <f t="shared" si="399"/>
        <v/>
      </c>
      <c s="95" t="str">
        <f t="shared" si="409"/>
        <v/>
      </c>
      <c s="98" t="str">
        <f t="shared" si="400"/>
        <v/>
      </c>
      <c s="97" t="str">
        <f t="array" ref="AY158">IFERROR(IF(AS158="ac"+ISNUMBER(SEARCH("'",AX158))+AW158="","",IF(ISNUMBER(SEARCH("lw",AX158)),AK158+SUBSTITUTE(AX158,"lw+",""),MROUND(_xlfn.SWITCH(AS158,"sq",AW$7,"bn",AX$7,"dl",AY$7,"")*IF(AX158&gt;10,AX158/100,VLOOKUP(AX158,_rpe,SUBSTITUTE(AW158,"+","")+1,0)),IF(_xlfn.SWITCH(AS158,"sq",AW$7,"bn",AX$7,"dl",AY$7,"")&lt;IF(_uom="lbs",175,80),1.25,IF(_uom="lbs",5,2.5))))),"")</f>
        <v/>
      </c>
      <c s="70"/>
      <c s="63"/>
      <c s="97"/>
      <c s="44" t="str">
        <f>IFERROR(__xludf.DUMMYFUNCTION("IF(AY158=MAX(FILTER(AY$10:AY$199,LOOKUP(ROW(AS$10:AS$199),FILTER(ROW(AS$10:AS$199),AS$10:AS$199&lt;&gt;AS$9:AS$198))=LOOKUP(ROW(AS158),FILTER(ROW(AS$10:AS$199),AS$10:AS$199&lt;&gt;AS$9:AS$198)))),AZ158,)"),"")</f>
        <v/>
      </c>
      <c s="42"/>
      <c s="63"/>
      <c s="64" t="str">
        <f t="shared" si="19"/>
        <v/>
      </c>
      <c s="65" t="str">
        <f>IFERROR(__xludf.DUMMYFUNCTION("""COMPUTED_VALUE"""),"")</f>
        <v/>
      </c>
      <c s="66">
        <f ca="1"/>
        <v>45236</v>
      </c>
      <c s="93" t="str">
        <f t="shared" si="20"/>
        <v/>
      </c>
      <c s="94" t="str">
        <f t="shared" si="425"/>
        <v/>
      </c>
      <c s="95" t="str">
        <f t="shared" si="411"/>
        <v/>
      </c>
      <c s="98" t="str">
        <f t="shared" si="412"/>
        <v/>
      </c>
      <c s="97" t="str">
        <f t="array" ref="BM158">IFERROR(IF(BG158="ac"+ISNUMBER(SEARCH("'",BL158))+BK158="","",IF(ISNUMBER(SEARCH("lw",BL158)),AY158+SUBSTITUTE(BL158,"lw+",""),MROUND(_xlfn.SWITCH(BG158,"sq",BK$7,"bn",BL$7,"dl",BM$7,"")*IF(BL158&gt;10,BL158/100,VLOOKUP(BL158,_rpe,SUBSTITUTE(BK158,"+","")+1,0)),IF(_xlfn.SWITCH(BG158,"sq",BK$7,"bn",BL$7,"dl",BM$7,"")&lt;IF(_uom="lbs",175,80),1.25,IF(_uom="lbs",5,2.5))))),"")</f>
        <v/>
      </c>
      <c s="70"/>
      <c s="63"/>
      <c s="97"/>
      <c s="44" t="str">
        <f>IFERROR(__xludf.DUMMYFUNCTION("IF(BM158=MAX(FILTER(BM$10:BM$199,LOOKUP(ROW(BG$10:BG$199),FILTER(ROW(BG$10:BG$199),BG$10:BG$199&lt;&gt;BG$9:BG$198))=LOOKUP(ROW(BG158),FILTER(ROW(BG$10:BG$199),BG$10:BG$199&lt;&gt;BG$9:BG$198)))),BN158,)"),"")</f>
        <v/>
      </c>
      <c s="42"/>
      <c s="63"/>
      <c s="64" t="str">
        <f t="shared" si="21"/>
        <v/>
      </c>
      <c s="65" t="str">
        <f>IFERROR(__xludf.DUMMYFUNCTION("""COMPUTED_VALUE"""),"")</f>
        <v/>
      </c>
      <c s="66">
        <f ca="1"/>
        <v>45243</v>
      </c>
      <c s="93" t="str">
        <f t="shared" si="22"/>
        <v/>
      </c>
      <c s="94" t="str">
        <f t="shared" si="426"/>
        <v/>
      </c>
      <c s="95" t="str">
        <f t="shared" si="414"/>
        <v/>
      </c>
      <c s="98" t="str">
        <f t="shared" si="415"/>
        <v/>
      </c>
      <c s="97" t="str">
        <f t="array" ref="CA158">IFERROR(IF(BU158="ac"+ISNUMBER(SEARCH("'",BZ158))+BY158="","",IF(ISNUMBER(SEARCH("lw",BZ158)),BM158+SUBSTITUTE(BZ158,"lw+",""),MROUND(_xlfn.SWITCH(BU158,"sq",BY$7,"bn",BZ$7,"dl",CA$7,"")*IF(BZ158&gt;10,BZ158/100,VLOOKUP(BZ158,_rpe,SUBSTITUTE(BY158,"+","")+1,0)),IF(_xlfn.SWITCH(BU158,"sq",BY$7,"bn",BZ$7,"dl",CA$7,"")&lt;IF(_uom="lbs",175,80),1.25,IF(_uom="lbs",5,2.5))))),"")</f>
        <v/>
      </c>
      <c s="70"/>
      <c s="63"/>
      <c s="97"/>
      <c s="44" t="str">
        <f>IFERROR(__xludf.DUMMYFUNCTION("IF(CA158=MAX(FILTER(CA$10:CA$199,LOOKUP(ROW(BU$10:BU$199),FILTER(ROW(BU$10:BU$199),BU$10:BU$199&lt;&gt;BU$9:BU$198))=LOOKUP(ROW(BU158),FILTER(ROW(BU$10:BU$199),BU$10:BU$199&lt;&gt;BU$9:BU$198)))),CB158,)"),"")</f>
        <v/>
      </c>
      <c s="42"/>
      <c s="63"/>
      <c s="64" t="str">
        <f t="shared" si="24"/>
        <v/>
      </c>
      <c s="65" t="str">
        <f>IFERROR(__xludf.DUMMYFUNCTION("""COMPUTED_VALUE"""),"")</f>
        <v/>
      </c>
      <c s="66">
        <f ca="1"/>
        <v>45250</v>
      </c>
      <c s="93" t="str">
        <f t="shared" si="44"/>
        <v/>
      </c>
      <c s="94" t="str">
        <f t="shared" si="392"/>
        <v/>
      </c>
      <c s="95" t="str">
        <f t="shared" si="416"/>
        <v/>
      </c>
      <c s="98" t="str">
        <f t="shared" si="417"/>
        <v/>
      </c>
      <c s="97" t="str">
        <f t="array" ref="CO158">IFERROR(IF(CI158="ac"+ISNUMBER(SEARCH("'",CN158))+CM158="","",IF(ISNUMBER(SEARCH("lw",CN158)),CA158+SUBSTITUTE(CN158,"lw+",""),MROUND(_xlfn.SWITCH(CI158,"sq",CM$7,"bn",CN$7,"dl",CO$7,"")*IF(CN158&gt;10,CN158/100,VLOOKUP(CN158,_rpe,SUBSTITUTE(CM158,"+","")+1,0)),IF(_xlfn.SWITCH(CI158,"sq",CM$7,"bn",CN$7,"dl",CO$7,"")&lt;IF(_uom="lbs",175,80),1.25,IF(_uom="lbs",5,2.5))))),"")</f>
        <v/>
      </c>
      <c s="70"/>
      <c s="63"/>
      <c s="97"/>
      <c s="44" t="str">
        <f>IFERROR(__xludf.DUMMYFUNCTION("IF(CO158=MAX(FILTER(CO$10:CO$199,LOOKUP(ROW(CI$10:CI$199),FILTER(ROW(CI$10:CI$199),CI$10:CI$199&lt;&gt;CI$9:CI$198))=LOOKUP(ROW(CI158),FILTER(ROW(CI$10:CI$199),CI$10:CI$199&lt;&gt;CI$9:CI$198)))),CP158,)"),"")</f>
        <v/>
      </c>
      <c s="42"/>
      <c s="63"/>
      <c s="64" t="str">
        <f t="shared" si="27"/>
        <v/>
      </c>
      <c s="65" t="str">
        <f>IFERROR(__xludf.DUMMYFUNCTION("""COMPUTED_VALUE"""),"")</f>
        <v/>
      </c>
      <c s="66">
        <f ca="1"/>
        <v>45257</v>
      </c>
      <c s="93" t="str">
        <f t="shared" si="45"/>
        <v/>
      </c>
      <c s="94" t="str">
        <f t="shared" si="393"/>
        <v/>
      </c>
      <c s="95" t="str">
        <f t="shared" si="418"/>
        <v/>
      </c>
      <c s="98" t="str">
        <f t="shared" si="401"/>
        <v/>
      </c>
      <c s="97" t="str">
        <f t="array" ref="DC158">IFERROR(IF(CW158="ac"+ISNUMBER(SEARCH("'",DB158))+DA158="","",IF(ISNUMBER(SEARCH("lw",DB158)),CO158+SUBSTITUTE(DB158,"lw+",""),MROUND(_xlfn.SWITCH(CW158,"sq",DA$7,"bn",DB$7,"dl",DC$7,"")*IF(DB158&gt;10,DB158/100,VLOOKUP(DB158,_rpe,SUBSTITUTE(DA158,"+","")+1,0)),IF(_xlfn.SWITCH(CW158,"sq",DA$7,"bn",DB$7,"dl",DC$7,"")&lt;IF(_uom="lbs",175,80),1.25,IF(_uom="lbs",5,2.5))))),"")</f>
        <v/>
      </c>
      <c s="70"/>
      <c s="63"/>
      <c s="97"/>
      <c s="44" t="str">
        <f>IFERROR(__xludf.DUMMYFUNCTION("IF(DC158=MAX(FILTER(DC$10:DC$199,LOOKUP(ROW(CW$10:CW$199),FILTER(ROW(CW$10:CW$199),CW$10:CW$199&lt;&gt;CW$9:CW$198))=LOOKUP(ROW(CW158),FILTER(ROW(CW$10:CW$199),CW$10:CW$199&lt;&gt;CW$9:CW$198)))),DD158,)"),"")</f>
        <v/>
      </c>
      <c s="42"/>
      <c s="63"/>
      <c s="64" t="str">
        <f t="shared" si="30"/>
        <v/>
      </c>
      <c s="65" t="str">
        <f>IFERROR(__xludf.DUMMYFUNCTION("""COMPUTED_VALUE"""),"")</f>
        <v/>
      </c>
      <c s="66">
        <f ca="1"/>
        <v>45264</v>
      </c>
      <c s="93" t="str">
        <f t="shared" si="46"/>
        <v/>
      </c>
      <c s="94" t="str">
        <f t="shared" si="394"/>
        <v/>
      </c>
      <c s="95" t="str">
        <f t="shared" si="419"/>
        <v/>
      </c>
      <c s="98" t="str">
        <f t="shared" si="420"/>
        <v/>
      </c>
      <c s="97" t="str">
        <f t="array" ref="DQ158">IFERROR(IF(DK158="ac"+ISNUMBER(SEARCH("'",DP158))+DO158="","",IF(ISNUMBER(SEARCH("lw",DP158)),DC158+SUBSTITUTE(DP158,"lw+",""),MROUND(_xlfn.SWITCH(DK158,"sq",DO$7,"bn",DP$7,"dl",DQ$7,"")*IF(DP158&gt;10,DP158/100,VLOOKUP(DP158,_rpe,SUBSTITUTE(DO158,"+","")+1,0)),IF(_xlfn.SWITCH(DK158,"sq",DO$7,"bn",DP$7,"dl",DQ$7,"")&lt;IF(_uom="lbs",175,80),1.25,IF(_uom="lbs",5,2.5))))),"")</f>
        <v/>
      </c>
      <c s="70"/>
      <c s="63"/>
      <c s="97"/>
      <c s="44" t="str">
        <f>IFERROR(__xludf.DUMMYFUNCTION("IF(DQ158=MAX(FILTER(DQ$10:DQ$199,LOOKUP(ROW(DK$10:DK$199),FILTER(ROW(DK$10:DK$199),DK$10:DK$199&lt;&gt;DK$9:DK$198))=LOOKUP(ROW(DK158),FILTER(ROW(DK$10:DK$199),DK$10:DK$199&lt;&gt;DK$9:DK$198)))),DR158,)"),"")</f>
        <v/>
      </c>
      <c s="42"/>
      <c s="63"/>
      <c s="64" t="str">
        <f t="shared" si="32"/>
        <v/>
      </c>
      <c s="65" t="str">
        <f>IFERROR(__xludf.DUMMYFUNCTION("""COMPUTED_VALUE"""),"")</f>
        <v/>
      </c>
      <c s="66">
        <f ca="1"/>
        <v>45271</v>
      </c>
      <c s="93" t="str">
        <f t="shared" si="47"/>
        <v/>
      </c>
      <c s="94" t="str">
        <f t="shared" si="405"/>
        <v/>
      </c>
      <c s="95" t="str">
        <f t="shared" si="421"/>
        <v/>
      </c>
      <c s="98" t="str">
        <f t="shared" si="422"/>
        <v/>
      </c>
      <c s="97" t="str">
        <f t="array" ref="EE158">IFERROR(IF(DY158="ac"+ISNUMBER(SEARCH("'",ED158))+EC158="","",IF(ISNUMBER(SEARCH("lw",ED158)),DQ158+SUBSTITUTE(ED158,"lw+",""),MROUND(_xlfn.SWITCH(DY158,"sq",EC$7,"bn",ED$7,"dl",EE$7,"")*IF(ED158&gt;10,ED158/100,VLOOKUP(ED158,_rpe,SUBSTITUTE(EC158,"+","")+1,0)),IF(_xlfn.SWITCH(DY158,"sq",EC$7,"bn",ED$7,"dl",EE$7,"")&lt;IF(_uom="lbs",175,80),1.25,IF(_uom="lbs",5,2.5))))),"")</f>
        <v/>
      </c>
      <c s="70"/>
      <c s="63"/>
      <c s="97"/>
      <c s="44" t="str">
        <f>IFERROR(__xludf.DUMMYFUNCTION("IF(EE158=MAX(FILTER(EE$10:EE$199,LOOKUP(ROW(DY$10:DY$199),FILTER(ROW(DY$10:DY$199),DY$10:DY$199&lt;&gt;DY$9:DY$198))=LOOKUP(ROW(DY158),FILTER(ROW(DY$10:DY$199),DY$10:DY$199&lt;&gt;DY$9:DY$198)))),EF158,)"),"")</f>
        <v/>
      </c>
      <c s="42"/>
      <c s="63"/>
      <c s="64" t="str">
        <f t="shared" si="34"/>
        <v/>
      </c>
      <c s="65" t="str">
        <f>IFERROR(__xludf.DUMMYFUNCTION("""COMPUTED_VALUE"""),"")</f>
        <v/>
      </c>
      <c s="66">
        <f ca="1"/>
        <v>45278</v>
      </c>
      <c s="93" t="str">
        <f t="shared" si="48"/>
        <v/>
      </c>
      <c s="94" t="str">
        <f t="shared" si="395"/>
        <v/>
      </c>
      <c s="95" t="str">
        <f t="shared" si="423"/>
        <v/>
      </c>
      <c s="98" t="str">
        <f t="shared" si="402"/>
        <v/>
      </c>
      <c s="97" t="str">
        <f t="array" ref="ES158">IFERROR(IF(EM158="ac"+ISNUMBER(SEARCH("'",ER158))+EQ158="","",IF(ISNUMBER(SEARCH("lw",ER158)),EE158+SUBSTITUTE(ER158,"lw+",""),MROUND(_xlfn.SWITCH(EM158,"sq",EQ$7,"bn",ER$7,"dl",ES$7,"")*IF(ER158&gt;10,ER158/100,VLOOKUP(ER158,_rpe,SUBSTITUTE(EQ158,"+","")+1,0)),IF(_xlfn.SWITCH(EM158,"sq",EQ$7,"bn",ER$7,"dl",ES$7,"")&lt;IF(_uom="lbs",175,80),1.25,IF(_uom="lbs",5,2.5))))),"")</f>
        <v/>
      </c>
      <c s="70"/>
      <c s="63"/>
      <c s="97"/>
      <c s="44" t="str">
        <f>IFERROR(__xludf.DUMMYFUNCTION("IF(ES158=MAX(FILTER(ES$10:ES$199,LOOKUP(ROW(EM$10:EM$199),FILTER(ROW(EM$10:EM$199),EM$10:EM$199&lt;&gt;EM$9:EM$198))=LOOKUP(ROW(EM158),FILTER(ROW(EM$10:EM$199),EM$10:EM$199&lt;&gt;EM$9:EM$198)))),ET158,)"),"")</f>
        <v/>
      </c>
      <c s="42"/>
      <c s="63"/>
      <c s="64" t="str">
        <f t="shared" si="36"/>
        <v/>
      </c>
      <c s="65" t="str">
        <f>IFERROR(__xludf.DUMMYFUNCTION("""COMPUTED_VALUE"""),"")</f>
        <v/>
      </c>
      <c s="66">
        <f ca="1"/>
        <v>45285</v>
      </c>
      <c s="93" t="str">
        <f t="shared" si="49"/>
        <v/>
      </c>
      <c s="94" t="str">
        <f t="shared" si="396"/>
        <v/>
      </c>
      <c s="95" t="str">
        <f t="shared" si="424"/>
        <v/>
      </c>
      <c s="98" t="str">
        <f t="shared" si="403"/>
        <v/>
      </c>
      <c s="97" t="str">
        <f t="array" ref="FG158">IFERROR(IF(FA158="ac"+ISNUMBER(SEARCH("'",FF158))+FE158="","",IF(ISNUMBER(SEARCH("lw",FF158)),ES158+SUBSTITUTE(FF158,"lw+",""),MROUND(_xlfn.SWITCH(FA158,"sq",FE$7,"bn",FF$7,"dl",FG$7,"")*IF(FF158&gt;10,FF158/100,VLOOKUP(FF158,_rpe,SUBSTITUTE(FE158,"+","")+1,0)),IF(_xlfn.SWITCH(FA158,"sq",FE$7,"bn",FF$7,"dl",FG$7,"")&lt;IF(_uom="lbs",175,80),1.25,IF(_uom="lbs",5,2.5))))),"")</f>
        <v/>
      </c>
      <c s="70"/>
      <c s="63"/>
      <c s="97"/>
      <c s="44" t="str">
        <f>IFERROR(__xludf.DUMMYFUNCTION("IF(FG158=MAX(FILTER(FG$10:FG$199,LOOKUP(ROW(FA$10:FA$199),FILTER(ROW(FA$10:FA$199),FA$10:FA$199&lt;&gt;FA$9:FA$198))=LOOKUP(ROW(FA158),FILTER(ROW(FA$10:FA$199),FA$10:FA$199&lt;&gt;FA$9:FA$198)))),FH158,)"),"")</f>
        <v/>
      </c>
      <c s="42"/>
      <c s="63"/>
      <c s="64" t="str">
        <f t="shared" si="38"/>
        <v/>
      </c>
      <c s="65" t="str">
        <f>IFERROR(__xludf.DUMMYFUNCTION("""COMPUTED_VALUE"""),"")</f>
        <v/>
      </c>
      <c s="66">
        <f ca="1"/>
        <v>45292</v>
      </c>
      <c s="93" t="str">
        <f t="shared" si="502" ref="FQ158:FR158">IF(ISBLANK(FC158),"",FC158)</f>
        <v/>
      </c>
      <c s="94" t="str">
        <f t="shared" si="502"/>
        <v/>
      </c>
      <c s="95" t="str">
        <f t="shared" si="428"/>
        <v/>
      </c>
      <c s="98" t="str">
        <f t="shared" si="429"/>
        <v/>
      </c>
      <c s="97" t="str">
        <f t="array" ref="FU158">IFERROR(IF(FO158="ac"+ISNUMBER(SEARCH("'",FT158))+FS158="","",IF(ISNUMBER(SEARCH("lw",FT158)),FG158+SUBSTITUTE(FT158,"lw+",""),MROUND(_xlfn.SWITCH(FO158,"sq",FS$7,"bn",FT$7,"dl",FU$7,"")*IF(FT158&gt;10,FT158/100,VLOOKUP(FT158,_rpe,SUBSTITUTE(FS158,"+","")+1,0)),IF(_xlfn.SWITCH(FO158,"sq",FS$7,"bn",FT$7,"dl",FU$7,"")&lt;IF(_uom="lbs",175,80),1.25,IF(_uom="lbs",5,2.5))))),"")</f>
        <v/>
      </c>
      <c s="70"/>
      <c s="63"/>
      <c s="97"/>
      <c s="44" t="str">
        <f>IFERROR(__xludf.DUMMYFUNCTION("IF(FU158=MAX(FILTER(FU$10:FU$199,LOOKUP(ROW(FO$10:FO$199),FILTER(ROW(FO$10:FO$199),FO$10:FO$199&lt;&gt;FO$9:FO$198))=LOOKUP(ROW(FO158),FILTER(ROW(FO$10:FO$199),FO$10:FO$199&lt;&gt;FO$9:FO$198)))),FV158,)"),"")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59" spans="1:259" ht="15.75">
      <c r="A159" s="63"/>
      <c s="107"/>
      <c s="65" t="str">
        <f>IFERROR(__xludf.DUMMYFUNCTION("""COMPUTED_VALUE"""),"")</f>
        <v/>
      </c>
      <c s="66">
        <f ca="1"/>
        <v>45208</v>
      </c>
      <c s="108"/>
      <c s="94"/>
      <c s="95"/>
      <c s="96"/>
      <c s="97" t="str">
        <f t="array" ref="I159">IFERROR(IF(C159="ac"+ISNUMBER(SEARCH("'",H159))+G159="","",MROUND(_xlfn.SWITCH(C159,"sq",'Personal Info'!$O$15,"bn",'Personal Info'!$S$15,"dl",'Personal Info'!$W$15,"")*IF(H159&gt;10,H159/100,VLOOKUP(H159,_rpe,SUBSTITUTE(G159,"+","")+1,0)),IF(_xlfn.SWITCH(C159:C210,"sq",'Personal Info'!$O$15,"bn",'Personal Info'!$S$15,"dl",'Personal Info'!$W$15,"")&lt;IF(_uom="lbs",175,80),1.25,IF(_uom="lbs",5,2.5)))),"")</f>
        <v/>
      </c>
      <c s="70"/>
      <c s="63"/>
      <c s="97"/>
      <c s="44" t="str">
        <f>IFERROR(__xludf.DUMMYFUNCTION("IF(I159=MAX(FILTER(I$10:I$199,LOOKUP(ROW(C$10:C$199),FILTER(ROW(C$10:C$199),C$10:C$199&lt;&gt;C$9:C$198))=LOOKUP(ROW(C159),FILTER(ROW(C$10:C$199),C$10:C$199&lt;&gt;C$9:C$198)))),J159,)"),"")</f>
        <v/>
      </c>
      <c s="42"/>
      <c s="63"/>
      <c s="64" t="str">
        <f t="shared" si="11"/>
        <v/>
      </c>
      <c s="65" t="str">
        <f>IFERROR(__xludf.DUMMYFUNCTION("""COMPUTED_VALUE"""),"")</f>
        <v/>
      </c>
      <c s="66">
        <f ca="1"/>
        <v>45215</v>
      </c>
      <c s="93" t="str">
        <f t="shared" si="12"/>
        <v/>
      </c>
      <c s="94" t="str">
        <f t="shared" si="404"/>
        <v/>
      </c>
      <c s="95" t="str">
        <f t="shared" si="406"/>
        <v/>
      </c>
      <c s="98" t="str">
        <f t="shared" si="407"/>
        <v/>
      </c>
      <c s="97" t="str">
        <f t="array" ref="W159">IFERROR(IF(Q159="ac"+ISNUMBER(SEARCH("'",V159))+U159="","",IF(ISNUMBER(SEARCH("lw",V159)),I159+SUBSTITUTE(V159,"lw+",""),MROUND(_xlfn.SWITCH(Q159,"sq",U$7,"bn",V$7,"dl",W$7,"")*IF(V159&gt;10,V159/100,VLOOKUP(V159,_rpe,SUBSTITUTE(U159,"+","")+1,0)),IF(_xlfn.SWITCH(Q159,"sq",U$7,"bn",V$7,"dl",W$7,"")&lt;IF(_uom="lbs",175,80),1.25,IF(_uom="lbs",5,2.5))))),"")</f>
        <v/>
      </c>
      <c s="70"/>
      <c s="63"/>
      <c s="97"/>
      <c s="44" t="str">
        <f>IFERROR(__xludf.DUMMYFUNCTION("IF(W159=MAX(FILTER(W$10:W$199,LOOKUP(ROW(Q$10:Q$199),FILTER(ROW(Q$10:Q$199),Q$10:Q$199&lt;&gt;Q$9:Q$198))=LOOKUP(ROW(Q159),FILTER(ROW(Q$10:Q$199),Q$10:Q$199&lt;&gt;Q$9:Q$198)))),X159,)"),"")</f>
        <v/>
      </c>
      <c s="42"/>
      <c s="63"/>
      <c s="64" t="str">
        <f t="shared" si="14"/>
        <v/>
      </c>
      <c s="65" t="str">
        <f>IFERROR(__xludf.DUMMYFUNCTION("""COMPUTED_VALUE"""),"")</f>
        <v/>
      </c>
      <c s="66">
        <f ca="1"/>
        <v>45222</v>
      </c>
      <c s="93" t="str">
        <f t="shared" si="156"/>
        <v/>
      </c>
      <c s="94" t="str">
        <f t="shared" si="397"/>
        <v/>
      </c>
      <c s="95" t="str">
        <f t="shared" si="408"/>
        <v/>
      </c>
      <c s="98" t="str">
        <f t="shared" si="398"/>
        <v/>
      </c>
      <c s="97" t="str">
        <f t="array" ref="AK159">IFERROR(IF(AE159="ac"+ISNUMBER(SEARCH("'",AJ159))+AI159="","",IF(ISNUMBER(SEARCH("lw",AJ159)),W159+SUBSTITUTE(AJ159,"lw+",""),MROUND(_xlfn.SWITCH(AE159,"sq",AI$7,"bn",AJ$7,"dl",AK$7,"")*IF(AJ159&gt;10,AJ159/100,VLOOKUP(AJ159,_rpe,SUBSTITUTE(AI159,"+","")+1,0)),IF(_xlfn.SWITCH(AE159,"sq",AI$7,"bn",AJ$7,"dl",AK$7,"")&lt;IF(_uom="lbs",175,80),1.25,IF(_uom="lbs",5,2.5))))),"")</f>
        <v/>
      </c>
      <c s="70"/>
      <c s="63"/>
      <c s="97"/>
      <c s="44" t="str">
        <f>IFERROR(__xludf.DUMMYFUNCTION("IF(AK159=MAX(FILTER(AK$10:AK$199,LOOKUP(ROW(AE$10:AE$199),FILTER(ROW(AE$10:AE$199),AE$10:AE$199&lt;&gt;AE$9:AE$198))=LOOKUP(ROW(AE159),FILTER(ROW(AE$10:AE$199),AE$10:AE$199&lt;&gt;AE$9:AE$198)))),AL159,)"),"")</f>
        <v/>
      </c>
      <c s="42"/>
      <c s="63"/>
      <c s="64" t="str">
        <f t="shared" si="17"/>
        <v/>
      </c>
      <c s="65" t="str">
        <f>IFERROR(__xludf.DUMMYFUNCTION("""COMPUTED_VALUE"""),"")</f>
        <v/>
      </c>
      <c s="66">
        <f ca="1"/>
        <v>45229</v>
      </c>
      <c s="93" t="str">
        <f t="shared" si="157"/>
        <v/>
      </c>
      <c s="94" t="str">
        <f t="shared" si="399"/>
        <v/>
      </c>
      <c s="95" t="str">
        <f t="shared" si="409"/>
        <v/>
      </c>
      <c s="98" t="str">
        <f t="shared" si="400"/>
        <v/>
      </c>
      <c s="97" t="str">
        <f t="array" ref="AY159">IFERROR(IF(AS159="ac"+ISNUMBER(SEARCH("'",AX159))+AW159="","",IF(ISNUMBER(SEARCH("lw",AX159)),AK159+SUBSTITUTE(AX159,"lw+",""),MROUND(_xlfn.SWITCH(AS159,"sq",AW$7,"bn",AX$7,"dl",AY$7,"")*IF(AX159&gt;10,AX159/100,VLOOKUP(AX159,_rpe,SUBSTITUTE(AW159,"+","")+1,0)),IF(_xlfn.SWITCH(AS159,"sq",AW$7,"bn",AX$7,"dl",AY$7,"")&lt;IF(_uom="lbs",175,80),1.25,IF(_uom="lbs",5,2.5))))),"")</f>
        <v/>
      </c>
      <c s="70"/>
      <c s="63"/>
      <c s="97"/>
      <c s="44" t="str">
        <f>IFERROR(__xludf.DUMMYFUNCTION("IF(AY159=MAX(FILTER(AY$10:AY$199,LOOKUP(ROW(AS$10:AS$199),FILTER(ROW(AS$10:AS$199),AS$10:AS$199&lt;&gt;AS$9:AS$198))=LOOKUP(ROW(AS159),FILTER(ROW(AS$10:AS$199),AS$10:AS$199&lt;&gt;AS$9:AS$198)))),AZ159,)"),"")</f>
        <v/>
      </c>
      <c s="42"/>
      <c s="63"/>
      <c s="64" t="str">
        <f t="shared" si="19"/>
        <v/>
      </c>
      <c s="65" t="str">
        <f>IFERROR(__xludf.DUMMYFUNCTION("""COMPUTED_VALUE"""),"")</f>
        <v/>
      </c>
      <c s="66">
        <f ca="1"/>
        <v>45236</v>
      </c>
      <c s="93" t="str">
        <f t="shared" si="20"/>
        <v/>
      </c>
      <c s="94" t="str">
        <f t="shared" si="425"/>
        <v/>
      </c>
      <c s="95" t="str">
        <f t="shared" si="411"/>
        <v/>
      </c>
      <c s="98" t="str">
        <f t="shared" si="412"/>
        <v/>
      </c>
      <c s="97" t="str">
        <f t="array" ref="BM159">IFERROR(IF(BG159="ac"+ISNUMBER(SEARCH("'",BL159))+BK159="","",IF(ISNUMBER(SEARCH("lw",BL159)),AY159+SUBSTITUTE(BL159,"lw+",""),MROUND(_xlfn.SWITCH(BG159,"sq",BK$7,"bn",BL$7,"dl",BM$7,"")*IF(BL159&gt;10,BL159/100,VLOOKUP(BL159,_rpe,SUBSTITUTE(BK159,"+","")+1,0)),IF(_xlfn.SWITCH(BG159,"sq",BK$7,"bn",BL$7,"dl",BM$7,"")&lt;IF(_uom="lbs",175,80),1.25,IF(_uom="lbs",5,2.5))))),"")</f>
        <v/>
      </c>
      <c s="70"/>
      <c s="63"/>
      <c s="97"/>
      <c s="44" t="str">
        <f>IFERROR(__xludf.DUMMYFUNCTION("IF(BM159=MAX(FILTER(BM$10:BM$199,LOOKUP(ROW(BG$10:BG$199),FILTER(ROW(BG$10:BG$199),BG$10:BG$199&lt;&gt;BG$9:BG$198))=LOOKUP(ROW(BG159),FILTER(ROW(BG$10:BG$199),BG$10:BG$199&lt;&gt;BG$9:BG$198)))),BN159,)"),"")</f>
        <v/>
      </c>
      <c s="42"/>
      <c s="63"/>
      <c s="64" t="str">
        <f t="shared" si="21"/>
        <v/>
      </c>
      <c s="65" t="str">
        <f>IFERROR(__xludf.DUMMYFUNCTION("""COMPUTED_VALUE"""),"")</f>
        <v/>
      </c>
      <c s="66">
        <f ca="1"/>
        <v>45243</v>
      </c>
      <c s="93" t="str">
        <f t="shared" si="22"/>
        <v/>
      </c>
      <c s="94" t="str">
        <f t="shared" si="426"/>
        <v/>
      </c>
      <c s="95" t="str">
        <f t="shared" si="414"/>
        <v/>
      </c>
      <c s="98" t="str">
        <f t="shared" si="415"/>
        <v/>
      </c>
      <c s="97" t="str">
        <f t="array" ref="CA159">IFERROR(IF(BU159="ac"+ISNUMBER(SEARCH("'",BZ159))+BY159="","",IF(ISNUMBER(SEARCH("lw",BZ159)),BM159+SUBSTITUTE(BZ159,"lw+",""),MROUND(_xlfn.SWITCH(BU159,"sq",BY$7,"bn",BZ$7,"dl",CA$7,"")*IF(BZ159&gt;10,BZ159/100,VLOOKUP(BZ159,_rpe,SUBSTITUTE(BY159,"+","")+1,0)),IF(_xlfn.SWITCH(BU159,"sq",BY$7,"bn",BZ$7,"dl",CA$7,"")&lt;IF(_uom="lbs",175,80),1.25,IF(_uom="lbs",5,2.5))))),"")</f>
        <v/>
      </c>
      <c s="70"/>
      <c s="63"/>
      <c s="97"/>
      <c s="44" t="str">
        <f>IFERROR(__xludf.DUMMYFUNCTION("IF(CA159=MAX(FILTER(CA$10:CA$199,LOOKUP(ROW(BU$10:BU$199),FILTER(ROW(BU$10:BU$199),BU$10:BU$199&lt;&gt;BU$9:BU$198))=LOOKUP(ROW(BU159),FILTER(ROW(BU$10:BU$199),BU$10:BU$199&lt;&gt;BU$9:BU$198)))),CB159,)"),"")</f>
        <v/>
      </c>
      <c s="42"/>
      <c s="63"/>
      <c s="64" t="str">
        <f t="shared" si="24"/>
        <v/>
      </c>
      <c s="65" t="str">
        <f>IFERROR(__xludf.DUMMYFUNCTION("""COMPUTED_VALUE"""),"")</f>
        <v/>
      </c>
      <c s="66">
        <f ca="1"/>
        <v>45250</v>
      </c>
      <c s="93" t="str">
        <f t="shared" si="44"/>
        <v/>
      </c>
      <c s="94" t="str">
        <f t="shared" si="392"/>
        <v/>
      </c>
      <c s="95" t="str">
        <f t="shared" si="416"/>
        <v/>
      </c>
      <c s="98" t="str">
        <f t="shared" si="417"/>
        <v/>
      </c>
      <c s="97" t="str">
        <f t="array" ref="CO159">IFERROR(IF(CI159="ac"+ISNUMBER(SEARCH("'",CN159))+CM159="","",IF(ISNUMBER(SEARCH("lw",CN159)),CA159+SUBSTITUTE(CN159,"lw+",""),MROUND(_xlfn.SWITCH(CI159,"sq",CM$7,"bn",CN$7,"dl",CO$7,"")*IF(CN159&gt;10,CN159/100,VLOOKUP(CN159,_rpe,SUBSTITUTE(CM159,"+","")+1,0)),IF(_xlfn.SWITCH(CI159,"sq",CM$7,"bn",CN$7,"dl",CO$7,"")&lt;IF(_uom="lbs",175,80),1.25,IF(_uom="lbs",5,2.5))))),"")</f>
        <v/>
      </c>
      <c s="70"/>
      <c s="63"/>
      <c s="97"/>
      <c s="44" t="str">
        <f>IFERROR(__xludf.DUMMYFUNCTION("IF(CO159=MAX(FILTER(CO$10:CO$199,LOOKUP(ROW(CI$10:CI$199),FILTER(ROW(CI$10:CI$199),CI$10:CI$199&lt;&gt;CI$9:CI$198))=LOOKUP(ROW(CI159),FILTER(ROW(CI$10:CI$199),CI$10:CI$199&lt;&gt;CI$9:CI$198)))),CP159,)"),"")</f>
        <v/>
      </c>
      <c s="42"/>
      <c s="63"/>
      <c s="64" t="str">
        <f t="shared" si="27"/>
        <v/>
      </c>
      <c s="65" t="str">
        <f>IFERROR(__xludf.DUMMYFUNCTION("""COMPUTED_VALUE"""),"")</f>
        <v/>
      </c>
      <c s="66">
        <f ca="1"/>
        <v>45257</v>
      </c>
      <c s="93" t="str">
        <f t="shared" si="45"/>
        <v/>
      </c>
      <c s="94" t="str">
        <f t="shared" si="393"/>
        <v/>
      </c>
      <c s="95" t="str">
        <f t="shared" si="418"/>
        <v/>
      </c>
      <c s="98" t="str">
        <f t="shared" si="401"/>
        <v/>
      </c>
      <c s="97" t="str">
        <f t="array" ref="DC159">IFERROR(IF(CW159="ac"+ISNUMBER(SEARCH("'",DB159))+DA159="","",IF(ISNUMBER(SEARCH("lw",DB159)),CO159+SUBSTITUTE(DB159,"lw+",""),MROUND(_xlfn.SWITCH(CW159,"sq",DA$7,"bn",DB$7,"dl",DC$7,"")*IF(DB159&gt;10,DB159/100,VLOOKUP(DB159,_rpe,SUBSTITUTE(DA159,"+","")+1,0)),IF(_xlfn.SWITCH(CW159,"sq",DA$7,"bn",DB$7,"dl",DC$7,"")&lt;IF(_uom="lbs",175,80),1.25,IF(_uom="lbs",5,2.5))))),"")</f>
        <v/>
      </c>
      <c s="70"/>
      <c s="63"/>
      <c s="97"/>
      <c s="44" t="str">
        <f>IFERROR(__xludf.DUMMYFUNCTION("IF(DC159=MAX(FILTER(DC$10:DC$199,LOOKUP(ROW(CW$10:CW$199),FILTER(ROW(CW$10:CW$199),CW$10:CW$199&lt;&gt;CW$9:CW$198))=LOOKUP(ROW(CW159),FILTER(ROW(CW$10:CW$199),CW$10:CW$199&lt;&gt;CW$9:CW$198)))),DD159,)"),"")</f>
        <v/>
      </c>
      <c s="42"/>
      <c s="63"/>
      <c s="64" t="str">
        <f t="shared" si="30"/>
        <v/>
      </c>
      <c s="65" t="str">
        <f>IFERROR(__xludf.DUMMYFUNCTION("""COMPUTED_VALUE"""),"")</f>
        <v/>
      </c>
      <c s="66">
        <f ca="1"/>
        <v>45264</v>
      </c>
      <c s="93" t="str">
        <f t="shared" si="46"/>
        <v/>
      </c>
      <c s="94" t="str">
        <f t="shared" si="394"/>
        <v/>
      </c>
      <c s="95" t="str">
        <f t="shared" si="419"/>
        <v/>
      </c>
      <c s="98" t="str">
        <f t="shared" si="420"/>
        <v/>
      </c>
      <c s="97" t="str">
        <f t="array" ref="DQ159">IFERROR(IF(DK159="ac"+ISNUMBER(SEARCH("'",DP159))+DO159="","",IF(ISNUMBER(SEARCH("lw",DP159)),DC159+SUBSTITUTE(DP159,"lw+",""),MROUND(_xlfn.SWITCH(DK159,"sq",DO$7,"bn",DP$7,"dl",DQ$7,"")*IF(DP159&gt;10,DP159/100,VLOOKUP(DP159,_rpe,SUBSTITUTE(DO159,"+","")+1,0)),IF(_xlfn.SWITCH(DK159,"sq",DO$7,"bn",DP$7,"dl",DQ$7,"")&lt;IF(_uom="lbs",175,80),1.25,IF(_uom="lbs",5,2.5))))),"")</f>
        <v/>
      </c>
      <c s="70"/>
      <c s="63"/>
      <c s="97"/>
      <c s="44" t="str">
        <f>IFERROR(__xludf.DUMMYFUNCTION("IF(DQ159=MAX(FILTER(DQ$10:DQ$199,LOOKUP(ROW(DK$10:DK$199),FILTER(ROW(DK$10:DK$199),DK$10:DK$199&lt;&gt;DK$9:DK$198))=LOOKUP(ROW(DK159),FILTER(ROW(DK$10:DK$199),DK$10:DK$199&lt;&gt;DK$9:DK$198)))),DR159,)"),"")</f>
        <v/>
      </c>
      <c s="42"/>
      <c s="63"/>
      <c s="64" t="str">
        <f t="shared" si="32"/>
        <v/>
      </c>
      <c s="65" t="str">
        <f>IFERROR(__xludf.DUMMYFUNCTION("""COMPUTED_VALUE"""),"")</f>
        <v/>
      </c>
      <c s="66">
        <f ca="1"/>
        <v>45271</v>
      </c>
      <c s="93" t="str">
        <f t="shared" si="47"/>
        <v/>
      </c>
      <c s="94" t="str">
        <f t="shared" si="405"/>
        <v/>
      </c>
      <c s="95" t="str">
        <f t="shared" si="421"/>
        <v/>
      </c>
      <c s="98" t="str">
        <f t="shared" si="422"/>
        <v/>
      </c>
      <c s="97" t="str">
        <f t="array" ref="EE159">IFERROR(IF(DY159="ac"+ISNUMBER(SEARCH("'",ED159))+EC159="","",IF(ISNUMBER(SEARCH("lw",ED159)),DQ159+SUBSTITUTE(ED159,"lw+",""),MROUND(_xlfn.SWITCH(DY159,"sq",EC$7,"bn",ED$7,"dl",EE$7,"")*IF(ED159&gt;10,ED159/100,VLOOKUP(ED159,_rpe,SUBSTITUTE(EC159,"+","")+1,0)),IF(_xlfn.SWITCH(DY159,"sq",EC$7,"bn",ED$7,"dl",EE$7,"")&lt;IF(_uom="lbs",175,80),1.25,IF(_uom="lbs",5,2.5))))),"")</f>
        <v/>
      </c>
      <c s="70"/>
      <c s="63"/>
      <c s="97"/>
      <c s="44" t="str">
        <f>IFERROR(__xludf.DUMMYFUNCTION("IF(EE159=MAX(FILTER(EE$10:EE$199,LOOKUP(ROW(DY$10:DY$199),FILTER(ROW(DY$10:DY$199),DY$10:DY$199&lt;&gt;DY$9:DY$198))=LOOKUP(ROW(DY159),FILTER(ROW(DY$10:DY$199),DY$10:DY$199&lt;&gt;DY$9:DY$198)))),EF159,)"),"")</f>
        <v/>
      </c>
      <c s="42"/>
      <c s="63"/>
      <c s="64" t="str">
        <f t="shared" si="34"/>
        <v/>
      </c>
      <c s="65" t="str">
        <f>IFERROR(__xludf.DUMMYFUNCTION("""COMPUTED_VALUE"""),"")</f>
        <v/>
      </c>
      <c s="66">
        <f ca="1"/>
        <v>45278</v>
      </c>
      <c s="93" t="str">
        <f t="shared" si="48"/>
        <v/>
      </c>
      <c s="94" t="str">
        <f t="shared" si="395"/>
        <v/>
      </c>
      <c s="95" t="str">
        <f t="shared" si="423"/>
        <v/>
      </c>
      <c s="98" t="str">
        <f t="shared" si="402"/>
        <v/>
      </c>
      <c s="97" t="str">
        <f t="array" ref="ES159">IFERROR(IF(EM159="ac"+ISNUMBER(SEARCH("'",ER159))+EQ159="","",IF(ISNUMBER(SEARCH("lw",ER159)),EE159+SUBSTITUTE(ER159,"lw+",""),MROUND(_xlfn.SWITCH(EM159,"sq",EQ$7,"bn",ER$7,"dl",ES$7,"")*IF(ER159&gt;10,ER159/100,VLOOKUP(ER159,_rpe,SUBSTITUTE(EQ159,"+","")+1,0)),IF(_xlfn.SWITCH(EM159,"sq",EQ$7,"bn",ER$7,"dl",ES$7,"")&lt;IF(_uom="lbs",175,80),1.25,IF(_uom="lbs",5,2.5))))),"")</f>
        <v/>
      </c>
      <c s="70"/>
      <c s="63"/>
      <c s="97"/>
      <c s="44" t="str">
        <f>IFERROR(__xludf.DUMMYFUNCTION("IF(ES159=MAX(FILTER(ES$10:ES$199,LOOKUP(ROW(EM$10:EM$199),FILTER(ROW(EM$10:EM$199),EM$10:EM$199&lt;&gt;EM$9:EM$198))=LOOKUP(ROW(EM159),FILTER(ROW(EM$10:EM$199),EM$10:EM$199&lt;&gt;EM$9:EM$198)))),ET159,)"),"")</f>
        <v/>
      </c>
      <c s="42"/>
      <c s="63"/>
      <c s="64" t="str">
        <f t="shared" si="36"/>
        <v/>
      </c>
      <c s="65" t="str">
        <f>IFERROR(__xludf.DUMMYFUNCTION("""COMPUTED_VALUE"""),"")</f>
        <v/>
      </c>
      <c s="66">
        <f ca="1"/>
        <v>45285</v>
      </c>
      <c s="93" t="str">
        <f t="shared" si="49"/>
        <v/>
      </c>
      <c s="94" t="str">
        <f t="shared" si="396"/>
        <v/>
      </c>
      <c s="95" t="str">
        <f t="shared" si="424"/>
        <v/>
      </c>
      <c s="98" t="str">
        <f t="shared" si="403"/>
        <v/>
      </c>
      <c s="97" t="str">
        <f t="array" ref="FG159">IFERROR(IF(FA159="ac"+ISNUMBER(SEARCH("'",FF159))+FE159="","",IF(ISNUMBER(SEARCH("lw",FF159)),ES159+SUBSTITUTE(FF159,"lw+",""),MROUND(_xlfn.SWITCH(FA159,"sq",FE$7,"bn",FF$7,"dl",FG$7,"")*IF(FF159&gt;10,FF159/100,VLOOKUP(FF159,_rpe,SUBSTITUTE(FE159,"+","")+1,0)),IF(_xlfn.SWITCH(FA159,"sq",FE$7,"bn",FF$7,"dl",FG$7,"")&lt;IF(_uom="lbs",175,80),1.25,IF(_uom="lbs",5,2.5))))),"")</f>
        <v/>
      </c>
      <c s="70"/>
      <c s="63"/>
      <c s="97"/>
      <c s="44" t="str">
        <f>IFERROR(__xludf.DUMMYFUNCTION("IF(FG159=MAX(FILTER(FG$10:FG$199,LOOKUP(ROW(FA$10:FA$199),FILTER(ROW(FA$10:FA$199),FA$10:FA$199&lt;&gt;FA$9:FA$198))=LOOKUP(ROW(FA159),FILTER(ROW(FA$10:FA$199),FA$10:FA$199&lt;&gt;FA$9:FA$198)))),FH159,)"),"")</f>
        <v/>
      </c>
      <c s="42"/>
      <c s="63"/>
      <c s="64" t="str">
        <f t="shared" si="38"/>
        <v/>
      </c>
      <c s="65" t="str">
        <f>IFERROR(__xludf.DUMMYFUNCTION("""COMPUTED_VALUE"""),"")</f>
        <v/>
      </c>
      <c s="66">
        <f ca="1"/>
        <v>45292</v>
      </c>
      <c s="93" t="str">
        <f t="shared" si="503" ref="FQ159:FR159">IF(ISBLANK(FC159),"",FC159)</f>
        <v/>
      </c>
      <c s="94" t="str">
        <f t="shared" si="503"/>
        <v/>
      </c>
      <c s="95" t="str">
        <f t="shared" si="428"/>
        <v/>
      </c>
      <c s="98" t="str">
        <f t="shared" si="429"/>
        <v/>
      </c>
      <c s="97" t="str">
        <f t="array" ref="FU159">IFERROR(IF(FO159="ac"+ISNUMBER(SEARCH("'",FT159))+FS159="","",IF(ISNUMBER(SEARCH("lw",FT159)),FG159+SUBSTITUTE(FT159,"lw+",""),MROUND(_xlfn.SWITCH(FO159,"sq",FS$7,"bn",FT$7,"dl",FU$7,"")*IF(FT159&gt;10,FT159/100,VLOOKUP(FT159,_rpe,SUBSTITUTE(FS159,"+","")+1,0)),IF(_xlfn.SWITCH(FO159,"sq",FS$7,"bn",FT$7,"dl",FU$7,"")&lt;IF(_uom="lbs",175,80),1.25,IF(_uom="lbs",5,2.5))))),"")</f>
        <v/>
      </c>
      <c s="70"/>
      <c s="63"/>
      <c s="97"/>
      <c s="44" t="str">
        <f>IFERROR(__xludf.DUMMYFUNCTION("IF(FU159=MAX(FILTER(FU$10:FU$199,LOOKUP(ROW(FO$10:FO$199),FILTER(ROW(FO$10:FO$199),FO$10:FO$199&lt;&gt;FO$9:FO$198))=LOOKUP(ROW(FO159),FILTER(ROW(FO$10:FO$199),FO$10:FO$199&lt;&gt;FO$9:FO$198)))),FV159,)"),"")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60" spans="1:259" ht="15.75">
      <c r="A160" s="63"/>
      <c s="107"/>
      <c s="65" t="str">
        <f>IFERROR(__xludf.DUMMYFUNCTION("""COMPUTED_VALUE"""),"")</f>
        <v/>
      </c>
      <c s="66">
        <f ca="1"/>
        <v>45208</v>
      </c>
      <c s="108"/>
      <c s="94"/>
      <c s="95"/>
      <c s="96"/>
      <c s="97" t="str">
        <f t="array" ref="I160">IFERROR(IF(C160="ac"+ISNUMBER(SEARCH("'",H160))+G160="","",MROUND(_xlfn.SWITCH(C160,"sq",'Personal Info'!$O$15,"bn",'Personal Info'!$S$15,"dl",'Personal Info'!$W$15,"")*IF(H160&gt;10,H160/100,VLOOKUP(H160,_rpe,SUBSTITUTE(G160,"+","")+1,0)),IF(_xlfn.SWITCH(C160:C210,"sq",'Personal Info'!$O$15,"bn",'Personal Info'!$S$15,"dl",'Personal Info'!$W$15,"")&lt;IF(_uom="lbs",175,80),1.25,IF(_uom="lbs",5,2.5)))),"")</f>
        <v/>
      </c>
      <c s="70"/>
      <c s="63"/>
      <c s="97"/>
      <c s="44" t="str">
        <f>IFERROR(__xludf.DUMMYFUNCTION("IF(I160=MAX(FILTER(I$10:I$199,LOOKUP(ROW(C$10:C$199),FILTER(ROW(C$10:C$199),C$10:C$199&lt;&gt;C$9:C$198))=LOOKUP(ROW(C160),FILTER(ROW(C$10:C$199),C$10:C$199&lt;&gt;C$9:C$198)))),J160,)"),"")</f>
        <v/>
      </c>
      <c s="42"/>
      <c s="63"/>
      <c s="64" t="str">
        <f t="shared" si="11"/>
        <v/>
      </c>
      <c s="65" t="str">
        <f>IFERROR(__xludf.DUMMYFUNCTION("""COMPUTED_VALUE"""),"")</f>
        <v/>
      </c>
      <c s="66">
        <f ca="1"/>
        <v>45215</v>
      </c>
      <c s="93" t="str">
        <f t="shared" si="12"/>
        <v/>
      </c>
      <c s="94" t="str">
        <f t="shared" si="404"/>
        <v/>
      </c>
      <c s="95" t="str">
        <f t="shared" si="406"/>
        <v/>
      </c>
      <c s="98" t="str">
        <f t="shared" si="407"/>
        <v/>
      </c>
      <c s="97" t="str">
        <f t="array" ref="W160">IFERROR(IF(Q160="ac"+ISNUMBER(SEARCH("'",V160))+U160="","",IF(ISNUMBER(SEARCH("lw",V160)),I160+SUBSTITUTE(V160,"lw+",""),MROUND(_xlfn.SWITCH(Q160,"sq",U$7,"bn",V$7,"dl",W$7,"")*IF(V160&gt;10,V160/100,VLOOKUP(V160,_rpe,SUBSTITUTE(U160,"+","")+1,0)),IF(_xlfn.SWITCH(Q160,"sq",U$7,"bn",V$7,"dl",W$7,"")&lt;IF(_uom="lbs",175,80),1.25,IF(_uom="lbs",5,2.5))))),"")</f>
        <v/>
      </c>
      <c s="70"/>
      <c s="63"/>
      <c s="97"/>
      <c s="44" t="str">
        <f>IFERROR(__xludf.DUMMYFUNCTION("IF(W160=MAX(FILTER(W$10:W$199,LOOKUP(ROW(Q$10:Q$199),FILTER(ROW(Q$10:Q$199),Q$10:Q$199&lt;&gt;Q$9:Q$198))=LOOKUP(ROW(Q160),FILTER(ROW(Q$10:Q$199),Q$10:Q$199&lt;&gt;Q$9:Q$198)))),X160,)"),"")</f>
        <v/>
      </c>
      <c s="42"/>
      <c s="63"/>
      <c s="64" t="str">
        <f t="shared" si="14"/>
        <v/>
      </c>
      <c s="65" t="str">
        <f>IFERROR(__xludf.DUMMYFUNCTION("""COMPUTED_VALUE"""),"")</f>
        <v/>
      </c>
      <c s="66">
        <f ca="1"/>
        <v>45222</v>
      </c>
      <c s="93" t="str">
        <f t="shared" si="156"/>
        <v/>
      </c>
      <c s="94" t="str">
        <f t="shared" si="397"/>
        <v/>
      </c>
      <c s="95" t="str">
        <f t="shared" si="408"/>
        <v/>
      </c>
      <c s="98" t="str">
        <f t="shared" si="398"/>
        <v/>
      </c>
      <c s="97" t="str">
        <f t="array" ref="AK160">IFERROR(IF(AE160="ac"+ISNUMBER(SEARCH("'",AJ160))+AI160="","",IF(ISNUMBER(SEARCH("lw",AJ160)),W160+SUBSTITUTE(AJ160,"lw+",""),MROUND(_xlfn.SWITCH(AE160,"sq",AI$7,"bn",AJ$7,"dl",AK$7,"")*IF(AJ160&gt;10,AJ160/100,VLOOKUP(AJ160,_rpe,SUBSTITUTE(AI160,"+","")+1,0)),IF(_xlfn.SWITCH(AE160,"sq",AI$7,"bn",AJ$7,"dl",AK$7,"")&lt;IF(_uom="lbs",175,80),1.25,IF(_uom="lbs",5,2.5))))),"")</f>
        <v/>
      </c>
      <c s="70"/>
      <c s="63"/>
      <c s="97"/>
      <c s="44" t="str">
        <f>IFERROR(__xludf.DUMMYFUNCTION("IF(AK160=MAX(FILTER(AK$10:AK$199,LOOKUP(ROW(AE$10:AE$199),FILTER(ROW(AE$10:AE$199),AE$10:AE$199&lt;&gt;AE$9:AE$198))=LOOKUP(ROW(AE160),FILTER(ROW(AE$10:AE$199),AE$10:AE$199&lt;&gt;AE$9:AE$198)))),AL160,)"),"")</f>
        <v/>
      </c>
      <c s="42"/>
      <c s="63"/>
      <c s="64" t="str">
        <f t="shared" si="17"/>
        <v/>
      </c>
      <c s="65" t="str">
        <f>IFERROR(__xludf.DUMMYFUNCTION("""COMPUTED_VALUE"""),"")</f>
        <v/>
      </c>
      <c s="66">
        <f ca="1"/>
        <v>45229</v>
      </c>
      <c s="93" t="str">
        <f t="shared" si="157"/>
        <v/>
      </c>
      <c s="94" t="str">
        <f t="shared" si="399"/>
        <v/>
      </c>
      <c s="95" t="str">
        <f t="shared" si="409"/>
        <v/>
      </c>
      <c s="98" t="str">
        <f t="shared" si="400"/>
        <v/>
      </c>
      <c s="97" t="str">
        <f t="array" ref="AY160">IFERROR(IF(AS160="ac"+ISNUMBER(SEARCH("'",AX160))+AW160="","",IF(ISNUMBER(SEARCH("lw",AX160)),AK160+SUBSTITUTE(AX160,"lw+",""),MROUND(_xlfn.SWITCH(AS160,"sq",AW$7,"bn",AX$7,"dl",AY$7,"")*IF(AX160&gt;10,AX160/100,VLOOKUP(AX160,_rpe,SUBSTITUTE(AW160,"+","")+1,0)),IF(_xlfn.SWITCH(AS160,"sq",AW$7,"bn",AX$7,"dl",AY$7,"")&lt;IF(_uom="lbs",175,80),1.25,IF(_uom="lbs",5,2.5))))),"")</f>
        <v/>
      </c>
      <c s="70"/>
      <c s="63"/>
      <c s="97"/>
      <c s="44" t="str">
        <f>IFERROR(__xludf.DUMMYFUNCTION("IF(AY160=MAX(FILTER(AY$10:AY$199,LOOKUP(ROW(AS$10:AS$199),FILTER(ROW(AS$10:AS$199),AS$10:AS$199&lt;&gt;AS$9:AS$198))=LOOKUP(ROW(AS160),FILTER(ROW(AS$10:AS$199),AS$10:AS$199&lt;&gt;AS$9:AS$198)))),AZ160,)"),"")</f>
        <v/>
      </c>
      <c s="42"/>
      <c s="63"/>
      <c s="64" t="str">
        <f t="shared" si="19"/>
        <v/>
      </c>
      <c s="65" t="str">
        <f>IFERROR(__xludf.DUMMYFUNCTION("""COMPUTED_VALUE"""),"")</f>
        <v/>
      </c>
      <c s="66">
        <f ca="1"/>
        <v>45236</v>
      </c>
      <c s="93" t="str">
        <f t="shared" si="20"/>
        <v/>
      </c>
      <c s="94" t="str">
        <f t="shared" si="425"/>
        <v/>
      </c>
      <c s="95" t="str">
        <f t="shared" si="411"/>
        <v/>
      </c>
      <c s="98" t="str">
        <f t="shared" si="412"/>
        <v/>
      </c>
      <c s="97" t="str">
        <f t="array" ref="BM160">IFERROR(IF(BG160="ac"+ISNUMBER(SEARCH("'",BL160))+BK160="","",IF(ISNUMBER(SEARCH("lw",BL160)),AY160+SUBSTITUTE(BL160,"lw+",""),MROUND(_xlfn.SWITCH(BG160,"sq",BK$7,"bn",BL$7,"dl",BM$7,"")*IF(BL160&gt;10,BL160/100,VLOOKUP(BL160,_rpe,SUBSTITUTE(BK160,"+","")+1,0)),IF(_xlfn.SWITCH(BG160,"sq",BK$7,"bn",BL$7,"dl",BM$7,"")&lt;IF(_uom="lbs",175,80),1.25,IF(_uom="lbs",5,2.5))))),"")</f>
        <v/>
      </c>
      <c s="70"/>
      <c s="63"/>
      <c s="97"/>
      <c s="44" t="str">
        <f>IFERROR(__xludf.DUMMYFUNCTION("IF(BM160=MAX(FILTER(BM$10:BM$199,LOOKUP(ROW(BG$10:BG$199),FILTER(ROW(BG$10:BG$199),BG$10:BG$199&lt;&gt;BG$9:BG$198))=LOOKUP(ROW(BG160),FILTER(ROW(BG$10:BG$199),BG$10:BG$199&lt;&gt;BG$9:BG$198)))),BN160,)"),"")</f>
        <v/>
      </c>
      <c s="42"/>
      <c s="63"/>
      <c s="64" t="str">
        <f t="shared" si="21"/>
        <v/>
      </c>
      <c s="65" t="str">
        <f>IFERROR(__xludf.DUMMYFUNCTION("""COMPUTED_VALUE"""),"")</f>
        <v/>
      </c>
      <c s="66">
        <f ca="1"/>
        <v>45243</v>
      </c>
      <c s="93" t="str">
        <f t="shared" si="22"/>
        <v/>
      </c>
      <c s="94" t="str">
        <f t="shared" si="426"/>
        <v/>
      </c>
      <c s="95" t="str">
        <f t="shared" si="414"/>
        <v/>
      </c>
      <c s="98" t="str">
        <f t="shared" si="415"/>
        <v/>
      </c>
      <c s="97" t="str">
        <f t="array" ref="CA160">IFERROR(IF(BU160="ac"+ISNUMBER(SEARCH("'",BZ160))+BY160="","",IF(ISNUMBER(SEARCH("lw",BZ160)),BM160+SUBSTITUTE(BZ160,"lw+",""),MROUND(_xlfn.SWITCH(BU160,"sq",BY$7,"bn",BZ$7,"dl",CA$7,"")*IF(BZ160&gt;10,BZ160/100,VLOOKUP(BZ160,_rpe,SUBSTITUTE(BY160,"+","")+1,0)),IF(_xlfn.SWITCH(BU160,"sq",BY$7,"bn",BZ$7,"dl",CA$7,"")&lt;IF(_uom="lbs",175,80),1.25,IF(_uom="lbs",5,2.5))))),"")</f>
        <v/>
      </c>
      <c s="70"/>
      <c s="63"/>
      <c s="97"/>
      <c s="44" t="str">
        <f>IFERROR(__xludf.DUMMYFUNCTION("IF(CA160=MAX(FILTER(CA$10:CA$199,LOOKUP(ROW(BU$10:BU$199),FILTER(ROW(BU$10:BU$199),BU$10:BU$199&lt;&gt;BU$9:BU$198))=LOOKUP(ROW(BU160),FILTER(ROW(BU$10:BU$199),BU$10:BU$199&lt;&gt;BU$9:BU$198)))),CB160,)"),"")</f>
        <v/>
      </c>
      <c s="42"/>
      <c s="63"/>
      <c s="64" t="str">
        <f t="shared" si="24"/>
        <v/>
      </c>
      <c s="65" t="str">
        <f>IFERROR(__xludf.DUMMYFUNCTION("""COMPUTED_VALUE"""),"")</f>
        <v/>
      </c>
      <c s="66">
        <f ca="1"/>
        <v>45250</v>
      </c>
      <c s="93" t="str">
        <f t="shared" si="44"/>
        <v/>
      </c>
      <c s="94" t="str">
        <f t="shared" si="392"/>
        <v/>
      </c>
      <c s="95" t="str">
        <f t="shared" si="416"/>
        <v/>
      </c>
      <c s="98" t="str">
        <f t="shared" si="417"/>
        <v/>
      </c>
      <c s="97" t="str">
        <f t="array" ref="CO160">IFERROR(IF(CI160="ac"+ISNUMBER(SEARCH("'",CN160))+CM160="","",IF(ISNUMBER(SEARCH("lw",CN160)),CA160+SUBSTITUTE(CN160,"lw+",""),MROUND(_xlfn.SWITCH(CI160,"sq",CM$7,"bn",CN$7,"dl",CO$7,"")*IF(CN160&gt;10,CN160/100,VLOOKUP(CN160,_rpe,SUBSTITUTE(CM160,"+","")+1,0)),IF(_xlfn.SWITCH(CI160,"sq",CM$7,"bn",CN$7,"dl",CO$7,"")&lt;IF(_uom="lbs",175,80),1.25,IF(_uom="lbs",5,2.5))))),"")</f>
        <v/>
      </c>
      <c s="70"/>
      <c s="63"/>
      <c s="97"/>
      <c s="44" t="str">
        <f>IFERROR(__xludf.DUMMYFUNCTION("IF(CO160=MAX(FILTER(CO$10:CO$199,LOOKUP(ROW(CI$10:CI$199),FILTER(ROW(CI$10:CI$199),CI$10:CI$199&lt;&gt;CI$9:CI$198))=LOOKUP(ROW(CI160),FILTER(ROW(CI$10:CI$199),CI$10:CI$199&lt;&gt;CI$9:CI$198)))),CP160,)"),"")</f>
        <v/>
      </c>
      <c s="42"/>
      <c s="63"/>
      <c s="64" t="str">
        <f t="shared" si="27"/>
        <v/>
      </c>
      <c s="65" t="str">
        <f>IFERROR(__xludf.DUMMYFUNCTION("""COMPUTED_VALUE"""),"")</f>
        <v/>
      </c>
      <c s="66">
        <f ca="1"/>
        <v>45257</v>
      </c>
      <c s="93" t="str">
        <f t="shared" si="45"/>
        <v/>
      </c>
      <c s="94" t="str">
        <f t="shared" si="393"/>
        <v/>
      </c>
      <c s="95" t="str">
        <f t="shared" si="418"/>
        <v/>
      </c>
      <c s="98" t="str">
        <f t="shared" si="401"/>
        <v/>
      </c>
      <c s="97" t="str">
        <f t="array" ref="DC160">IFERROR(IF(CW160="ac"+ISNUMBER(SEARCH("'",DB160))+DA160="","",IF(ISNUMBER(SEARCH("lw",DB160)),CO160+SUBSTITUTE(DB160,"lw+",""),MROUND(_xlfn.SWITCH(CW160,"sq",DA$7,"bn",DB$7,"dl",DC$7,"")*IF(DB160&gt;10,DB160/100,VLOOKUP(DB160,_rpe,SUBSTITUTE(DA160,"+","")+1,0)),IF(_xlfn.SWITCH(CW160,"sq",DA$7,"bn",DB$7,"dl",DC$7,"")&lt;IF(_uom="lbs",175,80),1.25,IF(_uom="lbs",5,2.5))))),"")</f>
        <v/>
      </c>
      <c s="70"/>
      <c s="63"/>
      <c s="97"/>
      <c s="44" t="str">
        <f>IFERROR(__xludf.DUMMYFUNCTION("IF(DC160=MAX(FILTER(DC$10:DC$199,LOOKUP(ROW(CW$10:CW$199),FILTER(ROW(CW$10:CW$199),CW$10:CW$199&lt;&gt;CW$9:CW$198))=LOOKUP(ROW(CW160),FILTER(ROW(CW$10:CW$199),CW$10:CW$199&lt;&gt;CW$9:CW$198)))),DD160,)"),"")</f>
        <v/>
      </c>
      <c s="42"/>
      <c s="63"/>
      <c s="64" t="str">
        <f t="shared" si="30"/>
        <v/>
      </c>
      <c s="65" t="str">
        <f>IFERROR(__xludf.DUMMYFUNCTION("""COMPUTED_VALUE"""),"")</f>
        <v/>
      </c>
      <c s="66">
        <f ca="1"/>
        <v>45264</v>
      </c>
      <c s="93" t="str">
        <f t="shared" si="46"/>
        <v/>
      </c>
      <c s="94" t="str">
        <f t="shared" si="394"/>
        <v/>
      </c>
      <c s="95" t="str">
        <f t="shared" si="419"/>
        <v/>
      </c>
      <c s="98" t="str">
        <f t="shared" si="420"/>
        <v/>
      </c>
      <c s="97" t="str">
        <f t="array" ref="DQ160">IFERROR(IF(DK160="ac"+ISNUMBER(SEARCH("'",DP160))+DO160="","",IF(ISNUMBER(SEARCH("lw",DP160)),DC160+SUBSTITUTE(DP160,"lw+",""),MROUND(_xlfn.SWITCH(DK160,"sq",DO$7,"bn",DP$7,"dl",DQ$7,"")*IF(DP160&gt;10,DP160/100,VLOOKUP(DP160,_rpe,SUBSTITUTE(DO160,"+","")+1,0)),IF(_xlfn.SWITCH(DK160,"sq",DO$7,"bn",DP$7,"dl",DQ$7,"")&lt;IF(_uom="lbs",175,80),1.25,IF(_uom="lbs",5,2.5))))),"")</f>
        <v/>
      </c>
      <c s="70"/>
      <c s="63"/>
      <c s="97"/>
      <c s="44" t="str">
        <f>IFERROR(__xludf.DUMMYFUNCTION("IF(DQ160=MAX(FILTER(DQ$10:DQ$199,LOOKUP(ROW(DK$10:DK$199),FILTER(ROW(DK$10:DK$199),DK$10:DK$199&lt;&gt;DK$9:DK$198))=LOOKUP(ROW(DK160),FILTER(ROW(DK$10:DK$199),DK$10:DK$199&lt;&gt;DK$9:DK$198)))),DR160,)"),"")</f>
        <v/>
      </c>
      <c s="42"/>
      <c s="63"/>
      <c s="64" t="str">
        <f t="shared" si="32"/>
        <v/>
      </c>
      <c s="65" t="str">
        <f>IFERROR(__xludf.DUMMYFUNCTION("""COMPUTED_VALUE"""),"")</f>
        <v/>
      </c>
      <c s="66">
        <f ca="1"/>
        <v>45271</v>
      </c>
      <c s="93" t="str">
        <f t="shared" si="47"/>
        <v/>
      </c>
      <c s="94" t="str">
        <f t="shared" si="405"/>
        <v/>
      </c>
      <c s="95" t="str">
        <f t="shared" si="421"/>
        <v/>
      </c>
      <c s="98" t="str">
        <f t="shared" si="422"/>
        <v/>
      </c>
      <c s="97" t="str">
        <f t="array" ref="EE160">IFERROR(IF(DY160="ac"+ISNUMBER(SEARCH("'",ED160))+EC160="","",IF(ISNUMBER(SEARCH("lw",ED160)),DQ160+SUBSTITUTE(ED160,"lw+",""),MROUND(_xlfn.SWITCH(DY160,"sq",EC$7,"bn",ED$7,"dl",EE$7,"")*IF(ED160&gt;10,ED160/100,VLOOKUP(ED160,_rpe,SUBSTITUTE(EC160,"+","")+1,0)),IF(_xlfn.SWITCH(DY160,"sq",EC$7,"bn",ED$7,"dl",EE$7,"")&lt;IF(_uom="lbs",175,80),1.25,IF(_uom="lbs",5,2.5))))),"")</f>
        <v/>
      </c>
      <c s="70"/>
      <c s="63"/>
      <c s="97"/>
      <c s="44" t="str">
        <f>IFERROR(__xludf.DUMMYFUNCTION("IF(EE160=MAX(FILTER(EE$10:EE$199,LOOKUP(ROW(DY$10:DY$199),FILTER(ROW(DY$10:DY$199),DY$10:DY$199&lt;&gt;DY$9:DY$198))=LOOKUP(ROW(DY160),FILTER(ROW(DY$10:DY$199),DY$10:DY$199&lt;&gt;DY$9:DY$198)))),EF160,)"),"")</f>
        <v/>
      </c>
      <c s="42"/>
      <c s="63"/>
      <c s="64" t="str">
        <f t="shared" si="34"/>
        <v/>
      </c>
      <c s="65" t="str">
        <f>IFERROR(__xludf.DUMMYFUNCTION("""COMPUTED_VALUE"""),"")</f>
        <v/>
      </c>
      <c s="66">
        <f ca="1"/>
        <v>45278</v>
      </c>
      <c s="93" t="str">
        <f t="shared" si="48"/>
        <v/>
      </c>
      <c s="94" t="str">
        <f t="shared" si="395"/>
        <v/>
      </c>
      <c s="95" t="str">
        <f t="shared" si="423"/>
        <v/>
      </c>
      <c s="98" t="str">
        <f t="shared" si="402"/>
        <v/>
      </c>
      <c s="97" t="str">
        <f t="array" ref="ES160">IFERROR(IF(EM160="ac"+ISNUMBER(SEARCH("'",ER160))+EQ160="","",IF(ISNUMBER(SEARCH("lw",ER160)),EE160+SUBSTITUTE(ER160,"lw+",""),MROUND(_xlfn.SWITCH(EM160,"sq",EQ$7,"bn",ER$7,"dl",ES$7,"")*IF(ER160&gt;10,ER160/100,VLOOKUP(ER160,_rpe,SUBSTITUTE(EQ160,"+","")+1,0)),IF(_xlfn.SWITCH(EM160,"sq",EQ$7,"bn",ER$7,"dl",ES$7,"")&lt;IF(_uom="lbs",175,80),1.25,IF(_uom="lbs",5,2.5))))),"")</f>
        <v/>
      </c>
      <c s="70"/>
      <c s="63"/>
      <c s="97"/>
      <c s="44" t="str">
        <f>IFERROR(__xludf.DUMMYFUNCTION("IF(ES160=MAX(FILTER(ES$10:ES$199,LOOKUP(ROW(EM$10:EM$199),FILTER(ROW(EM$10:EM$199),EM$10:EM$199&lt;&gt;EM$9:EM$198))=LOOKUP(ROW(EM160),FILTER(ROW(EM$10:EM$199),EM$10:EM$199&lt;&gt;EM$9:EM$198)))),ET160,)"),"")</f>
        <v/>
      </c>
      <c s="42"/>
      <c s="63"/>
      <c s="64" t="str">
        <f t="shared" si="36"/>
        <v/>
      </c>
      <c s="65" t="str">
        <f>IFERROR(__xludf.DUMMYFUNCTION("""COMPUTED_VALUE"""),"")</f>
        <v/>
      </c>
      <c s="66">
        <f ca="1"/>
        <v>45285</v>
      </c>
      <c s="93" t="str">
        <f t="shared" si="49"/>
        <v/>
      </c>
      <c s="94" t="str">
        <f t="shared" si="396"/>
        <v/>
      </c>
      <c s="95" t="str">
        <f t="shared" si="424"/>
        <v/>
      </c>
      <c s="98" t="str">
        <f t="shared" si="403"/>
        <v/>
      </c>
      <c s="97" t="str">
        <f t="array" ref="FG160">IFERROR(IF(FA160="ac"+ISNUMBER(SEARCH("'",FF160))+FE160="","",IF(ISNUMBER(SEARCH("lw",FF160)),ES160+SUBSTITUTE(FF160,"lw+",""),MROUND(_xlfn.SWITCH(FA160,"sq",FE$7,"bn",FF$7,"dl",FG$7,"")*IF(FF160&gt;10,FF160/100,VLOOKUP(FF160,_rpe,SUBSTITUTE(FE160,"+","")+1,0)),IF(_xlfn.SWITCH(FA160,"sq",FE$7,"bn",FF$7,"dl",FG$7,"")&lt;IF(_uom="lbs",175,80),1.25,IF(_uom="lbs",5,2.5))))),"")</f>
        <v/>
      </c>
      <c s="70"/>
      <c s="63"/>
      <c s="97"/>
      <c s="44" t="str">
        <f>IFERROR(__xludf.DUMMYFUNCTION("IF(FG160=MAX(FILTER(FG$10:FG$199,LOOKUP(ROW(FA$10:FA$199),FILTER(ROW(FA$10:FA$199),FA$10:FA$199&lt;&gt;FA$9:FA$198))=LOOKUP(ROW(FA160),FILTER(ROW(FA$10:FA$199),FA$10:FA$199&lt;&gt;FA$9:FA$198)))),FH160,)"),"")</f>
        <v/>
      </c>
      <c s="42"/>
      <c s="63"/>
      <c s="64" t="str">
        <f t="shared" si="38"/>
        <v/>
      </c>
      <c s="65" t="str">
        <f>IFERROR(__xludf.DUMMYFUNCTION("""COMPUTED_VALUE"""),"")</f>
        <v/>
      </c>
      <c s="66">
        <f ca="1"/>
        <v>45292</v>
      </c>
      <c s="93" t="str">
        <f t="shared" si="504" ref="FQ160:FR160">IF(ISBLANK(FC160),"",FC160)</f>
        <v/>
      </c>
      <c s="94" t="str">
        <f t="shared" si="504"/>
        <v/>
      </c>
      <c s="95" t="str">
        <f t="shared" si="428"/>
        <v/>
      </c>
      <c s="98" t="str">
        <f t="shared" si="429"/>
        <v/>
      </c>
      <c s="97" t="str">
        <f t="array" ref="FU160">IFERROR(IF(FO160="ac"+ISNUMBER(SEARCH("'",FT160))+FS160="","",IF(ISNUMBER(SEARCH("lw",FT160)),FG160+SUBSTITUTE(FT160,"lw+",""),MROUND(_xlfn.SWITCH(FO160,"sq",FS$7,"bn",FT$7,"dl",FU$7,"")*IF(FT160&gt;10,FT160/100,VLOOKUP(FT160,_rpe,SUBSTITUTE(FS160,"+","")+1,0)),IF(_xlfn.SWITCH(FO160,"sq",FS$7,"bn",FT$7,"dl",FU$7,"")&lt;IF(_uom="lbs",175,80),1.25,IF(_uom="lbs",5,2.5))))),"")</f>
        <v/>
      </c>
      <c s="70"/>
      <c s="63"/>
      <c s="97"/>
      <c s="44" t="str">
        <f>IFERROR(__xludf.DUMMYFUNCTION("IF(FU160=MAX(FILTER(FU$10:FU$199,LOOKUP(ROW(FO$10:FO$199),FILTER(ROW(FO$10:FO$199),FO$10:FO$199&lt;&gt;FO$9:FO$198))=LOOKUP(ROW(FO160),FILTER(ROW(FO$10:FO$199),FO$10:FO$199&lt;&gt;FO$9:FO$198)))),FV160,)"),"")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61" spans="1:259" ht="15.75">
      <c r="A161" s="63"/>
      <c s="107"/>
      <c s="65" t="str">
        <f>IFERROR(__xludf.DUMMYFUNCTION("""COMPUTED_VALUE"""),"")</f>
        <v/>
      </c>
      <c s="66">
        <f ca="1"/>
        <v>45208</v>
      </c>
      <c s="108"/>
      <c s="94"/>
      <c s="95"/>
      <c s="96"/>
      <c s="97" t="str">
        <f t="array" ref="I161">IFERROR(IF(C161="ac"+ISNUMBER(SEARCH("'",H161))+G161="","",MROUND(_xlfn.SWITCH(C161,"sq",'Personal Info'!$O$15,"bn",'Personal Info'!$S$15,"dl",'Personal Info'!$W$15,"")*IF(H161&gt;10,H161/100,VLOOKUP(H161,_rpe,SUBSTITUTE(G161,"+","")+1,0)),IF(_xlfn.SWITCH(C161:C210,"sq",'Personal Info'!$O$15,"bn",'Personal Info'!$S$15,"dl",'Personal Info'!$W$15,"")&lt;IF(_uom="lbs",175,80),1.25,IF(_uom="lbs",5,2.5)))),"")</f>
        <v/>
      </c>
      <c s="70"/>
      <c s="63"/>
      <c s="97"/>
      <c s="44" t="str">
        <f>IFERROR(__xludf.DUMMYFUNCTION("IF(I161=MAX(FILTER(I$10:I$199,LOOKUP(ROW(C$10:C$199),FILTER(ROW(C$10:C$199),C$10:C$199&lt;&gt;C$9:C$198))=LOOKUP(ROW(C161),FILTER(ROW(C$10:C$199),C$10:C$199&lt;&gt;C$9:C$198)))),J161,)"),"")</f>
        <v/>
      </c>
      <c s="42"/>
      <c s="63"/>
      <c s="64" t="str">
        <f t="shared" si="11"/>
        <v/>
      </c>
      <c s="65" t="str">
        <f>IFERROR(__xludf.DUMMYFUNCTION("""COMPUTED_VALUE"""),"")</f>
        <v/>
      </c>
      <c s="66">
        <f ca="1"/>
        <v>45215</v>
      </c>
      <c s="93" t="str">
        <f t="shared" si="12"/>
        <v/>
      </c>
      <c s="94" t="str">
        <f t="shared" si="404"/>
        <v/>
      </c>
      <c s="95" t="str">
        <f t="shared" si="406"/>
        <v/>
      </c>
      <c s="98" t="str">
        <f t="shared" si="407"/>
        <v/>
      </c>
      <c s="97" t="str">
        <f t="array" ref="W161">IFERROR(IF(Q161="ac"+ISNUMBER(SEARCH("'",V161))+U161="","",IF(ISNUMBER(SEARCH("lw",V161)),I161+SUBSTITUTE(V161,"lw+",""),MROUND(_xlfn.SWITCH(Q161,"sq",U$7,"bn",V$7,"dl",W$7,"")*IF(V161&gt;10,V161/100,VLOOKUP(V161,_rpe,SUBSTITUTE(U161,"+","")+1,0)),IF(_xlfn.SWITCH(Q161,"sq",U$7,"bn",V$7,"dl",W$7,"")&lt;IF(_uom="lbs",175,80),1.25,IF(_uom="lbs",5,2.5))))),"")</f>
        <v/>
      </c>
      <c s="70"/>
      <c s="63"/>
      <c s="97"/>
      <c s="44" t="str">
        <f>IFERROR(__xludf.DUMMYFUNCTION("IF(W161=MAX(FILTER(W$10:W$199,LOOKUP(ROW(Q$10:Q$199),FILTER(ROW(Q$10:Q$199),Q$10:Q$199&lt;&gt;Q$9:Q$198))=LOOKUP(ROW(Q161),FILTER(ROW(Q$10:Q$199),Q$10:Q$199&lt;&gt;Q$9:Q$198)))),X161,)"),"")</f>
        <v/>
      </c>
      <c s="42"/>
      <c s="63"/>
      <c s="64" t="str">
        <f t="shared" si="14"/>
        <v/>
      </c>
      <c s="65" t="str">
        <f>IFERROR(__xludf.DUMMYFUNCTION("""COMPUTED_VALUE"""),"")</f>
        <v/>
      </c>
      <c s="66">
        <f ca="1"/>
        <v>45222</v>
      </c>
      <c s="93" t="str">
        <f t="shared" si="156"/>
        <v/>
      </c>
      <c s="94" t="str">
        <f t="shared" si="397"/>
        <v/>
      </c>
      <c s="95" t="str">
        <f t="shared" si="408"/>
        <v/>
      </c>
      <c s="98" t="str">
        <f t="shared" si="398"/>
        <v/>
      </c>
      <c s="97" t="str">
        <f t="array" ref="AK161">IFERROR(IF(AE161="ac"+ISNUMBER(SEARCH("'",AJ161))+AI161="","",IF(ISNUMBER(SEARCH("lw",AJ161)),W161+SUBSTITUTE(AJ161,"lw+",""),MROUND(_xlfn.SWITCH(AE161,"sq",AI$7,"bn",AJ$7,"dl",AK$7,"")*IF(AJ161&gt;10,AJ161/100,VLOOKUP(AJ161,_rpe,SUBSTITUTE(AI161,"+","")+1,0)),IF(_xlfn.SWITCH(AE161,"sq",AI$7,"bn",AJ$7,"dl",AK$7,"")&lt;IF(_uom="lbs",175,80),1.25,IF(_uom="lbs",5,2.5))))),"")</f>
        <v/>
      </c>
      <c s="70"/>
      <c s="63"/>
      <c s="97"/>
      <c s="44" t="str">
        <f>IFERROR(__xludf.DUMMYFUNCTION("IF(AK161=MAX(FILTER(AK$10:AK$199,LOOKUP(ROW(AE$10:AE$199),FILTER(ROW(AE$10:AE$199),AE$10:AE$199&lt;&gt;AE$9:AE$198))=LOOKUP(ROW(AE161),FILTER(ROW(AE$10:AE$199),AE$10:AE$199&lt;&gt;AE$9:AE$198)))),AL161,)"),"")</f>
        <v/>
      </c>
      <c s="42"/>
      <c s="63"/>
      <c s="64" t="str">
        <f t="shared" si="17"/>
        <v/>
      </c>
      <c s="65" t="str">
        <f>IFERROR(__xludf.DUMMYFUNCTION("""COMPUTED_VALUE"""),"")</f>
        <v/>
      </c>
      <c s="66">
        <f ca="1"/>
        <v>45229</v>
      </c>
      <c s="93" t="str">
        <f t="shared" si="157"/>
        <v/>
      </c>
      <c s="94" t="str">
        <f t="shared" si="399"/>
        <v/>
      </c>
      <c s="95" t="str">
        <f t="shared" si="409"/>
        <v/>
      </c>
      <c s="98" t="str">
        <f t="shared" si="400"/>
        <v/>
      </c>
      <c s="97" t="str">
        <f t="array" ref="AY161">IFERROR(IF(AS161="ac"+ISNUMBER(SEARCH("'",AX161))+AW161="","",IF(ISNUMBER(SEARCH("lw",AX161)),AK161+SUBSTITUTE(AX161,"lw+",""),MROUND(_xlfn.SWITCH(AS161,"sq",AW$7,"bn",AX$7,"dl",AY$7,"")*IF(AX161&gt;10,AX161/100,VLOOKUP(AX161,_rpe,SUBSTITUTE(AW161,"+","")+1,0)),IF(_xlfn.SWITCH(AS161,"sq",AW$7,"bn",AX$7,"dl",AY$7,"")&lt;IF(_uom="lbs",175,80),1.25,IF(_uom="lbs",5,2.5))))),"")</f>
        <v/>
      </c>
      <c s="70"/>
      <c s="63"/>
      <c s="97"/>
      <c s="44" t="str">
        <f>IFERROR(__xludf.DUMMYFUNCTION("IF(AY161=MAX(FILTER(AY$10:AY$199,LOOKUP(ROW(AS$10:AS$199),FILTER(ROW(AS$10:AS$199),AS$10:AS$199&lt;&gt;AS$9:AS$198))=LOOKUP(ROW(AS161),FILTER(ROW(AS$10:AS$199),AS$10:AS$199&lt;&gt;AS$9:AS$198)))),AZ161,)"),"")</f>
        <v/>
      </c>
      <c s="42"/>
      <c s="63"/>
      <c s="64" t="str">
        <f t="shared" si="19"/>
        <v/>
      </c>
      <c s="65" t="str">
        <f>IFERROR(__xludf.DUMMYFUNCTION("""COMPUTED_VALUE"""),"")</f>
        <v/>
      </c>
      <c s="66">
        <f ca="1"/>
        <v>45236</v>
      </c>
      <c s="93" t="str">
        <f t="shared" si="20"/>
        <v/>
      </c>
      <c s="94" t="str">
        <f t="shared" si="425"/>
        <v/>
      </c>
      <c s="95" t="str">
        <f t="shared" si="411"/>
        <v/>
      </c>
      <c s="98" t="str">
        <f t="shared" si="412"/>
        <v/>
      </c>
      <c s="97" t="str">
        <f t="array" ref="BM161">IFERROR(IF(BG161="ac"+ISNUMBER(SEARCH("'",BL161))+BK161="","",IF(ISNUMBER(SEARCH("lw",BL161)),AY161+SUBSTITUTE(BL161,"lw+",""),MROUND(_xlfn.SWITCH(BG161,"sq",BK$7,"bn",BL$7,"dl",BM$7,"")*IF(BL161&gt;10,BL161/100,VLOOKUP(BL161,_rpe,SUBSTITUTE(BK161,"+","")+1,0)),IF(_xlfn.SWITCH(BG161,"sq",BK$7,"bn",BL$7,"dl",BM$7,"")&lt;IF(_uom="lbs",175,80),1.25,IF(_uom="lbs",5,2.5))))),"")</f>
        <v/>
      </c>
      <c s="70"/>
      <c s="63"/>
      <c s="97"/>
      <c s="44" t="str">
        <f>IFERROR(__xludf.DUMMYFUNCTION("IF(BM161=MAX(FILTER(BM$10:BM$199,LOOKUP(ROW(BG$10:BG$199),FILTER(ROW(BG$10:BG$199),BG$10:BG$199&lt;&gt;BG$9:BG$198))=LOOKUP(ROW(BG161),FILTER(ROW(BG$10:BG$199),BG$10:BG$199&lt;&gt;BG$9:BG$198)))),BN161,)"),"")</f>
        <v/>
      </c>
      <c s="42"/>
      <c s="63"/>
      <c s="64" t="str">
        <f t="shared" si="21"/>
        <v/>
      </c>
      <c s="65" t="str">
        <f>IFERROR(__xludf.DUMMYFUNCTION("""COMPUTED_VALUE"""),"")</f>
        <v/>
      </c>
      <c s="66">
        <f ca="1"/>
        <v>45243</v>
      </c>
      <c s="93" t="str">
        <f t="shared" si="22"/>
        <v/>
      </c>
      <c s="94" t="str">
        <f t="shared" si="426"/>
        <v/>
      </c>
      <c s="95" t="str">
        <f t="shared" si="414"/>
        <v/>
      </c>
      <c s="98" t="str">
        <f t="shared" si="415"/>
        <v/>
      </c>
      <c s="97" t="str">
        <f t="array" ref="CA161">IFERROR(IF(BU161="ac"+ISNUMBER(SEARCH("'",BZ161))+BY161="","",IF(ISNUMBER(SEARCH("lw",BZ161)),BM161+SUBSTITUTE(BZ161,"lw+",""),MROUND(_xlfn.SWITCH(BU161,"sq",BY$7,"bn",BZ$7,"dl",CA$7,"")*IF(BZ161&gt;10,BZ161/100,VLOOKUP(BZ161,_rpe,SUBSTITUTE(BY161,"+","")+1,0)),IF(_xlfn.SWITCH(BU161,"sq",BY$7,"bn",BZ$7,"dl",CA$7,"")&lt;IF(_uom="lbs",175,80),1.25,IF(_uom="lbs",5,2.5))))),"")</f>
        <v/>
      </c>
      <c s="70"/>
      <c s="63"/>
      <c s="97"/>
      <c s="44" t="str">
        <f>IFERROR(__xludf.DUMMYFUNCTION("IF(CA161=MAX(FILTER(CA$10:CA$199,LOOKUP(ROW(BU$10:BU$199),FILTER(ROW(BU$10:BU$199),BU$10:BU$199&lt;&gt;BU$9:BU$198))=LOOKUP(ROW(BU161),FILTER(ROW(BU$10:BU$199),BU$10:BU$199&lt;&gt;BU$9:BU$198)))),CB161,)"),"")</f>
        <v/>
      </c>
      <c s="42"/>
      <c s="63"/>
      <c s="64" t="str">
        <f t="shared" si="24"/>
        <v/>
      </c>
      <c s="65" t="str">
        <f>IFERROR(__xludf.DUMMYFUNCTION("""COMPUTED_VALUE"""),"")</f>
        <v/>
      </c>
      <c s="66">
        <f ca="1"/>
        <v>45250</v>
      </c>
      <c s="93" t="str">
        <f t="shared" si="44"/>
        <v/>
      </c>
      <c s="94" t="str">
        <f t="shared" si="392"/>
        <v/>
      </c>
      <c s="95" t="str">
        <f t="shared" si="416"/>
        <v/>
      </c>
      <c s="98" t="str">
        <f t="shared" si="417"/>
        <v/>
      </c>
      <c s="97" t="str">
        <f t="array" ref="CO161">IFERROR(IF(CI161="ac"+ISNUMBER(SEARCH("'",CN161))+CM161="","",IF(ISNUMBER(SEARCH("lw",CN161)),CA161+SUBSTITUTE(CN161,"lw+",""),MROUND(_xlfn.SWITCH(CI161,"sq",CM$7,"bn",CN$7,"dl",CO$7,"")*IF(CN161&gt;10,CN161/100,VLOOKUP(CN161,_rpe,SUBSTITUTE(CM161,"+","")+1,0)),IF(_xlfn.SWITCH(CI161,"sq",CM$7,"bn",CN$7,"dl",CO$7,"")&lt;IF(_uom="lbs",175,80),1.25,IF(_uom="lbs",5,2.5))))),"")</f>
        <v/>
      </c>
      <c s="70"/>
      <c s="63"/>
      <c s="97"/>
      <c s="44" t="str">
        <f>IFERROR(__xludf.DUMMYFUNCTION("IF(CO161=MAX(FILTER(CO$10:CO$199,LOOKUP(ROW(CI$10:CI$199),FILTER(ROW(CI$10:CI$199),CI$10:CI$199&lt;&gt;CI$9:CI$198))=LOOKUP(ROW(CI161),FILTER(ROW(CI$10:CI$199),CI$10:CI$199&lt;&gt;CI$9:CI$198)))),CP161,)"),"")</f>
        <v/>
      </c>
      <c s="42"/>
      <c s="63"/>
      <c s="64" t="str">
        <f t="shared" si="27"/>
        <v/>
      </c>
      <c s="65" t="str">
        <f>IFERROR(__xludf.DUMMYFUNCTION("""COMPUTED_VALUE"""),"")</f>
        <v/>
      </c>
      <c s="66">
        <f ca="1"/>
        <v>45257</v>
      </c>
      <c s="93" t="str">
        <f t="shared" si="45"/>
        <v/>
      </c>
      <c s="94" t="str">
        <f t="shared" si="393"/>
        <v/>
      </c>
      <c s="95" t="str">
        <f t="shared" si="418"/>
        <v/>
      </c>
      <c s="98" t="str">
        <f t="shared" si="401"/>
        <v/>
      </c>
      <c s="97" t="str">
        <f t="array" ref="DC161">IFERROR(IF(CW161="ac"+ISNUMBER(SEARCH("'",DB161))+DA161="","",IF(ISNUMBER(SEARCH("lw",DB161)),CO161+SUBSTITUTE(DB161,"lw+",""),MROUND(_xlfn.SWITCH(CW161,"sq",DA$7,"bn",DB$7,"dl",DC$7,"")*IF(DB161&gt;10,DB161/100,VLOOKUP(DB161,_rpe,SUBSTITUTE(DA161,"+","")+1,0)),IF(_xlfn.SWITCH(CW161,"sq",DA$7,"bn",DB$7,"dl",DC$7,"")&lt;IF(_uom="lbs",175,80),1.25,IF(_uom="lbs",5,2.5))))),"")</f>
        <v/>
      </c>
      <c s="70"/>
      <c s="63"/>
      <c s="97"/>
      <c s="44" t="str">
        <f>IFERROR(__xludf.DUMMYFUNCTION("IF(DC161=MAX(FILTER(DC$10:DC$199,LOOKUP(ROW(CW$10:CW$199),FILTER(ROW(CW$10:CW$199),CW$10:CW$199&lt;&gt;CW$9:CW$198))=LOOKUP(ROW(CW161),FILTER(ROW(CW$10:CW$199),CW$10:CW$199&lt;&gt;CW$9:CW$198)))),DD161,)"),"")</f>
        <v/>
      </c>
      <c s="42"/>
      <c s="63"/>
      <c s="64" t="str">
        <f t="shared" si="30"/>
        <v/>
      </c>
      <c s="65" t="str">
        <f>IFERROR(__xludf.DUMMYFUNCTION("""COMPUTED_VALUE"""),"")</f>
        <v/>
      </c>
      <c s="66">
        <f ca="1"/>
        <v>45264</v>
      </c>
      <c s="93" t="str">
        <f t="shared" si="46"/>
        <v/>
      </c>
      <c s="94" t="str">
        <f t="shared" si="394"/>
        <v/>
      </c>
      <c s="95" t="str">
        <f t="shared" si="419"/>
        <v/>
      </c>
      <c s="98" t="str">
        <f t="shared" si="420"/>
        <v/>
      </c>
      <c s="97" t="str">
        <f t="array" ref="DQ161">IFERROR(IF(DK161="ac"+ISNUMBER(SEARCH("'",DP161))+DO161="","",IF(ISNUMBER(SEARCH("lw",DP161)),DC161+SUBSTITUTE(DP161,"lw+",""),MROUND(_xlfn.SWITCH(DK161,"sq",DO$7,"bn",DP$7,"dl",DQ$7,"")*IF(DP161&gt;10,DP161/100,VLOOKUP(DP161,_rpe,SUBSTITUTE(DO161,"+","")+1,0)),IF(_xlfn.SWITCH(DK161,"sq",DO$7,"bn",DP$7,"dl",DQ$7,"")&lt;IF(_uom="lbs",175,80),1.25,IF(_uom="lbs",5,2.5))))),"")</f>
        <v/>
      </c>
      <c s="70"/>
      <c s="63"/>
      <c s="97"/>
      <c s="44" t="str">
        <f>IFERROR(__xludf.DUMMYFUNCTION("IF(DQ161=MAX(FILTER(DQ$10:DQ$199,LOOKUP(ROW(DK$10:DK$199),FILTER(ROW(DK$10:DK$199),DK$10:DK$199&lt;&gt;DK$9:DK$198))=LOOKUP(ROW(DK161),FILTER(ROW(DK$10:DK$199),DK$10:DK$199&lt;&gt;DK$9:DK$198)))),DR161,)"),"")</f>
        <v/>
      </c>
      <c s="42"/>
      <c s="63"/>
      <c s="64" t="str">
        <f t="shared" si="32"/>
        <v/>
      </c>
      <c s="65" t="str">
        <f>IFERROR(__xludf.DUMMYFUNCTION("""COMPUTED_VALUE"""),"")</f>
        <v/>
      </c>
      <c s="66">
        <f ca="1"/>
        <v>45271</v>
      </c>
      <c s="93" t="str">
        <f t="shared" si="47"/>
        <v/>
      </c>
      <c s="94" t="str">
        <f t="shared" si="405"/>
        <v/>
      </c>
      <c s="95" t="str">
        <f t="shared" si="421"/>
        <v/>
      </c>
      <c s="98" t="str">
        <f t="shared" si="422"/>
        <v/>
      </c>
      <c s="97" t="str">
        <f t="array" ref="EE161">IFERROR(IF(DY161="ac"+ISNUMBER(SEARCH("'",ED161))+EC161="","",IF(ISNUMBER(SEARCH("lw",ED161)),DQ161+SUBSTITUTE(ED161,"lw+",""),MROUND(_xlfn.SWITCH(DY161,"sq",EC$7,"bn",ED$7,"dl",EE$7,"")*IF(ED161&gt;10,ED161/100,VLOOKUP(ED161,_rpe,SUBSTITUTE(EC161,"+","")+1,0)),IF(_xlfn.SWITCH(DY161,"sq",EC$7,"bn",ED$7,"dl",EE$7,"")&lt;IF(_uom="lbs",175,80),1.25,IF(_uom="lbs",5,2.5))))),"")</f>
        <v/>
      </c>
      <c s="70"/>
      <c s="63"/>
      <c s="97"/>
      <c s="44" t="str">
        <f>IFERROR(__xludf.DUMMYFUNCTION("IF(EE161=MAX(FILTER(EE$10:EE$199,LOOKUP(ROW(DY$10:DY$199),FILTER(ROW(DY$10:DY$199),DY$10:DY$199&lt;&gt;DY$9:DY$198))=LOOKUP(ROW(DY161),FILTER(ROW(DY$10:DY$199),DY$10:DY$199&lt;&gt;DY$9:DY$198)))),EF161,)"),"")</f>
        <v/>
      </c>
      <c s="42"/>
      <c s="63"/>
      <c s="64" t="str">
        <f t="shared" si="34"/>
        <v/>
      </c>
      <c s="65" t="str">
        <f>IFERROR(__xludf.DUMMYFUNCTION("""COMPUTED_VALUE"""),"")</f>
        <v/>
      </c>
      <c s="66">
        <f ca="1"/>
        <v>45278</v>
      </c>
      <c s="93" t="str">
        <f t="shared" si="48"/>
        <v/>
      </c>
      <c s="94" t="str">
        <f t="shared" si="395"/>
        <v/>
      </c>
      <c s="95" t="str">
        <f t="shared" si="423"/>
        <v/>
      </c>
      <c s="98" t="str">
        <f t="shared" si="402"/>
        <v/>
      </c>
      <c s="97" t="str">
        <f t="array" ref="ES161">IFERROR(IF(EM161="ac"+ISNUMBER(SEARCH("'",ER161))+EQ161="","",IF(ISNUMBER(SEARCH("lw",ER161)),EE161+SUBSTITUTE(ER161,"lw+",""),MROUND(_xlfn.SWITCH(EM161,"sq",EQ$7,"bn",ER$7,"dl",ES$7,"")*IF(ER161&gt;10,ER161/100,VLOOKUP(ER161,_rpe,SUBSTITUTE(EQ161,"+","")+1,0)),IF(_xlfn.SWITCH(EM161,"sq",EQ$7,"bn",ER$7,"dl",ES$7,"")&lt;IF(_uom="lbs",175,80),1.25,IF(_uom="lbs",5,2.5))))),"")</f>
        <v/>
      </c>
      <c s="70"/>
      <c s="63"/>
      <c s="97"/>
      <c s="44" t="str">
        <f>IFERROR(__xludf.DUMMYFUNCTION("IF(ES161=MAX(FILTER(ES$10:ES$199,LOOKUP(ROW(EM$10:EM$199),FILTER(ROW(EM$10:EM$199),EM$10:EM$199&lt;&gt;EM$9:EM$198))=LOOKUP(ROW(EM161),FILTER(ROW(EM$10:EM$199),EM$10:EM$199&lt;&gt;EM$9:EM$198)))),ET161,)"),"")</f>
        <v/>
      </c>
      <c s="42"/>
      <c s="63"/>
      <c s="64" t="str">
        <f t="shared" si="36"/>
        <v/>
      </c>
      <c s="65" t="str">
        <f>IFERROR(__xludf.DUMMYFUNCTION("""COMPUTED_VALUE"""),"")</f>
        <v/>
      </c>
      <c s="66">
        <f ca="1"/>
        <v>45285</v>
      </c>
      <c s="93" t="str">
        <f t="shared" si="49"/>
        <v/>
      </c>
      <c s="94" t="str">
        <f t="shared" si="396"/>
        <v/>
      </c>
      <c s="95" t="str">
        <f t="shared" si="424"/>
        <v/>
      </c>
      <c s="98" t="str">
        <f t="shared" si="403"/>
        <v/>
      </c>
      <c s="97" t="str">
        <f t="array" ref="FG161">IFERROR(IF(FA161="ac"+ISNUMBER(SEARCH("'",FF161))+FE161="","",IF(ISNUMBER(SEARCH("lw",FF161)),ES161+SUBSTITUTE(FF161,"lw+",""),MROUND(_xlfn.SWITCH(FA161,"sq",FE$7,"bn",FF$7,"dl",FG$7,"")*IF(FF161&gt;10,FF161/100,VLOOKUP(FF161,_rpe,SUBSTITUTE(FE161,"+","")+1,0)),IF(_xlfn.SWITCH(FA161,"sq",FE$7,"bn",FF$7,"dl",FG$7,"")&lt;IF(_uom="lbs",175,80),1.25,IF(_uom="lbs",5,2.5))))),"")</f>
        <v/>
      </c>
      <c s="70"/>
      <c s="63"/>
      <c s="97"/>
      <c s="44" t="str">
        <f>IFERROR(__xludf.DUMMYFUNCTION("IF(FG161=MAX(FILTER(FG$10:FG$199,LOOKUP(ROW(FA$10:FA$199),FILTER(ROW(FA$10:FA$199),FA$10:FA$199&lt;&gt;FA$9:FA$198))=LOOKUP(ROW(FA161),FILTER(ROW(FA$10:FA$199),FA$10:FA$199&lt;&gt;FA$9:FA$198)))),FH161,)"),"")</f>
        <v/>
      </c>
      <c s="42"/>
      <c s="63"/>
      <c s="64" t="str">
        <f t="shared" si="38"/>
        <v/>
      </c>
      <c s="65" t="str">
        <f>IFERROR(__xludf.DUMMYFUNCTION("""COMPUTED_VALUE"""),"")</f>
        <v/>
      </c>
      <c s="66">
        <f ca="1"/>
        <v>45292</v>
      </c>
      <c s="93" t="str">
        <f t="shared" si="505" ref="FQ161:FR161">IF(ISBLANK(FC161),"",FC161)</f>
        <v/>
      </c>
      <c s="94" t="str">
        <f t="shared" si="505"/>
        <v/>
      </c>
      <c s="95" t="str">
        <f t="shared" si="428"/>
        <v/>
      </c>
      <c s="98" t="str">
        <f t="shared" si="429"/>
        <v/>
      </c>
      <c s="97" t="str">
        <f t="array" ref="FU161">IFERROR(IF(FO161="ac"+ISNUMBER(SEARCH("'",FT161))+FS161="","",IF(ISNUMBER(SEARCH("lw",FT161)),FG161+SUBSTITUTE(FT161,"lw+",""),MROUND(_xlfn.SWITCH(FO161,"sq",FS$7,"bn",FT$7,"dl",FU$7,"")*IF(FT161&gt;10,FT161/100,VLOOKUP(FT161,_rpe,SUBSTITUTE(FS161,"+","")+1,0)),IF(_xlfn.SWITCH(FO161,"sq",FS$7,"bn",FT$7,"dl",FU$7,"")&lt;IF(_uom="lbs",175,80),1.25,IF(_uom="lbs",5,2.5))))),"")</f>
        <v/>
      </c>
      <c s="70"/>
      <c s="63"/>
      <c s="97"/>
      <c s="44" t="str">
        <f>IFERROR(__xludf.DUMMYFUNCTION("IF(FU161=MAX(FILTER(FU$10:FU$199,LOOKUP(ROW(FO$10:FO$199),FILTER(ROW(FO$10:FO$199),FO$10:FO$199&lt;&gt;FO$9:FO$198))=LOOKUP(ROW(FO161),FILTER(ROW(FO$10:FO$199),FO$10:FO$199&lt;&gt;FO$9:FO$198)))),FV161,)"),"")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62" spans="1:259" ht="15.75">
      <c r="A162" s="63"/>
      <c s="107"/>
      <c s="65" t="str">
        <f>IFERROR(__xludf.DUMMYFUNCTION("""COMPUTED_VALUE"""),"")</f>
        <v/>
      </c>
      <c s="66">
        <f ca="1"/>
        <v>45208</v>
      </c>
      <c s="108"/>
      <c s="94"/>
      <c s="95"/>
      <c s="96"/>
      <c s="97" t="str">
        <f t="array" ref="I162">IFERROR(IF(C162="ac"+ISNUMBER(SEARCH("'",H162))+G162="","",MROUND(_xlfn.SWITCH(C162,"sq",'Personal Info'!$O$15,"bn",'Personal Info'!$S$15,"dl",'Personal Info'!$W$15,"")*IF(H162&gt;10,H162/100,VLOOKUP(H162,_rpe,SUBSTITUTE(G162,"+","")+1,0)),IF(_xlfn.SWITCH(C162:C210,"sq",'Personal Info'!$O$15,"bn",'Personal Info'!$S$15,"dl",'Personal Info'!$W$15,"")&lt;IF(_uom="lbs",175,80),1.25,IF(_uom="lbs",5,2.5)))),"")</f>
        <v/>
      </c>
      <c s="70"/>
      <c s="63"/>
      <c s="97"/>
      <c s="44" t="str">
        <f>IFERROR(__xludf.DUMMYFUNCTION("IF(I162=MAX(FILTER(I$10:I$199,LOOKUP(ROW(C$10:C$199),FILTER(ROW(C$10:C$199),C$10:C$199&lt;&gt;C$9:C$198))=LOOKUP(ROW(C162),FILTER(ROW(C$10:C$199),C$10:C$199&lt;&gt;C$9:C$198)))),J162,)"),"")</f>
        <v/>
      </c>
      <c s="42"/>
      <c s="63"/>
      <c s="64" t="str">
        <f t="shared" si="11"/>
        <v/>
      </c>
      <c s="65" t="str">
        <f>IFERROR(__xludf.DUMMYFUNCTION("""COMPUTED_VALUE"""),"")</f>
        <v/>
      </c>
      <c s="66">
        <f ca="1"/>
        <v>45215</v>
      </c>
      <c s="93" t="str">
        <f t="shared" si="12"/>
        <v/>
      </c>
      <c s="94" t="str">
        <f t="shared" si="404"/>
        <v/>
      </c>
      <c s="95" t="str">
        <f t="shared" si="406"/>
        <v/>
      </c>
      <c s="98" t="str">
        <f t="shared" si="407"/>
        <v/>
      </c>
      <c s="97" t="str">
        <f t="array" ref="W162">IFERROR(IF(Q162="ac"+ISNUMBER(SEARCH("'",V162))+U162="","",IF(ISNUMBER(SEARCH("lw",V162)),I162+SUBSTITUTE(V162,"lw+",""),MROUND(_xlfn.SWITCH(Q162,"sq",U$7,"bn",V$7,"dl",W$7,"")*IF(V162&gt;10,V162/100,VLOOKUP(V162,_rpe,SUBSTITUTE(U162,"+","")+1,0)),IF(_xlfn.SWITCH(Q162,"sq",U$7,"bn",V$7,"dl",W$7,"")&lt;IF(_uom="lbs",175,80),1.25,IF(_uom="lbs",5,2.5))))),"")</f>
        <v/>
      </c>
      <c s="70"/>
      <c s="63"/>
      <c s="97"/>
      <c s="44" t="str">
        <f>IFERROR(__xludf.DUMMYFUNCTION("IF(W162=MAX(FILTER(W$10:W$199,LOOKUP(ROW(Q$10:Q$199),FILTER(ROW(Q$10:Q$199),Q$10:Q$199&lt;&gt;Q$9:Q$198))=LOOKUP(ROW(Q162),FILTER(ROW(Q$10:Q$199),Q$10:Q$199&lt;&gt;Q$9:Q$198)))),X162,)"),"")</f>
        <v/>
      </c>
      <c s="42"/>
      <c s="63"/>
      <c s="64" t="str">
        <f t="shared" si="14"/>
        <v/>
      </c>
      <c s="65" t="str">
        <f>IFERROR(__xludf.DUMMYFUNCTION("""COMPUTED_VALUE"""),"")</f>
        <v/>
      </c>
      <c s="66">
        <f ca="1"/>
        <v>45222</v>
      </c>
      <c s="93" t="str">
        <f t="shared" si="156"/>
        <v/>
      </c>
      <c s="94" t="str">
        <f t="shared" si="397"/>
        <v/>
      </c>
      <c s="95" t="str">
        <f t="shared" si="408"/>
        <v/>
      </c>
      <c s="98" t="str">
        <f t="shared" si="398"/>
        <v/>
      </c>
      <c s="97" t="str">
        <f t="array" ref="AK162">IFERROR(IF(AE162="ac"+ISNUMBER(SEARCH("'",AJ162))+AI162="","",IF(ISNUMBER(SEARCH("lw",AJ162)),W162+SUBSTITUTE(AJ162,"lw+",""),MROUND(_xlfn.SWITCH(AE162,"sq",AI$7,"bn",AJ$7,"dl",AK$7,"")*IF(AJ162&gt;10,AJ162/100,VLOOKUP(AJ162,_rpe,SUBSTITUTE(AI162,"+","")+1,0)),IF(_xlfn.SWITCH(AE162,"sq",AI$7,"bn",AJ$7,"dl",AK$7,"")&lt;IF(_uom="lbs",175,80),1.25,IF(_uom="lbs",5,2.5))))),"")</f>
        <v/>
      </c>
      <c s="70"/>
      <c s="63"/>
      <c s="97"/>
      <c s="44" t="str">
        <f>IFERROR(__xludf.DUMMYFUNCTION("IF(AK162=MAX(FILTER(AK$10:AK$199,LOOKUP(ROW(AE$10:AE$199),FILTER(ROW(AE$10:AE$199),AE$10:AE$199&lt;&gt;AE$9:AE$198))=LOOKUP(ROW(AE162),FILTER(ROW(AE$10:AE$199),AE$10:AE$199&lt;&gt;AE$9:AE$198)))),AL162,)"),"")</f>
        <v/>
      </c>
      <c s="42"/>
      <c s="63"/>
      <c s="64" t="str">
        <f t="shared" si="17"/>
        <v/>
      </c>
      <c s="65" t="str">
        <f>IFERROR(__xludf.DUMMYFUNCTION("""COMPUTED_VALUE"""),"")</f>
        <v/>
      </c>
      <c s="66">
        <f ca="1"/>
        <v>45229</v>
      </c>
      <c s="93" t="str">
        <f t="shared" si="157"/>
        <v/>
      </c>
      <c s="94" t="str">
        <f t="shared" si="399"/>
        <v/>
      </c>
      <c s="95" t="str">
        <f t="shared" si="409"/>
        <v/>
      </c>
      <c s="98" t="str">
        <f t="shared" si="400"/>
        <v/>
      </c>
      <c s="97" t="str">
        <f t="array" ref="AY162">IFERROR(IF(AS162="ac"+ISNUMBER(SEARCH("'",AX162))+AW162="","",IF(ISNUMBER(SEARCH("lw",AX162)),AK162+SUBSTITUTE(AX162,"lw+",""),MROUND(_xlfn.SWITCH(AS162,"sq",AW$7,"bn",AX$7,"dl",AY$7,"")*IF(AX162&gt;10,AX162/100,VLOOKUP(AX162,_rpe,SUBSTITUTE(AW162,"+","")+1,0)),IF(_xlfn.SWITCH(AS162,"sq",AW$7,"bn",AX$7,"dl",AY$7,"")&lt;IF(_uom="lbs",175,80),1.25,IF(_uom="lbs",5,2.5))))),"")</f>
        <v/>
      </c>
      <c s="70"/>
      <c s="63"/>
      <c s="97"/>
      <c s="44" t="str">
        <f>IFERROR(__xludf.DUMMYFUNCTION("IF(AY162=MAX(FILTER(AY$10:AY$199,LOOKUP(ROW(AS$10:AS$199),FILTER(ROW(AS$10:AS$199),AS$10:AS$199&lt;&gt;AS$9:AS$198))=LOOKUP(ROW(AS162),FILTER(ROW(AS$10:AS$199),AS$10:AS$199&lt;&gt;AS$9:AS$198)))),AZ162,)"),"")</f>
        <v/>
      </c>
      <c s="42"/>
      <c s="63"/>
      <c s="64" t="str">
        <f t="shared" si="19"/>
        <v/>
      </c>
      <c s="65" t="str">
        <f>IFERROR(__xludf.DUMMYFUNCTION("""COMPUTED_VALUE"""),"")</f>
        <v/>
      </c>
      <c s="66">
        <f ca="1"/>
        <v>45236</v>
      </c>
      <c s="93" t="str">
        <f t="shared" si="20"/>
        <v/>
      </c>
      <c s="94" t="str">
        <f t="shared" si="425"/>
        <v/>
      </c>
      <c s="95" t="str">
        <f t="shared" si="411"/>
        <v/>
      </c>
      <c s="98" t="str">
        <f t="shared" si="412"/>
        <v/>
      </c>
      <c s="97" t="str">
        <f t="array" ref="BM162">IFERROR(IF(BG162="ac"+ISNUMBER(SEARCH("'",BL162))+BK162="","",IF(ISNUMBER(SEARCH("lw",BL162)),AY162+SUBSTITUTE(BL162,"lw+",""),MROUND(_xlfn.SWITCH(BG162,"sq",BK$7,"bn",BL$7,"dl",BM$7,"")*IF(BL162&gt;10,BL162/100,VLOOKUP(BL162,_rpe,SUBSTITUTE(BK162,"+","")+1,0)),IF(_xlfn.SWITCH(BG162,"sq",BK$7,"bn",BL$7,"dl",BM$7,"")&lt;IF(_uom="lbs",175,80),1.25,IF(_uom="lbs",5,2.5))))),"")</f>
        <v/>
      </c>
      <c s="70"/>
      <c s="63"/>
      <c s="97"/>
      <c s="44" t="str">
        <f>IFERROR(__xludf.DUMMYFUNCTION("IF(BM162=MAX(FILTER(BM$10:BM$199,LOOKUP(ROW(BG$10:BG$199),FILTER(ROW(BG$10:BG$199),BG$10:BG$199&lt;&gt;BG$9:BG$198))=LOOKUP(ROW(BG162),FILTER(ROW(BG$10:BG$199),BG$10:BG$199&lt;&gt;BG$9:BG$198)))),BN162,)"),"")</f>
        <v/>
      </c>
      <c s="42"/>
      <c s="63"/>
      <c s="64" t="str">
        <f t="shared" si="21"/>
        <v/>
      </c>
      <c s="65" t="str">
        <f>IFERROR(__xludf.DUMMYFUNCTION("""COMPUTED_VALUE"""),"")</f>
        <v/>
      </c>
      <c s="66">
        <f ca="1"/>
        <v>45243</v>
      </c>
      <c s="93" t="str">
        <f t="shared" si="22"/>
        <v/>
      </c>
      <c s="94" t="str">
        <f t="shared" si="426"/>
        <v/>
      </c>
      <c s="95" t="str">
        <f t="shared" si="414"/>
        <v/>
      </c>
      <c s="98" t="str">
        <f t="shared" si="415"/>
        <v/>
      </c>
      <c s="97" t="str">
        <f t="array" ref="CA162">IFERROR(IF(BU162="ac"+ISNUMBER(SEARCH("'",BZ162))+BY162="","",IF(ISNUMBER(SEARCH("lw",BZ162)),BM162+SUBSTITUTE(BZ162,"lw+",""),MROUND(_xlfn.SWITCH(BU162,"sq",BY$7,"bn",BZ$7,"dl",CA$7,"")*IF(BZ162&gt;10,BZ162/100,VLOOKUP(BZ162,_rpe,SUBSTITUTE(BY162,"+","")+1,0)),IF(_xlfn.SWITCH(BU162,"sq",BY$7,"bn",BZ$7,"dl",CA$7,"")&lt;IF(_uom="lbs",175,80),1.25,IF(_uom="lbs",5,2.5))))),"")</f>
        <v/>
      </c>
      <c s="70"/>
      <c s="63"/>
      <c s="97"/>
      <c s="44" t="str">
        <f>IFERROR(__xludf.DUMMYFUNCTION("IF(CA162=MAX(FILTER(CA$10:CA$199,LOOKUP(ROW(BU$10:BU$199),FILTER(ROW(BU$10:BU$199),BU$10:BU$199&lt;&gt;BU$9:BU$198))=LOOKUP(ROW(BU162),FILTER(ROW(BU$10:BU$199),BU$10:BU$199&lt;&gt;BU$9:BU$198)))),CB162,)"),"")</f>
        <v/>
      </c>
      <c s="42"/>
      <c s="63"/>
      <c s="64" t="str">
        <f t="shared" si="24"/>
        <v/>
      </c>
      <c s="65" t="str">
        <f>IFERROR(__xludf.DUMMYFUNCTION("""COMPUTED_VALUE"""),"")</f>
        <v/>
      </c>
      <c s="66">
        <f ca="1"/>
        <v>45250</v>
      </c>
      <c s="93" t="str">
        <f t="shared" si="44"/>
        <v/>
      </c>
      <c s="94" t="str">
        <f t="shared" si="392"/>
        <v/>
      </c>
      <c s="95" t="str">
        <f t="shared" si="416"/>
        <v/>
      </c>
      <c s="98" t="str">
        <f t="shared" si="417"/>
        <v/>
      </c>
      <c s="97" t="str">
        <f t="array" ref="CO162">IFERROR(IF(CI162="ac"+ISNUMBER(SEARCH("'",CN162))+CM162="","",IF(ISNUMBER(SEARCH("lw",CN162)),CA162+SUBSTITUTE(CN162,"lw+",""),MROUND(_xlfn.SWITCH(CI162,"sq",CM$7,"bn",CN$7,"dl",CO$7,"")*IF(CN162&gt;10,CN162/100,VLOOKUP(CN162,_rpe,SUBSTITUTE(CM162,"+","")+1,0)),IF(_xlfn.SWITCH(CI162,"sq",CM$7,"bn",CN$7,"dl",CO$7,"")&lt;IF(_uom="lbs",175,80),1.25,IF(_uom="lbs",5,2.5))))),"")</f>
        <v/>
      </c>
      <c s="70"/>
      <c s="63"/>
      <c s="97"/>
      <c s="44" t="str">
        <f>IFERROR(__xludf.DUMMYFUNCTION("IF(CO162=MAX(FILTER(CO$10:CO$199,LOOKUP(ROW(CI$10:CI$199),FILTER(ROW(CI$10:CI$199),CI$10:CI$199&lt;&gt;CI$9:CI$198))=LOOKUP(ROW(CI162),FILTER(ROW(CI$10:CI$199),CI$10:CI$199&lt;&gt;CI$9:CI$198)))),CP162,)"),"")</f>
        <v/>
      </c>
      <c s="42"/>
      <c s="63"/>
      <c s="64" t="str">
        <f t="shared" si="27"/>
        <v/>
      </c>
      <c s="65" t="str">
        <f>IFERROR(__xludf.DUMMYFUNCTION("""COMPUTED_VALUE"""),"")</f>
        <v/>
      </c>
      <c s="66">
        <f ca="1"/>
        <v>45257</v>
      </c>
      <c s="93" t="str">
        <f t="shared" si="45"/>
        <v/>
      </c>
      <c s="94" t="str">
        <f t="shared" si="393"/>
        <v/>
      </c>
      <c s="95" t="str">
        <f t="shared" si="418"/>
        <v/>
      </c>
      <c s="98" t="str">
        <f t="shared" si="401"/>
        <v/>
      </c>
      <c s="97" t="str">
        <f t="array" ref="DC162">IFERROR(IF(CW162="ac"+ISNUMBER(SEARCH("'",DB162))+DA162="","",IF(ISNUMBER(SEARCH("lw",DB162)),CO162+SUBSTITUTE(DB162,"lw+",""),MROUND(_xlfn.SWITCH(CW162,"sq",DA$7,"bn",DB$7,"dl",DC$7,"")*IF(DB162&gt;10,DB162/100,VLOOKUP(DB162,_rpe,SUBSTITUTE(DA162,"+","")+1,0)),IF(_xlfn.SWITCH(CW162,"sq",DA$7,"bn",DB$7,"dl",DC$7,"")&lt;IF(_uom="lbs",175,80),1.25,IF(_uom="lbs",5,2.5))))),"")</f>
        <v/>
      </c>
      <c s="70"/>
      <c s="63"/>
      <c s="97"/>
      <c s="44" t="str">
        <f>IFERROR(__xludf.DUMMYFUNCTION("IF(DC162=MAX(FILTER(DC$10:DC$199,LOOKUP(ROW(CW$10:CW$199),FILTER(ROW(CW$10:CW$199),CW$10:CW$199&lt;&gt;CW$9:CW$198))=LOOKUP(ROW(CW162),FILTER(ROW(CW$10:CW$199),CW$10:CW$199&lt;&gt;CW$9:CW$198)))),DD162,)"),"")</f>
        <v/>
      </c>
      <c s="42"/>
      <c s="63"/>
      <c s="64" t="str">
        <f t="shared" si="30"/>
        <v/>
      </c>
      <c s="65" t="str">
        <f>IFERROR(__xludf.DUMMYFUNCTION("""COMPUTED_VALUE"""),"")</f>
        <v/>
      </c>
      <c s="66">
        <f ca="1"/>
        <v>45264</v>
      </c>
      <c s="93" t="str">
        <f t="shared" si="46"/>
        <v/>
      </c>
      <c s="94" t="str">
        <f t="shared" si="394"/>
        <v/>
      </c>
      <c s="95" t="str">
        <f t="shared" si="419"/>
        <v/>
      </c>
      <c s="98" t="str">
        <f t="shared" si="420"/>
        <v/>
      </c>
      <c s="97" t="str">
        <f t="array" ref="DQ162">IFERROR(IF(DK162="ac"+ISNUMBER(SEARCH("'",DP162))+DO162="","",IF(ISNUMBER(SEARCH("lw",DP162)),DC162+SUBSTITUTE(DP162,"lw+",""),MROUND(_xlfn.SWITCH(DK162,"sq",DO$7,"bn",DP$7,"dl",DQ$7,"")*IF(DP162&gt;10,DP162/100,VLOOKUP(DP162,_rpe,SUBSTITUTE(DO162,"+","")+1,0)),IF(_xlfn.SWITCH(DK162,"sq",DO$7,"bn",DP$7,"dl",DQ$7,"")&lt;IF(_uom="lbs",175,80),1.25,IF(_uom="lbs",5,2.5))))),"")</f>
        <v/>
      </c>
      <c s="70"/>
      <c s="63"/>
      <c s="97"/>
      <c s="44" t="str">
        <f>IFERROR(__xludf.DUMMYFUNCTION("IF(DQ162=MAX(FILTER(DQ$10:DQ$199,LOOKUP(ROW(DK$10:DK$199),FILTER(ROW(DK$10:DK$199),DK$10:DK$199&lt;&gt;DK$9:DK$198))=LOOKUP(ROW(DK162),FILTER(ROW(DK$10:DK$199),DK$10:DK$199&lt;&gt;DK$9:DK$198)))),DR162,)"),"")</f>
        <v/>
      </c>
      <c s="42"/>
      <c s="63"/>
      <c s="64" t="str">
        <f t="shared" si="32"/>
        <v/>
      </c>
      <c s="65" t="str">
        <f>IFERROR(__xludf.DUMMYFUNCTION("""COMPUTED_VALUE"""),"")</f>
        <v/>
      </c>
      <c s="66">
        <f ca="1"/>
        <v>45271</v>
      </c>
      <c s="93" t="str">
        <f t="shared" si="47"/>
        <v/>
      </c>
      <c s="94" t="str">
        <f t="shared" si="405"/>
        <v/>
      </c>
      <c s="95" t="str">
        <f t="shared" si="421"/>
        <v/>
      </c>
      <c s="98" t="str">
        <f t="shared" si="422"/>
        <v/>
      </c>
      <c s="97" t="str">
        <f t="array" ref="EE162">IFERROR(IF(DY162="ac"+ISNUMBER(SEARCH("'",ED162))+EC162="","",IF(ISNUMBER(SEARCH("lw",ED162)),DQ162+SUBSTITUTE(ED162,"lw+",""),MROUND(_xlfn.SWITCH(DY162,"sq",EC$7,"bn",ED$7,"dl",EE$7,"")*IF(ED162&gt;10,ED162/100,VLOOKUP(ED162,_rpe,SUBSTITUTE(EC162,"+","")+1,0)),IF(_xlfn.SWITCH(DY162,"sq",EC$7,"bn",ED$7,"dl",EE$7,"")&lt;IF(_uom="lbs",175,80),1.25,IF(_uom="lbs",5,2.5))))),"")</f>
        <v/>
      </c>
      <c s="70"/>
      <c s="63"/>
      <c s="97"/>
      <c s="44" t="str">
        <f>IFERROR(__xludf.DUMMYFUNCTION("IF(EE162=MAX(FILTER(EE$10:EE$199,LOOKUP(ROW(DY$10:DY$199),FILTER(ROW(DY$10:DY$199),DY$10:DY$199&lt;&gt;DY$9:DY$198))=LOOKUP(ROW(DY162),FILTER(ROW(DY$10:DY$199),DY$10:DY$199&lt;&gt;DY$9:DY$198)))),EF162,)"),"")</f>
        <v/>
      </c>
      <c s="42"/>
      <c s="63"/>
      <c s="64" t="str">
        <f t="shared" si="34"/>
        <v/>
      </c>
      <c s="65" t="str">
        <f>IFERROR(__xludf.DUMMYFUNCTION("""COMPUTED_VALUE"""),"")</f>
        <v/>
      </c>
      <c s="66">
        <f ca="1"/>
        <v>45278</v>
      </c>
      <c s="93" t="str">
        <f t="shared" si="48"/>
        <v/>
      </c>
      <c s="94" t="str">
        <f t="shared" si="395"/>
        <v/>
      </c>
      <c s="95" t="str">
        <f t="shared" si="423"/>
        <v/>
      </c>
      <c s="98" t="str">
        <f t="shared" si="402"/>
        <v/>
      </c>
      <c s="97" t="str">
        <f t="array" ref="ES162">IFERROR(IF(EM162="ac"+ISNUMBER(SEARCH("'",ER162))+EQ162="","",IF(ISNUMBER(SEARCH("lw",ER162)),EE162+SUBSTITUTE(ER162,"lw+",""),MROUND(_xlfn.SWITCH(EM162,"sq",EQ$7,"bn",ER$7,"dl",ES$7,"")*IF(ER162&gt;10,ER162/100,VLOOKUP(ER162,_rpe,SUBSTITUTE(EQ162,"+","")+1,0)),IF(_xlfn.SWITCH(EM162,"sq",EQ$7,"bn",ER$7,"dl",ES$7,"")&lt;IF(_uom="lbs",175,80),1.25,IF(_uom="lbs",5,2.5))))),"")</f>
        <v/>
      </c>
      <c s="70"/>
      <c s="63"/>
      <c s="97"/>
      <c s="44" t="str">
        <f>IFERROR(__xludf.DUMMYFUNCTION("IF(ES162=MAX(FILTER(ES$10:ES$199,LOOKUP(ROW(EM$10:EM$199),FILTER(ROW(EM$10:EM$199),EM$10:EM$199&lt;&gt;EM$9:EM$198))=LOOKUP(ROW(EM162),FILTER(ROW(EM$10:EM$199),EM$10:EM$199&lt;&gt;EM$9:EM$198)))),ET162,)"),"")</f>
        <v/>
      </c>
      <c s="42"/>
      <c s="63"/>
      <c s="64" t="str">
        <f t="shared" si="36"/>
        <v/>
      </c>
      <c s="65" t="str">
        <f>IFERROR(__xludf.DUMMYFUNCTION("""COMPUTED_VALUE"""),"")</f>
        <v/>
      </c>
      <c s="66">
        <f ca="1"/>
        <v>45285</v>
      </c>
      <c s="93" t="str">
        <f t="shared" si="49"/>
        <v/>
      </c>
      <c s="94" t="str">
        <f t="shared" si="396"/>
        <v/>
      </c>
      <c s="95" t="str">
        <f t="shared" si="424"/>
        <v/>
      </c>
      <c s="98" t="str">
        <f t="shared" si="403"/>
        <v/>
      </c>
      <c s="97" t="str">
        <f t="array" ref="FG162">IFERROR(IF(FA162="ac"+ISNUMBER(SEARCH("'",FF162))+FE162="","",IF(ISNUMBER(SEARCH("lw",FF162)),ES162+SUBSTITUTE(FF162,"lw+",""),MROUND(_xlfn.SWITCH(FA162,"sq",FE$7,"bn",FF$7,"dl",FG$7,"")*IF(FF162&gt;10,FF162/100,VLOOKUP(FF162,_rpe,SUBSTITUTE(FE162,"+","")+1,0)),IF(_xlfn.SWITCH(FA162,"sq",FE$7,"bn",FF$7,"dl",FG$7,"")&lt;IF(_uom="lbs",175,80),1.25,IF(_uom="lbs",5,2.5))))),"")</f>
        <v/>
      </c>
      <c s="70"/>
      <c s="63"/>
      <c s="97"/>
      <c s="44" t="str">
        <f>IFERROR(__xludf.DUMMYFUNCTION("IF(FG162=MAX(FILTER(FG$10:FG$199,LOOKUP(ROW(FA$10:FA$199),FILTER(ROW(FA$10:FA$199),FA$10:FA$199&lt;&gt;FA$9:FA$198))=LOOKUP(ROW(FA162),FILTER(ROW(FA$10:FA$199),FA$10:FA$199&lt;&gt;FA$9:FA$198)))),FH162,)"),"")</f>
        <v/>
      </c>
      <c s="42"/>
      <c s="63"/>
      <c s="64" t="str">
        <f t="shared" si="38"/>
        <v/>
      </c>
      <c s="65" t="str">
        <f>IFERROR(__xludf.DUMMYFUNCTION("""COMPUTED_VALUE"""),"")</f>
        <v/>
      </c>
      <c s="66">
        <f ca="1"/>
        <v>45292</v>
      </c>
      <c s="93" t="str">
        <f t="shared" si="506" ref="FQ162:FR162">IF(ISBLANK(FC162),"",FC162)</f>
        <v/>
      </c>
      <c s="94" t="str">
        <f t="shared" si="506"/>
        <v/>
      </c>
      <c s="95" t="str">
        <f t="shared" si="428"/>
        <v/>
      </c>
      <c s="98" t="str">
        <f t="shared" si="429"/>
        <v/>
      </c>
      <c s="97" t="str">
        <f t="array" ref="FU162">IFERROR(IF(FO162="ac"+ISNUMBER(SEARCH("'",FT162))+FS162="","",IF(ISNUMBER(SEARCH("lw",FT162)),FG162+SUBSTITUTE(FT162,"lw+",""),MROUND(_xlfn.SWITCH(FO162,"sq",FS$7,"bn",FT$7,"dl",FU$7,"")*IF(FT162&gt;10,FT162/100,VLOOKUP(FT162,_rpe,SUBSTITUTE(FS162,"+","")+1,0)),IF(_xlfn.SWITCH(FO162,"sq",FS$7,"bn",FT$7,"dl",FU$7,"")&lt;IF(_uom="lbs",175,80),1.25,IF(_uom="lbs",5,2.5))))),"")</f>
        <v/>
      </c>
      <c s="70"/>
      <c s="63"/>
      <c s="97"/>
      <c s="44" t="str">
        <f>IFERROR(__xludf.DUMMYFUNCTION("IF(FU162=MAX(FILTER(FU$10:FU$199,LOOKUP(ROW(FO$10:FO$199),FILTER(ROW(FO$10:FO$199),FO$10:FO$199&lt;&gt;FO$9:FO$198))=LOOKUP(ROW(FO162),FILTER(ROW(FO$10:FO$199),FO$10:FO$199&lt;&gt;FO$9:FO$198)))),FV162,)"),"")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63" spans="1:259" ht="15.75">
      <c r="A163" s="63"/>
      <c s="107"/>
      <c s="65" t="str">
        <f>IFERROR(__xludf.DUMMYFUNCTION("""COMPUTED_VALUE"""),"")</f>
        <v/>
      </c>
      <c s="66">
        <f ca="1"/>
        <v>45208</v>
      </c>
      <c s="108"/>
      <c s="94"/>
      <c s="95"/>
      <c s="96"/>
      <c s="97" t="str">
        <f t="array" ref="I163">IFERROR(IF(C163="ac"+ISNUMBER(SEARCH("'",H163))+G163="","",MROUND(_xlfn.SWITCH(C163,"sq",'Personal Info'!$O$15,"bn",'Personal Info'!$S$15,"dl",'Personal Info'!$W$15,"")*IF(H163&gt;10,H163/100,VLOOKUP(H163,_rpe,SUBSTITUTE(G163,"+","")+1,0)),IF(_xlfn.SWITCH(C163:C210,"sq",'Personal Info'!$O$15,"bn",'Personal Info'!$S$15,"dl",'Personal Info'!$W$15,"")&lt;IF(_uom="lbs",175,80),1.25,IF(_uom="lbs",5,2.5)))),"")</f>
        <v/>
      </c>
      <c s="70"/>
      <c s="63"/>
      <c s="97"/>
      <c s="44" t="str">
        <f>IFERROR(__xludf.DUMMYFUNCTION("IF(I163=MAX(FILTER(I$10:I$199,LOOKUP(ROW(C$10:C$199),FILTER(ROW(C$10:C$199),C$10:C$199&lt;&gt;C$9:C$198))=LOOKUP(ROW(C163),FILTER(ROW(C$10:C$199),C$10:C$199&lt;&gt;C$9:C$198)))),J163,)"),"")</f>
        <v/>
      </c>
      <c s="42"/>
      <c s="63"/>
      <c s="64" t="str">
        <f t="shared" si="11"/>
        <v/>
      </c>
      <c s="65" t="str">
        <f>IFERROR(__xludf.DUMMYFUNCTION("""COMPUTED_VALUE"""),"")</f>
        <v/>
      </c>
      <c s="66">
        <f ca="1"/>
        <v>45215</v>
      </c>
      <c s="93" t="str">
        <f t="shared" si="12"/>
        <v/>
      </c>
      <c s="94" t="str">
        <f t="shared" si="404"/>
        <v/>
      </c>
      <c s="95" t="str">
        <f t="shared" si="406"/>
        <v/>
      </c>
      <c s="98" t="str">
        <f t="shared" si="407"/>
        <v/>
      </c>
      <c s="97" t="str">
        <f t="array" ref="W163">IFERROR(IF(Q163="ac"+ISNUMBER(SEARCH("'",V163))+U163="","",IF(ISNUMBER(SEARCH("lw",V163)),I163+SUBSTITUTE(V163,"lw+",""),MROUND(_xlfn.SWITCH(Q163,"sq",U$7,"bn",V$7,"dl",W$7,"")*IF(V163&gt;10,V163/100,VLOOKUP(V163,_rpe,SUBSTITUTE(U163,"+","")+1,0)),IF(_xlfn.SWITCH(Q163,"sq",U$7,"bn",V$7,"dl",W$7,"")&lt;IF(_uom="lbs",175,80),1.25,IF(_uom="lbs",5,2.5))))),"")</f>
        <v/>
      </c>
      <c s="70"/>
      <c s="63"/>
      <c s="97"/>
      <c s="44" t="str">
        <f>IFERROR(__xludf.DUMMYFUNCTION("IF(W163=MAX(FILTER(W$10:W$199,LOOKUP(ROW(Q$10:Q$199),FILTER(ROW(Q$10:Q$199),Q$10:Q$199&lt;&gt;Q$9:Q$198))=LOOKUP(ROW(Q163),FILTER(ROW(Q$10:Q$199),Q$10:Q$199&lt;&gt;Q$9:Q$198)))),X163,)"),"")</f>
        <v/>
      </c>
      <c s="42"/>
      <c s="63"/>
      <c s="64" t="str">
        <f t="shared" si="14"/>
        <v/>
      </c>
      <c s="65" t="str">
        <f>IFERROR(__xludf.DUMMYFUNCTION("""COMPUTED_VALUE"""),"")</f>
        <v/>
      </c>
      <c s="66">
        <f ca="1"/>
        <v>45222</v>
      </c>
      <c s="93" t="str">
        <f t="shared" si="156"/>
        <v/>
      </c>
      <c s="94" t="str">
        <f t="shared" si="397"/>
        <v/>
      </c>
      <c s="95" t="str">
        <f t="shared" si="408"/>
        <v/>
      </c>
      <c s="98" t="str">
        <f t="shared" si="398"/>
        <v/>
      </c>
      <c s="97" t="str">
        <f t="array" ref="AK163">IFERROR(IF(AE163="ac"+ISNUMBER(SEARCH("'",AJ163))+AI163="","",IF(ISNUMBER(SEARCH("lw",AJ163)),W163+SUBSTITUTE(AJ163,"lw+",""),MROUND(_xlfn.SWITCH(AE163,"sq",AI$7,"bn",AJ$7,"dl",AK$7,"")*IF(AJ163&gt;10,AJ163/100,VLOOKUP(AJ163,_rpe,SUBSTITUTE(AI163,"+","")+1,0)),IF(_xlfn.SWITCH(AE163,"sq",AI$7,"bn",AJ$7,"dl",AK$7,"")&lt;IF(_uom="lbs",175,80),1.25,IF(_uom="lbs",5,2.5))))),"")</f>
        <v/>
      </c>
      <c s="70"/>
      <c s="63"/>
      <c s="97"/>
      <c s="44" t="str">
        <f>IFERROR(__xludf.DUMMYFUNCTION("IF(AK163=MAX(FILTER(AK$10:AK$199,LOOKUP(ROW(AE$10:AE$199),FILTER(ROW(AE$10:AE$199),AE$10:AE$199&lt;&gt;AE$9:AE$198))=LOOKUP(ROW(AE163),FILTER(ROW(AE$10:AE$199),AE$10:AE$199&lt;&gt;AE$9:AE$198)))),AL163,)"),"")</f>
        <v/>
      </c>
      <c s="42"/>
      <c s="63"/>
      <c s="64" t="str">
        <f t="shared" si="17"/>
        <v/>
      </c>
      <c s="65" t="str">
        <f>IFERROR(__xludf.DUMMYFUNCTION("""COMPUTED_VALUE"""),"")</f>
        <v/>
      </c>
      <c s="66">
        <f ca="1"/>
        <v>45229</v>
      </c>
      <c s="93" t="str">
        <f t="shared" si="157"/>
        <v/>
      </c>
      <c s="94" t="str">
        <f t="shared" si="399"/>
        <v/>
      </c>
      <c s="95" t="str">
        <f t="shared" si="409"/>
        <v/>
      </c>
      <c s="98" t="str">
        <f t="shared" si="400"/>
        <v/>
      </c>
      <c s="97" t="str">
        <f t="array" ref="AY163">IFERROR(IF(AS163="ac"+ISNUMBER(SEARCH("'",AX163))+AW163="","",IF(ISNUMBER(SEARCH("lw",AX163)),AK163+SUBSTITUTE(AX163,"lw+",""),MROUND(_xlfn.SWITCH(AS163,"sq",AW$7,"bn",AX$7,"dl",AY$7,"")*IF(AX163&gt;10,AX163/100,VLOOKUP(AX163,_rpe,SUBSTITUTE(AW163,"+","")+1,0)),IF(_xlfn.SWITCH(AS163,"sq",AW$7,"bn",AX$7,"dl",AY$7,"")&lt;IF(_uom="lbs",175,80),1.25,IF(_uom="lbs",5,2.5))))),"")</f>
        <v/>
      </c>
      <c s="70"/>
      <c s="63"/>
      <c s="97"/>
      <c s="44" t="str">
        <f>IFERROR(__xludf.DUMMYFUNCTION("IF(AY163=MAX(FILTER(AY$10:AY$199,LOOKUP(ROW(AS$10:AS$199),FILTER(ROW(AS$10:AS$199),AS$10:AS$199&lt;&gt;AS$9:AS$198))=LOOKUP(ROW(AS163),FILTER(ROW(AS$10:AS$199),AS$10:AS$199&lt;&gt;AS$9:AS$198)))),AZ163,)"),"")</f>
        <v/>
      </c>
      <c s="42"/>
      <c s="63"/>
      <c s="64" t="str">
        <f t="shared" si="19"/>
        <v/>
      </c>
      <c s="65" t="str">
        <f>IFERROR(__xludf.DUMMYFUNCTION("""COMPUTED_VALUE"""),"")</f>
        <v/>
      </c>
      <c s="66">
        <f ca="1"/>
        <v>45236</v>
      </c>
      <c s="93" t="str">
        <f t="shared" si="20"/>
        <v/>
      </c>
      <c s="94" t="str">
        <f t="shared" si="425"/>
        <v/>
      </c>
      <c s="95" t="str">
        <f t="shared" si="411"/>
        <v/>
      </c>
      <c s="98" t="str">
        <f t="shared" si="412"/>
        <v/>
      </c>
      <c s="97" t="str">
        <f t="array" ref="BM163">IFERROR(IF(BG163="ac"+ISNUMBER(SEARCH("'",BL163))+BK163="","",IF(ISNUMBER(SEARCH("lw",BL163)),AY163+SUBSTITUTE(BL163,"lw+",""),MROUND(_xlfn.SWITCH(BG163,"sq",BK$7,"bn",BL$7,"dl",BM$7,"")*IF(BL163&gt;10,BL163/100,VLOOKUP(BL163,_rpe,SUBSTITUTE(BK163,"+","")+1,0)),IF(_xlfn.SWITCH(BG163,"sq",BK$7,"bn",BL$7,"dl",BM$7,"")&lt;IF(_uom="lbs",175,80),1.25,IF(_uom="lbs",5,2.5))))),"")</f>
        <v/>
      </c>
      <c s="70"/>
      <c s="63"/>
      <c s="97"/>
      <c s="44" t="str">
        <f>IFERROR(__xludf.DUMMYFUNCTION("IF(BM163=MAX(FILTER(BM$10:BM$199,LOOKUP(ROW(BG$10:BG$199),FILTER(ROW(BG$10:BG$199),BG$10:BG$199&lt;&gt;BG$9:BG$198))=LOOKUP(ROW(BG163),FILTER(ROW(BG$10:BG$199),BG$10:BG$199&lt;&gt;BG$9:BG$198)))),BN163,)"),"")</f>
        <v/>
      </c>
      <c s="42"/>
      <c s="63"/>
      <c s="64" t="str">
        <f t="shared" si="21"/>
        <v/>
      </c>
      <c s="65" t="str">
        <f>IFERROR(__xludf.DUMMYFUNCTION("""COMPUTED_VALUE"""),"")</f>
        <v/>
      </c>
      <c s="66">
        <f ca="1"/>
        <v>45243</v>
      </c>
      <c s="93" t="str">
        <f t="shared" si="22"/>
        <v/>
      </c>
      <c s="94" t="str">
        <f t="shared" si="426"/>
        <v/>
      </c>
      <c s="95" t="str">
        <f t="shared" si="414"/>
        <v/>
      </c>
      <c s="98" t="str">
        <f t="shared" si="415"/>
        <v/>
      </c>
      <c s="97" t="str">
        <f t="array" ref="CA163">IFERROR(IF(BU163="ac"+ISNUMBER(SEARCH("'",BZ163))+BY163="","",IF(ISNUMBER(SEARCH("lw",BZ163)),BM163+SUBSTITUTE(BZ163,"lw+",""),MROUND(_xlfn.SWITCH(BU163,"sq",BY$7,"bn",BZ$7,"dl",CA$7,"")*IF(BZ163&gt;10,BZ163/100,VLOOKUP(BZ163,_rpe,SUBSTITUTE(BY163,"+","")+1,0)),IF(_xlfn.SWITCH(BU163,"sq",BY$7,"bn",BZ$7,"dl",CA$7,"")&lt;IF(_uom="lbs",175,80),1.25,IF(_uom="lbs",5,2.5))))),"")</f>
        <v/>
      </c>
      <c s="70"/>
      <c s="63"/>
      <c s="97"/>
      <c s="44" t="str">
        <f>IFERROR(__xludf.DUMMYFUNCTION("IF(CA163=MAX(FILTER(CA$10:CA$199,LOOKUP(ROW(BU$10:BU$199),FILTER(ROW(BU$10:BU$199),BU$10:BU$199&lt;&gt;BU$9:BU$198))=LOOKUP(ROW(BU163),FILTER(ROW(BU$10:BU$199),BU$10:BU$199&lt;&gt;BU$9:BU$198)))),CB163,)"),"")</f>
        <v/>
      </c>
      <c s="42"/>
      <c s="63"/>
      <c s="64" t="str">
        <f t="shared" si="24"/>
        <v/>
      </c>
      <c s="65" t="str">
        <f>IFERROR(__xludf.DUMMYFUNCTION("""COMPUTED_VALUE"""),"")</f>
        <v/>
      </c>
      <c s="66">
        <f ca="1"/>
        <v>45250</v>
      </c>
      <c s="93" t="str">
        <f t="shared" si="44"/>
        <v/>
      </c>
      <c s="94" t="str">
        <f t="shared" si="392"/>
        <v/>
      </c>
      <c s="95" t="str">
        <f t="shared" si="416"/>
        <v/>
      </c>
      <c s="98" t="str">
        <f t="shared" si="417"/>
        <v/>
      </c>
      <c s="97" t="str">
        <f t="array" ref="CO163">IFERROR(IF(CI163="ac"+ISNUMBER(SEARCH("'",CN163))+CM163="","",IF(ISNUMBER(SEARCH("lw",CN163)),CA163+SUBSTITUTE(CN163,"lw+",""),MROUND(_xlfn.SWITCH(CI163,"sq",CM$7,"bn",CN$7,"dl",CO$7,"")*IF(CN163&gt;10,CN163/100,VLOOKUP(CN163,_rpe,SUBSTITUTE(CM163,"+","")+1,0)),IF(_xlfn.SWITCH(CI163,"sq",CM$7,"bn",CN$7,"dl",CO$7,"")&lt;IF(_uom="lbs",175,80),1.25,IF(_uom="lbs",5,2.5))))),"")</f>
        <v/>
      </c>
      <c s="70"/>
      <c s="63"/>
      <c s="97"/>
      <c s="44" t="str">
        <f>IFERROR(__xludf.DUMMYFUNCTION("IF(CO163=MAX(FILTER(CO$10:CO$199,LOOKUP(ROW(CI$10:CI$199),FILTER(ROW(CI$10:CI$199),CI$10:CI$199&lt;&gt;CI$9:CI$198))=LOOKUP(ROW(CI163),FILTER(ROW(CI$10:CI$199),CI$10:CI$199&lt;&gt;CI$9:CI$198)))),CP163,)"),"")</f>
        <v/>
      </c>
      <c s="42"/>
      <c s="63"/>
      <c s="64" t="str">
        <f t="shared" si="27"/>
        <v/>
      </c>
      <c s="65" t="str">
        <f>IFERROR(__xludf.DUMMYFUNCTION("""COMPUTED_VALUE"""),"")</f>
        <v/>
      </c>
      <c s="66">
        <f ca="1"/>
        <v>45257</v>
      </c>
      <c s="93" t="str">
        <f t="shared" si="45"/>
        <v/>
      </c>
      <c s="94" t="str">
        <f t="shared" si="393"/>
        <v/>
      </c>
      <c s="95" t="str">
        <f t="shared" si="418"/>
        <v/>
      </c>
      <c s="98" t="str">
        <f t="shared" si="401"/>
        <v/>
      </c>
      <c s="97" t="str">
        <f t="array" ref="DC163">IFERROR(IF(CW163="ac"+ISNUMBER(SEARCH("'",DB163))+DA163="","",IF(ISNUMBER(SEARCH("lw",DB163)),CO163+SUBSTITUTE(DB163,"lw+",""),MROUND(_xlfn.SWITCH(CW163,"sq",DA$7,"bn",DB$7,"dl",DC$7,"")*IF(DB163&gt;10,DB163/100,VLOOKUP(DB163,_rpe,SUBSTITUTE(DA163,"+","")+1,0)),IF(_xlfn.SWITCH(CW163,"sq",DA$7,"bn",DB$7,"dl",DC$7,"")&lt;IF(_uom="lbs",175,80),1.25,IF(_uom="lbs",5,2.5))))),"")</f>
        <v/>
      </c>
      <c s="70"/>
      <c s="63"/>
      <c s="97"/>
      <c s="44" t="str">
        <f>IFERROR(__xludf.DUMMYFUNCTION("IF(DC163=MAX(FILTER(DC$10:DC$199,LOOKUP(ROW(CW$10:CW$199),FILTER(ROW(CW$10:CW$199),CW$10:CW$199&lt;&gt;CW$9:CW$198))=LOOKUP(ROW(CW163),FILTER(ROW(CW$10:CW$199),CW$10:CW$199&lt;&gt;CW$9:CW$198)))),DD163,)"),"")</f>
        <v/>
      </c>
      <c s="42"/>
      <c s="63"/>
      <c s="64" t="str">
        <f t="shared" si="30"/>
        <v/>
      </c>
      <c s="65" t="str">
        <f>IFERROR(__xludf.DUMMYFUNCTION("""COMPUTED_VALUE"""),"")</f>
        <v/>
      </c>
      <c s="66">
        <f ca="1"/>
        <v>45264</v>
      </c>
      <c s="93" t="str">
        <f t="shared" si="46"/>
        <v/>
      </c>
      <c s="94" t="str">
        <f t="shared" si="394"/>
        <v/>
      </c>
      <c s="95" t="str">
        <f t="shared" si="419"/>
        <v/>
      </c>
      <c s="98" t="str">
        <f t="shared" si="420"/>
        <v/>
      </c>
      <c s="97" t="str">
        <f t="array" ref="DQ163">IFERROR(IF(DK163="ac"+ISNUMBER(SEARCH("'",DP163))+DO163="","",IF(ISNUMBER(SEARCH("lw",DP163)),DC163+SUBSTITUTE(DP163,"lw+",""),MROUND(_xlfn.SWITCH(DK163,"sq",DO$7,"bn",DP$7,"dl",DQ$7,"")*IF(DP163&gt;10,DP163/100,VLOOKUP(DP163,_rpe,SUBSTITUTE(DO163,"+","")+1,0)),IF(_xlfn.SWITCH(DK163,"sq",DO$7,"bn",DP$7,"dl",DQ$7,"")&lt;IF(_uom="lbs",175,80),1.25,IF(_uom="lbs",5,2.5))))),"")</f>
        <v/>
      </c>
      <c s="70"/>
      <c s="63"/>
      <c s="97"/>
      <c s="44" t="str">
        <f>IFERROR(__xludf.DUMMYFUNCTION("IF(DQ163=MAX(FILTER(DQ$10:DQ$199,LOOKUP(ROW(DK$10:DK$199),FILTER(ROW(DK$10:DK$199),DK$10:DK$199&lt;&gt;DK$9:DK$198))=LOOKUP(ROW(DK163),FILTER(ROW(DK$10:DK$199),DK$10:DK$199&lt;&gt;DK$9:DK$198)))),DR163,)"),"")</f>
        <v/>
      </c>
      <c s="42"/>
      <c s="63"/>
      <c s="64" t="str">
        <f t="shared" si="32"/>
        <v/>
      </c>
      <c s="65" t="str">
        <f>IFERROR(__xludf.DUMMYFUNCTION("""COMPUTED_VALUE"""),"")</f>
        <v/>
      </c>
      <c s="66">
        <f ca="1"/>
        <v>45271</v>
      </c>
      <c s="93" t="str">
        <f t="shared" si="47"/>
        <v/>
      </c>
      <c s="94" t="str">
        <f t="shared" si="405"/>
        <v/>
      </c>
      <c s="95" t="str">
        <f t="shared" si="421"/>
        <v/>
      </c>
      <c s="98" t="str">
        <f t="shared" si="422"/>
        <v/>
      </c>
      <c s="97" t="str">
        <f t="array" ref="EE163">IFERROR(IF(DY163="ac"+ISNUMBER(SEARCH("'",ED163))+EC163="","",IF(ISNUMBER(SEARCH("lw",ED163)),DQ163+SUBSTITUTE(ED163,"lw+",""),MROUND(_xlfn.SWITCH(DY163,"sq",EC$7,"bn",ED$7,"dl",EE$7,"")*IF(ED163&gt;10,ED163/100,VLOOKUP(ED163,_rpe,SUBSTITUTE(EC163,"+","")+1,0)),IF(_xlfn.SWITCH(DY163,"sq",EC$7,"bn",ED$7,"dl",EE$7,"")&lt;IF(_uom="lbs",175,80),1.25,IF(_uom="lbs",5,2.5))))),"")</f>
        <v/>
      </c>
      <c s="70"/>
      <c s="63"/>
      <c s="97"/>
      <c s="44" t="str">
        <f>IFERROR(__xludf.DUMMYFUNCTION("IF(EE163=MAX(FILTER(EE$10:EE$199,LOOKUP(ROW(DY$10:DY$199),FILTER(ROW(DY$10:DY$199),DY$10:DY$199&lt;&gt;DY$9:DY$198))=LOOKUP(ROW(DY163),FILTER(ROW(DY$10:DY$199),DY$10:DY$199&lt;&gt;DY$9:DY$198)))),EF163,)"),"")</f>
        <v/>
      </c>
      <c s="42"/>
      <c s="63"/>
      <c s="64" t="str">
        <f t="shared" si="34"/>
        <v/>
      </c>
      <c s="65" t="str">
        <f>IFERROR(__xludf.DUMMYFUNCTION("""COMPUTED_VALUE"""),"")</f>
        <v/>
      </c>
      <c s="66">
        <f ca="1"/>
        <v>45278</v>
      </c>
      <c s="93" t="str">
        <f t="shared" si="48"/>
        <v/>
      </c>
      <c s="94" t="str">
        <f t="shared" si="395"/>
        <v/>
      </c>
      <c s="95" t="str">
        <f t="shared" si="423"/>
        <v/>
      </c>
      <c s="98" t="str">
        <f t="shared" si="402"/>
        <v/>
      </c>
      <c s="97" t="str">
        <f t="array" ref="ES163">IFERROR(IF(EM163="ac"+ISNUMBER(SEARCH("'",ER163))+EQ163="","",IF(ISNUMBER(SEARCH("lw",ER163)),EE163+SUBSTITUTE(ER163,"lw+",""),MROUND(_xlfn.SWITCH(EM163,"sq",EQ$7,"bn",ER$7,"dl",ES$7,"")*IF(ER163&gt;10,ER163/100,VLOOKUP(ER163,_rpe,SUBSTITUTE(EQ163,"+","")+1,0)),IF(_xlfn.SWITCH(EM163,"sq",EQ$7,"bn",ER$7,"dl",ES$7,"")&lt;IF(_uom="lbs",175,80),1.25,IF(_uom="lbs",5,2.5))))),"")</f>
        <v/>
      </c>
      <c s="70"/>
      <c s="63"/>
      <c s="97"/>
      <c s="44" t="str">
        <f>IFERROR(__xludf.DUMMYFUNCTION("IF(ES163=MAX(FILTER(ES$10:ES$199,LOOKUP(ROW(EM$10:EM$199),FILTER(ROW(EM$10:EM$199),EM$10:EM$199&lt;&gt;EM$9:EM$198))=LOOKUP(ROW(EM163),FILTER(ROW(EM$10:EM$199),EM$10:EM$199&lt;&gt;EM$9:EM$198)))),ET163,)"),"")</f>
        <v/>
      </c>
      <c s="42"/>
      <c s="63"/>
      <c s="64" t="str">
        <f t="shared" si="36"/>
        <v/>
      </c>
      <c s="65" t="str">
        <f>IFERROR(__xludf.DUMMYFUNCTION("""COMPUTED_VALUE"""),"")</f>
        <v/>
      </c>
      <c s="66">
        <f ca="1"/>
        <v>45285</v>
      </c>
      <c s="93" t="str">
        <f t="shared" si="49"/>
        <v/>
      </c>
      <c s="94" t="str">
        <f t="shared" si="396"/>
        <v/>
      </c>
      <c s="95" t="str">
        <f t="shared" si="424"/>
        <v/>
      </c>
      <c s="98" t="str">
        <f t="shared" si="403"/>
        <v/>
      </c>
      <c s="97" t="str">
        <f t="array" ref="FG163">IFERROR(IF(FA163="ac"+ISNUMBER(SEARCH("'",FF163))+FE163="","",IF(ISNUMBER(SEARCH("lw",FF163)),ES163+SUBSTITUTE(FF163,"lw+",""),MROUND(_xlfn.SWITCH(FA163,"sq",FE$7,"bn",FF$7,"dl",FG$7,"")*IF(FF163&gt;10,FF163/100,VLOOKUP(FF163,_rpe,SUBSTITUTE(FE163,"+","")+1,0)),IF(_xlfn.SWITCH(FA163,"sq",FE$7,"bn",FF$7,"dl",FG$7,"")&lt;IF(_uom="lbs",175,80),1.25,IF(_uom="lbs",5,2.5))))),"")</f>
        <v/>
      </c>
      <c s="70"/>
      <c s="63"/>
      <c s="97"/>
      <c s="44" t="str">
        <f>IFERROR(__xludf.DUMMYFUNCTION("IF(FG163=MAX(FILTER(FG$10:FG$199,LOOKUP(ROW(FA$10:FA$199),FILTER(ROW(FA$10:FA$199),FA$10:FA$199&lt;&gt;FA$9:FA$198))=LOOKUP(ROW(FA163),FILTER(ROW(FA$10:FA$199),FA$10:FA$199&lt;&gt;FA$9:FA$198)))),FH163,)"),"")</f>
        <v/>
      </c>
      <c s="42"/>
      <c s="63"/>
      <c s="64" t="str">
        <f t="shared" si="38"/>
        <v/>
      </c>
      <c s="65" t="str">
        <f>IFERROR(__xludf.DUMMYFUNCTION("""COMPUTED_VALUE"""),"")</f>
        <v/>
      </c>
      <c s="66">
        <f ca="1"/>
        <v>45292</v>
      </c>
      <c s="93" t="str">
        <f t="shared" si="507" ref="FQ163:FR163">IF(ISBLANK(FC163),"",FC163)</f>
        <v/>
      </c>
      <c s="94" t="str">
        <f t="shared" si="507"/>
        <v/>
      </c>
      <c s="95" t="str">
        <f t="shared" si="428"/>
        <v/>
      </c>
      <c s="98" t="str">
        <f t="shared" si="429"/>
        <v/>
      </c>
      <c s="97" t="str">
        <f t="array" ref="FU163">IFERROR(IF(FO163="ac"+ISNUMBER(SEARCH("'",FT163))+FS163="","",IF(ISNUMBER(SEARCH("lw",FT163)),FG163+SUBSTITUTE(FT163,"lw+",""),MROUND(_xlfn.SWITCH(FO163,"sq",FS$7,"bn",FT$7,"dl",FU$7,"")*IF(FT163&gt;10,FT163/100,VLOOKUP(FT163,_rpe,SUBSTITUTE(FS163,"+","")+1,0)),IF(_xlfn.SWITCH(FO163,"sq",FS$7,"bn",FT$7,"dl",FU$7,"")&lt;IF(_uom="lbs",175,80),1.25,IF(_uom="lbs",5,2.5))))),"")</f>
        <v/>
      </c>
      <c s="70"/>
      <c s="63"/>
      <c s="97"/>
      <c s="44" t="str">
        <f>IFERROR(__xludf.DUMMYFUNCTION("IF(FU163=MAX(FILTER(FU$10:FU$199,LOOKUP(ROW(FO$10:FO$199),FILTER(ROW(FO$10:FO$199),FO$10:FO$199&lt;&gt;FO$9:FO$198))=LOOKUP(ROW(FO163),FILTER(ROW(FO$10:FO$199),FO$10:FO$199&lt;&gt;FO$9:FO$198)))),FV163,)"),"")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64" spans="1:259" ht="15.75">
      <c r="A164" s="63"/>
      <c s="107"/>
      <c s="65" t="str">
        <f>IFERROR(__xludf.DUMMYFUNCTION("""COMPUTED_VALUE"""),"")</f>
        <v/>
      </c>
      <c s="66">
        <f ca="1"/>
        <v>45208</v>
      </c>
      <c s="108"/>
      <c s="94"/>
      <c s="95"/>
      <c s="96"/>
      <c s="97" t="str">
        <f t="array" ref="I164">IFERROR(IF(C164="ac"+ISNUMBER(SEARCH("'",H164))+G164="","",MROUND(_xlfn.SWITCH(C164,"sq",'Personal Info'!$O$15,"bn",'Personal Info'!$S$15,"dl",'Personal Info'!$W$15,"")*IF(H164&gt;10,H164/100,VLOOKUP(H164,_rpe,SUBSTITUTE(G164,"+","")+1,0)),IF(_xlfn.SWITCH(C164:C210,"sq",'Personal Info'!$O$15,"bn",'Personal Info'!$S$15,"dl",'Personal Info'!$W$15,"")&lt;IF(_uom="lbs",175,80),1.25,IF(_uom="lbs",5,2.5)))),"")</f>
        <v/>
      </c>
      <c s="70"/>
      <c s="63"/>
      <c s="97"/>
      <c s="44" t="str">
        <f>IFERROR(__xludf.DUMMYFUNCTION("IF(I164=MAX(FILTER(I$10:I$199,LOOKUP(ROW(C$10:C$199),FILTER(ROW(C$10:C$199),C$10:C$199&lt;&gt;C$9:C$198))=LOOKUP(ROW(C164),FILTER(ROW(C$10:C$199),C$10:C$199&lt;&gt;C$9:C$198)))),J164,)"),"")</f>
        <v/>
      </c>
      <c s="42"/>
      <c s="63"/>
      <c s="64" t="str">
        <f t="shared" si="11"/>
        <v/>
      </c>
      <c s="65" t="str">
        <f>IFERROR(__xludf.DUMMYFUNCTION("""COMPUTED_VALUE"""),"")</f>
        <v/>
      </c>
      <c s="66">
        <f ca="1"/>
        <v>45215</v>
      </c>
      <c s="93" t="str">
        <f t="shared" si="12"/>
        <v/>
      </c>
      <c s="94" t="str">
        <f t="shared" si="404"/>
        <v/>
      </c>
      <c s="95" t="str">
        <f t="shared" si="406"/>
        <v/>
      </c>
      <c s="98" t="str">
        <f t="shared" si="407"/>
        <v/>
      </c>
      <c s="97" t="str">
        <f t="array" ref="W164">IFERROR(IF(Q164="ac"+ISNUMBER(SEARCH("'",V164))+U164="","",IF(ISNUMBER(SEARCH("lw",V164)),I164+SUBSTITUTE(V164,"lw+",""),MROUND(_xlfn.SWITCH(Q164,"sq",U$7,"bn",V$7,"dl",W$7,"")*IF(V164&gt;10,V164/100,VLOOKUP(V164,_rpe,SUBSTITUTE(U164,"+","")+1,0)),IF(_xlfn.SWITCH(Q164,"sq",U$7,"bn",V$7,"dl",W$7,"")&lt;IF(_uom="lbs",175,80),1.25,IF(_uom="lbs",5,2.5))))),"")</f>
        <v/>
      </c>
      <c s="70"/>
      <c s="63"/>
      <c s="97"/>
      <c s="44" t="str">
        <f>IFERROR(__xludf.DUMMYFUNCTION("IF(W164=MAX(FILTER(W$10:W$199,LOOKUP(ROW(Q$10:Q$199),FILTER(ROW(Q$10:Q$199),Q$10:Q$199&lt;&gt;Q$9:Q$198))=LOOKUP(ROW(Q164),FILTER(ROW(Q$10:Q$199),Q$10:Q$199&lt;&gt;Q$9:Q$198)))),X164,)"),"")</f>
        <v/>
      </c>
      <c s="42"/>
      <c s="63"/>
      <c s="64" t="str">
        <f t="shared" si="14"/>
        <v/>
      </c>
      <c s="65" t="str">
        <f>IFERROR(__xludf.DUMMYFUNCTION("""COMPUTED_VALUE"""),"")</f>
        <v/>
      </c>
      <c s="66">
        <f ca="1"/>
        <v>45222</v>
      </c>
      <c s="93" t="str">
        <f t="shared" si="156"/>
        <v/>
      </c>
      <c s="94" t="str">
        <f t="shared" si="397"/>
        <v/>
      </c>
      <c s="95" t="str">
        <f t="shared" si="408"/>
        <v/>
      </c>
      <c s="98" t="str">
        <f t="shared" si="398"/>
        <v/>
      </c>
      <c s="97" t="str">
        <f t="array" ref="AK164">IFERROR(IF(AE164="ac"+ISNUMBER(SEARCH("'",AJ164))+AI164="","",IF(ISNUMBER(SEARCH("lw",AJ164)),W164+SUBSTITUTE(AJ164,"lw+",""),MROUND(_xlfn.SWITCH(AE164,"sq",AI$7,"bn",AJ$7,"dl",AK$7,"")*IF(AJ164&gt;10,AJ164/100,VLOOKUP(AJ164,_rpe,SUBSTITUTE(AI164,"+","")+1,0)),IF(_xlfn.SWITCH(AE164,"sq",AI$7,"bn",AJ$7,"dl",AK$7,"")&lt;IF(_uom="lbs",175,80),1.25,IF(_uom="lbs",5,2.5))))),"")</f>
        <v/>
      </c>
      <c s="70"/>
      <c s="63"/>
      <c s="97"/>
      <c s="44" t="str">
        <f>IFERROR(__xludf.DUMMYFUNCTION("IF(AK164=MAX(FILTER(AK$10:AK$199,LOOKUP(ROW(AE$10:AE$199),FILTER(ROW(AE$10:AE$199),AE$10:AE$199&lt;&gt;AE$9:AE$198))=LOOKUP(ROW(AE164),FILTER(ROW(AE$10:AE$199),AE$10:AE$199&lt;&gt;AE$9:AE$198)))),AL164,)"),"")</f>
        <v/>
      </c>
      <c s="42"/>
      <c s="63"/>
      <c s="64" t="str">
        <f t="shared" si="17"/>
        <v/>
      </c>
      <c s="65" t="str">
        <f>IFERROR(__xludf.DUMMYFUNCTION("""COMPUTED_VALUE"""),"")</f>
        <v/>
      </c>
      <c s="66">
        <f ca="1"/>
        <v>45229</v>
      </c>
      <c s="93" t="str">
        <f t="shared" si="157"/>
        <v/>
      </c>
      <c s="94" t="str">
        <f t="shared" si="399"/>
        <v/>
      </c>
      <c s="95" t="str">
        <f t="shared" si="409"/>
        <v/>
      </c>
      <c s="98" t="str">
        <f t="shared" si="400"/>
        <v/>
      </c>
      <c s="97" t="str">
        <f t="array" ref="AY164">IFERROR(IF(AS164="ac"+ISNUMBER(SEARCH("'",AX164))+AW164="","",IF(ISNUMBER(SEARCH("lw",AX164)),AK164+SUBSTITUTE(AX164,"lw+",""),MROUND(_xlfn.SWITCH(AS164,"sq",AW$7,"bn",AX$7,"dl",AY$7,"")*IF(AX164&gt;10,AX164/100,VLOOKUP(AX164,_rpe,SUBSTITUTE(AW164,"+","")+1,0)),IF(_xlfn.SWITCH(AS164,"sq",AW$7,"bn",AX$7,"dl",AY$7,"")&lt;IF(_uom="lbs",175,80),1.25,IF(_uom="lbs",5,2.5))))),"")</f>
        <v/>
      </c>
      <c s="70"/>
      <c s="63"/>
      <c s="97"/>
      <c s="44" t="str">
        <f>IFERROR(__xludf.DUMMYFUNCTION("IF(AY164=MAX(FILTER(AY$10:AY$199,LOOKUP(ROW(AS$10:AS$199),FILTER(ROW(AS$10:AS$199),AS$10:AS$199&lt;&gt;AS$9:AS$198))=LOOKUP(ROW(AS164),FILTER(ROW(AS$10:AS$199),AS$10:AS$199&lt;&gt;AS$9:AS$198)))),AZ164,)"),"")</f>
        <v/>
      </c>
      <c s="42"/>
      <c s="63"/>
      <c s="64" t="str">
        <f t="shared" si="19"/>
        <v/>
      </c>
      <c s="65" t="str">
        <f>IFERROR(__xludf.DUMMYFUNCTION("""COMPUTED_VALUE"""),"")</f>
        <v/>
      </c>
      <c s="66">
        <f ca="1"/>
        <v>45236</v>
      </c>
      <c s="93" t="str">
        <f t="shared" si="20"/>
        <v/>
      </c>
      <c s="94" t="str">
        <f t="shared" si="425"/>
        <v/>
      </c>
      <c s="95" t="str">
        <f t="shared" si="411"/>
        <v/>
      </c>
      <c s="98" t="str">
        <f t="shared" si="412"/>
        <v/>
      </c>
      <c s="97" t="str">
        <f t="array" ref="BM164">IFERROR(IF(BG164="ac"+ISNUMBER(SEARCH("'",BL164))+BK164="","",IF(ISNUMBER(SEARCH("lw",BL164)),AY164+SUBSTITUTE(BL164,"lw+",""),MROUND(_xlfn.SWITCH(BG164,"sq",BK$7,"bn",BL$7,"dl",BM$7,"")*IF(BL164&gt;10,BL164/100,VLOOKUP(BL164,_rpe,SUBSTITUTE(BK164,"+","")+1,0)),IF(_xlfn.SWITCH(BG164,"sq",BK$7,"bn",BL$7,"dl",BM$7,"")&lt;IF(_uom="lbs",175,80),1.25,IF(_uom="lbs",5,2.5))))),"")</f>
        <v/>
      </c>
      <c s="70"/>
      <c s="63"/>
      <c s="97"/>
      <c s="44" t="str">
        <f>IFERROR(__xludf.DUMMYFUNCTION("IF(BM164=MAX(FILTER(BM$10:BM$199,LOOKUP(ROW(BG$10:BG$199),FILTER(ROW(BG$10:BG$199),BG$10:BG$199&lt;&gt;BG$9:BG$198))=LOOKUP(ROW(BG164),FILTER(ROW(BG$10:BG$199),BG$10:BG$199&lt;&gt;BG$9:BG$198)))),BN164,)"),"")</f>
        <v/>
      </c>
      <c s="42"/>
      <c s="63"/>
      <c s="64" t="str">
        <f t="shared" si="21"/>
        <v/>
      </c>
      <c s="65" t="str">
        <f>IFERROR(__xludf.DUMMYFUNCTION("""COMPUTED_VALUE"""),"")</f>
        <v/>
      </c>
      <c s="66">
        <f ca="1"/>
        <v>45243</v>
      </c>
      <c s="93" t="str">
        <f t="shared" si="22"/>
        <v/>
      </c>
      <c s="94" t="str">
        <f t="shared" si="426"/>
        <v/>
      </c>
      <c s="95" t="str">
        <f t="shared" si="414"/>
        <v/>
      </c>
      <c s="98" t="str">
        <f t="shared" si="415"/>
        <v/>
      </c>
      <c s="97" t="str">
        <f t="array" ref="CA164">IFERROR(IF(BU164="ac"+ISNUMBER(SEARCH("'",BZ164))+BY164="","",IF(ISNUMBER(SEARCH("lw",BZ164)),BM164+SUBSTITUTE(BZ164,"lw+",""),MROUND(_xlfn.SWITCH(BU164,"sq",BY$7,"bn",BZ$7,"dl",CA$7,"")*IF(BZ164&gt;10,BZ164/100,VLOOKUP(BZ164,_rpe,SUBSTITUTE(BY164,"+","")+1,0)),IF(_xlfn.SWITCH(BU164,"sq",BY$7,"bn",BZ$7,"dl",CA$7,"")&lt;IF(_uom="lbs",175,80),1.25,IF(_uom="lbs",5,2.5))))),"")</f>
        <v/>
      </c>
      <c s="70"/>
      <c s="63"/>
      <c s="97"/>
      <c s="44" t="str">
        <f>IFERROR(__xludf.DUMMYFUNCTION("IF(CA164=MAX(FILTER(CA$10:CA$199,LOOKUP(ROW(BU$10:BU$199),FILTER(ROW(BU$10:BU$199),BU$10:BU$199&lt;&gt;BU$9:BU$198))=LOOKUP(ROW(BU164),FILTER(ROW(BU$10:BU$199),BU$10:BU$199&lt;&gt;BU$9:BU$198)))),CB164,)"),"")</f>
        <v/>
      </c>
      <c s="42"/>
      <c s="63"/>
      <c s="64" t="str">
        <f t="shared" si="24"/>
        <v/>
      </c>
      <c s="65" t="str">
        <f>IFERROR(__xludf.DUMMYFUNCTION("""COMPUTED_VALUE"""),"")</f>
        <v/>
      </c>
      <c s="66">
        <f ca="1"/>
        <v>45250</v>
      </c>
      <c s="93" t="str">
        <f t="shared" si="44"/>
        <v/>
      </c>
      <c s="94" t="str">
        <f t="shared" si="392"/>
        <v/>
      </c>
      <c s="95" t="str">
        <f t="shared" si="416"/>
        <v/>
      </c>
      <c s="98" t="str">
        <f t="shared" si="417"/>
        <v/>
      </c>
      <c s="97" t="str">
        <f t="array" ref="CO164">IFERROR(IF(CI164="ac"+ISNUMBER(SEARCH("'",CN164))+CM164="","",IF(ISNUMBER(SEARCH("lw",CN164)),CA164+SUBSTITUTE(CN164,"lw+",""),MROUND(_xlfn.SWITCH(CI164,"sq",CM$7,"bn",CN$7,"dl",CO$7,"")*IF(CN164&gt;10,CN164/100,VLOOKUP(CN164,_rpe,SUBSTITUTE(CM164,"+","")+1,0)),IF(_xlfn.SWITCH(CI164,"sq",CM$7,"bn",CN$7,"dl",CO$7,"")&lt;IF(_uom="lbs",175,80),1.25,IF(_uom="lbs",5,2.5))))),"")</f>
        <v/>
      </c>
      <c s="70"/>
      <c s="63"/>
      <c s="97"/>
      <c s="44" t="str">
        <f>IFERROR(__xludf.DUMMYFUNCTION("IF(CO164=MAX(FILTER(CO$10:CO$199,LOOKUP(ROW(CI$10:CI$199),FILTER(ROW(CI$10:CI$199),CI$10:CI$199&lt;&gt;CI$9:CI$198))=LOOKUP(ROW(CI164),FILTER(ROW(CI$10:CI$199),CI$10:CI$199&lt;&gt;CI$9:CI$198)))),CP164,)"),"")</f>
        <v/>
      </c>
      <c s="42"/>
      <c s="63"/>
      <c s="64" t="str">
        <f t="shared" si="27"/>
        <v/>
      </c>
      <c s="65" t="str">
        <f>IFERROR(__xludf.DUMMYFUNCTION("""COMPUTED_VALUE"""),"")</f>
        <v/>
      </c>
      <c s="66">
        <f ca="1"/>
        <v>45257</v>
      </c>
      <c s="93" t="str">
        <f t="shared" si="45"/>
        <v/>
      </c>
      <c s="94" t="str">
        <f t="shared" si="393"/>
        <v/>
      </c>
      <c s="95" t="str">
        <f t="shared" si="418"/>
        <v/>
      </c>
      <c s="98" t="str">
        <f t="shared" si="401"/>
        <v/>
      </c>
      <c s="97" t="str">
        <f t="array" ref="DC164">IFERROR(IF(CW164="ac"+ISNUMBER(SEARCH("'",DB164))+DA164="","",IF(ISNUMBER(SEARCH("lw",DB164)),CO164+SUBSTITUTE(DB164,"lw+",""),MROUND(_xlfn.SWITCH(CW164,"sq",DA$7,"bn",DB$7,"dl",DC$7,"")*IF(DB164&gt;10,DB164/100,VLOOKUP(DB164,_rpe,SUBSTITUTE(DA164,"+","")+1,0)),IF(_xlfn.SWITCH(CW164,"sq",DA$7,"bn",DB$7,"dl",DC$7,"")&lt;IF(_uom="lbs",175,80),1.25,IF(_uom="lbs",5,2.5))))),"")</f>
        <v/>
      </c>
      <c s="70"/>
      <c s="63"/>
      <c s="97"/>
      <c s="44" t="str">
        <f>IFERROR(__xludf.DUMMYFUNCTION("IF(DC164=MAX(FILTER(DC$10:DC$199,LOOKUP(ROW(CW$10:CW$199),FILTER(ROW(CW$10:CW$199),CW$10:CW$199&lt;&gt;CW$9:CW$198))=LOOKUP(ROW(CW164),FILTER(ROW(CW$10:CW$199),CW$10:CW$199&lt;&gt;CW$9:CW$198)))),DD164,)"),"")</f>
        <v/>
      </c>
      <c s="42"/>
      <c s="63"/>
      <c s="64" t="str">
        <f t="shared" si="30"/>
        <v/>
      </c>
      <c s="65" t="str">
        <f>IFERROR(__xludf.DUMMYFUNCTION("""COMPUTED_VALUE"""),"")</f>
        <v/>
      </c>
      <c s="66">
        <f ca="1"/>
        <v>45264</v>
      </c>
      <c s="93" t="str">
        <f t="shared" si="46"/>
        <v/>
      </c>
      <c s="94" t="str">
        <f t="shared" si="394"/>
        <v/>
      </c>
      <c s="95" t="str">
        <f t="shared" si="419"/>
        <v/>
      </c>
      <c s="98" t="str">
        <f t="shared" si="420"/>
        <v/>
      </c>
      <c s="97" t="str">
        <f t="array" ref="DQ164">IFERROR(IF(DK164="ac"+ISNUMBER(SEARCH("'",DP164))+DO164="","",IF(ISNUMBER(SEARCH("lw",DP164)),DC164+SUBSTITUTE(DP164,"lw+",""),MROUND(_xlfn.SWITCH(DK164,"sq",DO$7,"bn",DP$7,"dl",DQ$7,"")*IF(DP164&gt;10,DP164/100,VLOOKUP(DP164,_rpe,SUBSTITUTE(DO164,"+","")+1,0)),IF(_xlfn.SWITCH(DK164,"sq",DO$7,"bn",DP$7,"dl",DQ$7,"")&lt;IF(_uom="lbs",175,80),1.25,IF(_uom="lbs",5,2.5))))),"")</f>
        <v/>
      </c>
      <c s="70"/>
      <c s="63"/>
      <c s="97"/>
      <c s="44" t="str">
        <f>IFERROR(__xludf.DUMMYFUNCTION("IF(DQ164=MAX(FILTER(DQ$10:DQ$199,LOOKUP(ROW(DK$10:DK$199),FILTER(ROW(DK$10:DK$199),DK$10:DK$199&lt;&gt;DK$9:DK$198))=LOOKUP(ROW(DK164),FILTER(ROW(DK$10:DK$199),DK$10:DK$199&lt;&gt;DK$9:DK$198)))),DR164,)"),"")</f>
        <v/>
      </c>
      <c s="42"/>
      <c s="63"/>
      <c s="64" t="str">
        <f t="shared" si="32"/>
        <v/>
      </c>
      <c s="65" t="str">
        <f>IFERROR(__xludf.DUMMYFUNCTION("""COMPUTED_VALUE"""),"")</f>
        <v/>
      </c>
      <c s="66">
        <f ca="1"/>
        <v>45271</v>
      </c>
      <c s="93" t="str">
        <f t="shared" si="47"/>
        <v/>
      </c>
      <c s="94" t="str">
        <f t="shared" si="405"/>
        <v/>
      </c>
      <c s="95" t="str">
        <f t="shared" si="421"/>
        <v/>
      </c>
      <c s="98" t="str">
        <f t="shared" si="422"/>
        <v/>
      </c>
      <c s="97" t="str">
        <f t="array" ref="EE164">IFERROR(IF(DY164="ac"+ISNUMBER(SEARCH("'",ED164))+EC164="","",IF(ISNUMBER(SEARCH("lw",ED164)),DQ164+SUBSTITUTE(ED164,"lw+",""),MROUND(_xlfn.SWITCH(DY164,"sq",EC$7,"bn",ED$7,"dl",EE$7,"")*IF(ED164&gt;10,ED164/100,VLOOKUP(ED164,_rpe,SUBSTITUTE(EC164,"+","")+1,0)),IF(_xlfn.SWITCH(DY164,"sq",EC$7,"bn",ED$7,"dl",EE$7,"")&lt;IF(_uom="lbs",175,80),1.25,IF(_uom="lbs",5,2.5))))),"")</f>
        <v/>
      </c>
      <c s="70"/>
      <c s="63"/>
      <c s="97"/>
      <c s="44" t="str">
        <f>IFERROR(__xludf.DUMMYFUNCTION("IF(EE164=MAX(FILTER(EE$10:EE$199,LOOKUP(ROW(DY$10:DY$199),FILTER(ROW(DY$10:DY$199),DY$10:DY$199&lt;&gt;DY$9:DY$198))=LOOKUP(ROW(DY164),FILTER(ROW(DY$10:DY$199),DY$10:DY$199&lt;&gt;DY$9:DY$198)))),EF164,)"),"")</f>
        <v/>
      </c>
      <c s="42"/>
      <c s="63"/>
      <c s="64" t="str">
        <f t="shared" si="34"/>
        <v/>
      </c>
      <c s="65" t="str">
        <f>IFERROR(__xludf.DUMMYFUNCTION("""COMPUTED_VALUE"""),"")</f>
        <v/>
      </c>
      <c s="66">
        <f ca="1"/>
        <v>45278</v>
      </c>
      <c s="93" t="str">
        <f t="shared" si="48"/>
        <v/>
      </c>
      <c s="94" t="str">
        <f t="shared" si="395"/>
        <v/>
      </c>
      <c s="95" t="str">
        <f t="shared" si="423"/>
        <v/>
      </c>
      <c s="98" t="str">
        <f t="shared" si="402"/>
        <v/>
      </c>
      <c s="97" t="str">
        <f t="array" ref="ES164">IFERROR(IF(EM164="ac"+ISNUMBER(SEARCH("'",ER164))+EQ164="","",IF(ISNUMBER(SEARCH("lw",ER164)),EE164+SUBSTITUTE(ER164,"lw+",""),MROUND(_xlfn.SWITCH(EM164,"sq",EQ$7,"bn",ER$7,"dl",ES$7,"")*IF(ER164&gt;10,ER164/100,VLOOKUP(ER164,_rpe,SUBSTITUTE(EQ164,"+","")+1,0)),IF(_xlfn.SWITCH(EM164,"sq",EQ$7,"bn",ER$7,"dl",ES$7,"")&lt;IF(_uom="lbs",175,80),1.25,IF(_uom="lbs",5,2.5))))),"")</f>
        <v/>
      </c>
      <c s="70"/>
      <c s="63"/>
      <c s="97"/>
      <c s="44" t="str">
        <f>IFERROR(__xludf.DUMMYFUNCTION("IF(ES164=MAX(FILTER(ES$10:ES$199,LOOKUP(ROW(EM$10:EM$199),FILTER(ROW(EM$10:EM$199),EM$10:EM$199&lt;&gt;EM$9:EM$198))=LOOKUP(ROW(EM164),FILTER(ROW(EM$10:EM$199),EM$10:EM$199&lt;&gt;EM$9:EM$198)))),ET164,)"),"")</f>
        <v/>
      </c>
      <c s="42"/>
      <c s="63"/>
      <c s="64" t="str">
        <f t="shared" si="36"/>
        <v/>
      </c>
      <c s="65" t="str">
        <f>IFERROR(__xludf.DUMMYFUNCTION("""COMPUTED_VALUE"""),"")</f>
        <v/>
      </c>
      <c s="66">
        <f ca="1"/>
        <v>45285</v>
      </c>
      <c s="93" t="str">
        <f t="shared" si="49"/>
        <v/>
      </c>
      <c s="94" t="str">
        <f t="shared" si="396"/>
        <v/>
      </c>
      <c s="95" t="str">
        <f t="shared" si="424"/>
        <v/>
      </c>
      <c s="98" t="str">
        <f t="shared" si="403"/>
        <v/>
      </c>
      <c s="97" t="str">
        <f t="array" ref="FG164">IFERROR(IF(FA164="ac"+ISNUMBER(SEARCH("'",FF164))+FE164="","",IF(ISNUMBER(SEARCH("lw",FF164)),ES164+SUBSTITUTE(FF164,"lw+",""),MROUND(_xlfn.SWITCH(FA164,"sq",FE$7,"bn",FF$7,"dl",FG$7,"")*IF(FF164&gt;10,FF164/100,VLOOKUP(FF164,_rpe,SUBSTITUTE(FE164,"+","")+1,0)),IF(_xlfn.SWITCH(FA164,"sq",FE$7,"bn",FF$7,"dl",FG$7,"")&lt;IF(_uom="lbs",175,80),1.25,IF(_uom="lbs",5,2.5))))),"")</f>
        <v/>
      </c>
      <c s="70"/>
      <c s="63"/>
      <c s="97"/>
      <c s="44" t="str">
        <f>IFERROR(__xludf.DUMMYFUNCTION("IF(FG164=MAX(FILTER(FG$10:FG$199,LOOKUP(ROW(FA$10:FA$199),FILTER(ROW(FA$10:FA$199),FA$10:FA$199&lt;&gt;FA$9:FA$198))=LOOKUP(ROW(FA164),FILTER(ROW(FA$10:FA$199),FA$10:FA$199&lt;&gt;FA$9:FA$198)))),FH164,)"),"")</f>
        <v/>
      </c>
      <c s="42"/>
      <c s="63"/>
      <c s="64" t="str">
        <f t="shared" si="38"/>
        <v/>
      </c>
      <c s="65" t="str">
        <f>IFERROR(__xludf.DUMMYFUNCTION("""COMPUTED_VALUE"""),"")</f>
        <v/>
      </c>
      <c s="66">
        <f ca="1"/>
        <v>45292</v>
      </c>
      <c s="93" t="str">
        <f t="shared" si="508" ref="FQ164:FR164">IF(ISBLANK(FC164),"",FC164)</f>
        <v/>
      </c>
      <c s="94" t="str">
        <f t="shared" si="508"/>
        <v/>
      </c>
      <c s="95" t="str">
        <f t="shared" si="428"/>
        <v/>
      </c>
      <c s="98" t="str">
        <f t="shared" si="429"/>
        <v/>
      </c>
      <c s="97" t="str">
        <f t="array" ref="FU164">IFERROR(IF(FO164="ac"+ISNUMBER(SEARCH("'",FT164))+FS164="","",IF(ISNUMBER(SEARCH("lw",FT164)),FG164+SUBSTITUTE(FT164,"lw+",""),MROUND(_xlfn.SWITCH(FO164,"sq",FS$7,"bn",FT$7,"dl",FU$7,"")*IF(FT164&gt;10,FT164/100,VLOOKUP(FT164,_rpe,SUBSTITUTE(FS164,"+","")+1,0)),IF(_xlfn.SWITCH(FO164,"sq",FS$7,"bn",FT$7,"dl",FU$7,"")&lt;IF(_uom="lbs",175,80),1.25,IF(_uom="lbs",5,2.5))))),"")</f>
        <v/>
      </c>
      <c s="70"/>
      <c s="63"/>
      <c s="97"/>
      <c s="44" t="str">
        <f>IFERROR(__xludf.DUMMYFUNCTION("IF(FU164=MAX(FILTER(FU$10:FU$199,LOOKUP(ROW(FO$10:FO$199),FILTER(ROW(FO$10:FO$199),FO$10:FO$199&lt;&gt;FO$9:FO$198))=LOOKUP(ROW(FO164),FILTER(ROW(FO$10:FO$199),FO$10:FO$199&lt;&gt;FO$9:FO$198)))),FV164,)"),"")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65" spans="1:259" ht="15.75">
      <c r="A165" s="63"/>
      <c s="107"/>
      <c s="65" t="str">
        <f>IFERROR(__xludf.DUMMYFUNCTION("""COMPUTED_VALUE"""),"")</f>
        <v/>
      </c>
      <c s="66">
        <f ca="1"/>
        <v>45208</v>
      </c>
      <c s="108"/>
      <c s="94"/>
      <c s="95"/>
      <c s="96"/>
      <c s="97" t="str">
        <f t="array" ref="I165">IFERROR(IF(C165="ac"+ISNUMBER(SEARCH("'",H165))+G165="","",MROUND(_xlfn.SWITCH(C165,"sq",'Personal Info'!$O$15,"bn",'Personal Info'!$S$15,"dl",'Personal Info'!$W$15,"")*IF(H165&gt;10,H165/100,VLOOKUP(H165,_rpe,SUBSTITUTE(G165,"+","")+1,0)),IF(_xlfn.SWITCH(C165:C210,"sq",'Personal Info'!$O$15,"bn",'Personal Info'!$S$15,"dl",'Personal Info'!$W$15,"")&lt;IF(_uom="lbs",175,80),1.25,IF(_uom="lbs",5,2.5)))),"")</f>
        <v/>
      </c>
      <c s="70"/>
      <c s="63"/>
      <c s="97"/>
      <c s="44" t="str">
        <f>IFERROR(__xludf.DUMMYFUNCTION("IF(I165=MAX(FILTER(I$10:I$199,LOOKUP(ROW(C$10:C$199),FILTER(ROW(C$10:C$199),C$10:C$199&lt;&gt;C$9:C$198))=LOOKUP(ROW(C165),FILTER(ROW(C$10:C$199),C$10:C$199&lt;&gt;C$9:C$198)))),J165,)"),"")</f>
        <v/>
      </c>
      <c s="42"/>
      <c s="63"/>
      <c s="64" t="str">
        <f t="shared" si="11"/>
        <v/>
      </c>
      <c s="65" t="str">
        <f>IFERROR(__xludf.DUMMYFUNCTION("""COMPUTED_VALUE"""),"")</f>
        <v/>
      </c>
      <c s="66">
        <f ca="1"/>
        <v>45215</v>
      </c>
      <c s="93" t="str">
        <f t="shared" si="12"/>
        <v/>
      </c>
      <c s="94" t="str">
        <f t="shared" si="404"/>
        <v/>
      </c>
      <c s="95" t="str">
        <f t="shared" si="406"/>
        <v/>
      </c>
      <c s="98" t="str">
        <f t="shared" si="407"/>
        <v/>
      </c>
      <c s="97" t="str">
        <f t="array" ref="W165">IFERROR(IF(Q165="ac"+ISNUMBER(SEARCH("'",V165))+U165="","",IF(ISNUMBER(SEARCH("lw",V165)),I165+SUBSTITUTE(V165,"lw+",""),MROUND(_xlfn.SWITCH(Q165,"sq",U$7,"bn",V$7,"dl",W$7,"")*IF(V165&gt;10,V165/100,VLOOKUP(V165,_rpe,SUBSTITUTE(U165,"+","")+1,0)),IF(_xlfn.SWITCH(Q165,"sq",U$7,"bn",V$7,"dl",W$7,"")&lt;IF(_uom="lbs",175,80),1.25,IF(_uom="lbs",5,2.5))))),"")</f>
        <v/>
      </c>
      <c s="70"/>
      <c s="63"/>
      <c s="97"/>
      <c s="44" t="str">
        <f>IFERROR(__xludf.DUMMYFUNCTION("IF(W165=MAX(FILTER(W$10:W$199,LOOKUP(ROW(Q$10:Q$199),FILTER(ROW(Q$10:Q$199),Q$10:Q$199&lt;&gt;Q$9:Q$198))=LOOKUP(ROW(Q165),FILTER(ROW(Q$10:Q$199),Q$10:Q$199&lt;&gt;Q$9:Q$198)))),X165,)"),"")</f>
        <v/>
      </c>
      <c s="42"/>
      <c s="63"/>
      <c s="64" t="str">
        <f t="shared" si="14"/>
        <v/>
      </c>
      <c s="65" t="str">
        <f>IFERROR(__xludf.DUMMYFUNCTION("""COMPUTED_VALUE"""),"")</f>
        <v/>
      </c>
      <c s="66">
        <f ca="1"/>
        <v>45222</v>
      </c>
      <c s="93" t="str">
        <f t="shared" si="156"/>
        <v/>
      </c>
      <c s="94" t="str">
        <f t="shared" si="397"/>
        <v/>
      </c>
      <c s="95" t="str">
        <f t="shared" si="408"/>
        <v/>
      </c>
      <c s="98" t="str">
        <f t="shared" si="398"/>
        <v/>
      </c>
      <c s="97" t="str">
        <f t="array" ref="AK165">IFERROR(IF(AE165="ac"+ISNUMBER(SEARCH("'",AJ165))+AI165="","",IF(ISNUMBER(SEARCH("lw",AJ165)),W165+SUBSTITUTE(AJ165,"lw+",""),MROUND(_xlfn.SWITCH(AE165,"sq",AI$7,"bn",AJ$7,"dl",AK$7,"")*IF(AJ165&gt;10,AJ165/100,VLOOKUP(AJ165,_rpe,SUBSTITUTE(AI165,"+","")+1,0)),IF(_xlfn.SWITCH(AE165,"sq",AI$7,"bn",AJ$7,"dl",AK$7,"")&lt;IF(_uom="lbs",175,80),1.25,IF(_uom="lbs",5,2.5))))),"")</f>
        <v/>
      </c>
      <c s="70"/>
      <c s="63"/>
      <c s="97"/>
      <c s="44" t="str">
        <f>IFERROR(__xludf.DUMMYFUNCTION("IF(AK165=MAX(FILTER(AK$10:AK$199,LOOKUP(ROW(AE$10:AE$199),FILTER(ROW(AE$10:AE$199),AE$10:AE$199&lt;&gt;AE$9:AE$198))=LOOKUP(ROW(AE165),FILTER(ROW(AE$10:AE$199),AE$10:AE$199&lt;&gt;AE$9:AE$198)))),AL165,)"),"")</f>
        <v/>
      </c>
      <c s="42"/>
      <c s="63"/>
      <c s="64" t="str">
        <f t="shared" si="17"/>
        <v/>
      </c>
      <c s="65" t="str">
        <f>IFERROR(__xludf.DUMMYFUNCTION("""COMPUTED_VALUE"""),"")</f>
        <v/>
      </c>
      <c s="66">
        <f ca="1"/>
        <v>45229</v>
      </c>
      <c s="93" t="str">
        <f t="shared" si="157"/>
        <v/>
      </c>
      <c s="94" t="str">
        <f t="shared" si="399"/>
        <v/>
      </c>
      <c s="95" t="str">
        <f t="shared" si="409"/>
        <v/>
      </c>
      <c s="98" t="str">
        <f t="shared" si="400"/>
        <v/>
      </c>
      <c s="97" t="str">
        <f t="array" ref="AY165">IFERROR(IF(AS165="ac"+ISNUMBER(SEARCH("'",AX165))+AW165="","",IF(ISNUMBER(SEARCH("lw",AX165)),AK165+SUBSTITUTE(AX165,"lw+",""),MROUND(_xlfn.SWITCH(AS165,"sq",AW$7,"bn",AX$7,"dl",AY$7,"")*IF(AX165&gt;10,AX165/100,VLOOKUP(AX165,_rpe,SUBSTITUTE(AW165,"+","")+1,0)),IF(_xlfn.SWITCH(AS165,"sq",AW$7,"bn",AX$7,"dl",AY$7,"")&lt;IF(_uom="lbs",175,80),1.25,IF(_uom="lbs",5,2.5))))),"")</f>
        <v/>
      </c>
      <c s="70"/>
      <c s="63"/>
      <c s="97"/>
      <c s="44" t="str">
        <f>IFERROR(__xludf.DUMMYFUNCTION("IF(AY165=MAX(FILTER(AY$10:AY$199,LOOKUP(ROW(AS$10:AS$199),FILTER(ROW(AS$10:AS$199),AS$10:AS$199&lt;&gt;AS$9:AS$198))=LOOKUP(ROW(AS165),FILTER(ROW(AS$10:AS$199),AS$10:AS$199&lt;&gt;AS$9:AS$198)))),AZ165,)"),"")</f>
        <v/>
      </c>
      <c s="42"/>
      <c s="63"/>
      <c s="64" t="str">
        <f t="shared" si="19"/>
        <v/>
      </c>
      <c s="65" t="str">
        <f>IFERROR(__xludf.DUMMYFUNCTION("""COMPUTED_VALUE"""),"")</f>
        <v/>
      </c>
      <c s="66">
        <f ca="1"/>
        <v>45236</v>
      </c>
      <c s="93" t="str">
        <f t="shared" si="20"/>
        <v/>
      </c>
      <c s="94" t="str">
        <f t="shared" si="425"/>
        <v/>
      </c>
      <c s="95" t="str">
        <f t="shared" si="411"/>
        <v/>
      </c>
      <c s="98" t="str">
        <f t="shared" si="412"/>
        <v/>
      </c>
      <c s="97" t="str">
        <f t="array" ref="BM165">IFERROR(IF(BG165="ac"+ISNUMBER(SEARCH("'",BL165))+BK165="","",IF(ISNUMBER(SEARCH("lw",BL165)),AY165+SUBSTITUTE(BL165,"lw+",""),MROUND(_xlfn.SWITCH(BG165,"sq",BK$7,"bn",BL$7,"dl",BM$7,"")*IF(BL165&gt;10,BL165/100,VLOOKUP(BL165,_rpe,SUBSTITUTE(BK165,"+","")+1,0)),IF(_xlfn.SWITCH(BG165,"sq",BK$7,"bn",BL$7,"dl",BM$7,"")&lt;IF(_uom="lbs",175,80),1.25,IF(_uom="lbs",5,2.5))))),"")</f>
        <v/>
      </c>
      <c s="70"/>
      <c s="63"/>
      <c s="97"/>
      <c s="44" t="str">
        <f>IFERROR(__xludf.DUMMYFUNCTION("IF(BM165=MAX(FILTER(BM$10:BM$199,LOOKUP(ROW(BG$10:BG$199),FILTER(ROW(BG$10:BG$199),BG$10:BG$199&lt;&gt;BG$9:BG$198))=LOOKUP(ROW(BG165),FILTER(ROW(BG$10:BG$199),BG$10:BG$199&lt;&gt;BG$9:BG$198)))),BN165,)"),"")</f>
        <v/>
      </c>
      <c s="42"/>
      <c s="63"/>
      <c s="64" t="str">
        <f t="shared" si="21"/>
        <v/>
      </c>
      <c s="65" t="str">
        <f>IFERROR(__xludf.DUMMYFUNCTION("""COMPUTED_VALUE"""),"")</f>
        <v/>
      </c>
      <c s="66">
        <f ca="1"/>
        <v>45243</v>
      </c>
      <c s="93" t="str">
        <f t="shared" si="22"/>
        <v/>
      </c>
      <c s="94" t="str">
        <f t="shared" si="426"/>
        <v/>
      </c>
      <c s="95" t="str">
        <f t="shared" si="414"/>
        <v/>
      </c>
      <c s="98" t="str">
        <f t="shared" si="415"/>
        <v/>
      </c>
      <c s="97" t="str">
        <f t="array" ref="CA165">IFERROR(IF(BU165="ac"+ISNUMBER(SEARCH("'",BZ165))+BY165="","",IF(ISNUMBER(SEARCH("lw",BZ165)),BM165+SUBSTITUTE(BZ165,"lw+",""),MROUND(_xlfn.SWITCH(BU165,"sq",BY$7,"bn",BZ$7,"dl",CA$7,"")*IF(BZ165&gt;10,BZ165/100,VLOOKUP(BZ165,_rpe,SUBSTITUTE(BY165,"+","")+1,0)),IF(_xlfn.SWITCH(BU165,"sq",BY$7,"bn",BZ$7,"dl",CA$7,"")&lt;IF(_uom="lbs",175,80),1.25,IF(_uom="lbs",5,2.5))))),"")</f>
        <v/>
      </c>
      <c s="70"/>
      <c s="63"/>
      <c s="97"/>
      <c s="44" t="str">
        <f>IFERROR(__xludf.DUMMYFUNCTION("IF(CA165=MAX(FILTER(CA$10:CA$199,LOOKUP(ROW(BU$10:BU$199),FILTER(ROW(BU$10:BU$199),BU$10:BU$199&lt;&gt;BU$9:BU$198))=LOOKUP(ROW(BU165),FILTER(ROW(BU$10:BU$199),BU$10:BU$199&lt;&gt;BU$9:BU$198)))),CB165,)"),"")</f>
        <v/>
      </c>
      <c s="42"/>
      <c s="63"/>
      <c s="64" t="str">
        <f t="shared" si="24"/>
        <v/>
      </c>
      <c s="65" t="str">
        <f>IFERROR(__xludf.DUMMYFUNCTION("""COMPUTED_VALUE"""),"")</f>
        <v/>
      </c>
      <c s="66">
        <f ca="1"/>
        <v>45250</v>
      </c>
      <c s="93" t="str">
        <f t="shared" si="44"/>
        <v/>
      </c>
      <c s="94" t="str">
        <f t="shared" si="392"/>
        <v/>
      </c>
      <c s="95" t="str">
        <f t="shared" si="416"/>
        <v/>
      </c>
      <c s="98" t="str">
        <f t="shared" si="417"/>
        <v/>
      </c>
      <c s="97" t="str">
        <f t="array" ref="CO165">IFERROR(IF(CI165="ac"+ISNUMBER(SEARCH("'",CN165))+CM165="","",IF(ISNUMBER(SEARCH("lw",CN165)),CA165+SUBSTITUTE(CN165,"lw+",""),MROUND(_xlfn.SWITCH(CI165,"sq",CM$7,"bn",CN$7,"dl",CO$7,"")*IF(CN165&gt;10,CN165/100,VLOOKUP(CN165,_rpe,SUBSTITUTE(CM165,"+","")+1,0)),IF(_xlfn.SWITCH(CI165,"sq",CM$7,"bn",CN$7,"dl",CO$7,"")&lt;IF(_uom="lbs",175,80),1.25,IF(_uom="lbs",5,2.5))))),"")</f>
        <v/>
      </c>
      <c s="70"/>
      <c s="63"/>
      <c s="97"/>
      <c s="44" t="str">
        <f>IFERROR(__xludf.DUMMYFUNCTION("IF(CO165=MAX(FILTER(CO$10:CO$199,LOOKUP(ROW(CI$10:CI$199),FILTER(ROW(CI$10:CI$199),CI$10:CI$199&lt;&gt;CI$9:CI$198))=LOOKUP(ROW(CI165),FILTER(ROW(CI$10:CI$199),CI$10:CI$199&lt;&gt;CI$9:CI$198)))),CP165,)"),"")</f>
        <v/>
      </c>
      <c s="42"/>
      <c s="63"/>
      <c s="64" t="str">
        <f t="shared" si="27"/>
        <v/>
      </c>
      <c s="65" t="str">
        <f>IFERROR(__xludf.DUMMYFUNCTION("""COMPUTED_VALUE"""),"")</f>
        <v/>
      </c>
      <c s="66">
        <f ca="1"/>
        <v>45257</v>
      </c>
      <c s="93" t="str">
        <f t="shared" si="45"/>
        <v/>
      </c>
      <c s="94" t="str">
        <f t="shared" si="393"/>
        <v/>
      </c>
      <c s="95" t="str">
        <f t="shared" si="418"/>
        <v/>
      </c>
      <c s="98" t="str">
        <f t="shared" si="401"/>
        <v/>
      </c>
      <c s="97" t="str">
        <f t="array" ref="DC165">IFERROR(IF(CW165="ac"+ISNUMBER(SEARCH("'",DB165))+DA165="","",IF(ISNUMBER(SEARCH("lw",DB165)),CO165+SUBSTITUTE(DB165,"lw+",""),MROUND(_xlfn.SWITCH(CW165,"sq",DA$7,"bn",DB$7,"dl",DC$7,"")*IF(DB165&gt;10,DB165/100,VLOOKUP(DB165,_rpe,SUBSTITUTE(DA165,"+","")+1,0)),IF(_xlfn.SWITCH(CW165,"sq",DA$7,"bn",DB$7,"dl",DC$7,"")&lt;IF(_uom="lbs",175,80),1.25,IF(_uom="lbs",5,2.5))))),"")</f>
        <v/>
      </c>
      <c s="70"/>
      <c s="63"/>
      <c s="97"/>
      <c s="44" t="str">
        <f>IFERROR(__xludf.DUMMYFUNCTION("IF(DC165=MAX(FILTER(DC$10:DC$199,LOOKUP(ROW(CW$10:CW$199),FILTER(ROW(CW$10:CW$199),CW$10:CW$199&lt;&gt;CW$9:CW$198))=LOOKUP(ROW(CW165),FILTER(ROW(CW$10:CW$199),CW$10:CW$199&lt;&gt;CW$9:CW$198)))),DD165,)"),"")</f>
        <v/>
      </c>
      <c s="42"/>
      <c s="63"/>
      <c s="64" t="str">
        <f t="shared" si="30"/>
        <v/>
      </c>
      <c s="65" t="str">
        <f>IFERROR(__xludf.DUMMYFUNCTION("""COMPUTED_VALUE"""),"")</f>
        <v/>
      </c>
      <c s="66">
        <f ca="1"/>
        <v>45264</v>
      </c>
      <c s="93" t="str">
        <f t="shared" si="46"/>
        <v/>
      </c>
      <c s="94" t="str">
        <f t="shared" si="394"/>
        <v/>
      </c>
      <c s="95" t="str">
        <f t="shared" si="419"/>
        <v/>
      </c>
      <c s="98" t="str">
        <f t="shared" si="420"/>
        <v/>
      </c>
      <c s="97" t="str">
        <f t="array" ref="DQ165">IFERROR(IF(DK165="ac"+ISNUMBER(SEARCH("'",DP165))+DO165="","",IF(ISNUMBER(SEARCH("lw",DP165)),DC165+SUBSTITUTE(DP165,"lw+",""),MROUND(_xlfn.SWITCH(DK165,"sq",DO$7,"bn",DP$7,"dl",DQ$7,"")*IF(DP165&gt;10,DP165/100,VLOOKUP(DP165,_rpe,SUBSTITUTE(DO165,"+","")+1,0)),IF(_xlfn.SWITCH(DK165,"sq",DO$7,"bn",DP$7,"dl",DQ$7,"")&lt;IF(_uom="lbs",175,80),1.25,IF(_uom="lbs",5,2.5))))),"")</f>
        <v/>
      </c>
      <c s="70"/>
      <c s="63"/>
      <c s="97"/>
      <c s="44" t="str">
        <f>IFERROR(__xludf.DUMMYFUNCTION("IF(DQ165=MAX(FILTER(DQ$10:DQ$199,LOOKUP(ROW(DK$10:DK$199),FILTER(ROW(DK$10:DK$199),DK$10:DK$199&lt;&gt;DK$9:DK$198))=LOOKUP(ROW(DK165),FILTER(ROW(DK$10:DK$199),DK$10:DK$199&lt;&gt;DK$9:DK$198)))),DR165,)"),"")</f>
        <v/>
      </c>
      <c s="42"/>
      <c s="63"/>
      <c s="64" t="str">
        <f t="shared" si="32"/>
        <v/>
      </c>
      <c s="65" t="str">
        <f>IFERROR(__xludf.DUMMYFUNCTION("""COMPUTED_VALUE"""),"")</f>
        <v/>
      </c>
      <c s="66">
        <f ca="1"/>
        <v>45271</v>
      </c>
      <c s="93" t="str">
        <f t="shared" si="47"/>
        <v/>
      </c>
      <c s="94" t="str">
        <f t="shared" si="405"/>
        <v/>
      </c>
      <c s="95" t="str">
        <f t="shared" si="421"/>
        <v/>
      </c>
      <c s="98" t="str">
        <f t="shared" si="422"/>
        <v/>
      </c>
      <c s="97" t="str">
        <f t="array" ref="EE165">IFERROR(IF(DY165="ac"+ISNUMBER(SEARCH("'",ED165))+EC165="","",IF(ISNUMBER(SEARCH("lw",ED165)),DQ165+SUBSTITUTE(ED165,"lw+",""),MROUND(_xlfn.SWITCH(DY165,"sq",EC$7,"bn",ED$7,"dl",EE$7,"")*IF(ED165&gt;10,ED165/100,VLOOKUP(ED165,_rpe,SUBSTITUTE(EC165,"+","")+1,0)),IF(_xlfn.SWITCH(DY165,"sq",EC$7,"bn",ED$7,"dl",EE$7,"")&lt;IF(_uom="lbs",175,80),1.25,IF(_uom="lbs",5,2.5))))),"")</f>
        <v/>
      </c>
      <c s="70"/>
      <c s="63"/>
      <c s="97"/>
      <c s="44" t="str">
        <f>IFERROR(__xludf.DUMMYFUNCTION("IF(EE165=MAX(FILTER(EE$10:EE$199,LOOKUP(ROW(DY$10:DY$199),FILTER(ROW(DY$10:DY$199),DY$10:DY$199&lt;&gt;DY$9:DY$198))=LOOKUP(ROW(DY165),FILTER(ROW(DY$10:DY$199),DY$10:DY$199&lt;&gt;DY$9:DY$198)))),EF165,)"),"")</f>
        <v/>
      </c>
      <c s="42"/>
      <c s="63"/>
      <c s="64" t="str">
        <f t="shared" si="34"/>
        <v/>
      </c>
      <c s="65" t="str">
        <f>IFERROR(__xludf.DUMMYFUNCTION("""COMPUTED_VALUE"""),"")</f>
        <v/>
      </c>
      <c s="66">
        <f ca="1"/>
        <v>45278</v>
      </c>
      <c s="93" t="str">
        <f t="shared" si="48"/>
        <v/>
      </c>
      <c s="94" t="str">
        <f t="shared" si="395"/>
        <v/>
      </c>
      <c s="95" t="str">
        <f t="shared" si="423"/>
        <v/>
      </c>
      <c s="98" t="str">
        <f t="shared" si="402"/>
        <v/>
      </c>
      <c s="97" t="str">
        <f t="array" ref="ES165">IFERROR(IF(EM165="ac"+ISNUMBER(SEARCH("'",ER165))+EQ165="","",IF(ISNUMBER(SEARCH("lw",ER165)),EE165+SUBSTITUTE(ER165,"lw+",""),MROUND(_xlfn.SWITCH(EM165,"sq",EQ$7,"bn",ER$7,"dl",ES$7,"")*IF(ER165&gt;10,ER165/100,VLOOKUP(ER165,_rpe,SUBSTITUTE(EQ165,"+","")+1,0)),IF(_xlfn.SWITCH(EM165,"sq",EQ$7,"bn",ER$7,"dl",ES$7,"")&lt;IF(_uom="lbs",175,80),1.25,IF(_uom="lbs",5,2.5))))),"")</f>
        <v/>
      </c>
      <c s="70"/>
      <c s="63"/>
      <c s="97"/>
      <c s="44" t="str">
        <f>IFERROR(__xludf.DUMMYFUNCTION("IF(ES165=MAX(FILTER(ES$10:ES$199,LOOKUP(ROW(EM$10:EM$199),FILTER(ROW(EM$10:EM$199),EM$10:EM$199&lt;&gt;EM$9:EM$198))=LOOKUP(ROW(EM165),FILTER(ROW(EM$10:EM$199),EM$10:EM$199&lt;&gt;EM$9:EM$198)))),ET165,)"),"")</f>
        <v/>
      </c>
      <c s="42"/>
      <c s="63"/>
      <c s="64" t="str">
        <f t="shared" si="36"/>
        <v/>
      </c>
      <c s="65" t="str">
        <f>IFERROR(__xludf.DUMMYFUNCTION("""COMPUTED_VALUE"""),"")</f>
        <v/>
      </c>
      <c s="66">
        <f ca="1"/>
        <v>45285</v>
      </c>
      <c s="93" t="str">
        <f t="shared" si="49"/>
        <v/>
      </c>
      <c s="94" t="str">
        <f t="shared" si="396"/>
        <v/>
      </c>
      <c s="95" t="str">
        <f t="shared" si="424"/>
        <v/>
      </c>
      <c s="98" t="str">
        <f t="shared" si="403"/>
        <v/>
      </c>
      <c s="97" t="str">
        <f t="array" ref="FG165">IFERROR(IF(FA165="ac"+ISNUMBER(SEARCH("'",FF165))+FE165="","",IF(ISNUMBER(SEARCH("lw",FF165)),ES165+SUBSTITUTE(FF165,"lw+",""),MROUND(_xlfn.SWITCH(FA165,"sq",FE$7,"bn",FF$7,"dl",FG$7,"")*IF(FF165&gt;10,FF165/100,VLOOKUP(FF165,_rpe,SUBSTITUTE(FE165,"+","")+1,0)),IF(_xlfn.SWITCH(FA165,"sq",FE$7,"bn",FF$7,"dl",FG$7,"")&lt;IF(_uom="lbs",175,80),1.25,IF(_uom="lbs",5,2.5))))),"")</f>
        <v/>
      </c>
      <c s="70"/>
      <c s="63"/>
      <c s="97"/>
      <c s="44" t="str">
        <f>IFERROR(__xludf.DUMMYFUNCTION("IF(FG165=MAX(FILTER(FG$10:FG$199,LOOKUP(ROW(FA$10:FA$199),FILTER(ROW(FA$10:FA$199),FA$10:FA$199&lt;&gt;FA$9:FA$198))=LOOKUP(ROW(FA165),FILTER(ROW(FA$10:FA$199),FA$10:FA$199&lt;&gt;FA$9:FA$198)))),FH165,)"),"")</f>
        <v/>
      </c>
      <c s="42"/>
      <c s="63"/>
      <c s="64" t="str">
        <f t="shared" si="38"/>
        <v/>
      </c>
      <c s="65" t="str">
        <f>IFERROR(__xludf.DUMMYFUNCTION("""COMPUTED_VALUE"""),"")</f>
        <v/>
      </c>
      <c s="66">
        <f ca="1"/>
        <v>45292</v>
      </c>
      <c s="93" t="str">
        <f t="shared" si="509" ref="FQ165:FR165">IF(ISBLANK(FC165),"",FC165)</f>
        <v/>
      </c>
      <c s="94" t="str">
        <f t="shared" si="509"/>
        <v/>
      </c>
      <c s="95" t="str">
        <f t="shared" si="428"/>
        <v/>
      </c>
      <c s="98" t="str">
        <f t="shared" si="429"/>
        <v/>
      </c>
      <c s="97" t="str">
        <f t="array" ref="FU165">IFERROR(IF(FO165="ac"+ISNUMBER(SEARCH("'",FT165))+FS165="","",IF(ISNUMBER(SEARCH("lw",FT165)),FG165+SUBSTITUTE(FT165,"lw+",""),MROUND(_xlfn.SWITCH(FO165,"sq",FS$7,"bn",FT$7,"dl",FU$7,"")*IF(FT165&gt;10,FT165/100,VLOOKUP(FT165,_rpe,SUBSTITUTE(FS165,"+","")+1,0)),IF(_xlfn.SWITCH(FO165,"sq",FS$7,"bn",FT$7,"dl",FU$7,"")&lt;IF(_uom="lbs",175,80),1.25,IF(_uom="lbs",5,2.5))))),"")</f>
        <v/>
      </c>
      <c s="70"/>
      <c s="63"/>
      <c s="97"/>
      <c s="44" t="str">
        <f>IFERROR(__xludf.DUMMYFUNCTION("IF(FU165=MAX(FILTER(FU$10:FU$199,LOOKUP(ROW(FO$10:FO$199),FILTER(ROW(FO$10:FO$199),FO$10:FO$199&lt;&gt;FO$9:FO$198))=LOOKUP(ROW(FO165),FILTER(ROW(FO$10:FO$199),FO$10:FO$199&lt;&gt;FO$9:FO$198)))),FV165,)"),"")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66" spans="1:259" ht="15.75">
      <c r="A166" s="63"/>
      <c s="107"/>
      <c s="65" t="str">
        <f>IFERROR(__xludf.DUMMYFUNCTION("""COMPUTED_VALUE"""),"")</f>
        <v/>
      </c>
      <c s="66">
        <f ca="1"/>
        <v>45208</v>
      </c>
      <c s="108"/>
      <c s="94"/>
      <c s="95"/>
      <c s="96"/>
      <c s="97" t="str">
        <f t="array" ref="I166">IFERROR(IF(C166="ac"+ISNUMBER(SEARCH("'",H166))+G166="","",MROUND(_xlfn.SWITCH(C166,"sq",'Personal Info'!$O$15,"bn",'Personal Info'!$S$15,"dl",'Personal Info'!$W$15,"")*IF(H166&gt;10,H166/100,VLOOKUP(H166,_rpe,SUBSTITUTE(G166,"+","")+1,0)),IF(_xlfn.SWITCH(C166:C210,"sq",'Personal Info'!$O$15,"bn",'Personal Info'!$S$15,"dl",'Personal Info'!$W$15,"")&lt;IF(_uom="lbs",175,80),1.25,IF(_uom="lbs",5,2.5)))),"")</f>
        <v/>
      </c>
      <c s="70"/>
      <c s="63"/>
      <c s="97"/>
      <c s="44" t="str">
        <f>IFERROR(__xludf.DUMMYFUNCTION("IF(I166=MAX(FILTER(I$10:I$199,LOOKUP(ROW(C$10:C$199),FILTER(ROW(C$10:C$199),C$10:C$199&lt;&gt;C$9:C$198))=LOOKUP(ROW(C166),FILTER(ROW(C$10:C$199),C$10:C$199&lt;&gt;C$9:C$198)))),J166,)"),"")</f>
        <v/>
      </c>
      <c s="42"/>
      <c s="63"/>
      <c s="64" t="str">
        <f t="shared" si="11"/>
        <v/>
      </c>
      <c s="65" t="str">
        <f>IFERROR(__xludf.DUMMYFUNCTION("""COMPUTED_VALUE"""),"")</f>
        <v/>
      </c>
      <c s="66">
        <f ca="1"/>
        <v>45215</v>
      </c>
      <c s="93" t="str">
        <f t="shared" si="12"/>
        <v/>
      </c>
      <c s="94" t="str">
        <f t="shared" si="404"/>
        <v/>
      </c>
      <c s="95" t="str">
        <f t="shared" si="406"/>
        <v/>
      </c>
      <c s="98" t="str">
        <f t="shared" si="407"/>
        <v/>
      </c>
      <c s="97" t="str">
        <f t="array" ref="W166">IFERROR(IF(Q166="ac"+ISNUMBER(SEARCH("'",V166))+U166="","",IF(ISNUMBER(SEARCH("lw",V166)),I166+SUBSTITUTE(V166,"lw+",""),MROUND(_xlfn.SWITCH(Q166,"sq",U$7,"bn",V$7,"dl",W$7,"")*IF(V166&gt;10,V166/100,VLOOKUP(V166,_rpe,SUBSTITUTE(U166,"+","")+1,0)),IF(_xlfn.SWITCH(Q166,"sq",U$7,"bn",V$7,"dl",W$7,"")&lt;IF(_uom="lbs",175,80),1.25,IF(_uom="lbs",5,2.5))))),"")</f>
        <v/>
      </c>
      <c s="70"/>
      <c s="63"/>
      <c s="97"/>
      <c s="44" t="str">
        <f>IFERROR(__xludf.DUMMYFUNCTION("IF(W166=MAX(FILTER(W$10:W$199,LOOKUP(ROW(Q$10:Q$199),FILTER(ROW(Q$10:Q$199),Q$10:Q$199&lt;&gt;Q$9:Q$198))=LOOKUP(ROW(Q166),FILTER(ROW(Q$10:Q$199),Q$10:Q$199&lt;&gt;Q$9:Q$198)))),X166,)"),"")</f>
        <v/>
      </c>
      <c s="42"/>
      <c s="63"/>
      <c s="64" t="str">
        <f t="shared" si="14"/>
        <v/>
      </c>
      <c s="65" t="str">
        <f>IFERROR(__xludf.DUMMYFUNCTION("""COMPUTED_VALUE"""),"")</f>
        <v/>
      </c>
      <c s="66">
        <f ca="1"/>
        <v>45222</v>
      </c>
      <c s="93" t="str">
        <f t="shared" si="156"/>
        <v/>
      </c>
      <c s="94" t="str">
        <f t="shared" si="397"/>
        <v/>
      </c>
      <c s="95" t="str">
        <f t="shared" si="408"/>
        <v/>
      </c>
      <c s="98" t="str">
        <f t="shared" si="398"/>
        <v/>
      </c>
      <c s="97" t="str">
        <f t="array" ref="AK166">IFERROR(IF(AE166="ac"+ISNUMBER(SEARCH("'",AJ166))+AI166="","",IF(ISNUMBER(SEARCH("lw",AJ166)),W166+SUBSTITUTE(AJ166,"lw+",""),MROUND(_xlfn.SWITCH(AE166,"sq",AI$7,"bn",AJ$7,"dl",AK$7,"")*IF(AJ166&gt;10,AJ166/100,VLOOKUP(AJ166,_rpe,SUBSTITUTE(AI166,"+","")+1,0)),IF(_xlfn.SWITCH(AE166,"sq",AI$7,"bn",AJ$7,"dl",AK$7,"")&lt;IF(_uom="lbs",175,80),1.25,IF(_uom="lbs",5,2.5))))),"")</f>
        <v/>
      </c>
      <c s="70"/>
      <c s="63"/>
      <c s="97"/>
      <c s="44" t="str">
        <f>IFERROR(__xludf.DUMMYFUNCTION("IF(AK166=MAX(FILTER(AK$10:AK$199,LOOKUP(ROW(AE$10:AE$199),FILTER(ROW(AE$10:AE$199),AE$10:AE$199&lt;&gt;AE$9:AE$198))=LOOKUP(ROW(AE166),FILTER(ROW(AE$10:AE$199),AE$10:AE$199&lt;&gt;AE$9:AE$198)))),AL166,)"),"")</f>
        <v/>
      </c>
      <c s="42"/>
      <c s="63"/>
      <c s="64" t="str">
        <f t="shared" si="17"/>
        <v/>
      </c>
      <c s="65" t="str">
        <f>IFERROR(__xludf.DUMMYFUNCTION("""COMPUTED_VALUE"""),"")</f>
        <v/>
      </c>
      <c s="66">
        <f ca="1"/>
        <v>45229</v>
      </c>
      <c s="93" t="str">
        <f t="shared" si="157"/>
        <v/>
      </c>
      <c s="94" t="str">
        <f t="shared" si="399"/>
        <v/>
      </c>
      <c s="95" t="str">
        <f t="shared" si="409"/>
        <v/>
      </c>
      <c s="98" t="str">
        <f t="shared" si="400"/>
        <v/>
      </c>
      <c s="97" t="str">
        <f t="array" ref="AY166">IFERROR(IF(AS166="ac"+ISNUMBER(SEARCH("'",AX166))+AW166="","",IF(ISNUMBER(SEARCH("lw",AX166)),AK166+SUBSTITUTE(AX166,"lw+",""),MROUND(_xlfn.SWITCH(AS166,"sq",AW$7,"bn",AX$7,"dl",AY$7,"")*IF(AX166&gt;10,AX166/100,VLOOKUP(AX166,_rpe,SUBSTITUTE(AW166,"+","")+1,0)),IF(_xlfn.SWITCH(AS166,"sq",AW$7,"bn",AX$7,"dl",AY$7,"")&lt;IF(_uom="lbs",175,80),1.25,IF(_uom="lbs",5,2.5))))),"")</f>
        <v/>
      </c>
      <c s="70"/>
      <c s="63"/>
      <c s="97"/>
      <c s="44" t="str">
        <f>IFERROR(__xludf.DUMMYFUNCTION("IF(AY166=MAX(FILTER(AY$10:AY$199,LOOKUP(ROW(AS$10:AS$199),FILTER(ROW(AS$10:AS$199),AS$10:AS$199&lt;&gt;AS$9:AS$198))=LOOKUP(ROW(AS166),FILTER(ROW(AS$10:AS$199),AS$10:AS$199&lt;&gt;AS$9:AS$198)))),AZ166,)"),"")</f>
        <v/>
      </c>
      <c s="42"/>
      <c s="63"/>
      <c s="64" t="str">
        <f t="shared" si="19"/>
        <v/>
      </c>
      <c s="65" t="str">
        <f>IFERROR(__xludf.DUMMYFUNCTION("""COMPUTED_VALUE"""),"")</f>
        <v/>
      </c>
      <c s="66">
        <f ca="1"/>
        <v>45236</v>
      </c>
      <c s="93" t="str">
        <f t="shared" si="20"/>
        <v/>
      </c>
      <c s="94" t="str">
        <f t="shared" si="425"/>
        <v/>
      </c>
      <c s="95" t="str">
        <f t="shared" si="411"/>
        <v/>
      </c>
      <c s="98" t="str">
        <f t="shared" si="412"/>
        <v/>
      </c>
      <c s="97" t="str">
        <f t="array" ref="BM166">IFERROR(IF(BG166="ac"+ISNUMBER(SEARCH("'",BL166))+BK166="","",IF(ISNUMBER(SEARCH("lw",BL166)),AY166+SUBSTITUTE(BL166,"lw+",""),MROUND(_xlfn.SWITCH(BG166,"sq",BK$7,"bn",BL$7,"dl",BM$7,"")*IF(BL166&gt;10,BL166/100,VLOOKUP(BL166,_rpe,SUBSTITUTE(BK166,"+","")+1,0)),IF(_xlfn.SWITCH(BG166,"sq",BK$7,"bn",BL$7,"dl",BM$7,"")&lt;IF(_uom="lbs",175,80),1.25,IF(_uom="lbs",5,2.5))))),"")</f>
        <v/>
      </c>
      <c s="70"/>
      <c s="63"/>
      <c s="97"/>
      <c s="44" t="str">
        <f>IFERROR(__xludf.DUMMYFUNCTION("IF(BM166=MAX(FILTER(BM$10:BM$199,LOOKUP(ROW(BG$10:BG$199),FILTER(ROW(BG$10:BG$199),BG$10:BG$199&lt;&gt;BG$9:BG$198))=LOOKUP(ROW(BG166),FILTER(ROW(BG$10:BG$199),BG$10:BG$199&lt;&gt;BG$9:BG$198)))),BN166,)"),"")</f>
        <v/>
      </c>
      <c s="42"/>
      <c s="63"/>
      <c s="64" t="str">
        <f t="shared" si="21"/>
        <v/>
      </c>
      <c s="65" t="str">
        <f>IFERROR(__xludf.DUMMYFUNCTION("""COMPUTED_VALUE"""),"")</f>
        <v/>
      </c>
      <c s="66">
        <f ca="1"/>
        <v>45243</v>
      </c>
      <c s="93" t="str">
        <f t="shared" si="22"/>
        <v/>
      </c>
      <c s="94" t="str">
        <f t="shared" si="426"/>
        <v/>
      </c>
      <c s="95" t="str">
        <f t="shared" si="414"/>
        <v/>
      </c>
      <c s="98" t="str">
        <f t="shared" si="415"/>
        <v/>
      </c>
      <c s="97" t="str">
        <f t="array" ref="CA166">IFERROR(IF(BU166="ac"+ISNUMBER(SEARCH("'",BZ166))+BY166="","",IF(ISNUMBER(SEARCH("lw",BZ166)),BM166+SUBSTITUTE(BZ166,"lw+",""),MROUND(_xlfn.SWITCH(BU166,"sq",BY$7,"bn",BZ$7,"dl",CA$7,"")*IF(BZ166&gt;10,BZ166/100,VLOOKUP(BZ166,_rpe,SUBSTITUTE(BY166,"+","")+1,0)),IF(_xlfn.SWITCH(BU166,"sq",BY$7,"bn",BZ$7,"dl",CA$7,"")&lt;IF(_uom="lbs",175,80),1.25,IF(_uom="lbs",5,2.5))))),"")</f>
        <v/>
      </c>
      <c s="70"/>
      <c s="63"/>
      <c s="97"/>
      <c s="44" t="str">
        <f>IFERROR(__xludf.DUMMYFUNCTION("IF(CA166=MAX(FILTER(CA$10:CA$199,LOOKUP(ROW(BU$10:BU$199),FILTER(ROW(BU$10:BU$199),BU$10:BU$199&lt;&gt;BU$9:BU$198))=LOOKUP(ROW(BU166),FILTER(ROW(BU$10:BU$199),BU$10:BU$199&lt;&gt;BU$9:BU$198)))),CB166,)"),"")</f>
        <v/>
      </c>
      <c s="42"/>
      <c s="63"/>
      <c s="64" t="str">
        <f t="shared" si="24"/>
        <v/>
      </c>
      <c s="65" t="str">
        <f>IFERROR(__xludf.DUMMYFUNCTION("""COMPUTED_VALUE"""),"")</f>
        <v/>
      </c>
      <c s="66">
        <f ca="1"/>
        <v>45250</v>
      </c>
      <c s="93" t="str">
        <f t="shared" si="44"/>
        <v/>
      </c>
      <c s="94" t="str">
        <f t="shared" si="392"/>
        <v/>
      </c>
      <c s="95" t="str">
        <f t="shared" si="416"/>
        <v/>
      </c>
      <c s="98" t="str">
        <f t="shared" si="417"/>
        <v/>
      </c>
      <c s="97" t="str">
        <f t="array" ref="CO166">IFERROR(IF(CI166="ac"+ISNUMBER(SEARCH("'",CN166))+CM166="","",IF(ISNUMBER(SEARCH("lw",CN166)),CA166+SUBSTITUTE(CN166,"lw+",""),MROUND(_xlfn.SWITCH(CI166,"sq",CM$7,"bn",CN$7,"dl",CO$7,"")*IF(CN166&gt;10,CN166/100,VLOOKUP(CN166,_rpe,SUBSTITUTE(CM166,"+","")+1,0)),IF(_xlfn.SWITCH(CI166,"sq",CM$7,"bn",CN$7,"dl",CO$7,"")&lt;IF(_uom="lbs",175,80),1.25,IF(_uom="lbs",5,2.5))))),"")</f>
        <v/>
      </c>
      <c s="70"/>
      <c s="63"/>
      <c s="97"/>
      <c s="44" t="str">
        <f>IFERROR(__xludf.DUMMYFUNCTION("IF(CO166=MAX(FILTER(CO$10:CO$199,LOOKUP(ROW(CI$10:CI$199),FILTER(ROW(CI$10:CI$199),CI$10:CI$199&lt;&gt;CI$9:CI$198))=LOOKUP(ROW(CI166),FILTER(ROW(CI$10:CI$199),CI$10:CI$199&lt;&gt;CI$9:CI$198)))),CP166,)"),"")</f>
        <v/>
      </c>
      <c s="42"/>
      <c s="63"/>
      <c s="64" t="str">
        <f t="shared" si="27"/>
        <v/>
      </c>
      <c s="65" t="str">
        <f>IFERROR(__xludf.DUMMYFUNCTION("""COMPUTED_VALUE"""),"")</f>
        <v/>
      </c>
      <c s="66">
        <f ca="1"/>
        <v>45257</v>
      </c>
      <c s="93" t="str">
        <f t="shared" si="45"/>
        <v/>
      </c>
      <c s="94" t="str">
        <f t="shared" si="393"/>
        <v/>
      </c>
      <c s="95" t="str">
        <f t="shared" si="418"/>
        <v/>
      </c>
      <c s="98" t="str">
        <f t="shared" si="401"/>
        <v/>
      </c>
      <c s="97" t="str">
        <f t="array" ref="DC166">IFERROR(IF(CW166="ac"+ISNUMBER(SEARCH("'",DB166))+DA166="","",IF(ISNUMBER(SEARCH("lw",DB166)),CO166+SUBSTITUTE(DB166,"lw+",""),MROUND(_xlfn.SWITCH(CW166,"sq",DA$7,"bn",DB$7,"dl",DC$7,"")*IF(DB166&gt;10,DB166/100,VLOOKUP(DB166,_rpe,SUBSTITUTE(DA166,"+","")+1,0)),IF(_xlfn.SWITCH(CW166,"sq",DA$7,"bn",DB$7,"dl",DC$7,"")&lt;IF(_uom="lbs",175,80),1.25,IF(_uom="lbs",5,2.5))))),"")</f>
        <v/>
      </c>
      <c s="70"/>
      <c s="63"/>
      <c s="97"/>
      <c s="44" t="str">
        <f>IFERROR(__xludf.DUMMYFUNCTION("IF(DC166=MAX(FILTER(DC$10:DC$199,LOOKUP(ROW(CW$10:CW$199),FILTER(ROW(CW$10:CW$199),CW$10:CW$199&lt;&gt;CW$9:CW$198))=LOOKUP(ROW(CW166),FILTER(ROW(CW$10:CW$199),CW$10:CW$199&lt;&gt;CW$9:CW$198)))),DD166,)"),"")</f>
        <v/>
      </c>
      <c s="42"/>
      <c s="63"/>
      <c s="64" t="str">
        <f t="shared" si="30"/>
        <v/>
      </c>
      <c s="65" t="str">
        <f>IFERROR(__xludf.DUMMYFUNCTION("""COMPUTED_VALUE"""),"")</f>
        <v/>
      </c>
      <c s="66">
        <f ca="1"/>
        <v>45264</v>
      </c>
      <c s="93" t="str">
        <f t="shared" si="46"/>
        <v/>
      </c>
      <c s="94" t="str">
        <f t="shared" si="394"/>
        <v/>
      </c>
      <c s="95" t="str">
        <f t="shared" si="419"/>
        <v/>
      </c>
      <c s="98" t="str">
        <f t="shared" si="420"/>
        <v/>
      </c>
      <c s="97" t="str">
        <f t="array" ref="DQ166">IFERROR(IF(DK166="ac"+ISNUMBER(SEARCH("'",DP166))+DO166="","",IF(ISNUMBER(SEARCH("lw",DP166)),DC166+SUBSTITUTE(DP166,"lw+",""),MROUND(_xlfn.SWITCH(DK166,"sq",DO$7,"bn",DP$7,"dl",DQ$7,"")*IF(DP166&gt;10,DP166/100,VLOOKUP(DP166,_rpe,SUBSTITUTE(DO166,"+","")+1,0)),IF(_xlfn.SWITCH(DK166,"sq",DO$7,"bn",DP$7,"dl",DQ$7,"")&lt;IF(_uom="lbs",175,80),1.25,IF(_uom="lbs",5,2.5))))),"")</f>
        <v/>
      </c>
      <c s="70"/>
      <c s="63"/>
      <c s="97"/>
      <c s="44" t="str">
        <f>IFERROR(__xludf.DUMMYFUNCTION("IF(DQ166=MAX(FILTER(DQ$10:DQ$199,LOOKUP(ROW(DK$10:DK$199),FILTER(ROW(DK$10:DK$199),DK$10:DK$199&lt;&gt;DK$9:DK$198))=LOOKUP(ROW(DK166),FILTER(ROW(DK$10:DK$199),DK$10:DK$199&lt;&gt;DK$9:DK$198)))),DR166,)"),"")</f>
        <v/>
      </c>
      <c s="42"/>
      <c s="63"/>
      <c s="64" t="str">
        <f t="shared" si="32"/>
        <v/>
      </c>
      <c s="65" t="str">
        <f>IFERROR(__xludf.DUMMYFUNCTION("""COMPUTED_VALUE"""),"")</f>
        <v/>
      </c>
      <c s="66">
        <f ca="1"/>
        <v>45271</v>
      </c>
      <c s="93" t="str">
        <f t="shared" si="47"/>
        <v/>
      </c>
      <c s="94" t="str">
        <f t="shared" si="405"/>
        <v/>
      </c>
      <c s="95" t="str">
        <f t="shared" si="421"/>
        <v/>
      </c>
      <c s="98" t="str">
        <f t="shared" si="422"/>
        <v/>
      </c>
      <c s="97" t="str">
        <f t="array" ref="EE166">IFERROR(IF(DY166="ac"+ISNUMBER(SEARCH("'",ED166))+EC166="","",IF(ISNUMBER(SEARCH("lw",ED166)),DQ166+SUBSTITUTE(ED166,"lw+",""),MROUND(_xlfn.SWITCH(DY166,"sq",EC$7,"bn",ED$7,"dl",EE$7,"")*IF(ED166&gt;10,ED166/100,VLOOKUP(ED166,_rpe,SUBSTITUTE(EC166,"+","")+1,0)),IF(_xlfn.SWITCH(DY166,"sq",EC$7,"bn",ED$7,"dl",EE$7,"")&lt;IF(_uom="lbs",175,80),1.25,IF(_uom="lbs",5,2.5))))),"")</f>
        <v/>
      </c>
      <c s="70"/>
      <c s="63"/>
      <c s="97"/>
      <c s="44" t="str">
        <f>IFERROR(__xludf.DUMMYFUNCTION("IF(EE166=MAX(FILTER(EE$10:EE$199,LOOKUP(ROW(DY$10:DY$199),FILTER(ROW(DY$10:DY$199),DY$10:DY$199&lt;&gt;DY$9:DY$198))=LOOKUP(ROW(DY166),FILTER(ROW(DY$10:DY$199),DY$10:DY$199&lt;&gt;DY$9:DY$198)))),EF166,)"),"")</f>
        <v/>
      </c>
      <c s="42"/>
      <c s="63"/>
      <c s="64" t="str">
        <f t="shared" si="34"/>
        <v/>
      </c>
      <c s="65" t="str">
        <f>IFERROR(__xludf.DUMMYFUNCTION("""COMPUTED_VALUE"""),"")</f>
        <v/>
      </c>
      <c s="66">
        <f ca="1"/>
        <v>45278</v>
      </c>
      <c s="93" t="str">
        <f t="shared" si="48"/>
        <v/>
      </c>
      <c s="94" t="str">
        <f t="shared" si="395"/>
        <v/>
      </c>
      <c s="95" t="str">
        <f t="shared" si="423"/>
        <v/>
      </c>
      <c s="98" t="str">
        <f t="shared" si="402"/>
        <v/>
      </c>
      <c s="97" t="str">
        <f t="array" ref="ES166">IFERROR(IF(EM166="ac"+ISNUMBER(SEARCH("'",ER166))+EQ166="","",IF(ISNUMBER(SEARCH("lw",ER166)),EE166+SUBSTITUTE(ER166,"lw+",""),MROUND(_xlfn.SWITCH(EM166,"sq",EQ$7,"bn",ER$7,"dl",ES$7,"")*IF(ER166&gt;10,ER166/100,VLOOKUP(ER166,_rpe,SUBSTITUTE(EQ166,"+","")+1,0)),IF(_xlfn.SWITCH(EM166,"sq",EQ$7,"bn",ER$7,"dl",ES$7,"")&lt;IF(_uom="lbs",175,80),1.25,IF(_uom="lbs",5,2.5))))),"")</f>
        <v/>
      </c>
      <c s="70"/>
      <c s="63"/>
      <c s="97"/>
      <c s="44" t="str">
        <f>IFERROR(__xludf.DUMMYFUNCTION("IF(ES166=MAX(FILTER(ES$10:ES$199,LOOKUP(ROW(EM$10:EM$199),FILTER(ROW(EM$10:EM$199),EM$10:EM$199&lt;&gt;EM$9:EM$198))=LOOKUP(ROW(EM166),FILTER(ROW(EM$10:EM$199),EM$10:EM$199&lt;&gt;EM$9:EM$198)))),ET166,)"),"")</f>
        <v/>
      </c>
      <c s="42"/>
      <c s="63"/>
      <c s="64" t="str">
        <f t="shared" si="36"/>
        <v/>
      </c>
      <c s="65" t="str">
        <f>IFERROR(__xludf.DUMMYFUNCTION("""COMPUTED_VALUE"""),"")</f>
        <v/>
      </c>
      <c s="66">
        <f ca="1"/>
        <v>45285</v>
      </c>
      <c s="93" t="str">
        <f t="shared" si="49"/>
        <v/>
      </c>
      <c s="94" t="str">
        <f t="shared" si="396"/>
        <v/>
      </c>
      <c s="95" t="str">
        <f t="shared" si="424"/>
        <v/>
      </c>
      <c s="98" t="str">
        <f t="shared" si="403"/>
        <v/>
      </c>
      <c s="97" t="str">
        <f t="array" ref="FG166">IFERROR(IF(FA166="ac"+ISNUMBER(SEARCH("'",FF166))+FE166="","",IF(ISNUMBER(SEARCH("lw",FF166)),ES166+SUBSTITUTE(FF166,"lw+",""),MROUND(_xlfn.SWITCH(FA166,"sq",FE$7,"bn",FF$7,"dl",FG$7,"")*IF(FF166&gt;10,FF166/100,VLOOKUP(FF166,_rpe,SUBSTITUTE(FE166,"+","")+1,0)),IF(_xlfn.SWITCH(FA166,"sq",FE$7,"bn",FF$7,"dl",FG$7,"")&lt;IF(_uom="lbs",175,80),1.25,IF(_uom="lbs",5,2.5))))),"")</f>
        <v/>
      </c>
      <c s="70"/>
      <c s="63"/>
      <c s="97"/>
      <c s="44" t="str">
        <f>IFERROR(__xludf.DUMMYFUNCTION("IF(FG166=MAX(FILTER(FG$10:FG$199,LOOKUP(ROW(FA$10:FA$199),FILTER(ROW(FA$10:FA$199),FA$10:FA$199&lt;&gt;FA$9:FA$198))=LOOKUP(ROW(FA166),FILTER(ROW(FA$10:FA$199),FA$10:FA$199&lt;&gt;FA$9:FA$198)))),FH166,)"),"")</f>
        <v/>
      </c>
      <c s="42"/>
      <c s="63"/>
      <c s="64" t="str">
        <f t="shared" si="38"/>
        <v/>
      </c>
      <c s="65" t="str">
        <f>IFERROR(__xludf.DUMMYFUNCTION("""COMPUTED_VALUE"""),"")</f>
        <v/>
      </c>
      <c s="66">
        <f ca="1"/>
        <v>45292</v>
      </c>
      <c s="93" t="str">
        <f t="shared" si="510" ref="FQ166:FR166">IF(ISBLANK(FC166),"",FC166)</f>
        <v/>
      </c>
      <c s="94" t="str">
        <f t="shared" si="510"/>
        <v/>
      </c>
      <c s="95" t="str">
        <f t="shared" si="428"/>
        <v/>
      </c>
      <c s="98" t="str">
        <f t="shared" si="429"/>
        <v/>
      </c>
      <c s="97" t="str">
        <f t="array" ref="FU166">IFERROR(IF(FO166="ac"+ISNUMBER(SEARCH("'",FT166))+FS166="","",IF(ISNUMBER(SEARCH("lw",FT166)),FG166+SUBSTITUTE(FT166,"lw+",""),MROUND(_xlfn.SWITCH(FO166,"sq",FS$7,"bn",FT$7,"dl",FU$7,"")*IF(FT166&gt;10,FT166/100,VLOOKUP(FT166,_rpe,SUBSTITUTE(FS166,"+","")+1,0)),IF(_xlfn.SWITCH(FO166,"sq",FS$7,"bn",FT$7,"dl",FU$7,"")&lt;IF(_uom="lbs",175,80),1.25,IF(_uom="lbs",5,2.5))))),"")</f>
        <v/>
      </c>
      <c s="70"/>
      <c s="63"/>
      <c s="97"/>
      <c s="44" t="str">
        <f>IFERROR(__xludf.DUMMYFUNCTION("IF(FU166=MAX(FILTER(FU$10:FU$199,LOOKUP(ROW(FO$10:FO$199),FILTER(ROW(FO$10:FO$199),FO$10:FO$199&lt;&gt;FO$9:FO$198))=LOOKUP(ROW(FO166),FILTER(ROW(FO$10:FO$199),FO$10:FO$199&lt;&gt;FO$9:FO$198)))),FV166,)"),"")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67" spans="1:259" ht="15.75">
      <c r="A167" s="63"/>
      <c s="107"/>
      <c s="65" t="str">
        <f>IFERROR(__xludf.DUMMYFUNCTION("""COMPUTED_VALUE"""),"")</f>
        <v/>
      </c>
      <c s="66">
        <f ca="1"/>
        <v>45208</v>
      </c>
      <c s="108"/>
      <c s="94"/>
      <c s="95"/>
      <c s="96"/>
      <c s="97" t="str">
        <f t="array" ref="I167">IFERROR(IF(C167="ac"+ISNUMBER(SEARCH("'",H167))+G167="","",MROUND(_xlfn.SWITCH(C167,"sq",'Personal Info'!$O$15,"bn",'Personal Info'!$S$15,"dl",'Personal Info'!$W$15,"")*IF(H167&gt;10,H167/100,VLOOKUP(H167,_rpe,SUBSTITUTE(G167,"+","")+1,0)),IF(_xlfn.SWITCH(C167:C210,"sq",'Personal Info'!$O$15,"bn",'Personal Info'!$S$15,"dl",'Personal Info'!$W$15,"")&lt;IF(_uom="lbs",175,80),1.25,IF(_uom="lbs",5,2.5)))),"")</f>
        <v/>
      </c>
      <c s="70"/>
      <c s="63"/>
      <c s="97"/>
      <c s="44" t="str">
        <f>IFERROR(__xludf.DUMMYFUNCTION("IF(I167=MAX(FILTER(I$10:I$199,LOOKUP(ROW(C$10:C$199),FILTER(ROW(C$10:C$199),C$10:C$199&lt;&gt;C$9:C$198))=LOOKUP(ROW(C167),FILTER(ROW(C$10:C$199),C$10:C$199&lt;&gt;C$9:C$198)))),J167,)"),"")</f>
        <v/>
      </c>
      <c s="42"/>
      <c s="63"/>
      <c s="64" t="str">
        <f t="shared" si="11"/>
        <v/>
      </c>
      <c s="65" t="str">
        <f>IFERROR(__xludf.DUMMYFUNCTION("""COMPUTED_VALUE"""),"")</f>
        <v/>
      </c>
      <c s="66">
        <f ca="1"/>
        <v>45215</v>
      </c>
      <c s="93" t="str">
        <f t="shared" si="12"/>
        <v/>
      </c>
      <c s="94" t="str">
        <f t="shared" si="404"/>
        <v/>
      </c>
      <c s="95" t="str">
        <f t="shared" si="406"/>
        <v/>
      </c>
      <c s="98" t="str">
        <f t="shared" si="407"/>
        <v/>
      </c>
      <c s="97" t="str">
        <f t="array" ref="W167">IFERROR(IF(Q167="ac"+ISNUMBER(SEARCH("'",V167))+U167="","",IF(ISNUMBER(SEARCH("lw",V167)),I167+SUBSTITUTE(V167,"lw+",""),MROUND(_xlfn.SWITCH(Q167,"sq",U$7,"bn",V$7,"dl",W$7,"")*IF(V167&gt;10,V167/100,VLOOKUP(V167,_rpe,SUBSTITUTE(U167,"+","")+1,0)),IF(_xlfn.SWITCH(Q167,"sq",U$7,"bn",V$7,"dl",W$7,"")&lt;IF(_uom="lbs",175,80),1.25,IF(_uom="lbs",5,2.5))))),"")</f>
        <v/>
      </c>
      <c s="70"/>
      <c s="63"/>
      <c s="97"/>
      <c s="44" t="str">
        <f>IFERROR(__xludf.DUMMYFUNCTION("IF(W167=MAX(FILTER(W$10:W$199,LOOKUP(ROW(Q$10:Q$199),FILTER(ROW(Q$10:Q$199),Q$10:Q$199&lt;&gt;Q$9:Q$198))=LOOKUP(ROW(Q167),FILTER(ROW(Q$10:Q$199),Q$10:Q$199&lt;&gt;Q$9:Q$198)))),X167,)"),"")</f>
        <v/>
      </c>
      <c s="42"/>
      <c s="63"/>
      <c s="64" t="str">
        <f t="shared" si="14"/>
        <v/>
      </c>
      <c s="65" t="str">
        <f>IFERROR(__xludf.DUMMYFUNCTION("""COMPUTED_VALUE"""),"")</f>
        <v/>
      </c>
      <c s="66">
        <f ca="1"/>
        <v>45222</v>
      </c>
      <c s="93" t="str">
        <f t="shared" si="156"/>
        <v/>
      </c>
      <c s="94" t="str">
        <f t="shared" si="397"/>
        <v/>
      </c>
      <c s="95" t="str">
        <f t="shared" si="408"/>
        <v/>
      </c>
      <c s="98" t="str">
        <f t="shared" si="398"/>
        <v/>
      </c>
      <c s="97" t="str">
        <f t="array" ref="AK167">IFERROR(IF(AE167="ac"+ISNUMBER(SEARCH("'",AJ167))+AI167="","",IF(ISNUMBER(SEARCH("lw",AJ167)),W167+SUBSTITUTE(AJ167,"lw+",""),MROUND(_xlfn.SWITCH(AE167,"sq",AI$7,"bn",AJ$7,"dl",AK$7,"")*IF(AJ167&gt;10,AJ167/100,VLOOKUP(AJ167,_rpe,SUBSTITUTE(AI167,"+","")+1,0)),IF(_xlfn.SWITCH(AE167,"sq",AI$7,"bn",AJ$7,"dl",AK$7,"")&lt;IF(_uom="lbs",175,80),1.25,IF(_uom="lbs",5,2.5))))),"")</f>
        <v/>
      </c>
      <c s="70"/>
      <c s="63"/>
      <c s="97"/>
      <c s="44" t="str">
        <f>IFERROR(__xludf.DUMMYFUNCTION("IF(AK167=MAX(FILTER(AK$10:AK$199,LOOKUP(ROW(AE$10:AE$199),FILTER(ROW(AE$10:AE$199),AE$10:AE$199&lt;&gt;AE$9:AE$198))=LOOKUP(ROW(AE167),FILTER(ROW(AE$10:AE$199),AE$10:AE$199&lt;&gt;AE$9:AE$198)))),AL167,)"),"")</f>
        <v/>
      </c>
      <c s="42"/>
      <c s="63"/>
      <c s="64" t="str">
        <f t="shared" si="17"/>
        <v/>
      </c>
      <c s="65" t="str">
        <f>IFERROR(__xludf.DUMMYFUNCTION("""COMPUTED_VALUE"""),"")</f>
        <v/>
      </c>
      <c s="66">
        <f ca="1"/>
        <v>45229</v>
      </c>
      <c s="93" t="str">
        <f t="shared" si="157"/>
        <v/>
      </c>
      <c s="94" t="str">
        <f t="shared" si="399"/>
        <v/>
      </c>
      <c s="95" t="str">
        <f t="shared" si="409"/>
        <v/>
      </c>
      <c s="98" t="str">
        <f t="shared" si="400"/>
        <v/>
      </c>
      <c s="97" t="str">
        <f t="array" ref="AY167">IFERROR(IF(AS167="ac"+ISNUMBER(SEARCH("'",AX167))+AW167="","",IF(ISNUMBER(SEARCH("lw",AX167)),AK167+SUBSTITUTE(AX167,"lw+",""),MROUND(_xlfn.SWITCH(AS167,"sq",AW$7,"bn",AX$7,"dl",AY$7,"")*IF(AX167&gt;10,AX167/100,VLOOKUP(AX167,_rpe,SUBSTITUTE(AW167,"+","")+1,0)),IF(_xlfn.SWITCH(AS167,"sq",AW$7,"bn",AX$7,"dl",AY$7,"")&lt;IF(_uom="lbs",175,80),1.25,IF(_uom="lbs",5,2.5))))),"")</f>
        <v/>
      </c>
      <c s="70"/>
      <c s="63"/>
      <c s="97"/>
      <c s="44" t="str">
        <f>IFERROR(__xludf.DUMMYFUNCTION("IF(AY167=MAX(FILTER(AY$10:AY$199,LOOKUP(ROW(AS$10:AS$199),FILTER(ROW(AS$10:AS$199),AS$10:AS$199&lt;&gt;AS$9:AS$198))=LOOKUP(ROW(AS167),FILTER(ROW(AS$10:AS$199),AS$10:AS$199&lt;&gt;AS$9:AS$198)))),AZ167,)"),"")</f>
        <v/>
      </c>
      <c s="42"/>
      <c s="63"/>
      <c s="64" t="str">
        <f t="shared" si="19"/>
        <v/>
      </c>
      <c s="65" t="str">
        <f>IFERROR(__xludf.DUMMYFUNCTION("""COMPUTED_VALUE"""),"")</f>
        <v/>
      </c>
      <c s="66">
        <f ca="1"/>
        <v>45236</v>
      </c>
      <c s="93" t="str">
        <f t="shared" si="20"/>
        <v/>
      </c>
      <c s="94" t="str">
        <f t="shared" si="425"/>
        <v/>
      </c>
      <c s="95" t="str">
        <f t="shared" si="411"/>
        <v/>
      </c>
      <c s="98" t="str">
        <f t="shared" si="412"/>
        <v/>
      </c>
      <c s="97" t="str">
        <f t="array" ref="BM167">IFERROR(IF(BG167="ac"+ISNUMBER(SEARCH("'",BL167))+BK167="","",IF(ISNUMBER(SEARCH("lw",BL167)),AY167+SUBSTITUTE(BL167,"lw+",""),MROUND(_xlfn.SWITCH(BG167,"sq",BK$7,"bn",BL$7,"dl",BM$7,"")*IF(BL167&gt;10,BL167/100,VLOOKUP(BL167,_rpe,SUBSTITUTE(BK167,"+","")+1,0)),IF(_xlfn.SWITCH(BG167,"sq",BK$7,"bn",BL$7,"dl",BM$7,"")&lt;IF(_uom="lbs",175,80),1.25,IF(_uom="lbs",5,2.5))))),"")</f>
        <v/>
      </c>
      <c s="70"/>
      <c s="63"/>
      <c s="97"/>
      <c s="44" t="str">
        <f>IFERROR(__xludf.DUMMYFUNCTION("IF(BM167=MAX(FILTER(BM$10:BM$199,LOOKUP(ROW(BG$10:BG$199),FILTER(ROW(BG$10:BG$199),BG$10:BG$199&lt;&gt;BG$9:BG$198))=LOOKUP(ROW(BG167),FILTER(ROW(BG$10:BG$199),BG$10:BG$199&lt;&gt;BG$9:BG$198)))),BN167,)"),"")</f>
        <v/>
      </c>
      <c s="42"/>
      <c s="63"/>
      <c s="64" t="str">
        <f t="shared" si="21"/>
        <v/>
      </c>
      <c s="65" t="str">
        <f>IFERROR(__xludf.DUMMYFUNCTION("""COMPUTED_VALUE"""),"")</f>
        <v/>
      </c>
      <c s="66">
        <f ca="1"/>
        <v>45243</v>
      </c>
      <c s="93" t="str">
        <f t="shared" si="22"/>
        <v/>
      </c>
      <c s="94" t="str">
        <f t="shared" si="426"/>
        <v/>
      </c>
      <c s="95" t="str">
        <f t="shared" si="414"/>
        <v/>
      </c>
      <c s="98" t="str">
        <f t="shared" si="415"/>
        <v/>
      </c>
      <c s="97" t="str">
        <f t="array" ref="CA167">IFERROR(IF(BU167="ac"+ISNUMBER(SEARCH("'",BZ167))+BY167="","",IF(ISNUMBER(SEARCH("lw",BZ167)),BM167+SUBSTITUTE(BZ167,"lw+",""),MROUND(_xlfn.SWITCH(BU167,"sq",BY$7,"bn",BZ$7,"dl",CA$7,"")*IF(BZ167&gt;10,BZ167/100,VLOOKUP(BZ167,_rpe,SUBSTITUTE(BY167,"+","")+1,0)),IF(_xlfn.SWITCH(BU167,"sq",BY$7,"bn",BZ$7,"dl",CA$7,"")&lt;IF(_uom="lbs",175,80),1.25,IF(_uom="lbs",5,2.5))))),"")</f>
        <v/>
      </c>
      <c s="70"/>
      <c s="63"/>
      <c s="97"/>
      <c s="44" t="str">
        <f>IFERROR(__xludf.DUMMYFUNCTION("IF(CA167=MAX(FILTER(CA$10:CA$199,LOOKUP(ROW(BU$10:BU$199),FILTER(ROW(BU$10:BU$199),BU$10:BU$199&lt;&gt;BU$9:BU$198))=LOOKUP(ROW(BU167),FILTER(ROW(BU$10:BU$199),BU$10:BU$199&lt;&gt;BU$9:BU$198)))),CB167,)"),"")</f>
        <v/>
      </c>
      <c s="42"/>
      <c s="63"/>
      <c s="64" t="str">
        <f t="shared" si="24"/>
        <v/>
      </c>
      <c s="65" t="str">
        <f>IFERROR(__xludf.DUMMYFUNCTION("""COMPUTED_VALUE"""),"")</f>
        <v/>
      </c>
      <c s="66">
        <f ca="1"/>
        <v>45250</v>
      </c>
      <c s="93" t="str">
        <f t="shared" si="44"/>
        <v/>
      </c>
      <c s="94" t="str">
        <f t="shared" si="392"/>
        <v/>
      </c>
      <c s="95" t="str">
        <f t="shared" si="416"/>
        <v/>
      </c>
      <c s="98" t="str">
        <f t="shared" si="417"/>
        <v/>
      </c>
      <c s="97" t="str">
        <f t="array" ref="CO167">IFERROR(IF(CI167="ac"+ISNUMBER(SEARCH("'",CN167))+CM167="","",IF(ISNUMBER(SEARCH("lw",CN167)),CA167+SUBSTITUTE(CN167,"lw+",""),MROUND(_xlfn.SWITCH(CI167,"sq",CM$7,"bn",CN$7,"dl",CO$7,"")*IF(CN167&gt;10,CN167/100,VLOOKUP(CN167,_rpe,SUBSTITUTE(CM167,"+","")+1,0)),IF(_xlfn.SWITCH(CI167,"sq",CM$7,"bn",CN$7,"dl",CO$7,"")&lt;IF(_uom="lbs",175,80),1.25,IF(_uom="lbs",5,2.5))))),"")</f>
        <v/>
      </c>
      <c s="70"/>
      <c s="63"/>
      <c s="97"/>
      <c s="44" t="str">
        <f>IFERROR(__xludf.DUMMYFUNCTION("IF(CO167=MAX(FILTER(CO$10:CO$199,LOOKUP(ROW(CI$10:CI$199),FILTER(ROW(CI$10:CI$199),CI$10:CI$199&lt;&gt;CI$9:CI$198))=LOOKUP(ROW(CI167),FILTER(ROW(CI$10:CI$199),CI$10:CI$199&lt;&gt;CI$9:CI$198)))),CP167,)"),"")</f>
        <v/>
      </c>
      <c s="42"/>
      <c s="63"/>
      <c s="64" t="str">
        <f t="shared" si="27"/>
        <v/>
      </c>
      <c s="65" t="str">
        <f>IFERROR(__xludf.DUMMYFUNCTION("""COMPUTED_VALUE"""),"")</f>
        <v/>
      </c>
      <c s="66">
        <f ca="1"/>
        <v>45257</v>
      </c>
      <c s="93" t="str">
        <f t="shared" si="45"/>
        <v/>
      </c>
      <c s="94" t="str">
        <f t="shared" si="393"/>
        <v/>
      </c>
      <c s="95" t="str">
        <f t="shared" si="418"/>
        <v/>
      </c>
      <c s="98" t="str">
        <f t="shared" si="401"/>
        <v/>
      </c>
      <c s="97" t="str">
        <f t="array" ref="DC167">IFERROR(IF(CW167="ac"+ISNUMBER(SEARCH("'",DB167))+DA167="","",IF(ISNUMBER(SEARCH("lw",DB167)),CO167+SUBSTITUTE(DB167,"lw+",""),MROUND(_xlfn.SWITCH(CW167,"sq",DA$7,"bn",DB$7,"dl",DC$7,"")*IF(DB167&gt;10,DB167/100,VLOOKUP(DB167,_rpe,SUBSTITUTE(DA167,"+","")+1,0)),IF(_xlfn.SWITCH(CW167,"sq",DA$7,"bn",DB$7,"dl",DC$7,"")&lt;IF(_uom="lbs",175,80),1.25,IF(_uom="lbs",5,2.5))))),"")</f>
        <v/>
      </c>
      <c s="70"/>
      <c s="63"/>
      <c s="97"/>
      <c s="44" t="str">
        <f>IFERROR(__xludf.DUMMYFUNCTION("IF(DC167=MAX(FILTER(DC$10:DC$199,LOOKUP(ROW(CW$10:CW$199),FILTER(ROW(CW$10:CW$199),CW$10:CW$199&lt;&gt;CW$9:CW$198))=LOOKUP(ROW(CW167),FILTER(ROW(CW$10:CW$199),CW$10:CW$199&lt;&gt;CW$9:CW$198)))),DD167,)"),"")</f>
        <v/>
      </c>
      <c s="42"/>
      <c s="63"/>
      <c s="64" t="str">
        <f t="shared" si="30"/>
        <v/>
      </c>
      <c s="65" t="str">
        <f>IFERROR(__xludf.DUMMYFUNCTION("""COMPUTED_VALUE"""),"")</f>
        <v/>
      </c>
      <c s="66">
        <f ca="1"/>
        <v>45264</v>
      </c>
      <c s="93" t="str">
        <f t="shared" si="46"/>
        <v/>
      </c>
      <c s="94" t="str">
        <f t="shared" si="394"/>
        <v/>
      </c>
      <c s="95" t="str">
        <f t="shared" si="419"/>
        <v/>
      </c>
      <c s="98" t="str">
        <f t="shared" si="420"/>
        <v/>
      </c>
      <c s="97" t="str">
        <f t="array" ref="DQ167">IFERROR(IF(DK167="ac"+ISNUMBER(SEARCH("'",DP167))+DO167="","",IF(ISNUMBER(SEARCH("lw",DP167)),DC167+SUBSTITUTE(DP167,"lw+",""),MROUND(_xlfn.SWITCH(DK167,"sq",DO$7,"bn",DP$7,"dl",DQ$7,"")*IF(DP167&gt;10,DP167/100,VLOOKUP(DP167,_rpe,SUBSTITUTE(DO167,"+","")+1,0)),IF(_xlfn.SWITCH(DK167,"sq",DO$7,"bn",DP$7,"dl",DQ$7,"")&lt;IF(_uom="lbs",175,80),1.25,IF(_uom="lbs",5,2.5))))),"")</f>
        <v/>
      </c>
      <c s="70"/>
      <c s="63"/>
      <c s="97"/>
      <c s="44" t="str">
        <f>IFERROR(__xludf.DUMMYFUNCTION("IF(DQ167=MAX(FILTER(DQ$10:DQ$199,LOOKUP(ROW(DK$10:DK$199),FILTER(ROW(DK$10:DK$199),DK$10:DK$199&lt;&gt;DK$9:DK$198))=LOOKUP(ROW(DK167),FILTER(ROW(DK$10:DK$199),DK$10:DK$199&lt;&gt;DK$9:DK$198)))),DR167,)"),"")</f>
        <v/>
      </c>
      <c s="42"/>
      <c s="63"/>
      <c s="64" t="str">
        <f t="shared" si="32"/>
        <v/>
      </c>
      <c s="65" t="str">
        <f>IFERROR(__xludf.DUMMYFUNCTION("""COMPUTED_VALUE"""),"")</f>
        <v/>
      </c>
      <c s="66">
        <f ca="1"/>
        <v>45271</v>
      </c>
      <c s="93" t="str">
        <f t="shared" si="47"/>
        <v/>
      </c>
      <c s="94" t="str">
        <f t="shared" si="405"/>
        <v/>
      </c>
      <c s="95" t="str">
        <f t="shared" si="421"/>
        <v/>
      </c>
      <c s="98" t="str">
        <f t="shared" si="422"/>
        <v/>
      </c>
      <c s="97" t="str">
        <f t="array" ref="EE167">IFERROR(IF(DY167="ac"+ISNUMBER(SEARCH("'",ED167))+EC167="","",IF(ISNUMBER(SEARCH("lw",ED167)),DQ167+SUBSTITUTE(ED167,"lw+",""),MROUND(_xlfn.SWITCH(DY167,"sq",EC$7,"bn",ED$7,"dl",EE$7,"")*IF(ED167&gt;10,ED167/100,VLOOKUP(ED167,_rpe,SUBSTITUTE(EC167,"+","")+1,0)),IF(_xlfn.SWITCH(DY167,"sq",EC$7,"bn",ED$7,"dl",EE$7,"")&lt;IF(_uom="lbs",175,80),1.25,IF(_uom="lbs",5,2.5))))),"")</f>
        <v/>
      </c>
      <c s="70"/>
      <c s="63"/>
      <c s="97"/>
      <c s="44" t="str">
        <f>IFERROR(__xludf.DUMMYFUNCTION("IF(EE167=MAX(FILTER(EE$10:EE$199,LOOKUP(ROW(DY$10:DY$199),FILTER(ROW(DY$10:DY$199),DY$10:DY$199&lt;&gt;DY$9:DY$198))=LOOKUP(ROW(DY167),FILTER(ROW(DY$10:DY$199),DY$10:DY$199&lt;&gt;DY$9:DY$198)))),EF167,)"),"")</f>
        <v/>
      </c>
      <c s="42"/>
      <c s="63"/>
      <c s="64" t="str">
        <f t="shared" si="34"/>
        <v/>
      </c>
      <c s="65" t="str">
        <f>IFERROR(__xludf.DUMMYFUNCTION("""COMPUTED_VALUE"""),"")</f>
        <v/>
      </c>
      <c s="66">
        <f ca="1"/>
        <v>45278</v>
      </c>
      <c s="93" t="str">
        <f t="shared" si="48"/>
        <v/>
      </c>
      <c s="94" t="str">
        <f t="shared" si="395"/>
        <v/>
      </c>
      <c s="95" t="str">
        <f t="shared" si="423"/>
        <v/>
      </c>
      <c s="98" t="str">
        <f t="shared" si="402"/>
        <v/>
      </c>
      <c s="97" t="str">
        <f t="array" ref="ES167">IFERROR(IF(EM167="ac"+ISNUMBER(SEARCH("'",ER167))+EQ167="","",IF(ISNUMBER(SEARCH("lw",ER167)),EE167+SUBSTITUTE(ER167,"lw+",""),MROUND(_xlfn.SWITCH(EM167,"sq",EQ$7,"bn",ER$7,"dl",ES$7,"")*IF(ER167&gt;10,ER167/100,VLOOKUP(ER167,_rpe,SUBSTITUTE(EQ167,"+","")+1,0)),IF(_xlfn.SWITCH(EM167,"sq",EQ$7,"bn",ER$7,"dl",ES$7,"")&lt;IF(_uom="lbs",175,80),1.25,IF(_uom="lbs",5,2.5))))),"")</f>
        <v/>
      </c>
      <c s="70"/>
      <c s="63"/>
      <c s="97"/>
      <c s="44" t="str">
        <f>IFERROR(__xludf.DUMMYFUNCTION("IF(ES167=MAX(FILTER(ES$10:ES$199,LOOKUP(ROW(EM$10:EM$199),FILTER(ROW(EM$10:EM$199),EM$10:EM$199&lt;&gt;EM$9:EM$198))=LOOKUP(ROW(EM167),FILTER(ROW(EM$10:EM$199),EM$10:EM$199&lt;&gt;EM$9:EM$198)))),ET167,)"),"")</f>
        <v/>
      </c>
      <c s="42"/>
      <c s="63"/>
      <c s="64" t="str">
        <f t="shared" si="36"/>
        <v/>
      </c>
      <c s="65" t="str">
        <f>IFERROR(__xludf.DUMMYFUNCTION("""COMPUTED_VALUE"""),"")</f>
        <v/>
      </c>
      <c s="66">
        <f ca="1"/>
        <v>45285</v>
      </c>
      <c s="93" t="str">
        <f t="shared" si="49"/>
        <v/>
      </c>
      <c s="94" t="str">
        <f t="shared" si="396"/>
        <v/>
      </c>
      <c s="95" t="str">
        <f t="shared" si="424"/>
        <v/>
      </c>
      <c s="98" t="str">
        <f t="shared" si="403"/>
        <v/>
      </c>
      <c s="97" t="str">
        <f t="array" ref="FG167">IFERROR(IF(FA167="ac"+ISNUMBER(SEARCH("'",FF167))+FE167="","",IF(ISNUMBER(SEARCH("lw",FF167)),ES167+SUBSTITUTE(FF167,"lw+",""),MROUND(_xlfn.SWITCH(FA167,"sq",FE$7,"bn",FF$7,"dl",FG$7,"")*IF(FF167&gt;10,FF167/100,VLOOKUP(FF167,_rpe,SUBSTITUTE(FE167,"+","")+1,0)),IF(_xlfn.SWITCH(FA167,"sq",FE$7,"bn",FF$7,"dl",FG$7,"")&lt;IF(_uom="lbs",175,80),1.25,IF(_uom="lbs",5,2.5))))),"")</f>
        <v/>
      </c>
      <c s="70"/>
      <c s="63"/>
      <c s="97"/>
      <c s="44" t="str">
        <f>IFERROR(__xludf.DUMMYFUNCTION("IF(FG167=MAX(FILTER(FG$10:FG$199,LOOKUP(ROW(FA$10:FA$199),FILTER(ROW(FA$10:FA$199),FA$10:FA$199&lt;&gt;FA$9:FA$198))=LOOKUP(ROW(FA167),FILTER(ROW(FA$10:FA$199),FA$10:FA$199&lt;&gt;FA$9:FA$198)))),FH167,)"),"")</f>
        <v/>
      </c>
      <c s="42"/>
      <c s="63"/>
      <c s="64" t="str">
        <f t="shared" si="38"/>
        <v/>
      </c>
      <c s="65" t="str">
        <f>IFERROR(__xludf.DUMMYFUNCTION("""COMPUTED_VALUE"""),"")</f>
        <v/>
      </c>
      <c s="66">
        <f ca="1"/>
        <v>45292</v>
      </c>
      <c s="93" t="str">
        <f t="shared" si="511" ref="FQ167:FR167">IF(ISBLANK(FC167),"",FC167)</f>
        <v/>
      </c>
      <c s="94" t="str">
        <f t="shared" si="511"/>
        <v/>
      </c>
      <c s="95" t="str">
        <f t="shared" si="428"/>
        <v/>
      </c>
      <c s="98" t="str">
        <f t="shared" si="429"/>
        <v/>
      </c>
      <c s="97" t="str">
        <f t="array" ref="FU167">IFERROR(IF(FO167="ac"+ISNUMBER(SEARCH("'",FT167))+FS167="","",IF(ISNUMBER(SEARCH("lw",FT167)),FG167+SUBSTITUTE(FT167,"lw+",""),MROUND(_xlfn.SWITCH(FO167,"sq",FS$7,"bn",FT$7,"dl",FU$7,"")*IF(FT167&gt;10,FT167/100,VLOOKUP(FT167,_rpe,SUBSTITUTE(FS167,"+","")+1,0)),IF(_xlfn.SWITCH(FO167,"sq",FS$7,"bn",FT$7,"dl",FU$7,"")&lt;IF(_uom="lbs",175,80),1.25,IF(_uom="lbs",5,2.5))))),"")</f>
        <v/>
      </c>
      <c s="70"/>
      <c s="63"/>
      <c s="97"/>
      <c s="44" t="str">
        <f>IFERROR(__xludf.DUMMYFUNCTION("IF(FU167=MAX(FILTER(FU$10:FU$199,LOOKUP(ROW(FO$10:FO$199),FILTER(ROW(FO$10:FO$199),FO$10:FO$199&lt;&gt;FO$9:FO$198))=LOOKUP(ROW(FO167),FILTER(ROW(FO$10:FO$199),FO$10:FO$199&lt;&gt;FO$9:FO$198)))),FV167,)"),"")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68" spans="1:259" ht="15.75">
      <c r="A168" s="63"/>
      <c s="107"/>
      <c s="65" t="str">
        <f>IFERROR(__xludf.DUMMYFUNCTION("""COMPUTED_VALUE"""),"")</f>
        <v/>
      </c>
      <c s="66">
        <f ca="1"/>
        <v>45208</v>
      </c>
      <c s="108"/>
      <c s="94"/>
      <c s="95"/>
      <c s="96"/>
      <c s="97" t="str">
        <f t="array" ref="I168">IFERROR(IF(C168="ac"+ISNUMBER(SEARCH("'",H168))+G168="","",MROUND(_xlfn.SWITCH(C168,"sq",'Personal Info'!$O$15,"bn",'Personal Info'!$S$15,"dl",'Personal Info'!$W$15,"")*IF(H168&gt;10,H168/100,VLOOKUP(H168,_rpe,SUBSTITUTE(G168,"+","")+1,0)),IF(_xlfn.SWITCH(C168:C210,"sq",'Personal Info'!$O$15,"bn",'Personal Info'!$S$15,"dl",'Personal Info'!$W$15,"")&lt;IF(_uom="lbs",175,80),1.25,IF(_uom="lbs",5,2.5)))),"")</f>
        <v/>
      </c>
      <c s="70"/>
      <c s="63"/>
      <c s="97"/>
      <c s="44" t="str">
        <f>IFERROR(__xludf.DUMMYFUNCTION("IF(I168=MAX(FILTER(I$10:I$199,LOOKUP(ROW(C$10:C$199),FILTER(ROW(C$10:C$199),C$10:C$199&lt;&gt;C$9:C$198))=LOOKUP(ROW(C168),FILTER(ROW(C$10:C$199),C$10:C$199&lt;&gt;C$9:C$198)))),J168,)"),"")</f>
        <v/>
      </c>
      <c s="42"/>
      <c s="63"/>
      <c s="64" t="str">
        <f t="shared" si="11"/>
        <v/>
      </c>
      <c s="65" t="str">
        <f>IFERROR(__xludf.DUMMYFUNCTION("""COMPUTED_VALUE"""),"")</f>
        <v/>
      </c>
      <c s="66">
        <f ca="1"/>
        <v>45215</v>
      </c>
      <c s="93" t="str">
        <f t="shared" si="12"/>
        <v/>
      </c>
      <c s="94" t="str">
        <f t="shared" si="404"/>
        <v/>
      </c>
      <c s="95" t="str">
        <f t="shared" si="406"/>
        <v/>
      </c>
      <c s="98" t="str">
        <f t="shared" si="407"/>
        <v/>
      </c>
      <c s="97" t="str">
        <f t="array" ref="W168">IFERROR(IF(Q168="ac"+ISNUMBER(SEARCH("'",V168))+U168="","",IF(ISNUMBER(SEARCH("lw",V168)),I168+SUBSTITUTE(V168,"lw+",""),MROUND(_xlfn.SWITCH(Q168,"sq",U$7,"bn",V$7,"dl",W$7,"")*IF(V168&gt;10,V168/100,VLOOKUP(V168,_rpe,SUBSTITUTE(U168,"+","")+1,0)),IF(_xlfn.SWITCH(Q168,"sq",U$7,"bn",V$7,"dl",W$7,"")&lt;IF(_uom="lbs",175,80),1.25,IF(_uom="lbs",5,2.5))))),"")</f>
        <v/>
      </c>
      <c s="70"/>
      <c s="63"/>
      <c s="97"/>
      <c s="44" t="str">
        <f>IFERROR(__xludf.DUMMYFUNCTION("IF(W168=MAX(FILTER(W$10:W$199,LOOKUP(ROW(Q$10:Q$199),FILTER(ROW(Q$10:Q$199),Q$10:Q$199&lt;&gt;Q$9:Q$198))=LOOKUP(ROW(Q168),FILTER(ROW(Q$10:Q$199),Q$10:Q$199&lt;&gt;Q$9:Q$198)))),X168,)"),"")</f>
        <v/>
      </c>
      <c s="42"/>
      <c s="63"/>
      <c s="64" t="str">
        <f t="shared" si="14"/>
        <v/>
      </c>
      <c s="65" t="str">
        <f>IFERROR(__xludf.DUMMYFUNCTION("""COMPUTED_VALUE"""),"")</f>
        <v/>
      </c>
      <c s="66">
        <f ca="1"/>
        <v>45222</v>
      </c>
      <c s="93" t="str">
        <f t="shared" si="156"/>
        <v/>
      </c>
      <c s="94" t="str">
        <f t="shared" si="397"/>
        <v/>
      </c>
      <c s="95" t="str">
        <f t="shared" si="408"/>
        <v/>
      </c>
      <c s="98" t="str">
        <f t="shared" si="398"/>
        <v/>
      </c>
      <c s="97" t="str">
        <f t="array" ref="AK168">IFERROR(IF(AE168="ac"+ISNUMBER(SEARCH("'",AJ168))+AI168="","",IF(ISNUMBER(SEARCH("lw",AJ168)),W168+SUBSTITUTE(AJ168,"lw+",""),MROUND(_xlfn.SWITCH(AE168,"sq",AI$7,"bn",AJ$7,"dl",AK$7,"")*IF(AJ168&gt;10,AJ168/100,VLOOKUP(AJ168,_rpe,SUBSTITUTE(AI168,"+","")+1,0)),IF(_xlfn.SWITCH(AE168,"sq",AI$7,"bn",AJ$7,"dl",AK$7,"")&lt;IF(_uom="lbs",175,80),1.25,IF(_uom="lbs",5,2.5))))),"")</f>
        <v/>
      </c>
      <c s="70"/>
      <c s="63"/>
      <c s="97"/>
      <c s="44" t="str">
        <f>IFERROR(__xludf.DUMMYFUNCTION("IF(AK168=MAX(FILTER(AK$10:AK$199,LOOKUP(ROW(AE$10:AE$199),FILTER(ROW(AE$10:AE$199),AE$10:AE$199&lt;&gt;AE$9:AE$198))=LOOKUP(ROW(AE168),FILTER(ROW(AE$10:AE$199),AE$10:AE$199&lt;&gt;AE$9:AE$198)))),AL168,)"),"")</f>
        <v/>
      </c>
      <c s="42"/>
      <c s="63"/>
      <c s="64" t="str">
        <f t="shared" si="17"/>
        <v/>
      </c>
      <c s="65" t="str">
        <f>IFERROR(__xludf.DUMMYFUNCTION("""COMPUTED_VALUE"""),"")</f>
        <v/>
      </c>
      <c s="66">
        <f ca="1"/>
        <v>45229</v>
      </c>
      <c s="93" t="str">
        <f t="shared" si="157"/>
        <v/>
      </c>
      <c s="94" t="str">
        <f t="shared" si="399"/>
        <v/>
      </c>
      <c s="95" t="str">
        <f t="shared" si="409"/>
        <v/>
      </c>
      <c s="98" t="str">
        <f t="shared" si="400"/>
        <v/>
      </c>
      <c s="97" t="str">
        <f t="array" ref="AY168">IFERROR(IF(AS168="ac"+ISNUMBER(SEARCH("'",AX168))+AW168="","",IF(ISNUMBER(SEARCH("lw",AX168)),AK168+SUBSTITUTE(AX168,"lw+",""),MROUND(_xlfn.SWITCH(AS168,"sq",AW$7,"bn",AX$7,"dl",AY$7,"")*IF(AX168&gt;10,AX168/100,VLOOKUP(AX168,_rpe,SUBSTITUTE(AW168,"+","")+1,0)),IF(_xlfn.SWITCH(AS168,"sq",AW$7,"bn",AX$7,"dl",AY$7,"")&lt;IF(_uom="lbs",175,80),1.25,IF(_uom="lbs",5,2.5))))),"")</f>
        <v/>
      </c>
      <c s="70"/>
      <c s="63"/>
      <c s="97"/>
      <c s="44" t="str">
        <f>IFERROR(__xludf.DUMMYFUNCTION("IF(AY168=MAX(FILTER(AY$10:AY$199,LOOKUP(ROW(AS$10:AS$199),FILTER(ROW(AS$10:AS$199),AS$10:AS$199&lt;&gt;AS$9:AS$198))=LOOKUP(ROW(AS168),FILTER(ROW(AS$10:AS$199),AS$10:AS$199&lt;&gt;AS$9:AS$198)))),AZ168,)"),"")</f>
        <v/>
      </c>
      <c s="42"/>
      <c s="63"/>
      <c s="64" t="str">
        <f t="shared" si="19"/>
        <v/>
      </c>
      <c s="65" t="str">
        <f>IFERROR(__xludf.DUMMYFUNCTION("""COMPUTED_VALUE"""),"")</f>
        <v/>
      </c>
      <c s="66">
        <f ca="1"/>
        <v>45236</v>
      </c>
      <c s="93" t="str">
        <f t="shared" si="20"/>
        <v/>
      </c>
      <c s="94" t="str">
        <f t="shared" si="425"/>
        <v/>
      </c>
      <c s="95" t="str">
        <f t="shared" si="411"/>
        <v/>
      </c>
      <c s="98" t="str">
        <f t="shared" si="412"/>
        <v/>
      </c>
      <c s="97" t="str">
        <f t="array" ref="BM168">IFERROR(IF(BG168="ac"+ISNUMBER(SEARCH("'",BL168))+BK168="","",IF(ISNUMBER(SEARCH("lw",BL168)),AY168+SUBSTITUTE(BL168,"lw+",""),MROUND(_xlfn.SWITCH(BG168,"sq",BK$7,"bn",BL$7,"dl",BM$7,"")*IF(BL168&gt;10,BL168/100,VLOOKUP(BL168,_rpe,SUBSTITUTE(BK168,"+","")+1,0)),IF(_xlfn.SWITCH(BG168,"sq",BK$7,"bn",BL$7,"dl",BM$7,"")&lt;IF(_uom="lbs",175,80),1.25,IF(_uom="lbs",5,2.5))))),"")</f>
        <v/>
      </c>
      <c s="70"/>
      <c s="63"/>
      <c s="97"/>
      <c s="44" t="str">
        <f>IFERROR(__xludf.DUMMYFUNCTION("IF(BM168=MAX(FILTER(BM$10:BM$199,LOOKUP(ROW(BG$10:BG$199),FILTER(ROW(BG$10:BG$199),BG$10:BG$199&lt;&gt;BG$9:BG$198))=LOOKUP(ROW(BG168),FILTER(ROW(BG$10:BG$199),BG$10:BG$199&lt;&gt;BG$9:BG$198)))),BN168,)"),"")</f>
        <v/>
      </c>
      <c s="42"/>
      <c s="63"/>
      <c s="64" t="str">
        <f t="shared" si="21"/>
        <v/>
      </c>
      <c s="65" t="str">
        <f>IFERROR(__xludf.DUMMYFUNCTION("""COMPUTED_VALUE"""),"")</f>
        <v/>
      </c>
      <c s="66">
        <f ca="1"/>
        <v>45243</v>
      </c>
      <c s="93" t="str">
        <f t="shared" si="22"/>
        <v/>
      </c>
      <c s="94" t="str">
        <f t="shared" si="426"/>
        <v/>
      </c>
      <c s="95" t="str">
        <f t="shared" si="414"/>
        <v/>
      </c>
      <c s="98" t="str">
        <f t="shared" si="415"/>
        <v/>
      </c>
      <c s="97" t="str">
        <f t="array" ref="CA168">IFERROR(IF(BU168="ac"+ISNUMBER(SEARCH("'",BZ168))+BY168="","",IF(ISNUMBER(SEARCH("lw",BZ168)),BM168+SUBSTITUTE(BZ168,"lw+",""),MROUND(_xlfn.SWITCH(BU168,"sq",BY$7,"bn",BZ$7,"dl",CA$7,"")*IF(BZ168&gt;10,BZ168/100,VLOOKUP(BZ168,_rpe,SUBSTITUTE(BY168,"+","")+1,0)),IF(_xlfn.SWITCH(BU168,"sq",BY$7,"bn",BZ$7,"dl",CA$7,"")&lt;IF(_uom="lbs",175,80),1.25,IF(_uom="lbs",5,2.5))))),"")</f>
        <v/>
      </c>
      <c s="70"/>
      <c s="63"/>
      <c s="97"/>
      <c s="44" t="str">
        <f>IFERROR(__xludf.DUMMYFUNCTION("IF(CA168=MAX(FILTER(CA$10:CA$199,LOOKUP(ROW(BU$10:BU$199),FILTER(ROW(BU$10:BU$199),BU$10:BU$199&lt;&gt;BU$9:BU$198))=LOOKUP(ROW(BU168),FILTER(ROW(BU$10:BU$199),BU$10:BU$199&lt;&gt;BU$9:BU$198)))),CB168,)"),"")</f>
        <v/>
      </c>
      <c s="42"/>
      <c s="63"/>
      <c s="64" t="str">
        <f t="shared" si="24"/>
        <v/>
      </c>
      <c s="65" t="str">
        <f>IFERROR(__xludf.DUMMYFUNCTION("""COMPUTED_VALUE"""),"")</f>
        <v/>
      </c>
      <c s="66">
        <f ca="1"/>
        <v>45250</v>
      </c>
      <c s="93" t="str">
        <f t="shared" si="44"/>
        <v/>
      </c>
      <c s="94" t="str">
        <f t="shared" si="392"/>
        <v/>
      </c>
      <c s="95" t="str">
        <f t="shared" si="416"/>
        <v/>
      </c>
      <c s="98" t="str">
        <f t="shared" si="417"/>
        <v/>
      </c>
      <c s="97" t="str">
        <f t="array" ref="CO168">IFERROR(IF(CI168="ac"+ISNUMBER(SEARCH("'",CN168))+CM168="","",IF(ISNUMBER(SEARCH("lw",CN168)),CA168+SUBSTITUTE(CN168,"lw+",""),MROUND(_xlfn.SWITCH(CI168,"sq",CM$7,"bn",CN$7,"dl",CO$7,"")*IF(CN168&gt;10,CN168/100,VLOOKUP(CN168,_rpe,SUBSTITUTE(CM168,"+","")+1,0)),IF(_xlfn.SWITCH(CI168,"sq",CM$7,"bn",CN$7,"dl",CO$7,"")&lt;IF(_uom="lbs",175,80),1.25,IF(_uom="lbs",5,2.5))))),"")</f>
        <v/>
      </c>
      <c s="70"/>
      <c s="63"/>
      <c s="97"/>
      <c s="44" t="str">
        <f>IFERROR(__xludf.DUMMYFUNCTION("IF(CO168=MAX(FILTER(CO$10:CO$199,LOOKUP(ROW(CI$10:CI$199),FILTER(ROW(CI$10:CI$199),CI$10:CI$199&lt;&gt;CI$9:CI$198))=LOOKUP(ROW(CI168),FILTER(ROW(CI$10:CI$199),CI$10:CI$199&lt;&gt;CI$9:CI$198)))),CP168,)"),"")</f>
        <v/>
      </c>
      <c s="42"/>
      <c s="63"/>
      <c s="64" t="str">
        <f t="shared" si="27"/>
        <v/>
      </c>
      <c s="65" t="str">
        <f>IFERROR(__xludf.DUMMYFUNCTION("""COMPUTED_VALUE"""),"")</f>
        <v/>
      </c>
      <c s="66">
        <f ca="1"/>
        <v>45257</v>
      </c>
      <c s="93" t="str">
        <f t="shared" si="45"/>
        <v/>
      </c>
      <c s="94" t="str">
        <f t="shared" si="393"/>
        <v/>
      </c>
      <c s="95" t="str">
        <f t="shared" si="418"/>
        <v/>
      </c>
      <c s="98" t="str">
        <f t="shared" si="401"/>
        <v/>
      </c>
      <c s="97" t="str">
        <f t="array" ref="DC168">IFERROR(IF(CW168="ac"+ISNUMBER(SEARCH("'",DB168))+DA168="","",IF(ISNUMBER(SEARCH("lw",DB168)),CO168+SUBSTITUTE(DB168,"lw+",""),MROUND(_xlfn.SWITCH(CW168,"sq",DA$7,"bn",DB$7,"dl",DC$7,"")*IF(DB168&gt;10,DB168/100,VLOOKUP(DB168,_rpe,SUBSTITUTE(DA168,"+","")+1,0)),IF(_xlfn.SWITCH(CW168,"sq",DA$7,"bn",DB$7,"dl",DC$7,"")&lt;IF(_uom="lbs",175,80),1.25,IF(_uom="lbs",5,2.5))))),"")</f>
        <v/>
      </c>
      <c s="70"/>
      <c s="63"/>
      <c s="97"/>
      <c s="44" t="str">
        <f>IFERROR(__xludf.DUMMYFUNCTION("IF(DC168=MAX(FILTER(DC$10:DC$199,LOOKUP(ROW(CW$10:CW$199),FILTER(ROW(CW$10:CW$199),CW$10:CW$199&lt;&gt;CW$9:CW$198))=LOOKUP(ROW(CW168),FILTER(ROW(CW$10:CW$199),CW$10:CW$199&lt;&gt;CW$9:CW$198)))),DD168,)"),"")</f>
        <v/>
      </c>
      <c s="42"/>
      <c s="63"/>
      <c s="64" t="str">
        <f t="shared" si="30"/>
        <v/>
      </c>
      <c s="65" t="str">
        <f>IFERROR(__xludf.DUMMYFUNCTION("""COMPUTED_VALUE"""),"")</f>
        <v/>
      </c>
      <c s="66">
        <f ca="1"/>
        <v>45264</v>
      </c>
      <c s="93" t="str">
        <f t="shared" si="46"/>
        <v/>
      </c>
      <c s="94" t="str">
        <f t="shared" si="394"/>
        <v/>
      </c>
      <c s="95" t="str">
        <f t="shared" si="419"/>
        <v/>
      </c>
      <c s="98" t="str">
        <f t="shared" si="420"/>
        <v/>
      </c>
      <c s="97" t="str">
        <f t="array" ref="DQ168">IFERROR(IF(DK168="ac"+ISNUMBER(SEARCH("'",DP168))+DO168="","",IF(ISNUMBER(SEARCH("lw",DP168)),DC168+SUBSTITUTE(DP168,"lw+",""),MROUND(_xlfn.SWITCH(DK168,"sq",DO$7,"bn",DP$7,"dl",DQ$7,"")*IF(DP168&gt;10,DP168/100,VLOOKUP(DP168,_rpe,SUBSTITUTE(DO168,"+","")+1,0)),IF(_xlfn.SWITCH(DK168,"sq",DO$7,"bn",DP$7,"dl",DQ$7,"")&lt;IF(_uom="lbs",175,80),1.25,IF(_uom="lbs",5,2.5))))),"")</f>
        <v/>
      </c>
      <c s="70"/>
      <c s="63"/>
      <c s="97"/>
      <c s="44" t="str">
        <f>IFERROR(__xludf.DUMMYFUNCTION("IF(DQ168=MAX(FILTER(DQ$10:DQ$199,LOOKUP(ROW(DK$10:DK$199),FILTER(ROW(DK$10:DK$199),DK$10:DK$199&lt;&gt;DK$9:DK$198))=LOOKUP(ROW(DK168),FILTER(ROW(DK$10:DK$199),DK$10:DK$199&lt;&gt;DK$9:DK$198)))),DR168,)"),"")</f>
        <v/>
      </c>
      <c s="42"/>
      <c s="63"/>
      <c s="64" t="str">
        <f t="shared" si="32"/>
        <v/>
      </c>
      <c s="65" t="str">
        <f>IFERROR(__xludf.DUMMYFUNCTION("""COMPUTED_VALUE"""),"")</f>
        <v/>
      </c>
      <c s="66">
        <f ca="1"/>
        <v>45271</v>
      </c>
      <c s="93" t="str">
        <f t="shared" si="47"/>
        <v/>
      </c>
      <c s="94" t="str">
        <f t="shared" si="405"/>
        <v/>
      </c>
      <c s="95" t="str">
        <f t="shared" si="421"/>
        <v/>
      </c>
      <c s="98" t="str">
        <f t="shared" si="422"/>
        <v/>
      </c>
      <c s="97" t="str">
        <f t="array" ref="EE168">IFERROR(IF(DY168="ac"+ISNUMBER(SEARCH("'",ED168))+EC168="","",IF(ISNUMBER(SEARCH("lw",ED168)),DQ168+SUBSTITUTE(ED168,"lw+",""),MROUND(_xlfn.SWITCH(DY168,"sq",EC$7,"bn",ED$7,"dl",EE$7,"")*IF(ED168&gt;10,ED168/100,VLOOKUP(ED168,_rpe,SUBSTITUTE(EC168,"+","")+1,0)),IF(_xlfn.SWITCH(DY168,"sq",EC$7,"bn",ED$7,"dl",EE$7,"")&lt;IF(_uom="lbs",175,80),1.25,IF(_uom="lbs",5,2.5))))),"")</f>
        <v/>
      </c>
      <c s="70"/>
      <c s="63"/>
      <c s="97"/>
      <c s="44" t="str">
        <f>IFERROR(__xludf.DUMMYFUNCTION("IF(EE168=MAX(FILTER(EE$10:EE$199,LOOKUP(ROW(DY$10:DY$199),FILTER(ROW(DY$10:DY$199),DY$10:DY$199&lt;&gt;DY$9:DY$198))=LOOKUP(ROW(DY168),FILTER(ROW(DY$10:DY$199),DY$10:DY$199&lt;&gt;DY$9:DY$198)))),EF168,)"),"")</f>
        <v/>
      </c>
      <c s="42"/>
      <c s="63"/>
      <c s="64" t="str">
        <f t="shared" si="34"/>
        <v/>
      </c>
      <c s="65" t="str">
        <f>IFERROR(__xludf.DUMMYFUNCTION("""COMPUTED_VALUE"""),"")</f>
        <v/>
      </c>
      <c s="66">
        <f ca="1"/>
        <v>45278</v>
      </c>
      <c s="93" t="str">
        <f t="shared" si="48"/>
        <v/>
      </c>
      <c s="94" t="str">
        <f t="shared" si="395"/>
        <v/>
      </c>
      <c s="95" t="str">
        <f t="shared" si="423"/>
        <v/>
      </c>
      <c s="98" t="str">
        <f t="shared" si="402"/>
        <v/>
      </c>
      <c s="97" t="str">
        <f t="array" ref="ES168">IFERROR(IF(EM168="ac"+ISNUMBER(SEARCH("'",ER168))+EQ168="","",IF(ISNUMBER(SEARCH("lw",ER168)),EE168+SUBSTITUTE(ER168,"lw+",""),MROUND(_xlfn.SWITCH(EM168,"sq",EQ$7,"bn",ER$7,"dl",ES$7,"")*IF(ER168&gt;10,ER168/100,VLOOKUP(ER168,_rpe,SUBSTITUTE(EQ168,"+","")+1,0)),IF(_xlfn.SWITCH(EM168,"sq",EQ$7,"bn",ER$7,"dl",ES$7,"")&lt;IF(_uom="lbs",175,80),1.25,IF(_uom="lbs",5,2.5))))),"")</f>
        <v/>
      </c>
      <c s="70"/>
      <c s="63"/>
      <c s="97"/>
      <c s="44" t="str">
        <f>IFERROR(__xludf.DUMMYFUNCTION("IF(ES168=MAX(FILTER(ES$10:ES$199,LOOKUP(ROW(EM$10:EM$199),FILTER(ROW(EM$10:EM$199),EM$10:EM$199&lt;&gt;EM$9:EM$198))=LOOKUP(ROW(EM168),FILTER(ROW(EM$10:EM$199),EM$10:EM$199&lt;&gt;EM$9:EM$198)))),ET168,)"),"")</f>
        <v/>
      </c>
      <c s="42"/>
      <c s="63"/>
      <c s="64" t="str">
        <f t="shared" si="36"/>
        <v/>
      </c>
      <c s="65" t="str">
        <f>IFERROR(__xludf.DUMMYFUNCTION("""COMPUTED_VALUE"""),"")</f>
        <v/>
      </c>
      <c s="66">
        <f ca="1"/>
        <v>45285</v>
      </c>
      <c s="93" t="str">
        <f t="shared" si="49"/>
        <v/>
      </c>
      <c s="94" t="str">
        <f t="shared" si="396"/>
        <v/>
      </c>
      <c s="95" t="str">
        <f t="shared" si="424"/>
        <v/>
      </c>
      <c s="98" t="str">
        <f t="shared" si="403"/>
        <v/>
      </c>
      <c s="97" t="str">
        <f t="array" ref="FG168">IFERROR(IF(FA168="ac"+ISNUMBER(SEARCH("'",FF168))+FE168="","",IF(ISNUMBER(SEARCH("lw",FF168)),ES168+SUBSTITUTE(FF168,"lw+",""),MROUND(_xlfn.SWITCH(FA168,"sq",FE$7,"bn",FF$7,"dl",FG$7,"")*IF(FF168&gt;10,FF168/100,VLOOKUP(FF168,_rpe,SUBSTITUTE(FE168,"+","")+1,0)),IF(_xlfn.SWITCH(FA168,"sq",FE$7,"bn",FF$7,"dl",FG$7,"")&lt;IF(_uom="lbs",175,80),1.25,IF(_uom="lbs",5,2.5))))),"")</f>
        <v/>
      </c>
      <c s="70"/>
      <c s="63"/>
      <c s="97"/>
      <c s="44" t="str">
        <f>IFERROR(__xludf.DUMMYFUNCTION("IF(FG168=MAX(FILTER(FG$10:FG$199,LOOKUP(ROW(FA$10:FA$199),FILTER(ROW(FA$10:FA$199),FA$10:FA$199&lt;&gt;FA$9:FA$198))=LOOKUP(ROW(FA168),FILTER(ROW(FA$10:FA$199),FA$10:FA$199&lt;&gt;FA$9:FA$198)))),FH168,)"),"")</f>
        <v/>
      </c>
      <c s="42"/>
      <c s="63"/>
      <c s="64" t="str">
        <f t="shared" si="38"/>
        <v/>
      </c>
      <c s="65" t="str">
        <f>IFERROR(__xludf.DUMMYFUNCTION("""COMPUTED_VALUE"""),"")</f>
        <v/>
      </c>
      <c s="66">
        <f ca="1"/>
        <v>45292</v>
      </c>
      <c s="93" t="str">
        <f t="shared" si="512" ref="FQ168:FR168">IF(ISBLANK(FC168),"",FC168)</f>
        <v/>
      </c>
      <c s="94" t="str">
        <f t="shared" si="512"/>
        <v/>
      </c>
      <c s="95" t="str">
        <f t="shared" si="428"/>
        <v/>
      </c>
      <c s="98" t="str">
        <f t="shared" si="429"/>
        <v/>
      </c>
      <c s="97" t="str">
        <f t="array" ref="FU168">IFERROR(IF(FO168="ac"+ISNUMBER(SEARCH("'",FT168))+FS168="","",IF(ISNUMBER(SEARCH("lw",FT168)),FG168+SUBSTITUTE(FT168,"lw+",""),MROUND(_xlfn.SWITCH(FO168,"sq",FS$7,"bn",FT$7,"dl",FU$7,"")*IF(FT168&gt;10,FT168/100,VLOOKUP(FT168,_rpe,SUBSTITUTE(FS168,"+","")+1,0)),IF(_xlfn.SWITCH(FO168,"sq",FS$7,"bn",FT$7,"dl",FU$7,"")&lt;IF(_uom="lbs",175,80),1.25,IF(_uom="lbs",5,2.5))))),"")</f>
        <v/>
      </c>
      <c s="70"/>
      <c s="63"/>
      <c s="97"/>
      <c s="44" t="str">
        <f>IFERROR(__xludf.DUMMYFUNCTION("IF(FU168=MAX(FILTER(FU$10:FU$199,LOOKUP(ROW(FO$10:FO$199),FILTER(ROW(FO$10:FO$199),FO$10:FO$199&lt;&gt;FO$9:FO$198))=LOOKUP(ROW(FO168),FILTER(ROW(FO$10:FO$199),FO$10:FO$199&lt;&gt;FO$9:FO$198)))),FV168,)"),"")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69" spans="1:259" ht="15.75">
      <c r="A169" s="63"/>
      <c s="107"/>
      <c s="65" t="str">
        <f>IFERROR(__xludf.DUMMYFUNCTION("""COMPUTED_VALUE"""),"")</f>
        <v/>
      </c>
      <c s="66">
        <f ca="1"/>
        <v>45208</v>
      </c>
      <c s="108"/>
      <c s="94"/>
      <c s="95"/>
      <c s="96"/>
      <c s="97" t="str">
        <f t="array" ref="I169">IFERROR(IF(C169="ac"+ISNUMBER(SEARCH("'",H169))+G169="","",MROUND(_xlfn.SWITCH(C169,"sq",'Personal Info'!$O$15,"bn",'Personal Info'!$S$15,"dl",'Personal Info'!$W$15,"")*IF(H169&gt;10,H169/100,VLOOKUP(H169,_rpe,SUBSTITUTE(G169,"+","")+1,0)),IF(_xlfn.SWITCH(C169:C210,"sq",'Personal Info'!$O$15,"bn",'Personal Info'!$S$15,"dl",'Personal Info'!$W$15,"")&lt;IF(_uom="lbs",175,80),1.25,IF(_uom="lbs",5,2.5)))),"")</f>
        <v/>
      </c>
      <c s="70"/>
      <c s="63"/>
      <c s="97"/>
      <c s="44" t="str">
        <f>IFERROR(__xludf.DUMMYFUNCTION("IF(I169=MAX(FILTER(I$10:I$199,LOOKUP(ROW(C$10:C$199),FILTER(ROW(C$10:C$199),C$10:C$199&lt;&gt;C$9:C$198))=LOOKUP(ROW(C169),FILTER(ROW(C$10:C$199),C$10:C$199&lt;&gt;C$9:C$198)))),J169,)"),"")</f>
        <v/>
      </c>
      <c s="42"/>
      <c s="63"/>
      <c s="64" t="str">
        <f t="shared" si="11"/>
        <v/>
      </c>
      <c s="65" t="str">
        <f>IFERROR(__xludf.DUMMYFUNCTION("""COMPUTED_VALUE"""),"")</f>
        <v/>
      </c>
      <c s="66">
        <f ca="1"/>
        <v>45215</v>
      </c>
      <c s="93" t="str">
        <f t="shared" si="12"/>
        <v/>
      </c>
      <c s="94" t="str">
        <f t="shared" si="404"/>
        <v/>
      </c>
      <c s="95" t="str">
        <f t="shared" si="406"/>
        <v/>
      </c>
      <c s="98" t="str">
        <f t="shared" si="407"/>
        <v/>
      </c>
      <c s="97" t="str">
        <f t="array" ref="W169">IFERROR(IF(Q169="ac"+ISNUMBER(SEARCH("'",V169))+U169="","",IF(ISNUMBER(SEARCH("lw",V169)),I169+SUBSTITUTE(V169,"lw+",""),MROUND(_xlfn.SWITCH(Q169,"sq",U$7,"bn",V$7,"dl",W$7,"")*IF(V169&gt;10,V169/100,VLOOKUP(V169,_rpe,SUBSTITUTE(U169,"+","")+1,0)),IF(_xlfn.SWITCH(Q169,"sq",U$7,"bn",V$7,"dl",W$7,"")&lt;IF(_uom="lbs",175,80),1.25,IF(_uom="lbs",5,2.5))))),"")</f>
        <v/>
      </c>
      <c s="70"/>
      <c s="63"/>
      <c s="97"/>
      <c s="44" t="str">
        <f>IFERROR(__xludf.DUMMYFUNCTION("IF(W169=MAX(FILTER(W$10:W$199,LOOKUP(ROW(Q$10:Q$199),FILTER(ROW(Q$10:Q$199),Q$10:Q$199&lt;&gt;Q$9:Q$198))=LOOKUP(ROW(Q169),FILTER(ROW(Q$10:Q$199),Q$10:Q$199&lt;&gt;Q$9:Q$198)))),X169,)"),"")</f>
        <v/>
      </c>
      <c s="42"/>
      <c s="63"/>
      <c s="64" t="str">
        <f t="shared" si="14"/>
        <v/>
      </c>
      <c s="65" t="str">
        <f>IFERROR(__xludf.DUMMYFUNCTION("""COMPUTED_VALUE"""),"")</f>
        <v/>
      </c>
      <c s="66">
        <f ca="1"/>
        <v>45222</v>
      </c>
      <c s="93" t="str">
        <f t="shared" si="156"/>
        <v/>
      </c>
      <c s="94" t="str">
        <f t="shared" si="397"/>
        <v/>
      </c>
      <c s="95" t="str">
        <f t="shared" si="408"/>
        <v/>
      </c>
      <c s="98" t="str">
        <f t="shared" si="398"/>
        <v/>
      </c>
      <c s="97" t="str">
        <f t="array" ref="AK169">IFERROR(IF(AE169="ac"+ISNUMBER(SEARCH("'",AJ169))+AI169="","",IF(ISNUMBER(SEARCH("lw",AJ169)),W169+SUBSTITUTE(AJ169,"lw+",""),MROUND(_xlfn.SWITCH(AE169,"sq",AI$7,"bn",AJ$7,"dl",AK$7,"")*IF(AJ169&gt;10,AJ169/100,VLOOKUP(AJ169,_rpe,SUBSTITUTE(AI169,"+","")+1,0)),IF(_xlfn.SWITCH(AE169,"sq",AI$7,"bn",AJ$7,"dl",AK$7,"")&lt;IF(_uom="lbs",175,80),1.25,IF(_uom="lbs",5,2.5))))),"")</f>
        <v/>
      </c>
      <c s="70"/>
      <c s="63"/>
      <c s="97"/>
      <c s="44" t="str">
        <f>IFERROR(__xludf.DUMMYFUNCTION("IF(AK169=MAX(FILTER(AK$10:AK$199,LOOKUP(ROW(AE$10:AE$199),FILTER(ROW(AE$10:AE$199),AE$10:AE$199&lt;&gt;AE$9:AE$198))=LOOKUP(ROW(AE169),FILTER(ROW(AE$10:AE$199),AE$10:AE$199&lt;&gt;AE$9:AE$198)))),AL169,)"),"")</f>
        <v/>
      </c>
      <c s="42"/>
      <c s="63"/>
      <c s="64" t="str">
        <f t="shared" si="17"/>
        <v/>
      </c>
      <c s="65" t="str">
        <f>IFERROR(__xludf.DUMMYFUNCTION("""COMPUTED_VALUE"""),"")</f>
        <v/>
      </c>
      <c s="66">
        <f ca="1"/>
        <v>45229</v>
      </c>
      <c s="93" t="str">
        <f t="shared" si="157"/>
        <v/>
      </c>
      <c s="94" t="str">
        <f t="shared" si="399"/>
        <v/>
      </c>
      <c s="95" t="str">
        <f t="shared" si="409"/>
        <v/>
      </c>
      <c s="98" t="str">
        <f t="shared" si="400"/>
        <v/>
      </c>
      <c s="97" t="str">
        <f t="array" ref="AY169">IFERROR(IF(AS169="ac"+ISNUMBER(SEARCH("'",AX169))+AW169="","",IF(ISNUMBER(SEARCH("lw",AX169)),AK169+SUBSTITUTE(AX169,"lw+",""),MROUND(_xlfn.SWITCH(AS169,"sq",AW$7,"bn",AX$7,"dl",AY$7,"")*IF(AX169&gt;10,AX169/100,VLOOKUP(AX169,_rpe,SUBSTITUTE(AW169,"+","")+1,0)),IF(_xlfn.SWITCH(AS169,"sq",AW$7,"bn",AX$7,"dl",AY$7,"")&lt;IF(_uom="lbs",175,80),1.25,IF(_uom="lbs",5,2.5))))),"")</f>
        <v/>
      </c>
      <c s="70"/>
      <c s="63"/>
      <c s="97"/>
      <c s="44" t="str">
        <f>IFERROR(__xludf.DUMMYFUNCTION("IF(AY169=MAX(FILTER(AY$10:AY$199,LOOKUP(ROW(AS$10:AS$199),FILTER(ROW(AS$10:AS$199),AS$10:AS$199&lt;&gt;AS$9:AS$198))=LOOKUP(ROW(AS169),FILTER(ROW(AS$10:AS$199),AS$10:AS$199&lt;&gt;AS$9:AS$198)))),AZ169,)"),"")</f>
        <v/>
      </c>
      <c s="42"/>
      <c s="63"/>
      <c s="64" t="str">
        <f t="shared" si="19"/>
        <v/>
      </c>
      <c s="65" t="str">
        <f>IFERROR(__xludf.DUMMYFUNCTION("""COMPUTED_VALUE"""),"")</f>
        <v/>
      </c>
      <c s="66">
        <f ca="1"/>
        <v>45236</v>
      </c>
      <c s="93" t="str">
        <f t="shared" si="20"/>
        <v/>
      </c>
      <c s="94" t="str">
        <f t="shared" si="425"/>
        <v/>
      </c>
      <c s="95" t="str">
        <f t="shared" si="411"/>
        <v/>
      </c>
      <c s="98" t="str">
        <f t="shared" si="412"/>
        <v/>
      </c>
      <c s="97" t="str">
        <f t="array" ref="BM169">IFERROR(IF(BG169="ac"+ISNUMBER(SEARCH("'",BL169))+BK169="","",IF(ISNUMBER(SEARCH("lw",BL169)),AY169+SUBSTITUTE(BL169,"lw+",""),MROUND(_xlfn.SWITCH(BG169,"sq",BK$7,"bn",BL$7,"dl",BM$7,"")*IF(BL169&gt;10,BL169/100,VLOOKUP(BL169,_rpe,SUBSTITUTE(BK169,"+","")+1,0)),IF(_xlfn.SWITCH(BG169,"sq",BK$7,"bn",BL$7,"dl",BM$7,"")&lt;IF(_uom="lbs",175,80),1.25,IF(_uom="lbs",5,2.5))))),"")</f>
        <v/>
      </c>
      <c s="70"/>
      <c s="63"/>
      <c s="97"/>
      <c s="44" t="str">
        <f>IFERROR(__xludf.DUMMYFUNCTION("IF(BM169=MAX(FILTER(BM$10:BM$199,LOOKUP(ROW(BG$10:BG$199),FILTER(ROW(BG$10:BG$199),BG$10:BG$199&lt;&gt;BG$9:BG$198))=LOOKUP(ROW(BG169),FILTER(ROW(BG$10:BG$199),BG$10:BG$199&lt;&gt;BG$9:BG$198)))),BN169,)"),"")</f>
        <v/>
      </c>
      <c s="42"/>
      <c s="63"/>
      <c s="64" t="str">
        <f t="shared" si="21"/>
        <v/>
      </c>
      <c s="65" t="str">
        <f>IFERROR(__xludf.DUMMYFUNCTION("""COMPUTED_VALUE"""),"")</f>
        <v/>
      </c>
      <c s="66">
        <f ca="1"/>
        <v>45243</v>
      </c>
      <c s="93" t="str">
        <f t="shared" si="22"/>
        <v/>
      </c>
      <c s="94" t="str">
        <f t="shared" si="426"/>
        <v/>
      </c>
      <c s="95" t="str">
        <f t="shared" si="414"/>
        <v/>
      </c>
      <c s="98" t="str">
        <f t="shared" si="415"/>
        <v/>
      </c>
      <c s="97" t="str">
        <f t="array" ref="CA169">IFERROR(IF(BU169="ac"+ISNUMBER(SEARCH("'",BZ169))+BY169="","",IF(ISNUMBER(SEARCH("lw",BZ169)),BM169+SUBSTITUTE(BZ169,"lw+",""),MROUND(_xlfn.SWITCH(BU169,"sq",BY$7,"bn",BZ$7,"dl",CA$7,"")*IF(BZ169&gt;10,BZ169/100,VLOOKUP(BZ169,_rpe,SUBSTITUTE(BY169,"+","")+1,0)),IF(_xlfn.SWITCH(BU169,"sq",BY$7,"bn",BZ$7,"dl",CA$7,"")&lt;IF(_uom="lbs",175,80),1.25,IF(_uom="lbs",5,2.5))))),"")</f>
        <v/>
      </c>
      <c s="70"/>
      <c s="63"/>
      <c s="97"/>
      <c s="44" t="str">
        <f>IFERROR(__xludf.DUMMYFUNCTION("IF(CA169=MAX(FILTER(CA$10:CA$199,LOOKUP(ROW(BU$10:BU$199),FILTER(ROW(BU$10:BU$199),BU$10:BU$199&lt;&gt;BU$9:BU$198))=LOOKUP(ROW(BU169),FILTER(ROW(BU$10:BU$199),BU$10:BU$199&lt;&gt;BU$9:BU$198)))),CB169,)"),"")</f>
        <v/>
      </c>
      <c s="42"/>
      <c s="63"/>
      <c s="64" t="str">
        <f t="shared" si="24"/>
        <v/>
      </c>
      <c s="65" t="str">
        <f>IFERROR(__xludf.DUMMYFUNCTION("""COMPUTED_VALUE"""),"")</f>
        <v/>
      </c>
      <c s="66">
        <f ca="1"/>
        <v>45250</v>
      </c>
      <c s="93" t="str">
        <f t="shared" si="44"/>
        <v/>
      </c>
      <c s="94" t="str">
        <f t="shared" si="392"/>
        <v/>
      </c>
      <c s="95" t="str">
        <f t="shared" si="416"/>
        <v/>
      </c>
      <c s="98" t="str">
        <f t="shared" si="417"/>
        <v/>
      </c>
      <c s="97" t="str">
        <f t="array" ref="CO169">IFERROR(IF(CI169="ac"+ISNUMBER(SEARCH("'",CN169))+CM169="","",IF(ISNUMBER(SEARCH("lw",CN169)),CA169+SUBSTITUTE(CN169,"lw+",""),MROUND(_xlfn.SWITCH(CI169,"sq",CM$7,"bn",CN$7,"dl",CO$7,"")*IF(CN169&gt;10,CN169/100,VLOOKUP(CN169,_rpe,SUBSTITUTE(CM169,"+","")+1,0)),IF(_xlfn.SWITCH(CI169,"sq",CM$7,"bn",CN$7,"dl",CO$7,"")&lt;IF(_uom="lbs",175,80),1.25,IF(_uom="lbs",5,2.5))))),"")</f>
        <v/>
      </c>
      <c s="70"/>
      <c s="63"/>
      <c s="97"/>
      <c s="44" t="str">
        <f>IFERROR(__xludf.DUMMYFUNCTION("IF(CO169=MAX(FILTER(CO$10:CO$199,LOOKUP(ROW(CI$10:CI$199),FILTER(ROW(CI$10:CI$199),CI$10:CI$199&lt;&gt;CI$9:CI$198))=LOOKUP(ROW(CI169),FILTER(ROW(CI$10:CI$199),CI$10:CI$199&lt;&gt;CI$9:CI$198)))),CP169,)"),"")</f>
        <v/>
      </c>
      <c s="42"/>
      <c s="63"/>
      <c s="64" t="str">
        <f t="shared" si="27"/>
        <v/>
      </c>
      <c s="65" t="str">
        <f>IFERROR(__xludf.DUMMYFUNCTION("""COMPUTED_VALUE"""),"")</f>
        <v/>
      </c>
      <c s="66">
        <f ca="1"/>
        <v>45257</v>
      </c>
      <c s="93" t="str">
        <f t="shared" si="45"/>
        <v/>
      </c>
      <c s="94" t="str">
        <f t="shared" si="393"/>
        <v/>
      </c>
      <c s="95" t="str">
        <f t="shared" si="418"/>
        <v/>
      </c>
      <c s="98" t="str">
        <f t="shared" si="401"/>
        <v/>
      </c>
      <c s="97" t="str">
        <f t="array" ref="DC169">IFERROR(IF(CW169="ac"+ISNUMBER(SEARCH("'",DB169))+DA169="","",IF(ISNUMBER(SEARCH("lw",DB169)),CO169+SUBSTITUTE(DB169,"lw+",""),MROUND(_xlfn.SWITCH(CW169,"sq",DA$7,"bn",DB$7,"dl",DC$7,"")*IF(DB169&gt;10,DB169/100,VLOOKUP(DB169,_rpe,SUBSTITUTE(DA169,"+","")+1,0)),IF(_xlfn.SWITCH(CW169,"sq",DA$7,"bn",DB$7,"dl",DC$7,"")&lt;IF(_uom="lbs",175,80),1.25,IF(_uom="lbs",5,2.5))))),"")</f>
        <v/>
      </c>
      <c s="70"/>
      <c s="63"/>
      <c s="97"/>
      <c s="44" t="str">
        <f>IFERROR(__xludf.DUMMYFUNCTION("IF(DC169=MAX(FILTER(DC$10:DC$199,LOOKUP(ROW(CW$10:CW$199),FILTER(ROW(CW$10:CW$199),CW$10:CW$199&lt;&gt;CW$9:CW$198))=LOOKUP(ROW(CW169),FILTER(ROW(CW$10:CW$199),CW$10:CW$199&lt;&gt;CW$9:CW$198)))),DD169,)"),"")</f>
        <v/>
      </c>
      <c s="42"/>
      <c s="63"/>
      <c s="64" t="str">
        <f t="shared" si="30"/>
        <v/>
      </c>
      <c s="65" t="str">
        <f>IFERROR(__xludf.DUMMYFUNCTION("""COMPUTED_VALUE"""),"")</f>
        <v/>
      </c>
      <c s="66">
        <f ca="1"/>
        <v>45264</v>
      </c>
      <c s="93" t="str">
        <f t="shared" si="46"/>
        <v/>
      </c>
      <c s="94" t="str">
        <f t="shared" si="394"/>
        <v/>
      </c>
      <c s="95" t="str">
        <f t="shared" si="419"/>
        <v/>
      </c>
      <c s="98" t="str">
        <f t="shared" si="420"/>
        <v/>
      </c>
      <c s="97" t="str">
        <f t="array" ref="DQ169">IFERROR(IF(DK169="ac"+ISNUMBER(SEARCH("'",DP169))+DO169="","",IF(ISNUMBER(SEARCH("lw",DP169)),DC169+SUBSTITUTE(DP169,"lw+",""),MROUND(_xlfn.SWITCH(DK169,"sq",DO$7,"bn",DP$7,"dl",DQ$7,"")*IF(DP169&gt;10,DP169/100,VLOOKUP(DP169,_rpe,SUBSTITUTE(DO169,"+","")+1,0)),IF(_xlfn.SWITCH(DK169,"sq",DO$7,"bn",DP$7,"dl",DQ$7,"")&lt;IF(_uom="lbs",175,80),1.25,IF(_uom="lbs",5,2.5))))),"")</f>
        <v/>
      </c>
      <c s="70"/>
      <c s="63"/>
      <c s="97"/>
      <c s="44" t="str">
        <f>IFERROR(__xludf.DUMMYFUNCTION("IF(DQ169=MAX(FILTER(DQ$10:DQ$199,LOOKUP(ROW(DK$10:DK$199),FILTER(ROW(DK$10:DK$199),DK$10:DK$199&lt;&gt;DK$9:DK$198))=LOOKUP(ROW(DK169),FILTER(ROW(DK$10:DK$199),DK$10:DK$199&lt;&gt;DK$9:DK$198)))),DR169,)"),"")</f>
        <v/>
      </c>
      <c s="42"/>
      <c s="63"/>
      <c s="64" t="str">
        <f t="shared" si="32"/>
        <v/>
      </c>
      <c s="65" t="str">
        <f>IFERROR(__xludf.DUMMYFUNCTION("""COMPUTED_VALUE"""),"")</f>
        <v/>
      </c>
      <c s="66">
        <f ca="1"/>
        <v>45271</v>
      </c>
      <c s="93" t="str">
        <f t="shared" si="47"/>
        <v/>
      </c>
      <c s="94" t="str">
        <f t="shared" si="405"/>
        <v/>
      </c>
      <c s="95" t="str">
        <f t="shared" si="421"/>
        <v/>
      </c>
      <c s="98" t="str">
        <f t="shared" si="422"/>
        <v/>
      </c>
      <c s="97" t="str">
        <f t="array" ref="EE169">IFERROR(IF(DY169="ac"+ISNUMBER(SEARCH("'",ED169))+EC169="","",IF(ISNUMBER(SEARCH("lw",ED169)),DQ169+SUBSTITUTE(ED169,"lw+",""),MROUND(_xlfn.SWITCH(DY169,"sq",EC$7,"bn",ED$7,"dl",EE$7,"")*IF(ED169&gt;10,ED169/100,VLOOKUP(ED169,_rpe,SUBSTITUTE(EC169,"+","")+1,0)),IF(_xlfn.SWITCH(DY169,"sq",EC$7,"bn",ED$7,"dl",EE$7,"")&lt;IF(_uom="lbs",175,80),1.25,IF(_uom="lbs",5,2.5))))),"")</f>
        <v/>
      </c>
      <c s="70"/>
      <c s="63"/>
      <c s="97"/>
      <c s="44" t="str">
        <f>IFERROR(__xludf.DUMMYFUNCTION("IF(EE169=MAX(FILTER(EE$10:EE$199,LOOKUP(ROW(DY$10:DY$199),FILTER(ROW(DY$10:DY$199),DY$10:DY$199&lt;&gt;DY$9:DY$198))=LOOKUP(ROW(DY169),FILTER(ROW(DY$10:DY$199),DY$10:DY$199&lt;&gt;DY$9:DY$198)))),EF169,)"),"")</f>
        <v/>
      </c>
      <c s="42"/>
      <c s="63"/>
      <c s="64" t="str">
        <f t="shared" si="34"/>
        <v/>
      </c>
      <c s="65" t="str">
        <f>IFERROR(__xludf.DUMMYFUNCTION("""COMPUTED_VALUE"""),"")</f>
        <v/>
      </c>
      <c s="66">
        <f ca="1"/>
        <v>45278</v>
      </c>
      <c s="93" t="str">
        <f t="shared" si="48"/>
        <v/>
      </c>
      <c s="94" t="str">
        <f t="shared" si="395"/>
        <v/>
      </c>
      <c s="95" t="str">
        <f t="shared" si="423"/>
        <v/>
      </c>
      <c s="98" t="str">
        <f t="shared" si="402"/>
        <v/>
      </c>
      <c s="97" t="str">
        <f t="array" ref="ES169">IFERROR(IF(EM169="ac"+ISNUMBER(SEARCH("'",ER169))+EQ169="","",IF(ISNUMBER(SEARCH("lw",ER169)),EE169+SUBSTITUTE(ER169,"lw+",""),MROUND(_xlfn.SWITCH(EM169,"sq",EQ$7,"bn",ER$7,"dl",ES$7,"")*IF(ER169&gt;10,ER169/100,VLOOKUP(ER169,_rpe,SUBSTITUTE(EQ169,"+","")+1,0)),IF(_xlfn.SWITCH(EM169,"sq",EQ$7,"bn",ER$7,"dl",ES$7,"")&lt;IF(_uom="lbs",175,80),1.25,IF(_uom="lbs",5,2.5))))),"")</f>
        <v/>
      </c>
      <c s="70"/>
      <c s="63"/>
      <c s="97"/>
      <c s="44" t="str">
        <f>IFERROR(__xludf.DUMMYFUNCTION("IF(ES169=MAX(FILTER(ES$10:ES$199,LOOKUP(ROW(EM$10:EM$199),FILTER(ROW(EM$10:EM$199),EM$10:EM$199&lt;&gt;EM$9:EM$198))=LOOKUP(ROW(EM169),FILTER(ROW(EM$10:EM$199),EM$10:EM$199&lt;&gt;EM$9:EM$198)))),ET169,)"),"")</f>
        <v/>
      </c>
      <c s="42"/>
      <c s="63"/>
      <c s="64" t="str">
        <f t="shared" si="36"/>
        <v/>
      </c>
      <c s="65" t="str">
        <f>IFERROR(__xludf.DUMMYFUNCTION("""COMPUTED_VALUE"""),"")</f>
        <v/>
      </c>
      <c s="66">
        <f ca="1"/>
        <v>45285</v>
      </c>
      <c s="93" t="str">
        <f t="shared" si="49"/>
        <v/>
      </c>
      <c s="94" t="str">
        <f t="shared" si="396"/>
        <v/>
      </c>
      <c s="95" t="str">
        <f t="shared" si="424"/>
        <v/>
      </c>
      <c s="98" t="str">
        <f t="shared" si="403"/>
        <v/>
      </c>
      <c s="97" t="str">
        <f t="array" ref="FG169">IFERROR(IF(FA169="ac"+ISNUMBER(SEARCH("'",FF169))+FE169="","",IF(ISNUMBER(SEARCH("lw",FF169)),ES169+SUBSTITUTE(FF169,"lw+",""),MROUND(_xlfn.SWITCH(FA169,"sq",FE$7,"bn",FF$7,"dl",FG$7,"")*IF(FF169&gt;10,FF169/100,VLOOKUP(FF169,_rpe,SUBSTITUTE(FE169,"+","")+1,0)),IF(_xlfn.SWITCH(FA169,"sq",FE$7,"bn",FF$7,"dl",FG$7,"")&lt;IF(_uom="lbs",175,80),1.25,IF(_uom="lbs",5,2.5))))),"")</f>
        <v/>
      </c>
      <c s="70"/>
      <c s="63"/>
      <c s="97"/>
      <c s="44" t="str">
        <f>IFERROR(__xludf.DUMMYFUNCTION("IF(FG169=MAX(FILTER(FG$10:FG$199,LOOKUP(ROW(FA$10:FA$199),FILTER(ROW(FA$10:FA$199),FA$10:FA$199&lt;&gt;FA$9:FA$198))=LOOKUP(ROW(FA169),FILTER(ROW(FA$10:FA$199),FA$10:FA$199&lt;&gt;FA$9:FA$198)))),FH169,)"),"")</f>
        <v/>
      </c>
      <c s="42"/>
      <c s="63"/>
      <c s="64" t="str">
        <f t="shared" si="38"/>
        <v/>
      </c>
      <c s="65" t="str">
        <f>IFERROR(__xludf.DUMMYFUNCTION("""COMPUTED_VALUE"""),"")</f>
        <v/>
      </c>
      <c s="66">
        <f ca="1"/>
        <v>45292</v>
      </c>
      <c s="93" t="str">
        <f t="shared" si="513" ref="FQ169:FR169">IF(ISBLANK(FC169),"",FC169)</f>
        <v/>
      </c>
      <c s="94" t="str">
        <f t="shared" si="513"/>
        <v/>
      </c>
      <c s="95" t="str">
        <f t="shared" si="428"/>
        <v/>
      </c>
      <c s="98" t="str">
        <f t="shared" si="429"/>
        <v/>
      </c>
      <c s="97" t="str">
        <f t="array" ref="FU169">IFERROR(IF(FO169="ac"+ISNUMBER(SEARCH("'",FT169))+FS169="","",IF(ISNUMBER(SEARCH("lw",FT169)),FG169+SUBSTITUTE(FT169,"lw+",""),MROUND(_xlfn.SWITCH(FO169,"sq",FS$7,"bn",FT$7,"dl",FU$7,"")*IF(FT169&gt;10,FT169/100,VLOOKUP(FT169,_rpe,SUBSTITUTE(FS169,"+","")+1,0)),IF(_xlfn.SWITCH(FO169,"sq",FS$7,"bn",FT$7,"dl",FU$7,"")&lt;IF(_uom="lbs",175,80),1.25,IF(_uom="lbs",5,2.5))))),"")</f>
        <v/>
      </c>
      <c s="70"/>
      <c s="63"/>
      <c s="97"/>
      <c s="44" t="str">
        <f>IFERROR(__xludf.DUMMYFUNCTION("IF(FU169=MAX(FILTER(FU$10:FU$199,LOOKUP(ROW(FO$10:FO$199),FILTER(ROW(FO$10:FO$199),FO$10:FO$199&lt;&gt;FO$9:FO$198))=LOOKUP(ROW(FO169),FILTER(ROW(FO$10:FO$199),FO$10:FO$199&lt;&gt;FO$9:FO$198)))),FV169,)"),"")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70" spans="1:259" ht="15.75">
      <c r="A170" s="63"/>
      <c s="107"/>
      <c s="65" t="str">
        <f>IFERROR(__xludf.DUMMYFUNCTION("""COMPUTED_VALUE"""),"")</f>
        <v/>
      </c>
      <c s="66">
        <f ca="1"/>
        <v>45208</v>
      </c>
      <c s="108"/>
      <c s="94"/>
      <c s="95"/>
      <c s="96"/>
      <c s="97" t="str">
        <f t="array" ref="I170">IFERROR(IF(C170="ac"+ISNUMBER(SEARCH("'",H170))+G170="","",MROUND(_xlfn.SWITCH(C170,"sq",'Personal Info'!$O$15,"bn",'Personal Info'!$S$15,"dl",'Personal Info'!$W$15,"")*IF(H170&gt;10,H170/100,VLOOKUP(H170,_rpe,SUBSTITUTE(G170,"+","")+1,0)),IF(_xlfn.SWITCH(C170:C210,"sq",'Personal Info'!$O$15,"bn",'Personal Info'!$S$15,"dl",'Personal Info'!$W$15,"")&lt;IF(_uom="lbs",175,80),1.25,IF(_uom="lbs",5,2.5)))),"")</f>
        <v/>
      </c>
      <c s="70"/>
      <c s="63"/>
      <c s="97"/>
      <c s="44" t="str">
        <f>IFERROR(__xludf.DUMMYFUNCTION("IF(I170=MAX(FILTER(I$10:I$199,LOOKUP(ROW(C$10:C$199),FILTER(ROW(C$10:C$199),C$10:C$199&lt;&gt;C$9:C$198))=LOOKUP(ROW(C170),FILTER(ROW(C$10:C$199),C$10:C$199&lt;&gt;C$9:C$198)))),J170,)"),"")</f>
        <v/>
      </c>
      <c s="42"/>
      <c s="63"/>
      <c s="64" t="str">
        <f t="shared" si="11"/>
        <v/>
      </c>
      <c s="65" t="str">
        <f>IFERROR(__xludf.DUMMYFUNCTION("""COMPUTED_VALUE"""),"")</f>
        <v/>
      </c>
      <c s="66">
        <f ca="1"/>
        <v>45215</v>
      </c>
      <c s="93" t="str">
        <f t="shared" si="12"/>
        <v/>
      </c>
      <c s="94" t="str">
        <f t="shared" si="404"/>
        <v/>
      </c>
      <c s="95" t="str">
        <f t="shared" si="406"/>
        <v/>
      </c>
      <c s="98" t="str">
        <f t="shared" si="407"/>
        <v/>
      </c>
      <c s="97" t="str">
        <f t="array" ref="W170">IFERROR(IF(Q170="ac"+ISNUMBER(SEARCH("'",V170))+U170="","",IF(ISNUMBER(SEARCH("lw",V170)),I170+SUBSTITUTE(V170,"lw+",""),MROUND(_xlfn.SWITCH(Q170,"sq",U$7,"bn",V$7,"dl",W$7,"")*IF(V170&gt;10,V170/100,VLOOKUP(V170,_rpe,SUBSTITUTE(U170,"+","")+1,0)),IF(_xlfn.SWITCH(Q170,"sq",U$7,"bn",V$7,"dl",W$7,"")&lt;IF(_uom="lbs",175,80),1.25,IF(_uom="lbs",5,2.5))))),"")</f>
        <v/>
      </c>
      <c s="70"/>
      <c s="63"/>
      <c s="97"/>
      <c s="44" t="str">
        <f>IFERROR(__xludf.DUMMYFUNCTION("IF(W170=MAX(FILTER(W$10:W$199,LOOKUP(ROW(Q$10:Q$199),FILTER(ROW(Q$10:Q$199),Q$10:Q$199&lt;&gt;Q$9:Q$198))=LOOKUP(ROW(Q170),FILTER(ROW(Q$10:Q$199),Q$10:Q$199&lt;&gt;Q$9:Q$198)))),X170,)"),"")</f>
        <v/>
      </c>
      <c s="42"/>
      <c s="63"/>
      <c s="64" t="str">
        <f t="shared" si="14"/>
        <v/>
      </c>
      <c s="65" t="str">
        <f>IFERROR(__xludf.DUMMYFUNCTION("""COMPUTED_VALUE"""),"")</f>
        <v/>
      </c>
      <c s="66">
        <f ca="1"/>
        <v>45222</v>
      </c>
      <c s="93" t="str">
        <f t="shared" si="156"/>
        <v/>
      </c>
      <c s="94" t="str">
        <f t="shared" si="397"/>
        <v/>
      </c>
      <c s="95" t="str">
        <f t="shared" si="408"/>
        <v/>
      </c>
      <c s="98" t="str">
        <f t="shared" si="398"/>
        <v/>
      </c>
      <c s="97" t="str">
        <f t="array" ref="AK170">IFERROR(IF(AE170="ac"+ISNUMBER(SEARCH("'",AJ170))+AI170="","",IF(ISNUMBER(SEARCH("lw",AJ170)),W170+SUBSTITUTE(AJ170,"lw+",""),MROUND(_xlfn.SWITCH(AE170,"sq",AI$7,"bn",AJ$7,"dl",AK$7,"")*IF(AJ170&gt;10,AJ170/100,VLOOKUP(AJ170,_rpe,SUBSTITUTE(AI170,"+","")+1,0)),IF(_xlfn.SWITCH(AE170,"sq",AI$7,"bn",AJ$7,"dl",AK$7,"")&lt;IF(_uom="lbs",175,80),1.25,IF(_uom="lbs",5,2.5))))),"")</f>
        <v/>
      </c>
      <c s="70"/>
      <c s="63"/>
      <c s="97"/>
      <c s="44" t="str">
        <f>IFERROR(__xludf.DUMMYFUNCTION("IF(AK170=MAX(FILTER(AK$10:AK$199,LOOKUP(ROW(AE$10:AE$199),FILTER(ROW(AE$10:AE$199),AE$10:AE$199&lt;&gt;AE$9:AE$198))=LOOKUP(ROW(AE170),FILTER(ROW(AE$10:AE$199),AE$10:AE$199&lt;&gt;AE$9:AE$198)))),AL170,)"),"")</f>
        <v/>
      </c>
      <c s="42"/>
      <c s="63"/>
      <c s="64" t="str">
        <f t="shared" si="17"/>
        <v/>
      </c>
      <c s="65" t="str">
        <f>IFERROR(__xludf.DUMMYFUNCTION("""COMPUTED_VALUE"""),"")</f>
        <v/>
      </c>
      <c s="66">
        <f ca="1"/>
        <v>45229</v>
      </c>
      <c s="93" t="str">
        <f t="shared" si="157"/>
        <v/>
      </c>
      <c s="94" t="str">
        <f t="shared" si="399"/>
        <v/>
      </c>
      <c s="95" t="str">
        <f t="shared" si="409"/>
        <v/>
      </c>
      <c s="98" t="str">
        <f t="shared" si="400"/>
        <v/>
      </c>
      <c s="97" t="str">
        <f t="array" ref="AY170">IFERROR(IF(AS170="ac"+ISNUMBER(SEARCH("'",AX170))+AW170="","",IF(ISNUMBER(SEARCH("lw",AX170)),AK170+SUBSTITUTE(AX170,"lw+",""),MROUND(_xlfn.SWITCH(AS170,"sq",AW$7,"bn",AX$7,"dl",AY$7,"")*IF(AX170&gt;10,AX170/100,VLOOKUP(AX170,_rpe,SUBSTITUTE(AW170,"+","")+1,0)),IF(_xlfn.SWITCH(AS170,"sq",AW$7,"bn",AX$7,"dl",AY$7,"")&lt;IF(_uom="lbs",175,80),1.25,IF(_uom="lbs",5,2.5))))),"")</f>
        <v/>
      </c>
      <c s="70"/>
      <c s="63"/>
      <c s="97"/>
      <c s="44" t="str">
        <f>IFERROR(__xludf.DUMMYFUNCTION("IF(AY170=MAX(FILTER(AY$10:AY$199,LOOKUP(ROW(AS$10:AS$199),FILTER(ROW(AS$10:AS$199),AS$10:AS$199&lt;&gt;AS$9:AS$198))=LOOKUP(ROW(AS170),FILTER(ROW(AS$10:AS$199),AS$10:AS$199&lt;&gt;AS$9:AS$198)))),AZ170,)"),"")</f>
        <v/>
      </c>
      <c s="42"/>
      <c s="63"/>
      <c s="64" t="str">
        <f t="shared" si="19"/>
        <v/>
      </c>
      <c s="65" t="str">
        <f>IFERROR(__xludf.DUMMYFUNCTION("""COMPUTED_VALUE"""),"")</f>
        <v/>
      </c>
      <c s="66">
        <f ca="1"/>
        <v>45236</v>
      </c>
      <c s="93" t="str">
        <f t="shared" si="20"/>
        <v/>
      </c>
      <c s="94" t="str">
        <f t="shared" si="425"/>
        <v/>
      </c>
      <c s="95" t="str">
        <f t="shared" si="411"/>
        <v/>
      </c>
      <c s="98" t="str">
        <f t="shared" si="412"/>
        <v/>
      </c>
      <c s="97" t="str">
        <f t="array" ref="BM170">IFERROR(IF(BG170="ac"+ISNUMBER(SEARCH("'",BL170))+BK170="","",IF(ISNUMBER(SEARCH("lw",BL170)),AY170+SUBSTITUTE(BL170,"lw+",""),MROUND(_xlfn.SWITCH(BG170,"sq",BK$7,"bn",BL$7,"dl",BM$7,"")*IF(BL170&gt;10,BL170/100,VLOOKUP(BL170,_rpe,SUBSTITUTE(BK170,"+","")+1,0)),IF(_xlfn.SWITCH(BG170,"sq",BK$7,"bn",BL$7,"dl",BM$7,"")&lt;IF(_uom="lbs",175,80),1.25,IF(_uom="lbs",5,2.5))))),"")</f>
        <v/>
      </c>
      <c s="70"/>
      <c s="63"/>
      <c s="97"/>
      <c s="44" t="str">
        <f>IFERROR(__xludf.DUMMYFUNCTION("IF(BM170=MAX(FILTER(BM$10:BM$199,LOOKUP(ROW(BG$10:BG$199),FILTER(ROW(BG$10:BG$199),BG$10:BG$199&lt;&gt;BG$9:BG$198))=LOOKUP(ROW(BG170),FILTER(ROW(BG$10:BG$199),BG$10:BG$199&lt;&gt;BG$9:BG$198)))),BN170,)"),"")</f>
        <v/>
      </c>
      <c s="42"/>
      <c s="63"/>
      <c s="64" t="str">
        <f t="shared" si="21"/>
        <v/>
      </c>
      <c s="65" t="str">
        <f>IFERROR(__xludf.DUMMYFUNCTION("""COMPUTED_VALUE"""),"")</f>
        <v/>
      </c>
      <c s="66">
        <f ca="1"/>
        <v>45243</v>
      </c>
      <c s="93" t="str">
        <f t="shared" si="22"/>
        <v/>
      </c>
      <c s="94" t="str">
        <f t="shared" si="426"/>
        <v/>
      </c>
      <c s="95" t="str">
        <f t="shared" si="414"/>
        <v/>
      </c>
      <c s="98" t="str">
        <f t="shared" si="415"/>
        <v/>
      </c>
      <c s="97" t="str">
        <f t="array" ref="CA170">IFERROR(IF(BU170="ac"+ISNUMBER(SEARCH("'",BZ170))+BY170="","",IF(ISNUMBER(SEARCH("lw",BZ170)),BM170+SUBSTITUTE(BZ170,"lw+",""),MROUND(_xlfn.SWITCH(BU170,"sq",BY$7,"bn",BZ$7,"dl",CA$7,"")*IF(BZ170&gt;10,BZ170/100,VLOOKUP(BZ170,_rpe,SUBSTITUTE(BY170,"+","")+1,0)),IF(_xlfn.SWITCH(BU170,"sq",BY$7,"bn",BZ$7,"dl",CA$7,"")&lt;IF(_uom="lbs",175,80),1.25,IF(_uom="lbs",5,2.5))))),"")</f>
        <v/>
      </c>
      <c s="70"/>
      <c s="63"/>
      <c s="97"/>
      <c s="44" t="str">
        <f>IFERROR(__xludf.DUMMYFUNCTION("IF(CA170=MAX(FILTER(CA$10:CA$199,LOOKUP(ROW(BU$10:BU$199),FILTER(ROW(BU$10:BU$199),BU$10:BU$199&lt;&gt;BU$9:BU$198))=LOOKUP(ROW(BU170),FILTER(ROW(BU$10:BU$199),BU$10:BU$199&lt;&gt;BU$9:BU$198)))),CB170,)"),"")</f>
        <v/>
      </c>
      <c s="42"/>
      <c s="63"/>
      <c s="64" t="str">
        <f t="shared" si="24"/>
        <v/>
      </c>
      <c s="65" t="str">
        <f>IFERROR(__xludf.DUMMYFUNCTION("""COMPUTED_VALUE"""),"")</f>
        <v/>
      </c>
      <c s="66">
        <f ca="1"/>
        <v>45250</v>
      </c>
      <c s="93" t="str">
        <f t="shared" si="44"/>
        <v/>
      </c>
      <c s="94" t="str">
        <f t="shared" si="392"/>
        <v/>
      </c>
      <c s="95" t="str">
        <f t="shared" si="416"/>
        <v/>
      </c>
      <c s="98" t="str">
        <f t="shared" si="417"/>
        <v/>
      </c>
      <c s="97" t="str">
        <f t="array" ref="CO170">IFERROR(IF(CI170="ac"+ISNUMBER(SEARCH("'",CN170))+CM170="","",IF(ISNUMBER(SEARCH("lw",CN170)),CA170+SUBSTITUTE(CN170,"lw+",""),MROUND(_xlfn.SWITCH(CI170,"sq",CM$7,"bn",CN$7,"dl",CO$7,"")*IF(CN170&gt;10,CN170/100,VLOOKUP(CN170,_rpe,SUBSTITUTE(CM170,"+","")+1,0)),IF(_xlfn.SWITCH(CI170,"sq",CM$7,"bn",CN$7,"dl",CO$7,"")&lt;IF(_uom="lbs",175,80),1.25,IF(_uom="lbs",5,2.5))))),"")</f>
        <v/>
      </c>
      <c s="70"/>
      <c s="63"/>
      <c s="97"/>
      <c s="44" t="str">
        <f>IFERROR(__xludf.DUMMYFUNCTION("IF(CO170=MAX(FILTER(CO$10:CO$199,LOOKUP(ROW(CI$10:CI$199),FILTER(ROW(CI$10:CI$199),CI$10:CI$199&lt;&gt;CI$9:CI$198))=LOOKUP(ROW(CI170),FILTER(ROW(CI$10:CI$199),CI$10:CI$199&lt;&gt;CI$9:CI$198)))),CP170,)"),"")</f>
        <v/>
      </c>
      <c s="42"/>
      <c s="63"/>
      <c s="64" t="str">
        <f t="shared" si="27"/>
        <v/>
      </c>
      <c s="65" t="str">
        <f>IFERROR(__xludf.DUMMYFUNCTION("""COMPUTED_VALUE"""),"")</f>
        <v/>
      </c>
      <c s="66">
        <f ca="1"/>
        <v>45257</v>
      </c>
      <c s="93" t="str">
        <f t="shared" si="45"/>
        <v/>
      </c>
      <c s="94" t="str">
        <f t="shared" si="393"/>
        <v/>
      </c>
      <c s="95" t="str">
        <f t="shared" si="418"/>
        <v/>
      </c>
      <c s="98" t="str">
        <f t="shared" si="401"/>
        <v/>
      </c>
      <c s="97" t="str">
        <f t="array" ref="DC170">IFERROR(IF(CW170="ac"+ISNUMBER(SEARCH("'",DB170))+DA170="","",IF(ISNUMBER(SEARCH("lw",DB170)),CO170+SUBSTITUTE(DB170,"lw+",""),MROUND(_xlfn.SWITCH(CW170,"sq",DA$7,"bn",DB$7,"dl",DC$7,"")*IF(DB170&gt;10,DB170/100,VLOOKUP(DB170,_rpe,SUBSTITUTE(DA170,"+","")+1,0)),IF(_xlfn.SWITCH(CW170,"sq",DA$7,"bn",DB$7,"dl",DC$7,"")&lt;IF(_uom="lbs",175,80),1.25,IF(_uom="lbs",5,2.5))))),"")</f>
        <v/>
      </c>
      <c s="70"/>
      <c s="63"/>
      <c s="97"/>
      <c s="44" t="str">
        <f>IFERROR(__xludf.DUMMYFUNCTION("IF(DC170=MAX(FILTER(DC$10:DC$199,LOOKUP(ROW(CW$10:CW$199),FILTER(ROW(CW$10:CW$199),CW$10:CW$199&lt;&gt;CW$9:CW$198))=LOOKUP(ROW(CW170),FILTER(ROW(CW$10:CW$199),CW$10:CW$199&lt;&gt;CW$9:CW$198)))),DD170,)"),"")</f>
        <v/>
      </c>
      <c s="42"/>
      <c s="63"/>
      <c s="64" t="str">
        <f t="shared" si="30"/>
        <v/>
      </c>
      <c s="65" t="str">
        <f>IFERROR(__xludf.DUMMYFUNCTION("""COMPUTED_VALUE"""),"")</f>
        <v/>
      </c>
      <c s="66">
        <f ca="1"/>
        <v>45264</v>
      </c>
      <c s="93" t="str">
        <f t="shared" si="46"/>
        <v/>
      </c>
      <c s="94" t="str">
        <f t="shared" si="394"/>
        <v/>
      </c>
      <c s="95" t="str">
        <f t="shared" si="419"/>
        <v/>
      </c>
      <c s="98" t="str">
        <f t="shared" si="420"/>
        <v/>
      </c>
      <c s="97" t="str">
        <f t="array" ref="DQ170">IFERROR(IF(DK170="ac"+ISNUMBER(SEARCH("'",DP170))+DO170="","",IF(ISNUMBER(SEARCH("lw",DP170)),DC170+SUBSTITUTE(DP170,"lw+",""),MROUND(_xlfn.SWITCH(DK170,"sq",DO$7,"bn",DP$7,"dl",DQ$7,"")*IF(DP170&gt;10,DP170/100,VLOOKUP(DP170,_rpe,SUBSTITUTE(DO170,"+","")+1,0)),IF(_xlfn.SWITCH(DK170,"sq",DO$7,"bn",DP$7,"dl",DQ$7,"")&lt;IF(_uom="lbs",175,80),1.25,IF(_uom="lbs",5,2.5))))),"")</f>
        <v/>
      </c>
      <c s="70"/>
      <c s="63"/>
      <c s="97"/>
      <c s="44" t="str">
        <f>IFERROR(__xludf.DUMMYFUNCTION("IF(DQ170=MAX(FILTER(DQ$10:DQ$199,LOOKUP(ROW(DK$10:DK$199),FILTER(ROW(DK$10:DK$199),DK$10:DK$199&lt;&gt;DK$9:DK$198))=LOOKUP(ROW(DK170),FILTER(ROW(DK$10:DK$199),DK$10:DK$199&lt;&gt;DK$9:DK$198)))),DR170,)"),"")</f>
        <v/>
      </c>
      <c s="42"/>
      <c s="63"/>
      <c s="64" t="str">
        <f t="shared" si="32"/>
        <v/>
      </c>
      <c s="65" t="str">
        <f>IFERROR(__xludf.DUMMYFUNCTION("""COMPUTED_VALUE"""),"")</f>
        <v/>
      </c>
      <c s="66">
        <f ca="1"/>
        <v>45271</v>
      </c>
      <c s="93" t="str">
        <f t="shared" si="47"/>
        <v/>
      </c>
      <c s="94" t="str">
        <f t="shared" si="405"/>
        <v/>
      </c>
      <c s="95" t="str">
        <f t="shared" si="421"/>
        <v/>
      </c>
      <c s="98" t="str">
        <f t="shared" si="422"/>
        <v/>
      </c>
      <c s="97" t="str">
        <f t="array" ref="EE170">IFERROR(IF(DY170="ac"+ISNUMBER(SEARCH("'",ED170))+EC170="","",IF(ISNUMBER(SEARCH("lw",ED170)),DQ170+SUBSTITUTE(ED170,"lw+",""),MROUND(_xlfn.SWITCH(DY170,"sq",EC$7,"bn",ED$7,"dl",EE$7,"")*IF(ED170&gt;10,ED170/100,VLOOKUP(ED170,_rpe,SUBSTITUTE(EC170,"+","")+1,0)),IF(_xlfn.SWITCH(DY170,"sq",EC$7,"bn",ED$7,"dl",EE$7,"")&lt;IF(_uom="lbs",175,80),1.25,IF(_uom="lbs",5,2.5))))),"")</f>
        <v/>
      </c>
      <c s="70"/>
      <c s="63"/>
      <c s="97"/>
      <c s="44" t="str">
        <f>IFERROR(__xludf.DUMMYFUNCTION("IF(EE170=MAX(FILTER(EE$10:EE$199,LOOKUP(ROW(DY$10:DY$199),FILTER(ROW(DY$10:DY$199),DY$10:DY$199&lt;&gt;DY$9:DY$198))=LOOKUP(ROW(DY170),FILTER(ROW(DY$10:DY$199),DY$10:DY$199&lt;&gt;DY$9:DY$198)))),EF170,)"),"")</f>
        <v/>
      </c>
      <c s="42"/>
      <c s="63"/>
      <c s="64" t="str">
        <f t="shared" si="34"/>
        <v/>
      </c>
      <c s="65" t="str">
        <f>IFERROR(__xludf.DUMMYFUNCTION("""COMPUTED_VALUE"""),"")</f>
        <v/>
      </c>
      <c s="66">
        <f ca="1"/>
        <v>45278</v>
      </c>
      <c s="93" t="str">
        <f t="shared" si="48"/>
        <v/>
      </c>
      <c s="94" t="str">
        <f t="shared" si="395"/>
        <v/>
      </c>
      <c s="95" t="str">
        <f t="shared" si="423"/>
        <v/>
      </c>
      <c s="98" t="str">
        <f t="shared" si="402"/>
        <v/>
      </c>
      <c s="97" t="str">
        <f t="array" ref="ES170">IFERROR(IF(EM170="ac"+ISNUMBER(SEARCH("'",ER170))+EQ170="","",IF(ISNUMBER(SEARCH("lw",ER170)),EE170+SUBSTITUTE(ER170,"lw+",""),MROUND(_xlfn.SWITCH(EM170,"sq",EQ$7,"bn",ER$7,"dl",ES$7,"")*IF(ER170&gt;10,ER170/100,VLOOKUP(ER170,_rpe,SUBSTITUTE(EQ170,"+","")+1,0)),IF(_xlfn.SWITCH(EM170,"sq",EQ$7,"bn",ER$7,"dl",ES$7,"")&lt;IF(_uom="lbs",175,80),1.25,IF(_uom="lbs",5,2.5))))),"")</f>
        <v/>
      </c>
      <c s="70"/>
      <c s="63"/>
      <c s="97"/>
      <c s="44" t="str">
        <f>IFERROR(__xludf.DUMMYFUNCTION("IF(ES170=MAX(FILTER(ES$10:ES$199,LOOKUP(ROW(EM$10:EM$199),FILTER(ROW(EM$10:EM$199),EM$10:EM$199&lt;&gt;EM$9:EM$198))=LOOKUP(ROW(EM170),FILTER(ROW(EM$10:EM$199),EM$10:EM$199&lt;&gt;EM$9:EM$198)))),ET170,)"),"")</f>
        <v/>
      </c>
      <c s="42"/>
      <c s="63"/>
      <c s="64" t="str">
        <f t="shared" si="36"/>
        <v/>
      </c>
      <c s="65" t="str">
        <f>IFERROR(__xludf.DUMMYFUNCTION("""COMPUTED_VALUE"""),"")</f>
        <v/>
      </c>
      <c s="66">
        <f ca="1"/>
        <v>45285</v>
      </c>
      <c s="93" t="str">
        <f t="shared" si="49"/>
        <v/>
      </c>
      <c s="94" t="str">
        <f t="shared" si="396"/>
        <v/>
      </c>
      <c s="95" t="str">
        <f t="shared" si="424"/>
        <v/>
      </c>
      <c s="98" t="str">
        <f t="shared" si="403"/>
        <v/>
      </c>
      <c s="97" t="str">
        <f t="array" ref="FG170">IFERROR(IF(FA170="ac"+ISNUMBER(SEARCH("'",FF170))+FE170="","",IF(ISNUMBER(SEARCH("lw",FF170)),ES170+SUBSTITUTE(FF170,"lw+",""),MROUND(_xlfn.SWITCH(FA170,"sq",FE$7,"bn",FF$7,"dl",FG$7,"")*IF(FF170&gt;10,FF170/100,VLOOKUP(FF170,_rpe,SUBSTITUTE(FE170,"+","")+1,0)),IF(_xlfn.SWITCH(FA170,"sq",FE$7,"bn",FF$7,"dl",FG$7,"")&lt;IF(_uom="lbs",175,80),1.25,IF(_uom="lbs",5,2.5))))),"")</f>
        <v/>
      </c>
      <c s="70"/>
      <c s="63"/>
      <c s="97"/>
      <c s="44" t="str">
        <f>IFERROR(__xludf.DUMMYFUNCTION("IF(FG170=MAX(FILTER(FG$10:FG$199,LOOKUP(ROW(FA$10:FA$199),FILTER(ROW(FA$10:FA$199),FA$10:FA$199&lt;&gt;FA$9:FA$198))=LOOKUP(ROW(FA170),FILTER(ROW(FA$10:FA$199),FA$10:FA$199&lt;&gt;FA$9:FA$198)))),FH170,)"),"")</f>
        <v/>
      </c>
      <c s="42"/>
      <c s="63"/>
      <c s="64" t="str">
        <f t="shared" si="38"/>
        <v/>
      </c>
      <c s="65" t="str">
        <f>IFERROR(__xludf.DUMMYFUNCTION("""COMPUTED_VALUE"""),"")</f>
        <v/>
      </c>
      <c s="66">
        <f ca="1"/>
        <v>45292</v>
      </c>
      <c s="93" t="str">
        <f t="shared" si="514" ref="FQ170:FR170">IF(ISBLANK(FC170),"",FC170)</f>
        <v/>
      </c>
      <c s="94" t="str">
        <f t="shared" si="514"/>
        <v/>
      </c>
      <c s="95" t="str">
        <f t="shared" si="428"/>
        <v/>
      </c>
      <c s="98" t="str">
        <f t="shared" si="429"/>
        <v/>
      </c>
      <c s="97" t="str">
        <f t="array" ref="FU170">IFERROR(IF(FO170="ac"+ISNUMBER(SEARCH("'",FT170))+FS170="","",IF(ISNUMBER(SEARCH("lw",FT170)),FG170+SUBSTITUTE(FT170,"lw+",""),MROUND(_xlfn.SWITCH(FO170,"sq",FS$7,"bn",FT$7,"dl",FU$7,"")*IF(FT170&gt;10,FT170/100,VLOOKUP(FT170,_rpe,SUBSTITUTE(FS170,"+","")+1,0)),IF(_xlfn.SWITCH(FO170,"sq",FS$7,"bn",FT$7,"dl",FU$7,"")&lt;IF(_uom="lbs",175,80),1.25,IF(_uom="lbs",5,2.5))))),"")</f>
        <v/>
      </c>
      <c s="70"/>
      <c s="63"/>
      <c s="97"/>
      <c s="44" t="str">
        <f>IFERROR(__xludf.DUMMYFUNCTION("IF(FU170=MAX(FILTER(FU$10:FU$199,LOOKUP(ROW(FO$10:FO$199),FILTER(ROW(FO$10:FO$199),FO$10:FO$199&lt;&gt;FO$9:FO$198))=LOOKUP(ROW(FO170),FILTER(ROW(FO$10:FO$199),FO$10:FO$199&lt;&gt;FO$9:FO$198)))),FV170,)"),"")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71" spans="1:259" ht="15.75">
      <c r="A171" s="63"/>
      <c s="107"/>
      <c s="65" t="str">
        <f>IFERROR(__xludf.DUMMYFUNCTION("""COMPUTED_VALUE"""),"")</f>
        <v/>
      </c>
      <c s="66">
        <f ca="1"/>
        <v>45208</v>
      </c>
      <c s="108"/>
      <c s="94"/>
      <c s="95"/>
      <c s="96"/>
      <c s="97" t="str">
        <f t="array" ref="I171">IFERROR(IF(C171="ac"+ISNUMBER(SEARCH("'",H171))+G171="","",MROUND(_xlfn.SWITCH(C171,"sq",'Personal Info'!$O$15,"bn",'Personal Info'!$S$15,"dl",'Personal Info'!$W$15,"")*IF(H171&gt;10,H171/100,VLOOKUP(H171,_rpe,SUBSTITUTE(G171,"+","")+1,0)),IF(_xlfn.SWITCH(C171:C210,"sq",'Personal Info'!$O$15,"bn",'Personal Info'!$S$15,"dl",'Personal Info'!$W$15,"")&lt;IF(_uom="lbs",175,80),1.25,IF(_uom="lbs",5,2.5)))),"")</f>
        <v/>
      </c>
      <c s="70"/>
      <c s="63"/>
      <c s="97"/>
      <c s="44" t="str">
        <f>IFERROR(__xludf.DUMMYFUNCTION("IF(I171=MAX(FILTER(I$10:I$199,LOOKUP(ROW(C$10:C$199),FILTER(ROW(C$10:C$199),C$10:C$199&lt;&gt;C$9:C$198))=LOOKUP(ROW(C171),FILTER(ROW(C$10:C$199),C$10:C$199&lt;&gt;C$9:C$198)))),J171,)"),"")</f>
        <v/>
      </c>
      <c s="42"/>
      <c s="63"/>
      <c s="64" t="str">
        <f t="shared" si="11"/>
        <v/>
      </c>
      <c s="65" t="str">
        <f>IFERROR(__xludf.DUMMYFUNCTION("""COMPUTED_VALUE"""),"")</f>
        <v/>
      </c>
      <c s="66">
        <f ca="1"/>
        <v>45215</v>
      </c>
      <c s="93" t="str">
        <f t="shared" si="12"/>
        <v/>
      </c>
      <c s="94" t="str">
        <f t="shared" si="404"/>
        <v/>
      </c>
      <c s="95" t="str">
        <f t="shared" si="406"/>
        <v/>
      </c>
      <c s="98" t="str">
        <f t="shared" si="407"/>
        <v/>
      </c>
      <c s="97" t="str">
        <f t="array" ref="W171">IFERROR(IF(Q171="ac"+ISNUMBER(SEARCH("'",V171))+U171="","",IF(ISNUMBER(SEARCH("lw",V171)),I171+SUBSTITUTE(V171,"lw+",""),MROUND(_xlfn.SWITCH(Q171,"sq",U$7,"bn",V$7,"dl",W$7,"")*IF(V171&gt;10,V171/100,VLOOKUP(V171,_rpe,SUBSTITUTE(U171,"+","")+1,0)),IF(_xlfn.SWITCH(Q171,"sq",U$7,"bn",V$7,"dl",W$7,"")&lt;IF(_uom="lbs",175,80),1.25,IF(_uom="lbs",5,2.5))))),"")</f>
        <v/>
      </c>
      <c s="70"/>
      <c s="63"/>
      <c s="97"/>
      <c s="44" t="str">
        <f>IFERROR(__xludf.DUMMYFUNCTION("IF(W171=MAX(FILTER(W$10:W$199,LOOKUP(ROW(Q$10:Q$199),FILTER(ROW(Q$10:Q$199),Q$10:Q$199&lt;&gt;Q$9:Q$198))=LOOKUP(ROW(Q171),FILTER(ROW(Q$10:Q$199),Q$10:Q$199&lt;&gt;Q$9:Q$198)))),X171,)"),"")</f>
        <v/>
      </c>
      <c s="42"/>
      <c s="63"/>
      <c s="64" t="str">
        <f t="shared" si="14"/>
        <v/>
      </c>
      <c s="65" t="str">
        <f>IFERROR(__xludf.DUMMYFUNCTION("""COMPUTED_VALUE"""),"")</f>
        <v/>
      </c>
      <c s="66">
        <f ca="1"/>
        <v>45222</v>
      </c>
      <c s="93" t="str">
        <f t="shared" si="156"/>
        <v/>
      </c>
      <c s="94" t="str">
        <f t="shared" si="397"/>
        <v/>
      </c>
      <c s="95" t="str">
        <f t="shared" si="408"/>
        <v/>
      </c>
      <c s="98" t="str">
        <f t="shared" si="398"/>
        <v/>
      </c>
      <c s="97" t="str">
        <f t="array" ref="AK171">IFERROR(IF(AE171="ac"+ISNUMBER(SEARCH("'",AJ171))+AI171="","",IF(ISNUMBER(SEARCH("lw",AJ171)),W171+SUBSTITUTE(AJ171,"lw+",""),MROUND(_xlfn.SWITCH(AE171,"sq",AI$7,"bn",AJ$7,"dl",AK$7,"")*IF(AJ171&gt;10,AJ171/100,VLOOKUP(AJ171,_rpe,SUBSTITUTE(AI171,"+","")+1,0)),IF(_xlfn.SWITCH(AE171,"sq",AI$7,"bn",AJ$7,"dl",AK$7,"")&lt;IF(_uom="lbs",175,80),1.25,IF(_uom="lbs",5,2.5))))),"")</f>
        <v/>
      </c>
      <c s="70"/>
      <c s="63"/>
      <c s="97"/>
      <c s="44" t="str">
        <f>IFERROR(__xludf.DUMMYFUNCTION("IF(AK171=MAX(FILTER(AK$10:AK$199,LOOKUP(ROW(AE$10:AE$199),FILTER(ROW(AE$10:AE$199),AE$10:AE$199&lt;&gt;AE$9:AE$198))=LOOKUP(ROW(AE171),FILTER(ROW(AE$10:AE$199),AE$10:AE$199&lt;&gt;AE$9:AE$198)))),AL171,)"),"")</f>
        <v/>
      </c>
      <c s="42"/>
      <c s="63"/>
      <c s="64" t="str">
        <f t="shared" si="17"/>
        <v/>
      </c>
      <c s="65" t="str">
        <f>IFERROR(__xludf.DUMMYFUNCTION("""COMPUTED_VALUE"""),"")</f>
        <v/>
      </c>
      <c s="66">
        <f ca="1"/>
        <v>45229</v>
      </c>
      <c s="93" t="str">
        <f t="shared" si="157"/>
        <v/>
      </c>
      <c s="94" t="str">
        <f t="shared" si="399"/>
        <v/>
      </c>
      <c s="95" t="str">
        <f t="shared" si="409"/>
        <v/>
      </c>
      <c s="98" t="str">
        <f t="shared" si="400"/>
        <v/>
      </c>
      <c s="97" t="str">
        <f t="array" ref="AY171">IFERROR(IF(AS171="ac"+ISNUMBER(SEARCH("'",AX171))+AW171="","",IF(ISNUMBER(SEARCH("lw",AX171)),AK171+SUBSTITUTE(AX171,"lw+",""),MROUND(_xlfn.SWITCH(AS171,"sq",AW$7,"bn",AX$7,"dl",AY$7,"")*IF(AX171&gt;10,AX171/100,VLOOKUP(AX171,_rpe,SUBSTITUTE(AW171,"+","")+1,0)),IF(_xlfn.SWITCH(AS171,"sq",AW$7,"bn",AX$7,"dl",AY$7,"")&lt;IF(_uom="lbs",175,80),1.25,IF(_uom="lbs",5,2.5))))),"")</f>
        <v/>
      </c>
      <c s="70"/>
      <c s="63"/>
      <c s="97"/>
      <c s="44" t="str">
        <f>IFERROR(__xludf.DUMMYFUNCTION("IF(AY171=MAX(FILTER(AY$10:AY$199,LOOKUP(ROW(AS$10:AS$199),FILTER(ROW(AS$10:AS$199),AS$10:AS$199&lt;&gt;AS$9:AS$198))=LOOKUP(ROW(AS171),FILTER(ROW(AS$10:AS$199),AS$10:AS$199&lt;&gt;AS$9:AS$198)))),AZ171,)"),"")</f>
        <v/>
      </c>
      <c s="42"/>
      <c s="63"/>
      <c s="64" t="str">
        <f t="shared" si="19"/>
        <v/>
      </c>
      <c s="65" t="str">
        <f>IFERROR(__xludf.DUMMYFUNCTION("""COMPUTED_VALUE"""),"")</f>
        <v/>
      </c>
      <c s="66">
        <f ca="1"/>
        <v>45236</v>
      </c>
      <c s="93" t="str">
        <f t="shared" si="20"/>
        <v/>
      </c>
      <c s="94" t="str">
        <f t="shared" si="425"/>
        <v/>
      </c>
      <c s="95" t="str">
        <f t="shared" si="411"/>
        <v/>
      </c>
      <c s="98" t="str">
        <f t="shared" si="412"/>
        <v/>
      </c>
      <c s="97" t="str">
        <f t="array" ref="BM171">IFERROR(IF(BG171="ac"+ISNUMBER(SEARCH("'",BL171))+BK171="","",IF(ISNUMBER(SEARCH("lw",BL171)),AY171+SUBSTITUTE(BL171,"lw+",""),MROUND(_xlfn.SWITCH(BG171,"sq",BK$7,"bn",BL$7,"dl",BM$7,"")*IF(BL171&gt;10,BL171/100,VLOOKUP(BL171,_rpe,SUBSTITUTE(BK171,"+","")+1,0)),IF(_xlfn.SWITCH(BG171,"sq",BK$7,"bn",BL$7,"dl",BM$7,"")&lt;IF(_uom="lbs",175,80),1.25,IF(_uom="lbs",5,2.5))))),"")</f>
        <v/>
      </c>
      <c s="70"/>
      <c s="63"/>
      <c s="97"/>
      <c s="44" t="str">
        <f>IFERROR(__xludf.DUMMYFUNCTION("IF(BM171=MAX(FILTER(BM$10:BM$199,LOOKUP(ROW(BG$10:BG$199),FILTER(ROW(BG$10:BG$199),BG$10:BG$199&lt;&gt;BG$9:BG$198))=LOOKUP(ROW(BG171),FILTER(ROW(BG$10:BG$199),BG$10:BG$199&lt;&gt;BG$9:BG$198)))),BN171,)"),"")</f>
        <v/>
      </c>
      <c s="42"/>
      <c s="63"/>
      <c s="64" t="str">
        <f t="shared" si="21"/>
        <v/>
      </c>
      <c s="65" t="str">
        <f>IFERROR(__xludf.DUMMYFUNCTION("""COMPUTED_VALUE"""),"")</f>
        <v/>
      </c>
      <c s="66">
        <f ca="1"/>
        <v>45243</v>
      </c>
      <c s="93" t="str">
        <f t="shared" si="22"/>
        <v/>
      </c>
      <c s="94" t="str">
        <f t="shared" si="426"/>
        <v/>
      </c>
      <c s="95" t="str">
        <f t="shared" si="414"/>
        <v/>
      </c>
      <c s="98" t="str">
        <f t="shared" si="415"/>
        <v/>
      </c>
      <c s="97" t="str">
        <f t="array" ref="CA171">IFERROR(IF(BU171="ac"+ISNUMBER(SEARCH("'",BZ171))+BY171="","",IF(ISNUMBER(SEARCH("lw",BZ171)),BM171+SUBSTITUTE(BZ171,"lw+",""),MROUND(_xlfn.SWITCH(BU171,"sq",BY$7,"bn",BZ$7,"dl",CA$7,"")*IF(BZ171&gt;10,BZ171/100,VLOOKUP(BZ171,_rpe,SUBSTITUTE(BY171,"+","")+1,0)),IF(_xlfn.SWITCH(BU171,"sq",BY$7,"bn",BZ$7,"dl",CA$7,"")&lt;IF(_uom="lbs",175,80),1.25,IF(_uom="lbs",5,2.5))))),"")</f>
        <v/>
      </c>
      <c s="70"/>
      <c s="63"/>
      <c s="97"/>
      <c s="44" t="str">
        <f>IFERROR(__xludf.DUMMYFUNCTION("IF(CA171=MAX(FILTER(CA$10:CA$199,LOOKUP(ROW(BU$10:BU$199),FILTER(ROW(BU$10:BU$199),BU$10:BU$199&lt;&gt;BU$9:BU$198))=LOOKUP(ROW(BU171),FILTER(ROW(BU$10:BU$199),BU$10:BU$199&lt;&gt;BU$9:BU$198)))),CB171,)"),"")</f>
        <v/>
      </c>
      <c s="42"/>
      <c s="63"/>
      <c s="64" t="str">
        <f t="shared" si="24"/>
        <v/>
      </c>
      <c s="65" t="str">
        <f>IFERROR(__xludf.DUMMYFUNCTION("""COMPUTED_VALUE"""),"")</f>
        <v/>
      </c>
      <c s="66">
        <f ca="1"/>
        <v>45250</v>
      </c>
      <c s="93" t="str">
        <f t="shared" si="44"/>
        <v/>
      </c>
      <c s="94" t="str">
        <f t="shared" si="392"/>
        <v/>
      </c>
      <c s="95" t="str">
        <f t="shared" si="416"/>
        <v/>
      </c>
      <c s="98" t="str">
        <f t="shared" si="417"/>
        <v/>
      </c>
      <c s="97" t="str">
        <f t="array" ref="CO171">IFERROR(IF(CI171="ac"+ISNUMBER(SEARCH("'",CN171))+CM171="","",IF(ISNUMBER(SEARCH("lw",CN171)),CA171+SUBSTITUTE(CN171,"lw+",""),MROUND(_xlfn.SWITCH(CI171,"sq",CM$7,"bn",CN$7,"dl",CO$7,"")*IF(CN171&gt;10,CN171/100,VLOOKUP(CN171,_rpe,SUBSTITUTE(CM171,"+","")+1,0)),IF(_xlfn.SWITCH(CI171,"sq",CM$7,"bn",CN$7,"dl",CO$7,"")&lt;IF(_uom="lbs",175,80),1.25,IF(_uom="lbs",5,2.5))))),"")</f>
        <v/>
      </c>
      <c s="70"/>
      <c s="63"/>
      <c s="97"/>
      <c s="44" t="str">
        <f>IFERROR(__xludf.DUMMYFUNCTION("IF(CO171=MAX(FILTER(CO$10:CO$199,LOOKUP(ROW(CI$10:CI$199),FILTER(ROW(CI$10:CI$199),CI$10:CI$199&lt;&gt;CI$9:CI$198))=LOOKUP(ROW(CI171),FILTER(ROW(CI$10:CI$199),CI$10:CI$199&lt;&gt;CI$9:CI$198)))),CP171,)"),"")</f>
        <v/>
      </c>
      <c s="42"/>
      <c s="63"/>
      <c s="64" t="str">
        <f t="shared" si="27"/>
        <v/>
      </c>
      <c s="65" t="str">
        <f>IFERROR(__xludf.DUMMYFUNCTION("""COMPUTED_VALUE"""),"")</f>
        <v/>
      </c>
      <c s="66">
        <f ca="1"/>
        <v>45257</v>
      </c>
      <c s="93" t="str">
        <f t="shared" si="45"/>
        <v/>
      </c>
      <c s="94" t="str">
        <f t="shared" si="393"/>
        <v/>
      </c>
      <c s="95" t="str">
        <f t="shared" si="418"/>
        <v/>
      </c>
      <c s="98" t="str">
        <f t="shared" si="401"/>
        <v/>
      </c>
      <c s="97" t="str">
        <f t="array" ref="DC171">IFERROR(IF(CW171="ac"+ISNUMBER(SEARCH("'",DB171))+DA171="","",IF(ISNUMBER(SEARCH("lw",DB171)),CO171+SUBSTITUTE(DB171,"lw+",""),MROUND(_xlfn.SWITCH(CW171,"sq",DA$7,"bn",DB$7,"dl",DC$7,"")*IF(DB171&gt;10,DB171/100,VLOOKUP(DB171,_rpe,SUBSTITUTE(DA171,"+","")+1,0)),IF(_xlfn.SWITCH(CW171,"sq",DA$7,"bn",DB$7,"dl",DC$7,"")&lt;IF(_uom="lbs",175,80),1.25,IF(_uom="lbs",5,2.5))))),"")</f>
        <v/>
      </c>
      <c s="70"/>
      <c s="63"/>
      <c s="97"/>
      <c s="44" t="str">
        <f>IFERROR(__xludf.DUMMYFUNCTION("IF(DC171=MAX(FILTER(DC$10:DC$199,LOOKUP(ROW(CW$10:CW$199),FILTER(ROW(CW$10:CW$199),CW$10:CW$199&lt;&gt;CW$9:CW$198))=LOOKUP(ROW(CW171),FILTER(ROW(CW$10:CW$199),CW$10:CW$199&lt;&gt;CW$9:CW$198)))),DD171,)"),"")</f>
        <v/>
      </c>
      <c s="42"/>
      <c s="63"/>
      <c s="64" t="str">
        <f t="shared" si="30"/>
        <v/>
      </c>
      <c s="65" t="str">
        <f>IFERROR(__xludf.DUMMYFUNCTION("""COMPUTED_VALUE"""),"")</f>
        <v/>
      </c>
      <c s="66">
        <f ca="1"/>
        <v>45264</v>
      </c>
      <c s="93" t="str">
        <f t="shared" si="46"/>
        <v/>
      </c>
      <c s="94" t="str">
        <f t="shared" si="394"/>
        <v/>
      </c>
      <c s="95" t="str">
        <f t="shared" si="419"/>
        <v/>
      </c>
      <c s="98" t="str">
        <f t="shared" si="420"/>
        <v/>
      </c>
      <c s="97" t="str">
        <f t="array" ref="DQ171">IFERROR(IF(DK171="ac"+ISNUMBER(SEARCH("'",DP171))+DO171="","",IF(ISNUMBER(SEARCH("lw",DP171)),DC171+SUBSTITUTE(DP171,"lw+",""),MROUND(_xlfn.SWITCH(DK171,"sq",DO$7,"bn",DP$7,"dl",DQ$7,"")*IF(DP171&gt;10,DP171/100,VLOOKUP(DP171,_rpe,SUBSTITUTE(DO171,"+","")+1,0)),IF(_xlfn.SWITCH(DK171,"sq",DO$7,"bn",DP$7,"dl",DQ$7,"")&lt;IF(_uom="lbs",175,80),1.25,IF(_uom="lbs",5,2.5))))),"")</f>
        <v/>
      </c>
      <c s="70"/>
      <c s="63"/>
      <c s="97"/>
      <c s="44" t="str">
        <f>IFERROR(__xludf.DUMMYFUNCTION("IF(DQ171=MAX(FILTER(DQ$10:DQ$199,LOOKUP(ROW(DK$10:DK$199),FILTER(ROW(DK$10:DK$199),DK$10:DK$199&lt;&gt;DK$9:DK$198))=LOOKUP(ROW(DK171),FILTER(ROW(DK$10:DK$199),DK$10:DK$199&lt;&gt;DK$9:DK$198)))),DR171,)"),"")</f>
        <v/>
      </c>
      <c s="42"/>
      <c s="63"/>
      <c s="64" t="str">
        <f t="shared" si="32"/>
        <v/>
      </c>
      <c s="65" t="str">
        <f>IFERROR(__xludf.DUMMYFUNCTION("""COMPUTED_VALUE"""),"")</f>
        <v/>
      </c>
      <c s="66">
        <f ca="1"/>
        <v>45271</v>
      </c>
      <c s="93" t="str">
        <f t="shared" si="47"/>
        <v/>
      </c>
      <c s="94" t="str">
        <f t="shared" si="405"/>
        <v/>
      </c>
      <c s="95" t="str">
        <f t="shared" si="421"/>
        <v/>
      </c>
      <c s="98" t="str">
        <f t="shared" si="422"/>
        <v/>
      </c>
      <c s="97" t="str">
        <f t="array" ref="EE171">IFERROR(IF(DY171="ac"+ISNUMBER(SEARCH("'",ED171))+EC171="","",IF(ISNUMBER(SEARCH("lw",ED171)),DQ171+SUBSTITUTE(ED171,"lw+",""),MROUND(_xlfn.SWITCH(DY171,"sq",EC$7,"bn",ED$7,"dl",EE$7,"")*IF(ED171&gt;10,ED171/100,VLOOKUP(ED171,_rpe,SUBSTITUTE(EC171,"+","")+1,0)),IF(_xlfn.SWITCH(DY171,"sq",EC$7,"bn",ED$7,"dl",EE$7,"")&lt;IF(_uom="lbs",175,80),1.25,IF(_uom="lbs",5,2.5))))),"")</f>
        <v/>
      </c>
      <c s="70"/>
      <c s="63"/>
      <c s="97"/>
      <c s="44" t="str">
        <f>IFERROR(__xludf.DUMMYFUNCTION("IF(EE171=MAX(FILTER(EE$10:EE$199,LOOKUP(ROW(DY$10:DY$199),FILTER(ROW(DY$10:DY$199),DY$10:DY$199&lt;&gt;DY$9:DY$198))=LOOKUP(ROW(DY171),FILTER(ROW(DY$10:DY$199),DY$10:DY$199&lt;&gt;DY$9:DY$198)))),EF171,)"),"")</f>
        <v/>
      </c>
      <c s="42"/>
      <c s="63"/>
      <c s="64" t="str">
        <f t="shared" si="34"/>
        <v/>
      </c>
      <c s="65" t="str">
        <f>IFERROR(__xludf.DUMMYFUNCTION("""COMPUTED_VALUE"""),"")</f>
        <v/>
      </c>
      <c s="66">
        <f ca="1"/>
        <v>45278</v>
      </c>
      <c s="93" t="str">
        <f t="shared" si="48"/>
        <v/>
      </c>
      <c s="94" t="str">
        <f t="shared" si="395"/>
        <v/>
      </c>
      <c s="95" t="str">
        <f t="shared" si="423"/>
        <v/>
      </c>
      <c s="98" t="str">
        <f t="shared" si="402"/>
        <v/>
      </c>
      <c s="97" t="str">
        <f t="array" ref="ES171">IFERROR(IF(EM171="ac"+ISNUMBER(SEARCH("'",ER171))+EQ171="","",IF(ISNUMBER(SEARCH("lw",ER171)),EE171+SUBSTITUTE(ER171,"lw+",""),MROUND(_xlfn.SWITCH(EM171,"sq",EQ$7,"bn",ER$7,"dl",ES$7,"")*IF(ER171&gt;10,ER171/100,VLOOKUP(ER171,_rpe,SUBSTITUTE(EQ171,"+","")+1,0)),IF(_xlfn.SWITCH(EM171,"sq",EQ$7,"bn",ER$7,"dl",ES$7,"")&lt;IF(_uom="lbs",175,80),1.25,IF(_uom="lbs",5,2.5))))),"")</f>
        <v/>
      </c>
      <c s="70"/>
      <c s="63"/>
      <c s="97"/>
      <c s="44" t="str">
        <f>IFERROR(__xludf.DUMMYFUNCTION("IF(ES171=MAX(FILTER(ES$10:ES$199,LOOKUP(ROW(EM$10:EM$199),FILTER(ROW(EM$10:EM$199),EM$10:EM$199&lt;&gt;EM$9:EM$198))=LOOKUP(ROW(EM171),FILTER(ROW(EM$10:EM$199),EM$10:EM$199&lt;&gt;EM$9:EM$198)))),ET171,)"),"")</f>
        <v/>
      </c>
      <c s="42"/>
      <c s="63"/>
      <c s="64" t="str">
        <f t="shared" si="36"/>
        <v/>
      </c>
      <c s="65" t="str">
        <f>IFERROR(__xludf.DUMMYFUNCTION("""COMPUTED_VALUE"""),"")</f>
        <v/>
      </c>
      <c s="66">
        <f ca="1"/>
        <v>45285</v>
      </c>
      <c s="93" t="str">
        <f t="shared" si="49"/>
        <v/>
      </c>
      <c s="94" t="str">
        <f t="shared" si="396"/>
        <v/>
      </c>
      <c s="95" t="str">
        <f t="shared" si="424"/>
        <v/>
      </c>
      <c s="98" t="str">
        <f t="shared" si="403"/>
        <v/>
      </c>
      <c s="97" t="str">
        <f t="array" ref="FG171">IFERROR(IF(FA171="ac"+ISNUMBER(SEARCH("'",FF171))+FE171="","",IF(ISNUMBER(SEARCH("lw",FF171)),ES171+SUBSTITUTE(FF171,"lw+",""),MROUND(_xlfn.SWITCH(FA171,"sq",FE$7,"bn",FF$7,"dl",FG$7,"")*IF(FF171&gt;10,FF171/100,VLOOKUP(FF171,_rpe,SUBSTITUTE(FE171,"+","")+1,0)),IF(_xlfn.SWITCH(FA171,"sq",FE$7,"bn",FF$7,"dl",FG$7,"")&lt;IF(_uom="lbs",175,80),1.25,IF(_uom="lbs",5,2.5))))),"")</f>
        <v/>
      </c>
      <c s="70"/>
      <c s="63"/>
      <c s="97"/>
      <c s="44" t="str">
        <f>IFERROR(__xludf.DUMMYFUNCTION("IF(FG171=MAX(FILTER(FG$10:FG$199,LOOKUP(ROW(FA$10:FA$199),FILTER(ROW(FA$10:FA$199),FA$10:FA$199&lt;&gt;FA$9:FA$198))=LOOKUP(ROW(FA171),FILTER(ROW(FA$10:FA$199),FA$10:FA$199&lt;&gt;FA$9:FA$198)))),FH171,)"),"")</f>
        <v/>
      </c>
      <c s="42"/>
      <c s="63"/>
      <c s="64" t="str">
        <f t="shared" si="38"/>
        <v/>
      </c>
      <c s="65" t="str">
        <f>IFERROR(__xludf.DUMMYFUNCTION("""COMPUTED_VALUE"""),"")</f>
        <v/>
      </c>
      <c s="66">
        <f ca="1"/>
        <v>45292</v>
      </c>
      <c s="93" t="str">
        <f t="shared" si="515" ref="FQ171:FR171">IF(ISBLANK(FC171),"",FC171)</f>
        <v/>
      </c>
      <c s="94" t="str">
        <f t="shared" si="515"/>
        <v/>
      </c>
      <c s="95" t="str">
        <f t="shared" si="428"/>
        <v/>
      </c>
      <c s="98" t="str">
        <f t="shared" si="429"/>
        <v/>
      </c>
      <c s="97" t="str">
        <f t="array" ref="FU171">IFERROR(IF(FO171="ac"+ISNUMBER(SEARCH("'",FT171))+FS171="","",IF(ISNUMBER(SEARCH("lw",FT171)),FG171+SUBSTITUTE(FT171,"lw+",""),MROUND(_xlfn.SWITCH(FO171,"sq",FS$7,"bn",FT$7,"dl",FU$7,"")*IF(FT171&gt;10,FT171/100,VLOOKUP(FT171,_rpe,SUBSTITUTE(FS171,"+","")+1,0)),IF(_xlfn.SWITCH(FO171,"sq",FS$7,"bn",FT$7,"dl",FU$7,"")&lt;IF(_uom="lbs",175,80),1.25,IF(_uom="lbs",5,2.5))))),"")</f>
        <v/>
      </c>
      <c s="70"/>
      <c s="63"/>
      <c s="97"/>
      <c s="44" t="str">
        <f>IFERROR(__xludf.DUMMYFUNCTION("IF(FU171=MAX(FILTER(FU$10:FU$199,LOOKUP(ROW(FO$10:FO$199),FILTER(ROW(FO$10:FO$199),FO$10:FO$199&lt;&gt;FO$9:FO$198))=LOOKUP(ROW(FO171),FILTER(ROW(FO$10:FO$199),FO$10:FO$199&lt;&gt;FO$9:FO$198)))),FV171,)"),"")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72" spans="1:259" ht="15.75">
      <c r="A172" s="63"/>
      <c s="107"/>
      <c s="65" t="str">
        <f>IFERROR(__xludf.DUMMYFUNCTION("""COMPUTED_VALUE"""),"")</f>
        <v/>
      </c>
      <c s="66">
        <f ca="1"/>
        <v>45208</v>
      </c>
      <c s="108"/>
      <c s="94"/>
      <c s="95"/>
      <c s="96"/>
      <c s="97" t="str">
        <f t="array" ref="I172">IFERROR(IF(C172="ac"+ISNUMBER(SEARCH("'",H172))+G172="","",MROUND(_xlfn.SWITCH(C172,"sq",'Personal Info'!$O$15,"bn",'Personal Info'!$S$15,"dl",'Personal Info'!$W$15,"")*IF(H172&gt;10,H172/100,VLOOKUP(H172,_rpe,SUBSTITUTE(G172,"+","")+1,0)),IF(_xlfn.SWITCH(C172:C210,"sq",'Personal Info'!$O$15,"bn",'Personal Info'!$S$15,"dl",'Personal Info'!$W$15,"")&lt;IF(_uom="lbs",175,80),1.25,IF(_uom="lbs",5,2.5)))),"")</f>
        <v/>
      </c>
      <c s="70"/>
      <c s="63"/>
      <c s="97"/>
      <c s="44" t="str">
        <f>IFERROR(__xludf.DUMMYFUNCTION("IF(I172=MAX(FILTER(I$10:I$199,LOOKUP(ROW(C$10:C$199),FILTER(ROW(C$10:C$199),C$10:C$199&lt;&gt;C$9:C$198))=LOOKUP(ROW(C172),FILTER(ROW(C$10:C$199),C$10:C$199&lt;&gt;C$9:C$198)))),J172,)"),"")</f>
        <v/>
      </c>
      <c s="42"/>
      <c s="63"/>
      <c s="64" t="str">
        <f t="shared" si="11"/>
        <v/>
      </c>
      <c s="65" t="str">
        <f>IFERROR(__xludf.DUMMYFUNCTION("""COMPUTED_VALUE"""),"")</f>
        <v/>
      </c>
      <c s="66">
        <f ca="1"/>
        <v>45215</v>
      </c>
      <c s="93" t="str">
        <f t="shared" si="12"/>
        <v/>
      </c>
      <c s="94" t="str">
        <f t="shared" si="404"/>
        <v/>
      </c>
      <c s="95" t="str">
        <f t="shared" si="406"/>
        <v/>
      </c>
      <c s="98" t="str">
        <f t="shared" si="407"/>
        <v/>
      </c>
      <c s="97" t="str">
        <f t="array" ref="W172">IFERROR(IF(Q172="ac"+ISNUMBER(SEARCH("'",V172))+U172="","",IF(ISNUMBER(SEARCH("lw",V172)),I172+SUBSTITUTE(V172,"lw+",""),MROUND(_xlfn.SWITCH(Q172,"sq",U$7,"bn",V$7,"dl",W$7,"")*IF(V172&gt;10,V172/100,VLOOKUP(V172,_rpe,SUBSTITUTE(U172,"+","")+1,0)),IF(_xlfn.SWITCH(Q172,"sq",U$7,"bn",V$7,"dl",W$7,"")&lt;IF(_uom="lbs",175,80),1.25,IF(_uom="lbs",5,2.5))))),"")</f>
        <v/>
      </c>
      <c s="70"/>
      <c s="63"/>
      <c s="97"/>
      <c s="44" t="str">
        <f>IFERROR(__xludf.DUMMYFUNCTION("IF(W172=MAX(FILTER(W$10:W$199,LOOKUP(ROW(Q$10:Q$199),FILTER(ROW(Q$10:Q$199),Q$10:Q$199&lt;&gt;Q$9:Q$198))=LOOKUP(ROW(Q172),FILTER(ROW(Q$10:Q$199),Q$10:Q$199&lt;&gt;Q$9:Q$198)))),X172,)"),"")</f>
        <v/>
      </c>
      <c s="42"/>
      <c s="63"/>
      <c s="64" t="str">
        <f t="shared" si="14"/>
        <v/>
      </c>
      <c s="65" t="str">
        <f>IFERROR(__xludf.DUMMYFUNCTION("""COMPUTED_VALUE"""),"")</f>
        <v/>
      </c>
      <c s="66">
        <f ca="1"/>
        <v>45222</v>
      </c>
      <c s="93" t="str">
        <f t="shared" si="156"/>
        <v/>
      </c>
      <c s="94" t="str">
        <f t="shared" si="397"/>
        <v/>
      </c>
      <c s="95" t="str">
        <f t="shared" si="408"/>
        <v/>
      </c>
      <c s="98" t="str">
        <f t="shared" si="398"/>
        <v/>
      </c>
      <c s="97" t="str">
        <f t="array" ref="AK172">IFERROR(IF(AE172="ac"+ISNUMBER(SEARCH("'",AJ172))+AI172="","",IF(ISNUMBER(SEARCH("lw",AJ172)),W172+SUBSTITUTE(AJ172,"lw+",""),MROUND(_xlfn.SWITCH(AE172,"sq",AI$7,"bn",AJ$7,"dl",AK$7,"")*IF(AJ172&gt;10,AJ172/100,VLOOKUP(AJ172,_rpe,SUBSTITUTE(AI172,"+","")+1,0)),IF(_xlfn.SWITCH(AE172,"sq",AI$7,"bn",AJ$7,"dl",AK$7,"")&lt;IF(_uom="lbs",175,80),1.25,IF(_uom="lbs",5,2.5))))),"")</f>
        <v/>
      </c>
      <c s="70"/>
      <c s="63"/>
      <c s="97"/>
      <c s="44" t="str">
        <f>IFERROR(__xludf.DUMMYFUNCTION("IF(AK172=MAX(FILTER(AK$10:AK$199,LOOKUP(ROW(AE$10:AE$199),FILTER(ROW(AE$10:AE$199),AE$10:AE$199&lt;&gt;AE$9:AE$198))=LOOKUP(ROW(AE172),FILTER(ROW(AE$10:AE$199),AE$10:AE$199&lt;&gt;AE$9:AE$198)))),AL172,)"),"")</f>
        <v/>
      </c>
      <c s="42"/>
      <c s="63"/>
      <c s="64" t="str">
        <f t="shared" si="17"/>
        <v/>
      </c>
      <c s="65" t="str">
        <f>IFERROR(__xludf.DUMMYFUNCTION("""COMPUTED_VALUE"""),"")</f>
        <v/>
      </c>
      <c s="66">
        <f ca="1"/>
        <v>45229</v>
      </c>
      <c s="93" t="str">
        <f t="shared" si="157"/>
        <v/>
      </c>
      <c s="94" t="str">
        <f t="shared" si="399"/>
        <v/>
      </c>
      <c s="95" t="str">
        <f t="shared" si="409"/>
        <v/>
      </c>
      <c s="98" t="str">
        <f t="shared" si="400"/>
        <v/>
      </c>
      <c s="97" t="str">
        <f t="array" ref="AY172">IFERROR(IF(AS172="ac"+ISNUMBER(SEARCH("'",AX172))+AW172="","",IF(ISNUMBER(SEARCH("lw",AX172)),AK172+SUBSTITUTE(AX172,"lw+",""),MROUND(_xlfn.SWITCH(AS172,"sq",AW$7,"bn",AX$7,"dl",AY$7,"")*IF(AX172&gt;10,AX172/100,VLOOKUP(AX172,_rpe,SUBSTITUTE(AW172,"+","")+1,0)),IF(_xlfn.SWITCH(AS172,"sq",AW$7,"bn",AX$7,"dl",AY$7,"")&lt;IF(_uom="lbs",175,80),1.25,IF(_uom="lbs",5,2.5))))),"")</f>
        <v/>
      </c>
      <c s="70"/>
      <c s="63"/>
      <c s="97"/>
      <c s="44" t="str">
        <f>IFERROR(__xludf.DUMMYFUNCTION("IF(AY172=MAX(FILTER(AY$10:AY$199,LOOKUP(ROW(AS$10:AS$199),FILTER(ROW(AS$10:AS$199),AS$10:AS$199&lt;&gt;AS$9:AS$198))=LOOKUP(ROW(AS172),FILTER(ROW(AS$10:AS$199),AS$10:AS$199&lt;&gt;AS$9:AS$198)))),AZ172,)"),"")</f>
        <v/>
      </c>
      <c s="42"/>
      <c s="63"/>
      <c s="64" t="str">
        <f t="shared" si="19"/>
        <v/>
      </c>
      <c s="65" t="str">
        <f>IFERROR(__xludf.DUMMYFUNCTION("""COMPUTED_VALUE"""),"")</f>
        <v/>
      </c>
      <c s="66">
        <f ca="1"/>
        <v>45236</v>
      </c>
      <c s="93" t="str">
        <f t="shared" si="20"/>
        <v/>
      </c>
      <c s="94" t="str">
        <f t="shared" si="425"/>
        <v/>
      </c>
      <c s="95" t="str">
        <f t="shared" si="411"/>
        <v/>
      </c>
      <c s="98" t="str">
        <f t="shared" si="412"/>
        <v/>
      </c>
      <c s="97" t="str">
        <f t="array" ref="BM172">IFERROR(IF(BG172="ac"+ISNUMBER(SEARCH("'",BL172))+BK172="","",IF(ISNUMBER(SEARCH("lw",BL172)),AY172+SUBSTITUTE(BL172,"lw+",""),MROUND(_xlfn.SWITCH(BG172,"sq",BK$7,"bn",BL$7,"dl",BM$7,"")*IF(BL172&gt;10,BL172/100,VLOOKUP(BL172,_rpe,SUBSTITUTE(BK172,"+","")+1,0)),IF(_xlfn.SWITCH(BG172,"sq",BK$7,"bn",BL$7,"dl",BM$7,"")&lt;IF(_uom="lbs",175,80),1.25,IF(_uom="lbs",5,2.5))))),"")</f>
        <v/>
      </c>
      <c s="70"/>
      <c s="63"/>
      <c s="97"/>
      <c s="44" t="str">
        <f>IFERROR(__xludf.DUMMYFUNCTION("IF(BM172=MAX(FILTER(BM$10:BM$199,LOOKUP(ROW(BG$10:BG$199),FILTER(ROW(BG$10:BG$199),BG$10:BG$199&lt;&gt;BG$9:BG$198))=LOOKUP(ROW(BG172),FILTER(ROW(BG$10:BG$199),BG$10:BG$199&lt;&gt;BG$9:BG$198)))),BN172,)"),"")</f>
        <v/>
      </c>
      <c s="42"/>
      <c s="63"/>
      <c s="64" t="str">
        <f t="shared" si="21"/>
        <v/>
      </c>
      <c s="65" t="str">
        <f>IFERROR(__xludf.DUMMYFUNCTION("""COMPUTED_VALUE"""),"")</f>
        <v/>
      </c>
      <c s="66">
        <f ca="1"/>
        <v>45243</v>
      </c>
      <c s="93" t="str">
        <f t="shared" si="22"/>
        <v/>
      </c>
      <c s="94" t="str">
        <f t="shared" si="426"/>
        <v/>
      </c>
      <c s="95" t="str">
        <f t="shared" si="414"/>
        <v/>
      </c>
      <c s="98" t="str">
        <f t="shared" si="415"/>
        <v/>
      </c>
      <c s="97" t="str">
        <f t="array" ref="CA172">IFERROR(IF(BU172="ac"+ISNUMBER(SEARCH("'",BZ172))+BY172="","",IF(ISNUMBER(SEARCH("lw",BZ172)),BM172+SUBSTITUTE(BZ172,"lw+",""),MROUND(_xlfn.SWITCH(BU172,"sq",BY$7,"bn",BZ$7,"dl",CA$7,"")*IF(BZ172&gt;10,BZ172/100,VLOOKUP(BZ172,_rpe,SUBSTITUTE(BY172,"+","")+1,0)),IF(_xlfn.SWITCH(BU172,"sq",BY$7,"bn",BZ$7,"dl",CA$7,"")&lt;IF(_uom="lbs",175,80),1.25,IF(_uom="lbs",5,2.5))))),"")</f>
        <v/>
      </c>
      <c s="70"/>
      <c s="63"/>
      <c s="97"/>
      <c s="44" t="str">
        <f>IFERROR(__xludf.DUMMYFUNCTION("IF(CA172=MAX(FILTER(CA$10:CA$199,LOOKUP(ROW(BU$10:BU$199),FILTER(ROW(BU$10:BU$199),BU$10:BU$199&lt;&gt;BU$9:BU$198))=LOOKUP(ROW(BU172),FILTER(ROW(BU$10:BU$199),BU$10:BU$199&lt;&gt;BU$9:BU$198)))),CB172,)"),"")</f>
        <v/>
      </c>
      <c s="42"/>
      <c s="63"/>
      <c s="64" t="str">
        <f t="shared" si="24"/>
        <v/>
      </c>
      <c s="65" t="str">
        <f>IFERROR(__xludf.DUMMYFUNCTION("""COMPUTED_VALUE"""),"")</f>
        <v/>
      </c>
      <c s="66">
        <f ca="1"/>
        <v>45250</v>
      </c>
      <c s="93" t="str">
        <f t="shared" si="44"/>
        <v/>
      </c>
      <c s="94" t="str">
        <f t="shared" si="392"/>
        <v/>
      </c>
      <c s="95" t="str">
        <f t="shared" si="416"/>
        <v/>
      </c>
      <c s="98" t="str">
        <f t="shared" si="417"/>
        <v/>
      </c>
      <c s="97" t="str">
        <f t="array" ref="CO172">IFERROR(IF(CI172="ac"+ISNUMBER(SEARCH("'",CN172))+CM172="","",IF(ISNUMBER(SEARCH("lw",CN172)),CA172+SUBSTITUTE(CN172,"lw+",""),MROUND(_xlfn.SWITCH(CI172,"sq",CM$7,"bn",CN$7,"dl",CO$7,"")*IF(CN172&gt;10,CN172/100,VLOOKUP(CN172,_rpe,SUBSTITUTE(CM172,"+","")+1,0)),IF(_xlfn.SWITCH(CI172,"sq",CM$7,"bn",CN$7,"dl",CO$7,"")&lt;IF(_uom="lbs",175,80),1.25,IF(_uom="lbs",5,2.5))))),"")</f>
        <v/>
      </c>
      <c s="70"/>
      <c s="63"/>
      <c s="97"/>
      <c s="44" t="str">
        <f>IFERROR(__xludf.DUMMYFUNCTION("IF(CO172=MAX(FILTER(CO$10:CO$199,LOOKUP(ROW(CI$10:CI$199),FILTER(ROW(CI$10:CI$199),CI$10:CI$199&lt;&gt;CI$9:CI$198))=LOOKUP(ROW(CI172),FILTER(ROW(CI$10:CI$199),CI$10:CI$199&lt;&gt;CI$9:CI$198)))),CP172,)"),"")</f>
        <v/>
      </c>
      <c s="42"/>
      <c s="63"/>
      <c s="64" t="str">
        <f t="shared" si="27"/>
        <v/>
      </c>
      <c s="65" t="str">
        <f>IFERROR(__xludf.DUMMYFUNCTION("""COMPUTED_VALUE"""),"")</f>
        <v/>
      </c>
      <c s="66">
        <f ca="1"/>
        <v>45257</v>
      </c>
      <c s="93" t="str">
        <f t="shared" si="45"/>
        <v/>
      </c>
      <c s="94" t="str">
        <f t="shared" si="393"/>
        <v/>
      </c>
      <c s="95" t="str">
        <f t="shared" si="418"/>
        <v/>
      </c>
      <c s="98" t="str">
        <f t="shared" si="401"/>
        <v/>
      </c>
      <c s="97" t="str">
        <f t="array" ref="DC172">IFERROR(IF(CW172="ac"+ISNUMBER(SEARCH("'",DB172))+DA172="","",IF(ISNUMBER(SEARCH("lw",DB172)),CO172+SUBSTITUTE(DB172,"lw+",""),MROUND(_xlfn.SWITCH(CW172,"sq",DA$7,"bn",DB$7,"dl",DC$7,"")*IF(DB172&gt;10,DB172/100,VLOOKUP(DB172,_rpe,SUBSTITUTE(DA172,"+","")+1,0)),IF(_xlfn.SWITCH(CW172,"sq",DA$7,"bn",DB$7,"dl",DC$7,"")&lt;IF(_uom="lbs",175,80),1.25,IF(_uom="lbs",5,2.5))))),"")</f>
        <v/>
      </c>
      <c s="70"/>
      <c s="63"/>
      <c s="97"/>
      <c s="44" t="str">
        <f>IFERROR(__xludf.DUMMYFUNCTION("IF(DC172=MAX(FILTER(DC$10:DC$199,LOOKUP(ROW(CW$10:CW$199),FILTER(ROW(CW$10:CW$199),CW$10:CW$199&lt;&gt;CW$9:CW$198))=LOOKUP(ROW(CW172),FILTER(ROW(CW$10:CW$199),CW$10:CW$199&lt;&gt;CW$9:CW$198)))),DD172,)"),"")</f>
        <v/>
      </c>
      <c s="42"/>
      <c s="63"/>
      <c s="64" t="str">
        <f t="shared" si="30"/>
        <v/>
      </c>
      <c s="65" t="str">
        <f>IFERROR(__xludf.DUMMYFUNCTION("""COMPUTED_VALUE"""),"")</f>
        <v/>
      </c>
      <c s="66">
        <f ca="1"/>
        <v>45264</v>
      </c>
      <c s="93" t="str">
        <f t="shared" si="46"/>
        <v/>
      </c>
      <c s="94" t="str">
        <f t="shared" si="394"/>
        <v/>
      </c>
      <c s="95" t="str">
        <f t="shared" si="419"/>
        <v/>
      </c>
      <c s="98" t="str">
        <f t="shared" si="420"/>
        <v/>
      </c>
      <c s="97" t="str">
        <f t="array" ref="DQ172">IFERROR(IF(DK172="ac"+ISNUMBER(SEARCH("'",DP172))+DO172="","",IF(ISNUMBER(SEARCH("lw",DP172)),DC172+SUBSTITUTE(DP172,"lw+",""),MROUND(_xlfn.SWITCH(DK172,"sq",DO$7,"bn",DP$7,"dl",DQ$7,"")*IF(DP172&gt;10,DP172/100,VLOOKUP(DP172,_rpe,SUBSTITUTE(DO172,"+","")+1,0)),IF(_xlfn.SWITCH(DK172,"sq",DO$7,"bn",DP$7,"dl",DQ$7,"")&lt;IF(_uom="lbs",175,80),1.25,IF(_uom="lbs",5,2.5))))),"")</f>
        <v/>
      </c>
      <c s="70"/>
      <c s="63"/>
      <c s="97"/>
      <c s="44" t="str">
        <f>IFERROR(__xludf.DUMMYFUNCTION("IF(DQ172=MAX(FILTER(DQ$10:DQ$199,LOOKUP(ROW(DK$10:DK$199),FILTER(ROW(DK$10:DK$199),DK$10:DK$199&lt;&gt;DK$9:DK$198))=LOOKUP(ROW(DK172),FILTER(ROW(DK$10:DK$199),DK$10:DK$199&lt;&gt;DK$9:DK$198)))),DR172,)"),"")</f>
        <v/>
      </c>
      <c s="42"/>
      <c s="63"/>
      <c s="64" t="str">
        <f t="shared" si="32"/>
        <v/>
      </c>
      <c s="65" t="str">
        <f>IFERROR(__xludf.DUMMYFUNCTION("""COMPUTED_VALUE"""),"")</f>
        <v/>
      </c>
      <c s="66">
        <f ca="1"/>
        <v>45271</v>
      </c>
      <c s="93" t="str">
        <f t="shared" si="47"/>
        <v/>
      </c>
      <c s="94" t="str">
        <f t="shared" si="405"/>
        <v/>
      </c>
      <c s="95" t="str">
        <f t="shared" si="421"/>
        <v/>
      </c>
      <c s="98" t="str">
        <f t="shared" si="422"/>
        <v/>
      </c>
      <c s="97" t="str">
        <f t="array" ref="EE172">IFERROR(IF(DY172="ac"+ISNUMBER(SEARCH("'",ED172))+EC172="","",IF(ISNUMBER(SEARCH("lw",ED172)),DQ172+SUBSTITUTE(ED172,"lw+",""),MROUND(_xlfn.SWITCH(DY172,"sq",EC$7,"bn",ED$7,"dl",EE$7,"")*IF(ED172&gt;10,ED172/100,VLOOKUP(ED172,_rpe,SUBSTITUTE(EC172,"+","")+1,0)),IF(_xlfn.SWITCH(DY172,"sq",EC$7,"bn",ED$7,"dl",EE$7,"")&lt;IF(_uom="lbs",175,80),1.25,IF(_uom="lbs",5,2.5))))),"")</f>
        <v/>
      </c>
      <c s="70"/>
      <c s="63"/>
      <c s="97"/>
      <c s="44" t="str">
        <f>IFERROR(__xludf.DUMMYFUNCTION("IF(EE172=MAX(FILTER(EE$10:EE$199,LOOKUP(ROW(DY$10:DY$199),FILTER(ROW(DY$10:DY$199),DY$10:DY$199&lt;&gt;DY$9:DY$198))=LOOKUP(ROW(DY172),FILTER(ROW(DY$10:DY$199),DY$10:DY$199&lt;&gt;DY$9:DY$198)))),EF172,)"),"")</f>
        <v/>
      </c>
      <c s="42"/>
      <c s="63"/>
      <c s="64" t="str">
        <f t="shared" si="34"/>
        <v/>
      </c>
      <c s="65" t="str">
        <f>IFERROR(__xludf.DUMMYFUNCTION("""COMPUTED_VALUE"""),"")</f>
        <v/>
      </c>
      <c s="66">
        <f ca="1"/>
        <v>45278</v>
      </c>
      <c s="93" t="str">
        <f t="shared" si="48"/>
        <v/>
      </c>
      <c s="94" t="str">
        <f t="shared" si="395"/>
        <v/>
      </c>
      <c s="95" t="str">
        <f t="shared" si="423"/>
        <v/>
      </c>
      <c s="98" t="str">
        <f t="shared" si="402"/>
        <v/>
      </c>
      <c s="97" t="str">
        <f t="array" ref="ES172">IFERROR(IF(EM172="ac"+ISNUMBER(SEARCH("'",ER172))+EQ172="","",IF(ISNUMBER(SEARCH("lw",ER172)),EE172+SUBSTITUTE(ER172,"lw+",""),MROUND(_xlfn.SWITCH(EM172,"sq",EQ$7,"bn",ER$7,"dl",ES$7,"")*IF(ER172&gt;10,ER172/100,VLOOKUP(ER172,_rpe,SUBSTITUTE(EQ172,"+","")+1,0)),IF(_xlfn.SWITCH(EM172,"sq",EQ$7,"bn",ER$7,"dl",ES$7,"")&lt;IF(_uom="lbs",175,80),1.25,IF(_uom="lbs",5,2.5))))),"")</f>
        <v/>
      </c>
      <c s="70"/>
      <c s="63"/>
      <c s="97"/>
      <c s="44" t="str">
        <f>IFERROR(__xludf.DUMMYFUNCTION("IF(ES172=MAX(FILTER(ES$10:ES$199,LOOKUP(ROW(EM$10:EM$199),FILTER(ROW(EM$10:EM$199),EM$10:EM$199&lt;&gt;EM$9:EM$198))=LOOKUP(ROW(EM172),FILTER(ROW(EM$10:EM$199),EM$10:EM$199&lt;&gt;EM$9:EM$198)))),ET172,)"),"")</f>
        <v/>
      </c>
      <c s="42"/>
      <c s="63"/>
      <c s="64" t="str">
        <f t="shared" si="36"/>
        <v/>
      </c>
      <c s="65" t="str">
        <f>IFERROR(__xludf.DUMMYFUNCTION("""COMPUTED_VALUE"""),"")</f>
        <v/>
      </c>
      <c s="66">
        <f ca="1"/>
        <v>45285</v>
      </c>
      <c s="93" t="str">
        <f t="shared" si="49"/>
        <v/>
      </c>
      <c s="94" t="str">
        <f t="shared" si="396"/>
        <v/>
      </c>
      <c s="95" t="str">
        <f t="shared" si="424"/>
        <v/>
      </c>
      <c s="98" t="str">
        <f t="shared" si="403"/>
        <v/>
      </c>
      <c s="97" t="str">
        <f t="array" ref="FG172">IFERROR(IF(FA172="ac"+ISNUMBER(SEARCH("'",FF172))+FE172="","",IF(ISNUMBER(SEARCH("lw",FF172)),ES172+SUBSTITUTE(FF172,"lw+",""),MROUND(_xlfn.SWITCH(FA172,"sq",FE$7,"bn",FF$7,"dl",FG$7,"")*IF(FF172&gt;10,FF172/100,VLOOKUP(FF172,_rpe,SUBSTITUTE(FE172,"+","")+1,0)),IF(_xlfn.SWITCH(FA172,"sq",FE$7,"bn",FF$7,"dl",FG$7,"")&lt;IF(_uom="lbs",175,80),1.25,IF(_uom="lbs",5,2.5))))),"")</f>
        <v/>
      </c>
      <c s="70"/>
      <c s="63"/>
      <c s="97"/>
      <c s="44" t="str">
        <f>IFERROR(__xludf.DUMMYFUNCTION("IF(FG172=MAX(FILTER(FG$10:FG$199,LOOKUP(ROW(FA$10:FA$199),FILTER(ROW(FA$10:FA$199),FA$10:FA$199&lt;&gt;FA$9:FA$198))=LOOKUP(ROW(FA172),FILTER(ROW(FA$10:FA$199),FA$10:FA$199&lt;&gt;FA$9:FA$198)))),FH172,)"),"")</f>
        <v/>
      </c>
      <c s="42"/>
      <c s="63"/>
      <c s="64" t="str">
        <f t="shared" si="38"/>
        <v/>
      </c>
      <c s="65" t="str">
        <f>IFERROR(__xludf.DUMMYFUNCTION("""COMPUTED_VALUE"""),"")</f>
        <v/>
      </c>
      <c s="66">
        <f ca="1"/>
        <v>45292</v>
      </c>
      <c s="93" t="str">
        <f t="shared" si="516" ref="FQ172:FR172">IF(ISBLANK(FC172),"",FC172)</f>
        <v/>
      </c>
      <c s="94" t="str">
        <f t="shared" si="516"/>
        <v/>
      </c>
      <c s="95" t="str">
        <f t="shared" si="428"/>
        <v/>
      </c>
      <c s="98" t="str">
        <f t="shared" si="429"/>
        <v/>
      </c>
      <c s="97" t="str">
        <f t="array" ref="FU172">IFERROR(IF(FO172="ac"+ISNUMBER(SEARCH("'",FT172))+FS172="","",IF(ISNUMBER(SEARCH("lw",FT172)),FG172+SUBSTITUTE(FT172,"lw+",""),MROUND(_xlfn.SWITCH(FO172,"sq",FS$7,"bn",FT$7,"dl",FU$7,"")*IF(FT172&gt;10,FT172/100,VLOOKUP(FT172,_rpe,SUBSTITUTE(FS172,"+","")+1,0)),IF(_xlfn.SWITCH(FO172,"sq",FS$7,"bn",FT$7,"dl",FU$7,"")&lt;IF(_uom="lbs",175,80),1.25,IF(_uom="lbs",5,2.5))))),"")</f>
        <v/>
      </c>
      <c s="70"/>
      <c s="63"/>
      <c s="97"/>
      <c s="44" t="str">
        <f>IFERROR(__xludf.DUMMYFUNCTION("IF(FU172=MAX(FILTER(FU$10:FU$199,LOOKUP(ROW(FO$10:FO$199),FILTER(ROW(FO$10:FO$199),FO$10:FO$199&lt;&gt;FO$9:FO$198))=LOOKUP(ROW(FO172),FILTER(ROW(FO$10:FO$199),FO$10:FO$199&lt;&gt;FO$9:FO$198)))),FV172,)"),"")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73" spans="1:259" ht="15.75">
      <c r="A173" s="63"/>
      <c s="107"/>
      <c s="65" t="str">
        <f>IFERROR(__xludf.DUMMYFUNCTION("""COMPUTED_VALUE"""),"")</f>
        <v/>
      </c>
      <c s="66">
        <f ca="1"/>
        <v>45208</v>
      </c>
      <c s="108"/>
      <c s="94"/>
      <c s="95"/>
      <c s="96"/>
      <c s="97" t="str">
        <f t="array" ref="I173">IFERROR(IF(C173="ac"+ISNUMBER(SEARCH("'",H173))+G173="","",MROUND(_xlfn.SWITCH(C173,"sq",'Personal Info'!$O$15,"bn",'Personal Info'!$S$15,"dl",'Personal Info'!$W$15,"")*IF(H173&gt;10,H173/100,VLOOKUP(H173,_rpe,SUBSTITUTE(G173,"+","")+1,0)),IF(_xlfn.SWITCH(C173:C210,"sq",'Personal Info'!$O$15,"bn",'Personal Info'!$S$15,"dl",'Personal Info'!$W$15,"")&lt;IF(_uom="lbs",175,80),1.25,IF(_uom="lbs",5,2.5)))),"")</f>
        <v/>
      </c>
      <c s="70"/>
      <c s="63"/>
      <c s="97"/>
      <c s="44" t="str">
        <f>IFERROR(__xludf.DUMMYFUNCTION("IF(I173=MAX(FILTER(I$10:I$199,LOOKUP(ROW(C$10:C$199),FILTER(ROW(C$10:C$199),C$10:C$199&lt;&gt;C$9:C$198))=LOOKUP(ROW(C173),FILTER(ROW(C$10:C$199),C$10:C$199&lt;&gt;C$9:C$198)))),J173,)"),"")</f>
        <v/>
      </c>
      <c s="42"/>
      <c s="63"/>
      <c s="64" t="str">
        <f t="shared" si="11"/>
        <v/>
      </c>
      <c s="65" t="str">
        <f>IFERROR(__xludf.DUMMYFUNCTION("""COMPUTED_VALUE"""),"")</f>
        <v/>
      </c>
      <c s="66">
        <f ca="1"/>
        <v>45215</v>
      </c>
      <c s="93" t="str">
        <f t="shared" si="12"/>
        <v/>
      </c>
      <c s="94" t="str">
        <f t="shared" si="404"/>
        <v/>
      </c>
      <c s="95" t="str">
        <f t="shared" si="406"/>
        <v/>
      </c>
      <c s="98" t="str">
        <f t="shared" si="407"/>
        <v/>
      </c>
      <c s="97" t="str">
        <f t="array" ref="W173">IFERROR(IF(Q173="ac"+ISNUMBER(SEARCH("'",V173))+U173="","",IF(ISNUMBER(SEARCH("lw",V173)),I173+SUBSTITUTE(V173,"lw+",""),MROUND(_xlfn.SWITCH(Q173,"sq",U$7,"bn",V$7,"dl",W$7,"")*IF(V173&gt;10,V173/100,VLOOKUP(V173,_rpe,SUBSTITUTE(U173,"+","")+1,0)),IF(_xlfn.SWITCH(Q173,"sq",U$7,"bn",V$7,"dl",W$7,"")&lt;IF(_uom="lbs",175,80),1.25,IF(_uom="lbs",5,2.5))))),"")</f>
        <v/>
      </c>
      <c s="70"/>
      <c s="63"/>
      <c s="97"/>
      <c s="44" t="str">
        <f>IFERROR(__xludf.DUMMYFUNCTION("IF(W173=MAX(FILTER(W$10:W$199,LOOKUP(ROW(Q$10:Q$199),FILTER(ROW(Q$10:Q$199),Q$10:Q$199&lt;&gt;Q$9:Q$198))=LOOKUP(ROW(Q173),FILTER(ROW(Q$10:Q$199),Q$10:Q$199&lt;&gt;Q$9:Q$198)))),X173,)"),"")</f>
        <v/>
      </c>
      <c s="42"/>
      <c s="63"/>
      <c s="64" t="str">
        <f t="shared" si="14"/>
        <v/>
      </c>
      <c s="65" t="str">
        <f>IFERROR(__xludf.DUMMYFUNCTION("""COMPUTED_VALUE"""),"")</f>
        <v/>
      </c>
      <c s="66">
        <f ca="1"/>
        <v>45222</v>
      </c>
      <c s="93" t="str">
        <f t="shared" si="156"/>
        <v/>
      </c>
      <c s="94" t="str">
        <f t="shared" si="397"/>
        <v/>
      </c>
      <c s="95" t="str">
        <f t="shared" si="408"/>
        <v/>
      </c>
      <c s="98" t="str">
        <f t="shared" si="398"/>
        <v/>
      </c>
      <c s="97" t="str">
        <f t="array" ref="AK173">IFERROR(IF(AE173="ac"+ISNUMBER(SEARCH("'",AJ173))+AI173="","",IF(ISNUMBER(SEARCH("lw",AJ173)),W173+SUBSTITUTE(AJ173,"lw+",""),MROUND(_xlfn.SWITCH(AE173,"sq",AI$7,"bn",AJ$7,"dl",AK$7,"")*IF(AJ173&gt;10,AJ173/100,VLOOKUP(AJ173,_rpe,SUBSTITUTE(AI173,"+","")+1,0)),IF(_xlfn.SWITCH(AE173,"sq",AI$7,"bn",AJ$7,"dl",AK$7,"")&lt;IF(_uom="lbs",175,80),1.25,IF(_uom="lbs",5,2.5))))),"")</f>
        <v/>
      </c>
      <c s="70"/>
      <c s="63"/>
      <c s="97"/>
      <c s="44" t="str">
        <f>IFERROR(__xludf.DUMMYFUNCTION("IF(AK173=MAX(FILTER(AK$10:AK$199,LOOKUP(ROW(AE$10:AE$199),FILTER(ROW(AE$10:AE$199),AE$10:AE$199&lt;&gt;AE$9:AE$198))=LOOKUP(ROW(AE173),FILTER(ROW(AE$10:AE$199),AE$10:AE$199&lt;&gt;AE$9:AE$198)))),AL173,)"),"")</f>
        <v/>
      </c>
      <c s="42"/>
      <c s="63"/>
      <c s="64" t="str">
        <f t="shared" si="17"/>
        <v/>
      </c>
      <c s="65" t="str">
        <f>IFERROR(__xludf.DUMMYFUNCTION("""COMPUTED_VALUE"""),"")</f>
        <v/>
      </c>
      <c s="66">
        <f ca="1"/>
        <v>45229</v>
      </c>
      <c s="93" t="str">
        <f t="shared" si="157"/>
        <v/>
      </c>
      <c s="94" t="str">
        <f t="shared" si="399"/>
        <v/>
      </c>
      <c s="95" t="str">
        <f t="shared" si="409"/>
        <v/>
      </c>
      <c s="98" t="str">
        <f t="shared" si="400"/>
        <v/>
      </c>
      <c s="97" t="str">
        <f t="array" ref="AY173">IFERROR(IF(AS173="ac"+ISNUMBER(SEARCH("'",AX173))+AW173="","",IF(ISNUMBER(SEARCH("lw",AX173)),AK173+SUBSTITUTE(AX173,"lw+",""),MROUND(_xlfn.SWITCH(AS173,"sq",AW$7,"bn",AX$7,"dl",AY$7,"")*IF(AX173&gt;10,AX173/100,VLOOKUP(AX173,_rpe,SUBSTITUTE(AW173,"+","")+1,0)),IF(_xlfn.SWITCH(AS173,"sq",AW$7,"bn",AX$7,"dl",AY$7,"")&lt;IF(_uom="lbs",175,80),1.25,IF(_uom="lbs",5,2.5))))),"")</f>
        <v/>
      </c>
      <c s="70"/>
      <c s="63"/>
      <c s="97"/>
      <c s="44" t="str">
        <f>IFERROR(__xludf.DUMMYFUNCTION("IF(AY173=MAX(FILTER(AY$10:AY$199,LOOKUP(ROW(AS$10:AS$199),FILTER(ROW(AS$10:AS$199),AS$10:AS$199&lt;&gt;AS$9:AS$198))=LOOKUP(ROW(AS173),FILTER(ROW(AS$10:AS$199),AS$10:AS$199&lt;&gt;AS$9:AS$198)))),AZ173,)"),"")</f>
        <v/>
      </c>
      <c s="42"/>
      <c s="63"/>
      <c s="64" t="str">
        <f t="shared" si="19"/>
        <v/>
      </c>
      <c s="65" t="str">
        <f>IFERROR(__xludf.DUMMYFUNCTION("""COMPUTED_VALUE"""),"")</f>
        <v/>
      </c>
      <c s="66">
        <f ca="1"/>
        <v>45236</v>
      </c>
      <c s="93" t="str">
        <f t="shared" si="20"/>
        <v/>
      </c>
      <c s="94" t="str">
        <f t="shared" si="425"/>
        <v/>
      </c>
      <c s="95" t="str">
        <f t="shared" si="411"/>
        <v/>
      </c>
      <c s="98" t="str">
        <f t="shared" si="412"/>
        <v/>
      </c>
      <c s="97" t="str">
        <f t="array" ref="BM173">IFERROR(IF(BG173="ac"+ISNUMBER(SEARCH("'",BL173))+BK173="","",IF(ISNUMBER(SEARCH("lw",BL173)),AY173+SUBSTITUTE(BL173,"lw+",""),MROUND(_xlfn.SWITCH(BG173,"sq",BK$7,"bn",BL$7,"dl",BM$7,"")*IF(BL173&gt;10,BL173/100,VLOOKUP(BL173,_rpe,SUBSTITUTE(BK173,"+","")+1,0)),IF(_xlfn.SWITCH(BG173,"sq",BK$7,"bn",BL$7,"dl",BM$7,"")&lt;IF(_uom="lbs",175,80),1.25,IF(_uom="lbs",5,2.5))))),"")</f>
        <v/>
      </c>
      <c s="70"/>
      <c s="63"/>
      <c s="97"/>
      <c s="44" t="str">
        <f>IFERROR(__xludf.DUMMYFUNCTION("IF(BM173=MAX(FILTER(BM$10:BM$199,LOOKUP(ROW(BG$10:BG$199),FILTER(ROW(BG$10:BG$199),BG$10:BG$199&lt;&gt;BG$9:BG$198))=LOOKUP(ROW(BG173),FILTER(ROW(BG$10:BG$199),BG$10:BG$199&lt;&gt;BG$9:BG$198)))),BN173,)"),"")</f>
        <v/>
      </c>
      <c s="42"/>
      <c s="63"/>
      <c s="64" t="str">
        <f t="shared" si="21"/>
        <v/>
      </c>
      <c s="65" t="str">
        <f>IFERROR(__xludf.DUMMYFUNCTION("""COMPUTED_VALUE"""),"")</f>
        <v/>
      </c>
      <c s="66">
        <f ca="1"/>
        <v>45243</v>
      </c>
      <c s="93" t="str">
        <f t="shared" si="22"/>
        <v/>
      </c>
      <c s="94" t="str">
        <f t="shared" si="426"/>
        <v/>
      </c>
      <c s="95" t="str">
        <f t="shared" si="414"/>
        <v/>
      </c>
      <c s="98" t="str">
        <f t="shared" si="415"/>
        <v/>
      </c>
      <c s="97" t="str">
        <f t="array" ref="CA173">IFERROR(IF(BU173="ac"+ISNUMBER(SEARCH("'",BZ173))+BY173="","",IF(ISNUMBER(SEARCH("lw",BZ173)),BM173+SUBSTITUTE(BZ173,"lw+",""),MROUND(_xlfn.SWITCH(BU173,"sq",BY$7,"bn",BZ$7,"dl",CA$7,"")*IF(BZ173&gt;10,BZ173/100,VLOOKUP(BZ173,_rpe,SUBSTITUTE(BY173,"+","")+1,0)),IF(_xlfn.SWITCH(BU173,"sq",BY$7,"bn",BZ$7,"dl",CA$7,"")&lt;IF(_uom="lbs",175,80),1.25,IF(_uom="lbs",5,2.5))))),"")</f>
        <v/>
      </c>
      <c s="70"/>
      <c s="63"/>
      <c s="97"/>
      <c s="44" t="str">
        <f>IFERROR(__xludf.DUMMYFUNCTION("IF(CA173=MAX(FILTER(CA$10:CA$199,LOOKUP(ROW(BU$10:BU$199),FILTER(ROW(BU$10:BU$199),BU$10:BU$199&lt;&gt;BU$9:BU$198))=LOOKUP(ROW(BU173),FILTER(ROW(BU$10:BU$199),BU$10:BU$199&lt;&gt;BU$9:BU$198)))),CB173,)"),"")</f>
        <v/>
      </c>
      <c s="42"/>
      <c s="63"/>
      <c s="64" t="str">
        <f t="shared" si="24"/>
        <v/>
      </c>
      <c s="65" t="str">
        <f>IFERROR(__xludf.DUMMYFUNCTION("""COMPUTED_VALUE"""),"")</f>
        <v/>
      </c>
      <c s="66">
        <f ca="1"/>
        <v>45250</v>
      </c>
      <c s="93" t="str">
        <f t="shared" si="44"/>
        <v/>
      </c>
      <c s="94" t="str">
        <f t="shared" si="392"/>
        <v/>
      </c>
      <c s="95" t="str">
        <f t="shared" si="416"/>
        <v/>
      </c>
      <c s="98" t="str">
        <f t="shared" si="417"/>
        <v/>
      </c>
      <c s="97" t="str">
        <f t="array" ref="CO173">IFERROR(IF(CI173="ac"+ISNUMBER(SEARCH("'",CN173))+CM173="","",IF(ISNUMBER(SEARCH("lw",CN173)),CA173+SUBSTITUTE(CN173,"lw+",""),MROUND(_xlfn.SWITCH(CI173,"sq",CM$7,"bn",CN$7,"dl",CO$7,"")*IF(CN173&gt;10,CN173/100,VLOOKUP(CN173,_rpe,SUBSTITUTE(CM173,"+","")+1,0)),IF(_xlfn.SWITCH(CI173,"sq",CM$7,"bn",CN$7,"dl",CO$7,"")&lt;IF(_uom="lbs",175,80),1.25,IF(_uom="lbs",5,2.5))))),"")</f>
        <v/>
      </c>
      <c s="70"/>
      <c s="63"/>
      <c s="97"/>
      <c s="44" t="str">
        <f>IFERROR(__xludf.DUMMYFUNCTION("IF(CO173=MAX(FILTER(CO$10:CO$199,LOOKUP(ROW(CI$10:CI$199),FILTER(ROW(CI$10:CI$199),CI$10:CI$199&lt;&gt;CI$9:CI$198))=LOOKUP(ROW(CI173),FILTER(ROW(CI$10:CI$199),CI$10:CI$199&lt;&gt;CI$9:CI$198)))),CP173,)"),"")</f>
        <v/>
      </c>
      <c s="42"/>
      <c s="63"/>
      <c s="64" t="str">
        <f t="shared" si="27"/>
        <v/>
      </c>
      <c s="65" t="str">
        <f>IFERROR(__xludf.DUMMYFUNCTION("""COMPUTED_VALUE"""),"")</f>
        <v/>
      </c>
      <c s="66">
        <f ca="1"/>
        <v>45257</v>
      </c>
      <c s="93" t="str">
        <f t="shared" si="45"/>
        <v/>
      </c>
      <c s="94" t="str">
        <f t="shared" si="393"/>
        <v/>
      </c>
      <c s="95" t="str">
        <f t="shared" si="418"/>
        <v/>
      </c>
      <c s="98" t="str">
        <f t="shared" si="401"/>
        <v/>
      </c>
      <c s="97" t="str">
        <f t="array" ref="DC173">IFERROR(IF(CW173="ac"+ISNUMBER(SEARCH("'",DB173))+DA173="","",IF(ISNUMBER(SEARCH("lw",DB173)),CO173+SUBSTITUTE(DB173,"lw+",""),MROUND(_xlfn.SWITCH(CW173,"sq",DA$7,"bn",DB$7,"dl",DC$7,"")*IF(DB173&gt;10,DB173/100,VLOOKUP(DB173,_rpe,SUBSTITUTE(DA173,"+","")+1,0)),IF(_xlfn.SWITCH(CW173,"sq",DA$7,"bn",DB$7,"dl",DC$7,"")&lt;IF(_uom="lbs",175,80),1.25,IF(_uom="lbs",5,2.5))))),"")</f>
        <v/>
      </c>
      <c s="70"/>
      <c s="63"/>
      <c s="97"/>
      <c s="44" t="str">
        <f>IFERROR(__xludf.DUMMYFUNCTION("IF(DC173=MAX(FILTER(DC$10:DC$199,LOOKUP(ROW(CW$10:CW$199),FILTER(ROW(CW$10:CW$199),CW$10:CW$199&lt;&gt;CW$9:CW$198))=LOOKUP(ROW(CW173),FILTER(ROW(CW$10:CW$199),CW$10:CW$199&lt;&gt;CW$9:CW$198)))),DD173,)"),"")</f>
        <v/>
      </c>
      <c s="42"/>
      <c s="63"/>
      <c s="64" t="str">
        <f t="shared" si="30"/>
        <v/>
      </c>
      <c s="65" t="str">
        <f>IFERROR(__xludf.DUMMYFUNCTION("""COMPUTED_VALUE"""),"")</f>
        <v/>
      </c>
      <c s="66">
        <f ca="1"/>
        <v>45264</v>
      </c>
      <c s="93" t="str">
        <f t="shared" si="46"/>
        <v/>
      </c>
      <c s="94" t="str">
        <f t="shared" si="394"/>
        <v/>
      </c>
      <c s="95" t="str">
        <f t="shared" si="419"/>
        <v/>
      </c>
      <c s="98" t="str">
        <f t="shared" si="420"/>
        <v/>
      </c>
      <c s="97" t="str">
        <f t="array" ref="DQ173">IFERROR(IF(DK173="ac"+ISNUMBER(SEARCH("'",DP173))+DO173="","",IF(ISNUMBER(SEARCH("lw",DP173)),DC173+SUBSTITUTE(DP173,"lw+",""),MROUND(_xlfn.SWITCH(DK173,"sq",DO$7,"bn",DP$7,"dl",DQ$7,"")*IF(DP173&gt;10,DP173/100,VLOOKUP(DP173,_rpe,SUBSTITUTE(DO173,"+","")+1,0)),IF(_xlfn.SWITCH(DK173,"sq",DO$7,"bn",DP$7,"dl",DQ$7,"")&lt;IF(_uom="lbs",175,80),1.25,IF(_uom="lbs",5,2.5))))),"")</f>
        <v/>
      </c>
      <c s="70"/>
      <c s="63"/>
      <c s="97"/>
      <c s="44" t="str">
        <f>IFERROR(__xludf.DUMMYFUNCTION("IF(DQ173=MAX(FILTER(DQ$10:DQ$199,LOOKUP(ROW(DK$10:DK$199),FILTER(ROW(DK$10:DK$199),DK$10:DK$199&lt;&gt;DK$9:DK$198))=LOOKUP(ROW(DK173),FILTER(ROW(DK$10:DK$199),DK$10:DK$199&lt;&gt;DK$9:DK$198)))),DR173,)"),"")</f>
        <v/>
      </c>
      <c s="42"/>
      <c s="63"/>
      <c s="64" t="str">
        <f t="shared" si="32"/>
        <v/>
      </c>
      <c s="65" t="str">
        <f>IFERROR(__xludf.DUMMYFUNCTION("""COMPUTED_VALUE"""),"")</f>
        <v/>
      </c>
      <c s="66">
        <f ca="1"/>
        <v>45271</v>
      </c>
      <c s="93" t="str">
        <f t="shared" si="47"/>
        <v/>
      </c>
      <c s="94" t="str">
        <f t="shared" si="405"/>
        <v/>
      </c>
      <c s="95" t="str">
        <f t="shared" si="421"/>
        <v/>
      </c>
      <c s="98" t="str">
        <f t="shared" si="422"/>
        <v/>
      </c>
      <c s="97" t="str">
        <f t="array" ref="EE173">IFERROR(IF(DY173="ac"+ISNUMBER(SEARCH("'",ED173))+EC173="","",IF(ISNUMBER(SEARCH("lw",ED173)),DQ173+SUBSTITUTE(ED173,"lw+",""),MROUND(_xlfn.SWITCH(DY173,"sq",EC$7,"bn",ED$7,"dl",EE$7,"")*IF(ED173&gt;10,ED173/100,VLOOKUP(ED173,_rpe,SUBSTITUTE(EC173,"+","")+1,0)),IF(_xlfn.SWITCH(DY173,"sq",EC$7,"bn",ED$7,"dl",EE$7,"")&lt;IF(_uom="lbs",175,80),1.25,IF(_uom="lbs",5,2.5))))),"")</f>
        <v/>
      </c>
      <c s="70"/>
      <c s="63"/>
      <c s="97"/>
      <c s="44" t="str">
        <f>IFERROR(__xludf.DUMMYFUNCTION("IF(EE173=MAX(FILTER(EE$10:EE$199,LOOKUP(ROW(DY$10:DY$199),FILTER(ROW(DY$10:DY$199),DY$10:DY$199&lt;&gt;DY$9:DY$198))=LOOKUP(ROW(DY173),FILTER(ROW(DY$10:DY$199),DY$10:DY$199&lt;&gt;DY$9:DY$198)))),EF173,)"),"")</f>
        <v/>
      </c>
      <c s="42"/>
      <c s="63"/>
      <c s="64" t="str">
        <f t="shared" si="34"/>
        <v/>
      </c>
      <c s="65" t="str">
        <f>IFERROR(__xludf.DUMMYFUNCTION("""COMPUTED_VALUE"""),"")</f>
        <v/>
      </c>
      <c s="66">
        <f ca="1"/>
        <v>45278</v>
      </c>
      <c s="93" t="str">
        <f t="shared" si="48"/>
        <v/>
      </c>
      <c s="94" t="str">
        <f t="shared" si="395"/>
        <v/>
      </c>
      <c s="95" t="str">
        <f t="shared" si="423"/>
        <v/>
      </c>
      <c s="98" t="str">
        <f t="shared" si="402"/>
        <v/>
      </c>
      <c s="97" t="str">
        <f t="array" ref="ES173">IFERROR(IF(EM173="ac"+ISNUMBER(SEARCH("'",ER173))+EQ173="","",IF(ISNUMBER(SEARCH("lw",ER173)),EE173+SUBSTITUTE(ER173,"lw+",""),MROUND(_xlfn.SWITCH(EM173,"sq",EQ$7,"bn",ER$7,"dl",ES$7,"")*IF(ER173&gt;10,ER173/100,VLOOKUP(ER173,_rpe,SUBSTITUTE(EQ173,"+","")+1,0)),IF(_xlfn.SWITCH(EM173,"sq",EQ$7,"bn",ER$7,"dl",ES$7,"")&lt;IF(_uom="lbs",175,80),1.25,IF(_uom="lbs",5,2.5))))),"")</f>
        <v/>
      </c>
      <c s="70"/>
      <c s="63"/>
      <c s="97"/>
      <c s="44" t="str">
        <f>IFERROR(__xludf.DUMMYFUNCTION("IF(ES173=MAX(FILTER(ES$10:ES$199,LOOKUP(ROW(EM$10:EM$199),FILTER(ROW(EM$10:EM$199),EM$10:EM$199&lt;&gt;EM$9:EM$198))=LOOKUP(ROW(EM173),FILTER(ROW(EM$10:EM$199),EM$10:EM$199&lt;&gt;EM$9:EM$198)))),ET173,)"),"")</f>
        <v/>
      </c>
      <c s="42"/>
      <c s="63"/>
      <c s="64" t="str">
        <f t="shared" si="36"/>
        <v/>
      </c>
      <c s="65" t="str">
        <f>IFERROR(__xludf.DUMMYFUNCTION("""COMPUTED_VALUE"""),"")</f>
        <v/>
      </c>
      <c s="66">
        <f ca="1"/>
        <v>45285</v>
      </c>
      <c s="93" t="str">
        <f t="shared" si="49"/>
        <v/>
      </c>
      <c s="94" t="str">
        <f t="shared" si="396"/>
        <v/>
      </c>
      <c s="95" t="str">
        <f t="shared" si="424"/>
        <v/>
      </c>
      <c s="98" t="str">
        <f t="shared" si="403"/>
        <v/>
      </c>
      <c s="97" t="str">
        <f t="array" ref="FG173">IFERROR(IF(FA173="ac"+ISNUMBER(SEARCH("'",FF173))+FE173="","",IF(ISNUMBER(SEARCH("lw",FF173)),ES173+SUBSTITUTE(FF173,"lw+",""),MROUND(_xlfn.SWITCH(FA173,"sq",FE$7,"bn",FF$7,"dl",FG$7,"")*IF(FF173&gt;10,FF173/100,VLOOKUP(FF173,_rpe,SUBSTITUTE(FE173,"+","")+1,0)),IF(_xlfn.SWITCH(FA173,"sq",FE$7,"bn",FF$7,"dl",FG$7,"")&lt;IF(_uom="lbs",175,80),1.25,IF(_uom="lbs",5,2.5))))),"")</f>
        <v/>
      </c>
      <c s="70"/>
      <c s="63"/>
      <c s="97"/>
      <c s="44" t="str">
        <f>IFERROR(__xludf.DUMMYFUNCTION("IF(FG173=MAX(FILTER(FG$10:FG$199,LOOKUP(ROW(FA$10:FA$199),FILTER(ROW(FA$10:FA$199),FA$10:FA$199&lt;&gt;FA$9:FA$198))=LOOKUP(ROW(FA173),FILTER(ROW(FA$10:FA$199),FA$10:FA$199&lt;&gt;FA$9:FA$198)))),FH173,)"),"")</f>
        <v/>
      </c>
      <c s="42"/>
      <c s="63"/>
      <c s="64" t="str">
        <f t="shared" si="38"/>
        <v/>
      </c>
      <c s="65" t="str">
        <f>IFERROR(__xludf.DUMMYFUNCTION("""COMPUTED_VALUE"""),"")</f>
        <v/>
      </c>
      <c s="66">
        <f ca="1"/>
        <v>45292</v>
      </c>
      <c s="93" t="str">
        <f t="shared" si="517" ref="FQ173:FR173">IF(ISBLANK(FC173),"",FC173)</f>
        <v/>
      </c>
      <c s="94" t="str">
        <f t="shared" si="517"/>
        <v/>
      </c>
      <c s="95" t="str">
        <f t="shared" si="428"/>
        <v/>
      </c>
      <c s="98" t="str">
        <f t="shared" si="429"/>
        <v/>
      </c>
      <c s="97" t="str">
        <f t="array" ref="FU173">IFERROR(IF(FO173="ac"+ISNUMBER(SEARCH("'",FT173))+FS173="","",IF(ISNUMBER(SEARCH("lw",FT173)),FG173+SUBSTITUTE(FT173,"lw+",""),MROUND(_xlfn.SWITCH(FO173,"sq",FS$7,"bn",FT$7,"dl",FU$7,"")*IF(FT173&gt;10,FT173/100,VLOOKUP(FT173,_rpe,SUBSTITUTE(FS173,"+","")+1,0)),IF(_xlfn.SWITCH(FO173,"sq",FS$7,"bn",FT$7,"dl",FU$7,"")&lt;IF(_uom="lbs",175,80),1.25,IF(_uom="lbs",5,2.5))))),"")</f>
        <v/>
      </c>
      <c s="70"/>
      <c s="63"/>
      <c s="97"/>
      <c s="44" t="str">
        <f>IFERROR(__xludf.DUMMYFUNCTION("IF(FU173=MAX(FILTER(FU$10:FU$199,LOOKUP(ROW(FO$10:FO$199),FILTER(ROW(FO$10:FO$199),FO$10:FO$199&lt;&gt;FO$9:FO$198))=LOOKUP(ROW(FO173),FILTER(ROW(FO$10:FO$199),FO$10:FO$199&lt;&gt;FO$9:FO$198)))),FV173,)"),"")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74" spans="1:259" ht="15.75">
      <c r="A174" s="63"/>
      <c s="107"/>
      <c s="65" t="str">
        <f>IFERROR(__xludf.DUMMYFUNCTION("""COMPUTED_VALUE"""),"")</f>
        <v/>
      </c>
      <c s="66">
        <f ca="1"/>
        <v>45208</v>
      </c>
      <c s="108"/>
      <c s="94"/>
      <c s="95"/>
      <c s="96"/>
      <c s="97" t="str">
        <f t="array" ref="I174">IFERROR(IF(C174="ac"+ISNUMBER(SEARCH("'",H174))+G174="","",MROUND(_xlfn.SWITCH(C174,"sq",'Personal Info'!$O$15,"bn",'Personal Info'!$S$15,"dl",'Personal Info'!$W$15,"")*IF(H174&gt;10,H174/100,VLOOKUP(H174,_rpe,SUBSTITUTE(G174,"+","")+1,0)),IF(_xlfn.SWITCH(C174:C210,"sq",'Personal Info'!$O$15,"bn",'Personal Info'!$S$15,"dl",'Personal Info'!$W$15,"")&lt;IF(_uom="lbs",175,80),1.25,IF(_uom="lbs",5,2.5)))),"")</f>
        <v/>
      </c>
      <c s="70"/>
      <c s="63"/>
      <c s="97"/>
      <c s="44" t="str">
        <f>IFERROR(__xludf.DUMMYFUNCTION("IF(I174=MAX(FILTER(I$10:I$199,LOOKUP(ROW(C$10:C$199),FILTER(ROW(C$10:C$199),C$10:C$199&lt;&gt;C$9:C$198))=LOOKUP(ROW(C174),FILTER(ROW(C$10:C$199),C$10:C$199&lt;&gt;C$9:C$198)))),J174,)"),"")</f>
        <v/>
      </c>
      <c s="42"/>
      <c s="63"/>
      <c s="64" t="str">
        <f t="shared" si="11"/>
        <v/>
      </c>
      <c s="65" t="str">
        <f>IFERROR(__xludf.DUMMYFUNCTION("""COMPUTED_VALUE"""),"")</f>
        <v/>
      </c>
      <c s="66">
        <f ca="1"/>
        <v>45215</v>
      </c>
      <c s="93" t="str">
        <f t="shared" si="12"/>
        <v/>
      </c>
      <c s="94" t="str">
        <f t="shared" si="404"/>
        <v/>
      </c>
      <c s="95" t="str">
        <f t="shared" si="406"/>
        <v/>
      </c>
      <c s="98" t="str">
        <f t="shared" si="407"/>
        <v/>
      </c>
      <c s="97" t="str">
        <f t="array" ref="W174">IFERROR(IF(Q174="ac"+ISNUMBER(SEARCH("'",V174))+U174="","",IF(ISNUMBER(SEARCH("lw",V174)),I174+SUBSTITUTE(V174,"lw+",""),MROUND(_xlfn.SWITCH(Q174,"sq",U$7,"bn",V$7,"dl",W$7,"")*IF(V174&gt;10,V174/100,VLOOKUP(V174,_rpe,SUBSTITUTE(U174,"+","")+1,0)),IF(_xlfn.SWITCH(Q174,"sq",U$7,"bn",V$7,"dl",W$7,"")&lt;IF(_uom="lbs",175,80),1.25,IF(_uom="lbs",5,2.5))))),"")</f>
        <v/>
      </c>
      <c s="70"/>
      <c s="63"/>
      <c s="97"/>
      <c s="44" t="str">
        <f>IFERROR(__xludf.DUMMYFUNCTION("IF(W174=MAX(FILTER(W$10:W$199,LOOKUP(ROW(Q$10:Q$199),FILTER(ROW(Q$10:Q$199),Q$10:Q$199&lt;&gt;Q$9:Q$198))=LOOKUP(ROW(Q174),FILTER(ROW(Q$10:Q$199),Q$10:Q$199&lt;&gt;Q$9:Q$198)))),X174,)"),"")</f>
        <v/>
      </c>
      <c s="42"/>
      <c s="63"/>
      <c s="64" t="str">
        <f t="shared" si="14"/>
        <v/>
      </c>
      <c s="65" t="str">
        <f>IFERROR(__xludf.DUMMYFUNCTION("""COMPUTED_VALUE"""),"")</f>
        <v/>
      </c>
      <c s="66">
        <f ca="1"/>
        <v>45222</v>
      </c>
      <c s="93" t="str">
        <f t="shared" si="156"/>
        <v/>
      </c>
      <c s="94" t="str">
        <f t="shared" si="397"/>
        <v/>
      </c>
      <c s="95" t="str">
        <f t="shared" si="408"/>
        <v/>
      </c>
      <c s="98" t="str">
        <f t="shared" si="398"/>
        <v/>
      </c>
      <c s="97" t="str">
        <f t="array" ref="AK174">IFERROR(IF(AE174="ac"+ISNUMBER(SEARCH("'",AJ174))+AI174="","",IF(ISNUMBER(SEARCH("lw",AJ174)),W174+SUBSTITUTE(AJ174,"lw+",""),MROUND(_xlfn.SWITCH(AE174,"sq",AI$7,"bn",AJ$7,"dl",AK$7,"")*IF(AJ174&gt;10,AJ174/100,VLOOKUP(AJ174,_rpe,SUBSTITUTE(AI174,"+","")+1,0)),IF(_xlfn.SWITCH(AE174,"sq",AI$7,"bn",AJ$7,"dl",AK$7,"")&lt;IF(_uom="lbs",175,80),1.25,IF(_uom="lbs",5,2.5))))),"")</f>
        <v/>
      </c>
      <c s="70"/>
      <c s="63"/>
      <c s="97"/>
      <c s="44" t="str">
        <f>IFERROR(__xludf.DUMMYFUNCTION("IF(AK174=MAX(FILTER(AK$10:AK$199,LOOKUP(ROW(AE$10:AE$199),FILTER(ROW(AE$10:AE$199),AE$10:AE$199&lt;&gt;AE$9:AE$198))=LOOKUP(ROW(AE174),FILTER(ROW(AE$10:AE$199),AE$10:AE$199&lt;&gt;AE$9:AE$198)))),AL174,)"),"")</f>
        <v/>
      </c>
      <c s="42"/>
      <c s="63"/>
      <c s="64" t="str">
        <f t="shared" si="17"/>
        <v/>
      </c>
      <c s="65" t="str">
        <f>IFERROR(__xludf.DUMMYFUNCTION("""COMPUTED_VALUE"""),"")</f>
        <v/>
      </c>
      <c s="66">
        <f ca="1"/>
        <v>45229</v>
      </c>
      <c s="93" t="str">
        <f t="shared" si="157"/>
        <v/>
      </c>
      <c s="94" t="str">
        <f t="shared" si="399"/>
        <v/>
      </c>
      <c s="95" t="str">
        <f t="shared" si="409"/>
        <v/>
      </c>
      <c s="98" t="str">
        <f t="shared" si="400"/>
        <v/>
      </c>
      <c s="97" t="str">
        <f t="array" ref="AY174">IFERROR(IF(AS174="ac"+ISNUMBER(SEARCH("'",AX174))+AW174="","",IF(ISNUMBER(SEARCH("lw",AX174)),AK174+SUBSTITUTE(AX174,"lw+",""),MROUND(_xlfn.SWITCH(AS174,"sq",AW$7,"bn",AX$7,"dl",AY$7,"")*IF(AX174&gt;10,AX174/100,VLOOKUP(AX174,_rpe,SUBSTITUTE(AW174,"+","")+1,0)),IF(_xlfn.SWITCH(AS174,"sq",AW$7,"bn",AX$7,"dl",AY$7,"")&lt;IF(_uom="lbs",175,80),1.25,IF(_uom="lbs",5,2.5))))),"")</f>
        <v/>
      </c>
      <c s="70"/>
      <c s="63"/>
      <c s="97"/>
      <c s="44" t="str">
        <f>IFERROR(__xludf.DUMMYFUNCTION("IF(AY174=MAX(FILTER(AY$10:AY$199,LOOKUP(ROW(AS$10:AS$199),FILTER(ROW(AS$10:AS$199),AS$10:AS$199&lt;&gt;AS$9:AS$198))=LOOKUP(ROW(AS174),FILTER(ROW(AS$10:AS$199),AS$10:AS$199&lt;&gt;AS$9:AS$198)))),AZ174,)"),"")</f>
        <v/>
      </c>
      <c s="42"/>
      <c s="63"/>
      <c s="64" t="str">
        <f t="shared" si="19"/>
        <v/>
      </c>
      <c s="65" t="str">
        <f>IFERROR(__xludf.DUMMYFUNCTION("""COMPUTED_VALUE"""),"")</f>
        <v/>
      </c>
      <c s="66">
        <f ca="1"/>
        <v>45236</v>
      </c>
      <c s="93" t="str">
        <f t="shared" si="20"/>
        <v/>
      </c>
      <c s="94" t="str">
        <f t="shared" si="425"/>
        <v/>
      </c>
      <c s="95" t="str">
        <f t="shared" si="411"/>
        <v/>
      </c>
      <c s="98" t="str">
        <f t="shared" si="412"/>
        <v/>
      </c>
      <c s="97" t="str">
        <f t="array" ref="BM174">IFERROR(IF(BG174="ac"+ISNUMBER(SEARCH("'",BL174))+BK174="","",IF(ISNUMBER(SEARCH("lw",BL174)),AY174+SUBSTITUTE(BL174,"lw+",""),MROUND(_xlfn.SWITCH(BG174,"sq",BK$7,"bn",BL$7,"dl",BM$7,"")*IF(BL174&gt;10,BL174/100,VLOOKUP(BL174,_rpe,SUBSTITUTE(BK174,"+","")+1,0)),IF(_xlfn.SWITCH(BG174,"sq",BK$7,"bn",BL$7,"dl",BM$7,"")&lt;IF(_uom="lbs",175,80),1.25,IF(_uom="lbs",5,2.5))))),"")</f>
        <v/>
      </c>
      <c s="70"/>
      <c s="63"/>
      <c s="97"/>
      <c s="44" t="str">
        <f>IFERROR(__xludf.DUMMYFUNCTION("IF(BM174=MAX(FILTER(BM$10:BM$199,LOOKUP(ROW(BG$10:BG$199),FILTER(ROW(BG$10:BG$199),BG$10:BG$199&lt;&gt;BG$9:BG$198))=LOOKUP(ROW(BG174),FILTER(ROW(BG$10:BG$199),BG$10:BG$199&lt;&gt;BG$9:BG$198)))),BN174,)"),"")</f>
        <v/>
      </c>
      <c s="42"/>
      <c s="63"/>
      <c s="64" t="str">
        <f t="shared" si="21"/>
        <v/>
      </c>
      <c s="65" t="str">
        <f>IFERROR(__xludf.DUMMYFUNCTION("""COMPUTED_VALUE"""),"")</f>
        <v/>
      </c>
      <c s="66">
        <f ca="1"/>
        <v>45243</v>
      </c>
      <c s="93" t="str">
        <f t="shared" si="22"/>
        <v/>
      </c>
      <c s="94" t="str">
        <f t="shared" si="426"/>
        <v/>
      </c>
      <c s="95" t="str">
        <f t="shared" si="414"/>
        <v/>
      </c>
      <c s="98" t="str">
        <f t="shared" si="415"/>
        <v/>
      </c>
      <c s="97" t="str">
        <f t="array" ref="CA174">IFERROR(IF(BU174="ac"+ISNUMBER(SEARCH("'",BZ174))+BY174="","",IF(ISNUMBER(SEARCH("lw",BZ174)),BM174+SUBSTITUTE(BZ174,"lw+",""),MROUND(_xlfn.SWITCH(BU174,"sq",BY$7,"bn",BZ$7,"dl",CA$7,"")*IF(BZ174&gt;10,BZ174/100,VLOOKUP(BZ174,_rpe,SUBSTITUTE(BY174,"+","")+1,0)),IF(_xlfn.SWITCH(BU174,"sq",BY$7,"bn",BZ$7,"dl",CA$7,"")&lt;IF(_uom="lbs",175,80),1.25,IF(_uom="lbs",5,2.5))))),"")</f>
        <v/>
      </c>
      <c s="70"/>
      <c s="63"/>
      <c s="97"/>
      <c s="44" t="str">
        <f>IFERROR(__xludf.DUMMYFUNCTION("IF(CA174=MAX(FILTER(CA$10:CA$199,LOOKUP(ROW(BU$10:BU$199),FILTER(ROW(BU$10:BU$199),BU$10:BU$199&lt;&gt;BU$9:BU$198))=LOOKUP(ROW(BU174),FILTER(ROW(BU$10:BU$199),BU$10:BU$199&lt;&gt;BU$9:BU$198)))),CB174,)"),"")</f>
        <v/>
      </c>
      <c s="42"/>
      <c s="63"/>
      <c s="64" t="str">
        <f t="shared" si="24"/>
        <v/>
      </c>
      <c s="65" t="str">
        <f>IFERROR(__xludf.DUMMYFUNCTION("""COMPUTED_VALUE"""),"")</f>
        <v/>
      </c>
      <c s="66">
        <f ca="1"/>
        <v>45250</v>
      </c>
      <c s="93" t="str">
        <f t="shared" si="44"/>
        <v/>
      </c>
      <c s="94" t="str">
        <f t="shared" si="392"/>
        <v/>
      </c>
      <c s="95" t="str">
        <f t="shared" si="416"/>
        <v/>
      </c>
      <c s="98" t="str">
        <f t="shared" si="417"/>
        <v/>
      </c>
      <c s="97" t="str">
        <f t="array" ref="CO174">IFERROR(IF(CI174="ac"+ISNUMBER(SEARCH("'",CN174))+CM174="","",IF(ISNUMBER(SEARCH("lw",CN174)),CA174+SUBSTITUTE(CN174,"lw+",""),MROUND(_xlfn.SWITCH(CI174,"sq",CM$7,"bn",CN$7,"dl",CO$7,"")*IF(CN174&gt;10,CN174/100,VLOOKUP(CN174,_rpe,SUBSTITUTE(CM174,"+","")+1,0)),IF(_xlfn.SWITCH(CI174,"sq",CM$7,"bn",CN$7,"dl",CO$7,"")&lt;IF(_uom="lbs",175,80),1.25,IF(_uom="lbs",5,2.5))))),"")</f>
        <v/>
      </c>
      <c s="70"/>
      <c s="63"/>
      <c s="97"/>
      <c s="44" t="str">
        <f>IFERROR(__xludf.DUMMYFUNCTION("IF(CO174=MAX(FILTER(CO$10:CO$199,LOOKUP(ROW(CI$10:CI$199),FILTER(ROW(CI$10:CI$199),CI$10:CI$199&lt;&gt;CI$9:CI$198))=LOOKUP(ROW(CI174),FILTER(ROW(CI$10:CI$199),CI$10:CI$199&lt;&gt;CI$9:CI$198)))),CP174,)"),"")</f>
        <v/>
      </c>
      <c s="42"/>
      <c s="63"/>
      <c s="64" t="str">
        <f t="shared" si="27"/>
        <v/>
      </c>
      <c s="65" t="str">
        <f>IFERROR(__xludf.DUMMYFUNCTION("""COMPUTED_VALUE"""),"")</f>
        <v/>
      </c>
      <c s="66">
        <f ca="1"/>
        <v>45257</v>
      </c>
      <c s="93" t="str">
        <f t="shared" si="45"/>
        <v/>
      </c>
      <c s="94" t="str">
        <f t="shared" si="393"/>
        <v/>
      </c>
      <c s="95" t="str">
        <f t="shared" si="418"/>
        <v/>
      </c>
      <c s="98" t="str">
        <f t="shared" si="401"/>
        <v/>
      </c>
      <c s="97" t="str">
        <f t="array" ref="DC174">IFERROR(IF(CW174="ac"+ISNUMBER(SEARCH("'",DB174))+DA174="","",IF(ISNUMBER(SEARCH("lw",DB174)),CO174+SUBSTITUTE(DB174,"lw+",""),MROUND(_xlfn.SWITCH(CW174,"sq",DA$7,"bn",DB$7,"dl",DC$7,"")*IF(DB174&gt;10,DB174/100,VLOOKUP(DB174,_rpe,SUBSTITUTE(DA174,"+","")+1,0)),IF(_xlfn.SWITCH(CW174,"sq",DA$7,"bn",DB$7,"dl",DC$7,"")&lt;IF(_uom="lbs",175,80),1.25,IF(_uom="lbs",5,2.5))))),"")</f>
        <v/>
      </c>
      <c s="70"/>
      <c s="63"/>
      <c s="97"/>
      <c s="44" t="str">
        <f>IFERROR(__xludf.DUMMYFUNCTION("IF(DC174=MAX(FILTER(DC$10:DC$199,LOOKUP(ROW(CW$10:CW$199),FILTER(ROW(CW$10:CW$199),CW$10:CW$199&lt;&gt;CW$9:CW$198))=LOOKUP(ROW(CW174),FILTER(ROW(CW$10:CW$199),CW$10:CW$199&lt;&gt;CW$9:CW$198)))),DD174,)"),"")</f>
        <v/>
      </c>
      <c s="42"/>
      <c s="63"/>
      <c s="64" t="str">
        <f t="shared" si="30"/>
        <v/>
      </c>
      <c s="65" t="str">
        <f>IFERROR(__xludf.DUMMYFUNCTION("""COMPUTED_VALUE"""),"")</f>
        <v/>
      </c>
      <c s="66">
        <f ca="1"/>
        <v>45264</v>
      </c>
      <c s="93" t="str">
        <f t="shared" si="46"/>
        <v/>
      </c>
      <c s="94" t="str">
        <f t="shared" si="394"/>
        <v/>
      </c>
      <c s="95" t="str">
        <f t="shared" si="419"/>
        <v/>
      </c>
      <c s="98" t="str">
        <f t="shared" si="420"/>
        <v/>
      </c>
      <c s="97" t="str">
        <f t="array" ref="DQ174">IFERROR(IF(DK174="ac"+ISNUMBER(SEARCH("'",DP174))+DO174="","",IF(ISNUMBER(SEARCH("lw",DP174)),DC174+SUBSTITUTE(DP174,"lw+",""),MROUND(_xlfn.SWITCH(DK174,"sq",DO$7,"bn",DP$7,"dl",DQ$7,"")*IF(DP174&gt;10,DP174/100,VLOOKUP(DP174,_rpe,SUBSTITUTE(DO174,"+","")+1,0)),IF(_xlfn.SWITCH(DK174,"sq",DO$7,"bn",DP$7,"dl",DQ$7,"")&lt;IF(_uom="lbs",175,80),1.25,IF(_uom="lbs",5,2.5))))),"")</f>
        <v/>
      </c>
      <c s="70"/>
      <c s="63"/>
      <c s="97"/>
      <c s="44" t="str">
        <f>IFERROR(__xludf.DUMMYFUNCTION("IF(DQ174=MAX(FILTER(DQ$10:DQ$199,LOOKUP(ROW(DK$10:DK$199),FILTER(ROW(DK$10:DK$199),DK$10:DK$199&lt;&gt;DK$9:DK$198))=LOOKUP(ROW(DK174),FILTER(ROW(DK$10:DK$199),DK$10:DK$199&lt;&gt;DK$9:DK$198)))),DR174,)"),"")</f>
        <v/>
      </c>
      <c s="42"/>
      <c s="63"/>
      <c s="64" t="str">
        <f t="shared" si="32"/>
        <v/>
      </c>
      <c s="65" t="str">
        <f>IFERROR(__xludf.DUMMYFUNCTION("""COMPUTED_VALUE"""),"")</f>
        <v/>
      </c>
      <c s="66">
        <f ca="1"/>
        <v>45271</v>
      </c>
      <c s="93" t="str">
        <f t="shared" si="47"/>
        <v/>
      </c>
      <c s="94" t="str">
        <f t="shared" si="405"/>
        <v/>
      </c>
      <c s="95" t="str">
        <f t="shared" si="421"/>
        <v/>
      </c>
      <c s="98" t="str">
        <f t="shared" si="422"/>
        <v/>
      </c>
      <c s="97" t="str">
        <f t="array" ref="EE174">IFERROR(IF(DY174="ac"+ISNUMBER(SEARCH("'",ED174))+EC174="","",IF(ISNUMBER(SEARCH("lw",ED174)),DQ174+SUBSTITUTE(ED174,"lw+",""),MROUND(_xlfn.SWITCH(DY174,"sq",EC$7,"bn",ED$7,"dl",EE$7,"")*IF(ED174&gt;10,ED174/100,VLOOKUP(ED174,_rpe,SUBSTITUTE(EC174,"+","")+1,0)),IF(_xlfn.SWITCH(DY174,"sq",EC$7,"bn",ED$7,"dl",EE$7,"")&lt;IF(_uom="lbs",175,80),1.25,IF(_uom="lbs",5,2.5))))),"")</f>
        <v/>
      </c>
      <c s="70"/>
      <c s="63"/>
      <c s="97"/>
      <c s="44" t="str">
        <f>IFERROR(__xludf.DUMMYFUNCTION("IF(EE174=MAX(FILTER(EE$10:EE$199,LOOKUP(ROW(DY$10:DY$199),FILTER(ROW(DY$10:DY$199),DY$10:DY$199&lt;&gt;DY$9:DY$198))=LOOKUP(ROW(DY174),FILTER(ROW(DY$10:DY$199),DY$10:DY$199&lt;&gt;DY$9:DY$198)))),EF174,)"),"")</f>
        <v/>
      </c>
      <c s="42"/>
      <c s="63"/>
      <c s="64" t="str">
        <f t="shared" si="34"/>
        <v/>
      </c>
      <c s="65" t="str">
        <f>IFERROR(__xludf.DUMMYFUNCTION("""COMPUTED_VALUE"""),"")</f>
        <v/>
      </c>
      <c s="66">
        <f ca="1"/>
        <v>45278</v>
      </c>
      <c s="93" t="str">
        <f t="shared" si="48"/>
        <v/>
      </c>
      <c s="94" t="str">
        <f t="shared" si="395"/>
        <v/>
      </c>
      <c s="95" t="str">
        <f t="shared" si="423"/>
        <v/>
      </c>
      <c s="98" t="str">
        <f t="shared" si="402"/>
        <v/>
      </c>
      <c s="97" t="str">
        <f t="array" ref="ES174">IFERROR(IF(EM174="ac"+ISNUMBER(SEARCH("'",ER174))+EQ174="","",IF(ISNUMBER(SEARCH("lw",ER174)),EE174+SUBSTITUTE(ER174,"lw+",""),MROUND(_xlfn.SWITCH(EM174,"sq",EQ$7,"bn",ER$7,"dl",ES$7,"")*IF(ER174&gt;10,ER174/100,VLOOKUP(ER174,_rpe,SUBSTITUTE(EQ174,"+","")+1,0)),IF(_xlfn.SWITCH(EM174,"sq",EQ$7,"bn",ER$7,"dl",ES$7,"")&lt;IF(_uom="lbs",175,80),1.25,IF(_uom="lbs",5,2.5))))),"")</f>
        <v/>
      </c>
      <c s="70"/>
      <c s="63"/>
      <c s="97"/>
      <c s="44" t="str">
        <f>IFERROR(__xludf.DUMMYFUNCTION("IF(ES174=MAX(FILTER(ES$10:ES$199,LOOKUP(ROW(EM$10:EM$199),FILTER(ROW(EM$10:EM$199),EM$10:EM$199&lt;&gt;EM$9:EM$198))=LOOKUP(ROW(EM174),FILTER(ROW(EM$10:EM$199),EM$10:EM$199&lt;&gt;EM$9:EM$198)))),ET174,)"),"")</f>
        <v/>
      </c>
      <c s="42"/>
      <c s="63"/>
      <c s="64" t="str">
        <f t="shared" si="36"/>
        <v/>
      </c>
      <c s="65" t="str">
        <f>IFERROR(__xludf.DUMMYFUNCTION("""COMPUTED_VALUE"""),"")</f>
        <v/>
      </c>
      <c s="66">
        <f ca="1"/>
        <v>45285</v>
      </c>
      <c s="93" t="str">
        <f t="shared" si="49"/>
        <v/>
      </c>
      <c s="94" t="str">
        <f t="shared" si="396"/>
        <v/>
      </c>
      <c s="95" t="str">
        <f t="shared" si="424"/>
        <v/>
      </c>
      <c s="98" t="str">
        <f t="shared" si="403"/>
        <v/>
      </c>
      <c s="97" t="str">
        <f t="array" ref="FG174">IFERROR(IF(FA174="ac"+ISNUMBER(SEARCH("'",FF174))+FE174="","",IF(ISNUMBER(SEARCH("lw",FF174)),ES174+SUBSTITUTE(FF174,"lw+",""),MROUND(_xlfn.SWITCH(FA174,"sq",FE$7,"bn",FF$7,"dl",FG$7,"")*IF(FF174&gt;10,FF174/100,VLOOKUP(FF174,_rpe,SUBSTITUTE(FE174,"+","")+1,0)),IF(_xlfn.SWITCH(FA174,"sq",FE$7,"bn",FF$7,"dl",FG$7,"")&lt;IF(_uom="lbs",175,80),1.25,IF(_uom="lbs",5,2.5))))),"")</f>
        <v/>
      </c>
      <c s="70"/>
      <c s="63"/>
      <c s="97"/>
      <c s="44" t="str">
        <f>IFERROR(__xludf.DUMMYFUNCTION("IF(FG174=MAX(FILTER(FG$10:FG$199,LOOKUP(ROW(FA$10:FA$199),FILTER(ROW(FA$10:FA$199),FA$10:FA$199&lt;&gt;FA$9:FA$198))=LOOKUP(ROW(FA174),FILTER(ROW(FA$10:FA$199),FA$10:FA$199&lt;&gt;FA$9:FA$198)))),FH174,)"),"")</f>
        <v/>
      </c>
      <c s="42"/>
      <c s="63"/>
      <c s="64" t="str">
        <f t="shared" si="38"/>
        <v/>
      </c>
      <c s="65" t="str">
        <f>IFERROR(__xludf.DUMMYFUNCTION("""COMPUTED_VALUE"""),"")</f>
        <v/>
      </c>
      <c s="66">
        <f ca="1"/>
        <v>45292</v>
      </c>
      <c s="93" t="str">
        <f t="shared" si="518" ref="FQ174:FR174">IF(ISBLANK(FC174),"",FC174)</f>
        <v/>
      </c>
      <c s="94" t="str">
        <f t="shared" si="518"/>
        <v/>
      </c>
      <c s="95" t="str">
        <f t="shared" si="428"/>
        <v/>
      </c>
      <c s="98" t="str">
        <f t="shared" si="429"/>
        <v/>
      </c>
      <c s="97" t="str">
        <f t="array" ref="FU174">IFERROR(IF(FO174="ac"+ISNUMBER(SEARCH("'",FT174))+FS174="","",IF(ISNUMBER(SEARCH("lw",FT174)),FG174+SUBSTITUTE(FT174,"lw+",""),MROUND(_xlfn.SWITCH(FO174,"sq",FS$7,"bn",FT$7,"dl",FU$7,"")*IF(FT174&gt;10,FT174/100,VLOOKUP(FT174,_rpe,SUBSTITUTE(FS174,"+","")+1,0)),IF(_xlfn.SWITCH(FO174,"sq",FS$7,"bn",FT$7,"dl",FU$7,"")&lt;IF(_uom="lbs",175,80),1.25,IF(_uom="lbs",5,2.5))))),"")</f>
        <v/>
      </c>
      <c s="70"/>
      <c s="63"/>
      <c s="97"/>
      <c s="44" t="str">
        <f>IFERROR(__xludf.DUMMYFUNCTION("IF(FU174=MAX(FILTER(FU$10:FU$199,LOOKUP(ROW(FO$10:FO$199),FILTER(ROW(FO$10:FO$199),FO$10:FO$199&lt;&gt;FO$9:FO$198))=LOOKUP(ROW(FO174),FILTER(ROW(FO$10:FO$199),FO$10:FO$199&lt;&gt;FO$9:FO$198)))),FV174,)"),"")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75" spans="1:259" ht="15.75">
      <c r="A175" s="63"/>
      <c s="107"/>
      <c s="65" t="str">
        <f>IFERROR(__xludf.DUMMYFUNCTION("""COMPUTED_VALUE"""),"")</f>
        <v/>
      </c>
      <c s="66">
        <f ca="1"/>
        <v>45208</v>
      </c>
      <c s="108"/>
      <c s="94"/>
      <c s="95"/>
      <c s="96"/>
      <c s="97" t="str">
        <f t="array" ref="I175">IFERROR(IF(C175="ac"+ISNUMBER(SEARCH("'",H175))+G175="","",MROUND(_xlfn.SWITCH(C175,"sq",'Personal Info'!$O$15,"bn",'Personal Info'!$S$15,"dl",'Personal Info'!$W$15,"")*IF(H175&gt;10,H175/100,VLOOKUP(H175,_rpe,SUBSTITUTE(G175,"+","")+1,0)),IF(_xlfn.SWITCH(C175:C210,"sq",'Personal Info'!$O$15,"bn",'Personal Info'!$S$15,"dl",'Personal Info'!$W$15,"")&lt;IF(_uom="lbs",175,80),1.25,IF(_uom="lbs",5,2.5)))),"")</f>
        <v/>
      </c>
      <c s="70"/>
      <c s="63"/>
      <c s="97"/>
      <c s="44" t="str">
        <f>IFERROR(__xludf.DUMMYFUNCTION("IF(I175=MAX(FILTER(I$10:I$199,LOOKUP(ROW(C$10:C$199),FILTER(ROW(C$10:C$199),C$10:C$199&lt;&gt;C$9:C$198))=LOOKUP(ROW(C175),FILTER(ROW(C$10:C$199),C$10:C$199&lt;&gt;C$9:C$198)))),J175,)"),"")</f>
        <v/>
      </c>
      <c s="42"/>
      <c s="63"/>
      <c s="64" t="str">
        <f t="shared" si="11"/>
        <v/>
      </c>
      <c s="65" t="str">
        <f>IFERROR(__xludf.DUMMYFUNCTION("""COMPUTED_VALUE"""),"")</f>
        <v/>
      </c>
      <c s="66">
        <f ca="1"/>
        <v>45215</v>
      </c>
      <c s="93" t="str">
        <f t="shared" si="12"/>
        <v/>
      </c>
      <c s="94" t="str">
        <f t="shared" si="404"/>
        <v/>
      </c>
      <c s="95" t="str">
        <f t="shared" si="406"/>
        <v/>
      </c>
      <c s="98" t="str">
        <f t="shared" si="407"/>
        <v/>
      </c>
      <c s="97" t="str">
        <f t="array" ref="W175">IFERROR(IF(Q175="ac"+ISNUMBER(SEARCH("'",V175))+U175="","",IF(ISNUMBER(SEARCH("lw",V175)),I175+SUBSTITUTE(V175,"lw+",""),MROUND(_xlfn.SWITCH(Q175,"sq",U$7,"bn",V$7,"dl",W$7,"")*IF(V175&gt;10,V175/100,VLOOKUP(V175,_rpe,SUBSTITUTE(U175,"+","")+1,0)),IF(_xlfn.SWITCH(Q175,"sq",U$7,"bn",V$7,"dl",W$7,"")&lt;IF(_uom="lbs",175,80),1.25,IF(_uom="lbs",5,2.5))))),"")</f>
        <v/>
      </c>
      <c s="70"/>
      <c s="63"/>
      <c s="97"/>
      <c s="44" t="str">
        <f>IFERROR(__xludf.DUMMYFUNCTION("IF(W175=MAX(FILTER(W$10:W$199,LOOKUP(ROW(Q$10:Q$199),FILTER(ROW(Q$10:Q$199),Q$10:Q$199&lt;&gt;Q$9:Q$198))=LOOKUP(ROW(Q175),FILTER(ROW(Q$10:Q$199),Q$10:Q$199&lt;&gt;Q$9:Q$198)))),X175,)"),"")</f>
        <v/>
      </c>
      <c s="42"/>
      <c s="63"/>
      <c s="64" t="str">
        <f t="shared" si="14"/>
        <v/>
      </c>
      <c s="65" t="str">
        <f>IFERROR(__xludf.DUMMYFUNCTION("""COMPUTED_VALUE"""),"")</f>
        <v/>
      </c>
      <c s="66">
        <f ca="1"/>
        <v>45222</v>
      </c>
      <c s="93" t="str">
        <f t="shared" si="156"/>
        <v/>
      </c>
      <c s="94" t="str">
        <f t="shared" si="397"/>
        <v/>
      </c>
      <c s="95" t="str">
        <f t="shared" si="408"/>
        <v/>
      </c>
      <c s="98" t="str">
        <f t="shared" si="398"/>
        <v/>
      </c>
      <c s="97" t="str">
        <f t="array" ref="AK175">IFERROR(IF(AE175="ac"+ISNUMBER(SEARCH("'",AJ175))+AI175="","",IF(ISNUMBER(SEARCH("lw",AJ175)),W175+SUBSTITUTE(AJ175,"lw+",""),MROUND(_xlfn.SWITCH(AE175,"sq",AI$7,"bn",AJ$7,"dl",AK$7,"")*IF(AJ175&gt;10,AJ175/100,VLOOKUP(AJ175,_rpe,SUBSTITUTE(AI175,"+","")+1,0)),IF(_xlfn.SWITCH(AE175,"sq",AI$7,"bn",AJ$7,"dl",AK$7,"")&lt;IF(_uom="lbs",175,80),1.25,IF(_uom="lbs",5,2.5))))),"")</f>
        <v/>
      </c>
      <c s="70"/>
      <c s="63"/>
      <c s="97"/>
      <c s="44" t="str">
        <f>IFERROR(__xludf.DUMMYFUNCTION("IF(AK175=MAX(FILTER(AK$10:AK$199,LOOKUP(ROW(AE$10:AE$199),FILTER(ROW(AE$10:AE$199),AE$10:AE$199&lt;&gt;AE$9:AE$198))=LOOKUP(ROW(AE175),FILTER(ROW(AE$10:AE$199),AE$10:AE$199&lt;&gt;AE$9:AE$198)))),AL175,)"),"")</f>
        <v/>
      </c>
      <c s="42"/>
      <c s="63"/>
      <c s="64" t="str">
        <f t="shared" si="17"/>
        <v/>
      </c>
      <c s="65" t="str">
        <f>IFERROR(__xludf.DUMMYFUNCTION("""COMPUTED_VALUE"""),"")</f>
        <v/>
      </c>
      <c s="66">
        <f ca="1"/>
        <v>45229</v>
      </c>
      <c s="93" t="str">
        <f t="shared" si="157"/>
        <v/>
      </c>
      <c s="94" t="str">
        <f t="shared" si="399"/>
        <v/>
      </c>
      <c s="95" t="str">
        <f t="shared" si="409"/>
        <v/>
      </c>
      <c s="98" t="str">
        <f t="shared" si="400"/>
        <v/>
      </c>
      <c s="97" t="str">
        <f t="array" ref="AY175">IFERROR(IF(AS175="ac"+ISNUMBER(SEARCH("'",AX175))+AW175="","",IF(ISNUMBER(SEARCH("lw",AX175)),AK175+SUBSTITUTE(AX175,"lw+",""),MROUND(_xlfn.SWITCH(AS175,"sq",AW$7,"bn",AX$7,"dl",AY$7,"")*IF(AX175&gt;10,AX175/100,VLOOKUP(AX175,_rpe,SUBSTITUTE(AW175,"+","")+1,0)),IF(_xlfn.SWITCH(AS175,"sq",AW$7,"bn",AX$7,"dl",AY$7,"")&lt;IF(_uom="lbs",175,80),1.25,IF(_uom="lbs",5,2.5))))),"")</f>
        <v/>
      </c>
      <c s="70"/>
      <c s="63"/>
      <c s="97"/>
      <c s="44" t="str">
        <f>IFERROR(__xludf.DUMMYFUNCTION("IF(AY175=MAX(FILTER(AY$10:AY$199,LOOKUP(ROW(AS$10:AS$199),FILTER(ROW(AS$10:AS$199),AS$10:AS$199&lt;&gt;AS$9:AS$198))=LOOKUP(ROW(AS175),FILTER(ROW(AS$10:AS$199),AS$10:AS$199&lt;&gt;AS$9:AS$198)))),AZ175,)"),"")</f>
        <v/>
      </c>
      <c s="42"/>
      <c s="63"/>
      <c s="64" t="str">
        <f t="shared" si="19"/>
        <v/>
      </c>
      <c s="65" t="str">
        <f>IFERROR(__xludf.DUMMYFUNCTION("""COMPUTED_VALUE"""),"")</f>
        <v/>
      </c>
      <c s="66">
        <f ca="1"/>
        <v>45236</v>
      </c>
      <c s="93" t="str">
        <f t="shared" si="20"/>
        <v/>
      </c>
      <c s="94" t="str">
        <f t="shared" si="425"/>
        <v/>
      </c>
      <c s="95" t="str">
        <f t="shared" si="411"/>
        <v/>
      </c>
      <c s="98" t="str">
        <f t="shared" si="412"/>
        <v/>
      </c>
      <c s="97" t="str">
        <f t="array" ref="BM175">IFERROR(IF(BG175="ac"+ISNUMBER(SEARCH("'",BL175))+BK175="","",IF(ISNUMBER(SEARCH("lw",BL175)),AY175+SUBSTITUTE(BL175,"lw+",""),MROUND(_xlfn.SWITCH(BG175,"sq",BK$7,"bn",BL$7,"dl",BM$7,"")*IF(BL175&gt;10,BL175/100,VLOOKUP(BL175,_rpe,SUBSTITUTE(BK175,"+","")+1,0)),IF(_xlfn.SWITCH(BG175,"sq",BK$7,"bn",BL$7,"dl",BM$7,"")&lt;IF(_uom="lbs",175,80),1.25,IF(_uom="lbs",5,2.5))))),"")</f>
        <v/>
      </c>
      <c s="70"/>
      <c s="63"/>
      <c s="97"/>
      <c s="44" t="str">
        <f>IFERROR(__xludf.DUMMYFUNCTION("IF(BM175=MAX(FILTER(BM$10:BM$199,LOOKUP(ROW(BG$10:BG$199),FILTER(ROW(BG$10:BG$199),BG$10:BG$199&lt;&gt;BG$9:BG$198))=LOOKUP(ROW(BG175),FILTER(ROW(BG$10:BG$199),BG$10:BG$199&lt;&gt;BG$9:BG$198)))),BN175,)"),"")</f>
        <v/>
      </c>
      <c s="42"/>
      <c s="63"/>
      <c s="64" t="str">
        <f t="shared" si="21"/>
        <v/>
      </c>
      <c s="65" t="str">
        <f>IFERROR(__xludf.DUMMYFUNCTION("""COMPUTED_VALUE"""),"")</f>
        <v/>
      </c>
      <c s="66">
        <f ca="1"/>
        <v>45243</v>
      </c>
      <c s="93" t="str">
        <f t="shared" si="22"/>
        <v/>
      </c>
      <c s="94" t="str">
        <f t="shared" si="426"/>
        <v/>
      </c>
      <c s="95" t="str">
        <f t="shared" si="414"/>
        <v/>
      </c>
      <c s="98" t="str">
        <f t="shared" si="415"/>
        <v/>
      </c>
      <c s="97" t="str">
        <f t="array" ref="CA175">IFERROR(IF(BU175="ac"+ISNUMBER(SEARCH("'",BZ175))+BY175="","",IF(ISNUMBER(SEARCH("lw",BZ175)),BM175+SUBSTITUTE(BZ175,"lw+",""),MROUND(_xlfn.SWITCH(BU175,"sq",BY$7,"bn",BZ$7,"dl",CA$7,"")*IF(BZ175&gt;10,BZ175/100,VLOOKUP(BZ175,_rpe,SUBSTITUTE(BY175,"+","")+1,0)),IF(_xlfn.SWITCH(BU175,"sq",BY$7,"bn",BZ$7,"dl",CA$7,"")&lt;IF(_uom="lbs",175,80),1.25,IF(_uom="lbs",5,2.5))))),"")</f>
        <v/>
      </c>
      <c s="70"/>
      <c s="63"/>
      <c s="97"/>
      <c s="44" t="str">
        <f>IFERROR(__xludf.DUMMYFUNCTION("IF(CA175=MAX(FILTER(CA$10:CA$199,LOOKUP(ROW(BU$10:BU$199),FILTER(ROW(BU$10:BU$199),BU$10:BU$199&lt;&gt;BU$9:BU$198))=LOOKUP(ROW(BU175),FILTER(ROW(BU$10:BU$199),BU$10:BU$199&lt;&gt;BU$9:BU$198)))),CB175,)"),"")</f>
        <v/>
      </c>
      <c s="42"/>
      <c s="63"/>
      <c s="64" t="str">
        <f t="shared" si="24"/>
        <v/>
      </c>
      <c s="65" t="str">
        <f>IFERROR(__xludf.DUMMYFUNCTION("""COMPUTED_VALUE"""),"")</f>
        <v/>
      </c>
      <c s="66">
        <f ca="1"/>
        <v>45250</v>
      </c>
      <c s="93" t="str">
        <f t="shared" si="44"/>
        <v/>
      </c>
      <c s="94" t="str">
        <f t="shared" si="392"/>
        <v/>
      </c>
      <c s="95" t="str">
        <f t="shared" si="416"/>
        <v/>
      </c>
      <c s="98" t="str">
        <f t="shared" si="417"/>
        <v/>
      </c>
      <c s="97" t="str">
        <f t="array" ref="CO175">IFERROR(IF(CI175="ac"+ISNUMBER(SEARCH("'",CN175))+CM175="","",IF(ISNUMBER(SEARCH("lw",CN175)),CA175+SUBSTITUTE(CN175,"lw+",""),MROUND(_xlfn.SWITCH(CI175,"sq",CM$7,"bn",CN$7,"dl",CO$7,"")*IF(CN175&gt;10,CN175/100,VLOOKUP(CN175,_rpe,SUBSTITUTE(CM175,"+","")+1,0)),IF(_xlfn.SWITCH(CI175,"sq",CM$7,"bn",CN$7,"dl",CO$7,"")&lt;IF(_uom="lbs",175,80),1.25,IF(_uom="lbs",5,2.5))))),"")</f>
        <v/>
      </c>
      <c s="70"/>
      <c s="63"/>
      <c s="97"/>
      <c s="44" t="str">
        <f>IFERROR(__xludf.DUMMYFUNCTION("IF(CO175=MAX(FILTER(CO$10:CO$199,LOOKUP(ROW(CI$10:CI$199),FILTER(ROW(CI$10:CI$199),CI$10:CI$199&lt;&gt;CI$9:CI$198))=LOOKUP(ROW(CI175),FILTER(ROW(CI$10:CI$199),CI$10:CI$199&lt;&gt;CI$9:CI$198)))),CP175,)"),"")</f>
        <v/>
      </c>
      <c s="42"/>
      <c s="63"/>
      <c s="64" t="str">
        <f t="shared" si="27"/>
        <v/>
      </c>
      <c s="65" t="str">
        <f>IFERROR(__xludf.DUMMYFUNCTION("""COMPUTED_VALUE"""),"")</f>
        <v/>
      </c>
      <c s="66">
        <f ca="1"/>
        <v>45257</v>
      </c>
      <c s="93" t="str">
        <f t="shared" si="45"/>
        <v/>
      </c>
      <c s="94" t="str">
        <f t="shared" si="393"/>
        <v/>
      </c>
      <c s="95" t="str">
        <f t="shared" si="418"/>
        <v/>
      </c>
      <c s="98" t="str">
        <f t="shared" si="401"/>
        <v/>
      </c>
      <c s="97" t="str">
        <f t="array" ref="DC175">IFERROR(IF(CW175="ac"+ISNUMBER(SEARCH("'",DB175))+DA175="","",IF(ISNUMBER(SEARCH("lw",DB175)),CO175+SUBSTITUTE(DB175,"lw+",""),MROUND(_xlfn.SWITCH(CW175,"sq",DA$7,"bn",DB$7,"dl",DC$7,"")*IF(DB175&gt;10,DB175/100,VLOOKUP(DB175,_rpe,SUBSTITUTE(DA175,"+","")+1,0)),IF(_xlfn.SWITCH(CW175,"sq",DA$7,"bn",DB$7,"dl",DC$7,"")&lt;IF(_uom="lbs",175,80),1.25,IF(_uom="lbs",5,2.5))))),"")</f>
        <v/>
      </c>
      <c s="70"/>
      <c s="63"/>
      <c s="97"/>
      <c s="44" t="str">
        <f>IFERROR(__xludf.DUMMYFUNCTION("IF(DC175=MAX(FILTER(DC$10:DC$199,LOOKUP(ROW(CW$10:CW$199),FILTER(ROW(CW$10:CW$199),CW$10:CW$199&lt;&gt;CW$9:CW$198))=LOOKUP(ROW(CW175),FILTER(ROW(CW$10:CW$199),CW$10:CW$199&lt;&gt;CW$9:CW$198)))),DD175,)"),"")</f>
        <v/>
      </c>
      <c s="42"/>
      <c s="63"/>
      <c s="64" t="str">
        <f t="shared" si="30"/>
        <v/>
      </c>
      <c s="65" t="str">
        <f>IFERROR(__xludf.DUMMYFUNCTION("""COMPUTED_VALUE"""),"")</f>
        <v/>
      </c>
      <c s="66">
        <f ca="1"/>
        <v>45264</v>
      </c>
      <c s="93" t="str">
        <f t="shared" si="46"/>
        <v/>
      </c>
      <c s="94" t="str">
        <f t="shared" si="394"/>
        <v/>
      </c>
      <c s="95" t="str">
        <f t="shared" si="419"/>
        <v/>
      </c>
      <c s="98" t="str">
        <f t="shared" si="420"/>
        <v/>
      </c>
      <c s="97" t="str">
        <f t="array" ref="DQ175">IFERROR(IF(DK175="ac"+ISNUMBER(SEARCH("'",DP175))+DO175="","",IF(ISNUMBER(SEARCH("lw",DP175)),DC175+SUBSTITUTE(DP175,"lw+",""),MROUND(_xlfn.SWITCH(DK175,"sq",DO$7,"bn",DP$7,"dl",DQ$7,"")*IF(DP175&gt;10,DP175/100,VLOOKUP(DP175,_rpe,SUBSTITUTE(DO175,"+","")+1,0)),IF(_xlfn.SWITCH(DK175,"sq",DO$7,"bn",DP$7,"dl",DQ$7,"")&lt;IF(_uom="lbs",175,80),1.25,IF(_uom="lbs",5,2.5))))),"")</f>
        <v/>
      </c>
      <c s="70"/>
      <c s="63"/>
      <c s="97"/>
      <c s="44" t="str">
        <f>IFERROR(__xludf.DUMMYFUNCTION("IF(DQ175=MAX(FILTER(DQ$10:DQ$199,LOOKUP(ROW(DK$10:DK$199),FILTER(ROW(DK$10:DK$199),DK$10:DK$199&lt;&gt;DK$9:DK$198))=LOOKUP(ROW(DK175),FILTER(ROW(DK$10:DK$199),DK$10:DK$199&lt;&gt;DK$9:DK$198)))),DR175,)"),"")</f>
        <v/>
      </c>
      <c s="42"/>
      <c s="63"/>
      <c s="64" t="str">
        <f t="shared" si="32"/>
        <v/>
      </c>
      <c s="65" t="str">
        <f>IFERROR(__xludf.DUMMYFUNCTION("""COMPUTED_VALUE"""),"")</f>
        <v/>
      </c>
      <c s="66">
        <f ca="1"/>
        <v>45271</v>
      </c>
      <c s="93" t="str">
        <f t="shared" si="47"/>
        <v/>
      </c>
      <c s="94" t="str">
        <f t="shared" si="405"/>
        <v/>
      </c>
      <c s="95" t="str">
        <f t="shared" si="421"/>
        <v/>
      </c>
      <c s="98" t="str">
        <f t="shared" si="422"/>
        <v/>
      </c>
      <c s="97" t="str">
        <f t="array" ref="EE175">IFERROR(IF(DY175="ac"+ISNUMBER(SEARCH("'",ED175))+EC175="","",IF(ISNUMBER(SEARCH("lw",ED175)),DQ175+SUBSTITUTE(ED175,"lw+",""),MROUND(_xlfn.SWITCH(DY175,"sq",EC$7,"bn",ED$7,"dl",EE$7,"")*IF(ED175&gt;10,ED175/100,VLOOKUP(ED175,_rpe,SUBSTITUTE(EC175,"+","")+1,0)),IF(_xlfn.SWITCH(DY175,"sq",EC$7,"bn",ED$7,"dl",EE$7,"")&lt;IF(_uom="lbs",175,80),1.25,IF(_uom="lbs",5,2.5))))),"")</f>
        <v/>
      </c>
      <c s="70"/>
      <c s="63"/>
      <c s="97"/>
      <c s="44" t="str">
        <f>IFERROR(__xludf.DUMMYFUNCTION("IF(EE175=MAX(FILTER(EE$10:EE$199,LOOKUP(ROW(DY$10:DY$199),FILTER(ROW(DY$10:DY$199),DY$10:DY$199&lt;&gt;DY$9:DY$198))=LOOKUP(ROW(DY175),FILTER(ROW(DY$10:DY$199),DY$10:DY$199&lt;&gt;DY$9:DY$198)))),EF175,)"),"")</f>
        <v/>
      </c>
      <c s="42"/>
      <c s="63"/>
      <c s="64" t="str">
        <f t="shared" si="34"/>
        <v/>
      </c>
      <c s="65" t="str">
        <f>IFERROR(__xludf.DUMMYFUNCTION("""COMPUTED_VALUE"""),"")</f>
        <v/>
      </c>
      <c s="66">
        <f ca="1"/>
        <v>45278</v>
      </c>
      <c s="93" t="str">
        <f t="shared" si="48"/>
        <v/>
      </c>
      <c s="94" t="str">
        <f t="shared" si="395"/>
        <v/>
      </c>
      <c s="95" t="str">
        <f t="shared" si="423"/>
        <v/>
      </c>
      <c s="98" t="str">
        <f t="shared" si="402"/>
        <v/>
      </c>
      <c s="97" t="str">
        <f t="array" ref="ES175">IFERROR(IF(EM175="ac"+ISNUMBER(SEARCH("'",ER175))+EQ175="","",IF(ISNUMBER(SEARCH("lw",ER175)),EE175+SUBSTITUTE(ER175,"lw+",""),MROUND(_xlfn.SWITCH(EM175,"sq",EQ$7,"bn",ER$7,"dl",ES$7,"")*IF(ER175&gt;10,ER175/100,VLOOKUP(ER175,_rpe,SUBSTITUTE(EQ175,"+","")+1,0)),IF(_xlfn.SWITCH(EM175,"sq",EQ$7,"bn",ER$7,"dl",ES$7,"")&lt;IF(_uom="lbs",175,80),1.25,IF(_uom="lbs",5,2.5))))),"")</f>
        <v/>
      </c>
      <c s="70"/>
      <c s="63"/>
      <c s="97"/>
      <c s="44" t="str">
        <f>IFERROR(__xludf.DUMMYFUNCTION("IF(ES175=MAX(FILTER(ES$10:ES$199,LOOKUP(ROW(EM$10:EM$199),FILTER(ROW(EM$10:EM$199),EM$10:EM$199&lt;&gt;EM$9:EM$198))=LOOKUP(ROW(EM175),FILTER(ROW(EM$10:EM$199),EM$10:EM$199&lt;&gt;EM$9:EM$198)))),ET175,)"),"")</f>
        <v/>
      </c>
      <c s="42"/>
      <c s="63"/>
      <c s="64" t="str">
        <f t="shared" si="36"/>
        <v/>
      </c>
      <c s="65" t="str">
        <f>IFERROR(__xludf.DUMMYFUNCTION("""COMPUTED_VALUE"""),"")</f>
        <v/>
      </c>
      <c s="66">
        <f ca="1"/>
        <v>45285</v>
      </c>
      <c s="93" t="str">
        <f t="shared" si="49"/>
        <v/>
      </c>
      <c s="94" t="str">
        <f t="shared" si="396"/>
        <v/>
      </c>
      <c s="95" t="str">
        <f t="shared" si="424"/>
        <v/>
      </c>
      <c s="98" t="str">
        <f t="shared" si="403"/>
        <v/>
      </c>
      <c s="97" t="str">
        <f t="array" ref="FG175">IFERROR(IF(FA175="ac"+ISNUMBER(SEARCH("'",FF175))+FE175="","",IF(ISNUMBER(SEARCH("lw",FF175)),ES175+SUBSTITUTE(FF175,"lw+",""),MROUND(_xlfn.SWITCH(FA175,"sq",FE$7,"bn",FF$7,"dl",FG$7,"")*IF(FF175&gt;10,FF175/100,VLOOKUP(FF175,_rpe,SUBSTITUTE(FE175,"+","")+1,0)),IF(_xlfn.SWITCH(FA175,"sq",FE$7,"bn",FF$7,"dl",FG$7,"")&lt;IF(_uom="lbs",175,80),1.25,IF(_uom="lbs",5,2.5))))),"")</f>
        <v/>
      </c>
      <c s="70"/>
      <c s="63"/>
      <c s="97"/>
      <c s="44" t="str">
        <f>IFERROR(__xludf.DUMMYFUNCTION("IF(FG175=MAX(FILTER(FG$10:FG$199,LOOKUP(ROW(FA$10:FA$199),FILTER(ROW(FA$10:FA$199),FA$10:FA$199&lt;&gt;FA$9:FA$198))=LOOKUP(ROW(FA175),FILTER(ROW(FA$10:FA$199),FA$10:FA$199&lt;&gt;FA$9:FA$198)))),FH175,)"),"")</f>
        <v/>
      </c>
      <c s="42"/>
      <c s="63"/>
      <c s="64" t="str">
        <f t="shared" si="38"/>
        <v/>
      </c>
      <c s="65" t="str">
        <f>IFERROR(__xludf.DUMMYFUNCTION("""COMPUTED_VALUE"""),"")</f>
        <v/>
      </c>
      <c s="66">
        <f ca="1"/>
        <v>45292</v>
      </c>
      <c s="93" t="str">
        <f t="shared" si="519" ref="FQ175:FR175">IF(ISBLANK(FC175),"",FC175)</f>
        <v/>
      </c>
      <c s="94" t="str">
        <f t="shared" si="519"/>
        <v/>
      </c>
      <c s="95" t="str">
        <f t="shared" si="428"/>
        <v/>
      </c>
      <c s="98" t="str">
        <f t="shared" si="429"/>
        <v/>
      </c>
      <c s="97" t="str">
        <f t="array" ref="FU175">IFERROR(IF(FO175="ac"+ISNUMBER(SEARCH("'",FT175))+FS175="","",IF(ISNUMBER(SEARCH("lw",FT175)),FG175+SUBSTITUTE(FT175,"lw+",""),MROUND(_xlfn.SWITCH(FO175,"sq",FS$7,"bn",FT$7,"dl",FU$7,"")*IF(FT175&gt;10,FT175/100,VLOOKUP(FT175,_rpe,SUBSTITUTE(FS175,"+","")+1,0)),IF(_xlfn.SWITCH(FO175,"sq",FS$7,"bn",FT$7,"dl",FU$7,"")&lt;IF(_uom="lbs",175,80),1.25,IF(_uom="lbs",5,2.5))))),"")</f>
        <v/>
      </c>
      <c s="70"/>
      <c s="63"/>
      <c s="97"/>
      <c s="44" t="str">
        <f>IFERROR(__xludf.DUMMYFUNCTION("IF(FU175=MAX(FILTER(FU$10:FU$199,LOOKUP(ROW(FO$10:FO$199),FILTER(ROW(FO$10:FO$199),FO$10:FO$199&lt;&gt;FO$9:FO$198))=LOOKUP(ROW(FO175),FILTER(ROW(FO$10:FO$199),FO$10:FO$199&lt;&gt;FO$9:FO$198)))),FV175,)"),"")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76" spans="1:259" ht="15.75">
      <c r="A176" s="63"/>
      <c s="107"/>
      <c s="65" t="str">
        <f>IFERROR(__xludf.DUMMYFUNCTION("""COMPUTED_VALUE"""),"")</f>
        <v/>
      </c>
      <c s="66">
        <f ca="1"/>
        <v>45208</v>
      </c>
      <c s="108"/>
      <c s="94"/>
      <c s="95"/>
      <c s="96"/>
      <c s="97" t="str">
        <f t="array" ref="I176">IFERROR(IF(C176="ac"+ISNUMBER(SEARCH("'",H176))+G176="","",MROUND(_xlfn.SWITCH(C176,"sq",'Personal Info'!$O$15,"bn",'Personal Info'!$S$15,"dl",'Personal Info'!$W$15,"")*IF(H176&gt;10,H176/100,VLOOKUP(H176,_rpe,SUBSTITUTE(G176,"+","")+1,0)),IF(_xlfn.SWITCH(C176:C210,"sq",'Personal Info'!$O$15,"bn",'Personal Info'!$S$15,"dl",'Personal Info'!$W$15,"")&lt;IF(_uom="lbs",175,80),1.25,IF(_uom="lbs",5,2.5)))),"")</f>
        <v/>
      </c>
      <c s="70"/>
      <c s="63"/>
      <c s="97"/>
      <c s="44" t="str">
        <f>IFERROR(__xludf.DUMMYFUNCTION("IF(I176=MAX(FILTER(I$10:I$199,LOOKUP(ROW(C$10:C$199),FILTER(ROW(C$10:C$199),C$10:C$199&lt;&gt;C$9:C$198))=LOOKUP(ROW(C176),FILTER(ROW(C$10:C$199),C$10:C$199&lt;&gt;C$9:C$198)))),J176,)"),"")</f>
        <v/>
      </c>
      <c s="42"/>
      <c s="63"/>
      <c s="64" t="str">
        <f t="shared" si="11"/>
        <v/>
      </c>
      <c s="65" t="str">
        <f>IFERROR(__xludf.DUMMYFUNCTION("""COMPUTED_VALUE"""),"")</f>
        <v/>
      </c>
      <c s="66">
        <f ca="1"/>
        <v>45215</v>
      </c>
      <c s="93" t="str">
        <f t="shared" si="12"/>
        <v/>
      </c>
      <c s="94" t="str">
        <f t="shared" si="404"/>
        <v/>
      </c>
      <c s="95" t="str">
        <f t="shared" si="406"/>
        <v/>
      </c>
      <c s="98" t="str">
        <f t="shared" si="407"/>
        <v/>
      </c>
      <c s="97" t="str">
        <f t="array" ref="W176">IFERROR(IF(Q176="ac"+ISNUMBER(SEARCH("'",V176))+U176="","",IF(ISNUMBER(SEARCH("lw",V176)),I176+SUBSTITUTE(V176,"lw+",""),MROUND(_xlfn.SWITCH(Q176,"sq",U$7,"bn",V$7,"dl",W$7,"")*IF(V176&gt;10,V176/100,VLOOKUP(V176,_rpe,SUBSTITUTE(U176,"+","")+1,0)),IF(_xlfn.SWITCH(Q176,"sq",U$7,"bn",V$7,"dl",W$7,"")&lt;IF(_uom="lbs",175,80),1.25,IF(_uom="lbs",5,2.5))))),"")</f>
        <v/>
      </c>
      <c s="70"/>
      <c s="63"/>
      <c s="97"/>
      <c s="44" t="str">
        <f>IFERROR(__xludf.DUMMYFUNCTION("IF(W176=MAX(FILTER(W$10:W$199,LOOKUP(ROW(Q$10:Q$199),FILTER(ROW(Q$10:Q$199),Q$10:Q$199&lt;&gt;Q$9:Q$198))=LOOKUP(ROW(Q176),FILTER(ROW(Q$10:Q$199),Q$10:Q$199&lt;&gt;Q$9:Q$198)))),X176,)"),"")</f>
        <v/>
      </c>
      <c s="42"/>
      <c s="63"/>
      <c s="64" t="str">
        <f t="shared" si="14"/>
        <v/>
      </c>
      <c s="65" t="str">
        <f>IFERROR(__xludf.DUMMYFUNCTION("""COMPUTED_VALUE"""),"")</f>
        <v/>
      </c>
      <c s="66">
        <f ca="1"/>
        <v>45222</v>
      </c>
      <c s="93" t="str">
        <f t="shared" si="156"/>
        <v/>
      </c>
      <c s="94" t="str">
        <f t="shared" si="397"/>
        <v/>
      </c>
      <c s="95" t="str">
        <f t="shared" si="408"/>
        <v/>
      </c>
      <c s="98" t="str">
        <f t="shared" si="398"/>
        <v/>
      </c>
      <c s="97" t="str">
        <f t="array" ref="AK176">IFERROR(IF(AE176="ac"+ISNUMBER(SEARCH("'",AJ176))+AI176="","",IF(ISNUMBER(SEARCH("lw",AJ176)),W176+SUBSTITUTE(AJ176,"lw+",""),MROUND(_xlfn.SWITCH(AE176,"sq",AI$7,"bn",AJ$7,"dl",AK$7,"")*IF(AJ176&gt;10,AJ176/100,VLOOKUP(AJ176,_rpe,SUBSTITUTE(AI176,"+","")+1,0)),IF(_xlfn.SWITCH(AE176,"sq",AI$7,"bn",AJ$7,"dl",AK$7,"")&lt;IF(_uom="lbs",175,80),1.25,IF(_uom="lbs",5,2.5))))),"")</f>
        <v/>
      </c>
      <c s="70"/>
      <c s="63"/>
      <c s="97"/>
      <c s="44" t="str">
        <f>IFERROR(__xludf.DUMMYFUNCTION("IF(AK176=MAX(FILTER(AK$10:AK$199,LOOKUP(ROW(AE$10:AE$199),FILTER(ROW(AE$10:AE$199),AE$10:AE$199&lt;&gt;AE$9:AE$198))=LOOKUP(ROW(AE176),FILTER(ROW(AE$10:AE$199),AE$10:AE$199&lt;&gt;AE$9:AE$198)))),AL176,)"),"")</f>
        <v/>
      </c>
      <c s="42"/>
      <c s="63"/>
      <c s="64" t="str">
        <f t="shared" si="17"/>
        <v/>
      </c>
      <c s="65" t="str">
        <f>IFERROR(__xludf.DUMMYFUNCTION("""COMPUTED_VALUE"""),"")</f>
        <v/>
      </c>
      <c s="66">
        <f ca="1"/>
        <v>45229</v>
      </c>
      <c s="93" t="str">
        <f t="shared" si="157"/>
        <v/>
      </c>
      <c s="94" t="str">
        <f t="shared" si="399"/>
        <v/>
      </c>
      <c s="95" t="str">
        <f t="shared" si="409"/>
        <v/>
      </c>
      <c s="98" t="str">
        <f t="shared" si="400"/>
        <v/>
      </c>
      <c s="97" t="str">
        <f t="array" ref="AY176">IFERROR(IF(AS176="ac"+ISNUMBER(SEARCH("'",AX176))+AW176="","",IF(ISNUMBER(SEARCH("lw",AX176)),AK176+SUBSTITUTE(AX176,"lw+",""),MROUND(_xlfn.SWITCH(AS176,"sq",AW$7,"bn",AX$7,"dl",AY$7,"")*IF(AX176&gt;10,AX176/100,VLOOKUP(AX176,_rpe,SUBSTITUTE(AW176,"+","")+1,0)),IF(_xlfn.SWITCH(AS176,"sq",AW$7,"bn",AX$7,"dl",AY$7,"")&lt;IF(_uom="lbs",175,80),1.25,IF(_uom="lbs",5,2.5))))),"")</f>
        <v/>
      </c>
      <c s="70"/>
      <c s="63"/>
      <c s="97"/>
      <c s="44" t="str">
        <f>IFERROR(__xludf.DUMMYFUNCTION("IF(AY176=MAX(FILTER(AY$10:AY$199,LOOKUP(ROW(AS$10:AS$199),FILTER(ROW(AS$10:AS$199),AS$10:AS$199&lt;&gt;AS$9:AS$198))=LOOKUP(ROW(AS176),FILTER(ROW(AS$10:AS$199),AS$10:AS$199&lt;&gt;AS$9:AS$198)))),AZ176,)"),"")</f>
        <v/>
      </c>
      <c s="42"/>
      <c s="63"/>
      <c s="64" t="str">
        <f t="shared" si="19"/>
        <v/>
      </c>
      <c s="65" t="str">
        <f>IFERROR(__xludf.DUMMYFUNCTION("""COMPUTED_VALUE"""),"")</f>
        <v/>
      </c>
      <c s="66">
        <f ca="1"/>
        <v>45236</v>
      </c>
      <c s="93" t="str">
        <f t="shared" si="20"/>
        <v/>
      </c>
      <c s="94" t="str">
        <f t="shared" si="425"/>
        <v/>
      </c>
      <c s="95" t="str">
        <f t="shared" si="411"/>
        <v/>
      </c>
      <c s="98" t="str">
        <f t="shared" si="412"/>
        <v/>
      </c>
      <c s="97" t="str">
        <f t="array" ref="BM176">IFERROR(IF(BG176="ac"+ISNUMBER(SEARCH("'",BL176))+BK176="","",IF(ISNUMBER(SEARCH("lw",BL176)),AY176+SUBSTITUTE(BL176,"lw+",""),MROUND(_xlfn.SWITCH(BG176,"sq",BK$7,"bn",BL$7,"dl",BM$7,"")*IF(BL176&gt;10,BL176/100,VLOOKUP(BL176,_rpe,SUBSTITUTE(BK176,"+","")+1,0)),IF(_xlfn.SWITCH(BG176,"sq",BK$7,"bn",BL$7,"dl",BM$7,"")&lt;IF(_uom="lbs",175,80),1.25,IF(_uom="lbs",5,2.5))))),"")</f>
        <v/>
      </c>
      <c s="70"/>
      <c s="63"/>
      <c s="97"/>
      <c s="44" t="str">
        <f>IFERROR(__xludf.DUMMYFUNCTION("IF(BM176=MAX(FILTER(BM$10:BM$199,LOOKUP(ROW(BG$10:BG$199),FILTER(ROW(BG$10:BG$199),BG$10:BG$199&lt;&gt;BG$9:BG$198))=LOOKUP(ROW(BG176),FILTER(ROW(BG$10:BG$199),BG$10:BG$199&lt;&gt;BG$9:BG$198)))),BN176,)"),"")</f>
        <v/>
      </c>
      <c s="42"/>
      <c s="63"/>
      <c s="64" t="str">
        <f t="shared" si="21"/>
        <v/>
      </c>
      <c s="65" t="str">
        <f>IFERROR(__xludf.DUMMYFUNCTION("""COMPUTED_VALUE"""),"")</f>
        <v/>
      </c>
      <c s="66">
        <f ca="1"/>
        <v>45243</v>
      </c>
      <c s="93" t="str">
        <f t="shared" si="22"/>
        <v/>
      </c>
      <c s="94" t="str">
        <f t="shared" si="426"/>
        <v/>
      </c>
      <c s="95" t="str">
        <f t="shared" si="414"/>
        <v/>
      </c>
      <c s="98" t="str">
        <f t="shared" si="415"/>
        <v/>
      </c>
      <c s="97" t="str">
        <f t="array" ref="CA176">IFERROR(IF(BU176="ac"+ISNUMBER(SEARCH("'",BZ176))+BY176="","",IF(ISNUMBER(SEARCH("lw",BZ176)),BM176+SUBSTITUTE(BZ176,"lw+",""),MROUND(_xlfn.SWITCH(BU176,"sq",BY$7,"bn",BZ$7,"dl",CA$7,"")*IF(BZ176&gt;10,BZ176/100,VLOOKUP(BZ176,_rpe,SUBSTITUTE(BY176,"+","")+1,0)),IF(_xlfn.SWITCH(BU176,"sq",BY$7,"bn",BZ$7,"dl",CA$7,"")&lt;IF(_uom="lbs",175,80),1.25,IF(_uom="lbs",5,2.5))))),"")</f>
        <v/>
      </c>
      <c s="70"/>
      <c s="63"/>
      <c s="97"/>
      <c s="44" t="str">
        <f>IFERROR(__xludf.DUMMYFUNCTION("IF(CA176=MAX(FILTER(CA$10:CA$199,LOOKUP(ROW(BU$10:BU$199),FILTER(ROW(BU$10:BU$199),BU$10:BU$199&lt;&gt;BU$9:BU$198))=LOOKUP(ROW(BU176),FILTER(ROW(BU$10:BU$199),BU$10:BU$199&lt;&gt;BU$9:BU$198)))),CB176,)"),"")</f>
        <v/>
      </c>
      <c s="42"/>
      <c s="63"/>
      <c s="64" t="str">
        <f t="shared" si="24"/>
        <v/>
      </c>
      <c s="65" t="str">
        <f>IFERROR(__xludf.DUMMYFUNCTION("""COMPUTED_VALUE"""),"")</f>
        <v/>
      </c>
      <c s="66">
        <f ca="1"/>
        <v>45250</v>
      </c>
      <c s="93" t="str">
        <f t="shared" si="44"/>
        <v/>
      </c>
      <c s="94" t="str">
        <f t="shared" si="392"/>
        <v/>
      </c>
      <c s="95" t="str">
        <f t="shared" si="416"/>
        <v/>
      </c>
      <c s="98" t="str">
        <f t="shared" si="417"/>
        <v/>
      </c>
      <c s="97" t="str">
        <f t="array" ref="CO176">IFERROR(IF(CI176="ac"+ISNUMBER(SEARCH("'",CN176))+CM176="","",IF(ISNUMBER(SEARCH("lw",CN176)),CA176+SUBSTITUTE(CN176,"lw+",""),MROUND(_xlfn.SWITCH(CI176,"sq",CM$7,"bn",CN$7,"dl",CO$7,"")*IF(CN176&gt;10,CN176/100,VLOOKUP(CN176,_rpe,SUBSTITUTE(CM176,"+","")+1,0)),IF(_xlfn.SWITCH(CI176,"sq",CM$7,"bn",CN$7,"dl",CO$7,"")&lt;IF(_uom="lbs",175,80),1.25,IF(_uom="lbs",5,2.5))))),"")</f>
        <v/>
      </c>
      <c s="70"/>
      <c s="63"/>
      <c s="97"/>
      <c s="44" t="str">
        <f>IFERROR(__xludf.DUMMYFUNCTION("IF(CO176=MAX(FILTER(CO$10:CO$199,LOOKUP(ROW(CI$10:CI$199),FILTER(ROW(CI$10:CI$199),CI$10:CI$199&lt;&gt;CI$9:CI$198))=LOOKUP(ROW(CI176),FILTER(ROW(CI$10:CI$199),CI$10:CI$199&lt;&gt;CI$9:CI$198)))),CP176,)"),"")</f>
        <v/>
      </c>
      <c s="42"/>
      <c s="63"/>
      <c s="64" t="str">
        <f t="shared" si="27"/>
        <v/>
      </c>
      <c s="65" t="str">
        <f>IFERROR(__xludf.DUMMYFUNCTION("""COMPUTED_VALUE"""),"")</f>
        <v/>
      </c>
      <c s="66">
        <f ca="1"/>
        <v>45257</v>
      </c>
      <c s="93" t="str">
        <f t="shared" si="45"/>
        <v/>
      </c>
      <c s="94" t="str">
        <f t="shared" si="393"/>
        <v/>
      </c>
      <c s="95" t="str">
        <f t="shared" si="418"/>
        <v/>
      </c>
      <c s="98" t="str">
        <f t="shared" si="401"/>
        <v/>
      </c>
      <c s="97" t="str">
        <f t="array" ref="DC176">IFERROR(IF(CW176="ac"+ISNUMBER(SEARCH("'",DB176))+DA176="","",IF(ISNUMBER(SEARCH("lw",DB176)),CO176+SUBSTITUTE(DB176,"lw+",""),MROUND(_xlfn.SWITCH(CW176,"sq",DA$7,"bn",DB$7,"dl",DC$7,"")*IF(DB176&gt;10,DB176/100,VLOOKUP(DB176,_rpe,SUBSTITUTE(DA176,"+","")+1,0)),IF(_xlfn.SWITCH(CW176,"sq",DA$7,"bn",DB$7,"dl",DC$7,"")&lt;IF(_uom="lbs",175,80),1.25,IF(_uom="lbs",5,2.5))))),"")</f>
        <v/>
      </c>
      <c s="70"/>
      <c s="63"/>
      <c s="97"/>
      <c s="44" t="str">
        <f>IFERROR(__xludf.DUMMYFUNCTION("IF(DC176=MAX(FILTER(DC$10:DC$199,LOOKUP(ROW(CW$10:CW$199),FILTER(ROW(CW$10:CW$199),CW$10:CW$199&lt;&gt;CW$9:CW$198))=LOOKUP(ROW(CW176),FILTER(ROW(CW$10:CW$199),CW$10:CW$199&lt;&gt;CW$9:CW$198)))),DD176,)"),"")</f>
        <v/>
      </c>
      <c s="42"/>
      <c s="63"/>
      <c s="64" t="str">
        <f t="shared" si="30"/>
        <v/>
      </c>
      <c s="65" t="str">
        <f>IFERROR(__xludf.DUMMYFUNCTION("""COMPUTED_VALUE"""),"")</f>
        <v/>
      </c>
      <c s="66">
        <f ca="1"/>
        <v>45264</v>
      </c>
      <c s="93" t="str">
        <f t="shared" si="46"/>
        <v/>
      </c>
      <c s="94" t="str">
        <f t="shared" si="394"/>
        <v/>
      </c>
      <c s="95" t="str">
        <f t="shared" si="419"/>
        <v/>
      </c>
      <c s="98" t="str">
        <f t="shared" si="420"/>
        <v/>
      </c>
      <c s="97" t="str">
        <f t="array" ref="DQ176">IFERROR(IF(DK176="ac"+ISNUMBER(SEARCH("'",DP176))+DO176="","",IF(ISNUMBER(SEARCH("lw",DP176)),DC176+SUBSTITUTE(DP176,"lw+",""),MROUND(_xlfn.SWITCH(DK176,"sq",DO$7,"bn",DP$7,"dl",DQ$7,"")*IF(DP176&gt;10,DP176/100,VLOOKUP(DP176,_rpe,SUBSTITUTE(DO176,"+","")+1,0)),IF(_xlfn.SWITCH(DK176,"sq",DO$7,"bn",DP$7,"dl",DQ$7,"")&lt;IF(_uom="lbs",175,80),1.25,IF(_uom="lbs",5,2.5))))),"")</f>
        <v/>
      </c>
      <c s="70"/>
      <c s="63"/>
      <c s="97"/>
      <c s="44" t="str">
        <f>IFERROR(__xludf.DUMMYFUNCTION("IF(DQ176=MAX(FILTER(DQ$10:DQ$199,LOOKUP(ROW(DK$10:DK$199),FILTER(ROW(DK$10:DK$199),DK$10:DK$199&lt;&gt;DK$9:DK$198))=LOOKUP(ROW(DK176),FILTER(ROW(DK$10:DK$199),DK$10:DK$199&lt;&gt;DK$9:DK$198)))),DR176,)"),"")</f>
        <v/>
      </c>
      <c s="42"/>
      <c s="63"/>
      <c s="64" t="str">
        <f t="shared" si="32"/>
        <v/>
      </c>
      <c s="65" t="str">
        <f>IFERROR(__xludf.DUMMYFUNCTION("""COMPUTED_VALUE"""),"")</f>
        <v/>
      </c>
      <c s="66">
        <f ca="1"/>
        <v>45271</v>
      </c>
      <c s="93" t="str">
        <f t="shared" si="47"/>
        <v/>
      </c>
      <c s="94" t="str">
        <f t="shared" si="405"/>
        <v/>
      </c>
      <c s="95" t="str">
        <f t="shared" si="421"/>
        <v/>
      </c>
      <c s="98" t="str">
        <f t="shared" si="422"/>
        <v/>
      </c>
      <c s="97" t="str">
        <f t="array" ref="EE176">IFERROR(IF(DY176="ac"+ISNUMBER(SEARCH("'",ED176))+EC176="","",IF(ISNUMBER(SEARCH("lw",ED176)),DQ176+SUBSTITUTE(ED176,"lw+",""),MROUND(_xlfn.SWITCH(DY176,"sq",EC$7,"bn",ED$7,"dl",EE$7,"")*IF(ED176&gt;10,ED176/100,VLOOKUP(ED176,_rpe,SUBSTITUTE(EC176,"+","")+1,0)),IF(_xlfn.SWITCH(DY176,"sq",EC$7,"bn",ED$7,"dl",EE$7,"")&lt;IF(_uom="lbs",175,80),1.25,IF(_uom="lbs",5,2.5))))),"")</f>
        <v/>
      </c>
      <c s="70"/>
      <c s="63"/>
      <c s="97"/>
      <c s="44" t="str">
        <f>IFERROR(__xludf.DUMMYFUNCTION("IF(EE176=MAX(FILTER(EE$10:EE$199,LOOKUP(ROW(DY$10:DY$199),FILTER(ROW(DY$10:DY$199),DY$10:DY$199&lt;&gt;DY$9:DY$198))=LOOKUP(ROW(DY176),FILTER(ROW(DY$10:DY$199),DY$10:DY$199&lt;&gt;DY$9:DY$198)))),EF176,)"),"")</f>
        <v/>
      </c>
      <c s="42"/>
      <c s="63"/>
      <c s="64" t="str">
        <f t="shared" si="34"/>
        <v/>
      </c>
      <c s="65" t="str">
        <f>IFERROR(__xludf.DUMMYFUNCTION("""COMPUTED_VALUE"""),"")</f>
        <v/>
      </c>
      <c s="66">
        <f ca="1"/>
        <v>45278</v>
      </c>
      <c s="93" t="str">
        <f t="shared" si="48"/>
        <v/>
      </c>
      <c s="94" t="str">
        <f t="shared" si="395"/>
        <v/>
      </c>
      <c s="95" t="str">
        <f t="shared" si="423"/>
        <v/>
      </c>
      <c s="98" t="str">
        <f t="shared" si="402"/>
        <v/>
      </c>
      <c s="97" t="str">
        <f t="array" ref="ES176">IFERROR(IF(EM176="ac"+ISNUMBER(SEARCH("'",ER176))+EQ176="","",IF(ISNUMBER(SEARCH("lw",ER176)),EE176+SUBSTITUTE(ER176,"lw+",""),MROUND(_xlfn.SWITCH(EM176,"sq",EQ$7,"bn",ER$7,"dl",ES$7,"")*IF(ER176&gt;10,ER176/100,VLOOKUP(ER176,_rpe,SUBSTITUTE(EQ176,"+","")+1,0)),IF(_xlfn.SWITCH(EM176,"sq",EQ$7,"bn",ER$7,"dl",ES$7,"")&lt;IF(_uom="lbs",175,80),1.25,IF(_uom="lbs",5,2.5))))),"")</f>
        <v/>
      </c>
      <c s="70"/>
      <c s="63"/>
      <c s="97"/>
      <c s="44" t="str">
        <f>IFERROR(__xludf.DUMMYFUNCTION("IF(ES176=MAX(FILTER(ES$10:ES$199,LOOKUP(ROW(EM$10:EM$199),FILTER(ROW(EM$10:EM$199),EM$10:EM$199&lt;&gt;EM$9:EM$198))=LOOKUP(ROW(EM176),FILTER(ROW(EM$10:EM$199),EM$10:EM$199&lt;&gt;EM$9:EM$198)))),ET176,)"),"")</f>
        <v/>
      </c>
      <c s="42"/>
      <c s="63"/>
      <c s="64" t="str">
        <f t="shared" si="36"/>
        <v/>
      </c>
      <c s="65" t="str">
        <f>IFERROR(__xludf.DUMMYFUNCTION("""COMPUTED_VALUE"""),"")</f>
        <v/>
      </c>
      <c s="66">
        <f ca="1"/>
        <v>45285</v>
      </c>
      <c s="93" t="str">
        <f t="shared" si="49"/>
        <v/>
      </c>
      <c s="94" t="str">
        <f t="shared" si="396"/>
        <v/>
      </c>
      <c s="95" t="str">
        <f t="shared" si="424"/>
        <v/>
      </c>
      <c s="98" t="str">
        <f t="shared" si="403"/>
        <v/>
      </c>
      <c s="97" t="str">
        <f t="array" ref="FG176">IFERROR(IF(FA176="ac"+ISNUMBER(SEARCH("'",FF176))+FE176="","",IF(ISNUMBER(SEARCH("lw",FF176)),ES176+SUBSTITUTE(FF176,"lw+",""),MROUND(_xlfn.SWITCH(FA176,"sq",FE$7,"bn",FF$7,"dl",FG$7,"")*IF(FF176&gt;10,FF176/100,VLOOKUP(FF176,_rpe,SUBSTITUTE(FE176,"+","")+1,0)),IF(_xlfn.SWITCH(FA176,"sq",FE$7,"bn",FF$7,"dl",FG$7,"")&lt;IF(_uom="lbs",175,80),1.25,IF(_uom="lbs",5,2.5))))),"")</f>
        <v/>
      </c>
      <c s="70"/>
      <c s="63"/>
      <c s="97"/>
      <c s="44" t="str">
        <f>IFERROR(__xludf.DUMMYFUNCTION("IF(FG176=MAX(FILTER(FG$10:FG$199,LOOKUP(ROW(FA$10:FA$199),FILTER(ROW(FA$10:FA$199),FA$10:FA$199&lt;&gt;FA$9:FA$198))=LOOKUP(ROW(FA176),FILTER(ROW(FA$10:FA$199),FA$10:FA$199&lt;&gt;FA$9:FA$198)))),FH176,)"),"")</f>
        <v/>
      </c>
      <c s="42"/>
      <c s="63"/>
      <c s="64" t="str">
        <f t="shared" si="38"/>
        <v/>
      </c>
      <c s="65" t="str">
        <f>IFERROR(__xludf.DUMMYFUNCTION("""COMPUTED_VALUE"""),"")</f>
        <v/>
      </c>
      <c s="66">
        <f ca="1"/>
        <v>45292</v>
      </c>
      <c s="93" t="str">
        <f t="shared" si="520" ref="FQ176:FR176">IF(ISBLANK(FC176),"",FC176)</f>
        <v/>
      </c>
      <c s="94" t="str">
        <f t="shared" si="520"/>
        <v/>
      </c>
      <c s="95" t="str">
        <f t="shared" si="428"/>
        <v/>
      </c>
      <c s="98" t="str">
        <f t="shared" si="429"/>
        <v/>
      </c>
      <c s="97" t="str">
        <f t="array" ref="FU176">IFERROR(IF(FO176="ac"+ISNUMBER(SEARCH("'",FT176))+FS176="","",IF(ISNUMBER(SEARCH("lw",FT176)),FG176+SUBSTITUTE(FT176,"lw+",""),MROUND(_xlfn.SWITCH(FO176,"sq",FS$7,"bn",FT$7,"dl",FU$7,"")*IF(FT176&gt;10,FT176/100,VLOOKUP(FT176,_rpe,SUBSTITUTE(FS176,"+","")+1,0)),IF(_xlfn.SWITCH(FO176,"sq",FS$7,"bn",FT$7,"dl",FU$7,"")&lt;IF(_uom="lbs",175,80),1.25,IF(_uom="lbs",5,2.5))))),"")</f>
        <v/>
      </c>
      <c s="70"/>
      <c s="63"/>
      <c s="97"/>
      <c s="44" t="str">
        <f>IFERROR(__xludf.DUMMYFUNCTION("IF(FU176=MAX(FILTER(FU$10:FU$199,LOOKUP(ROW(FO$10:FO$199),FILTER(ROW(FO$10:FO$199),FO$10:FO$199&lt;&gt;FO$9:FO$198))=LOOKUP(ROW(FO176),FILTER(ROW(FO$10:FO$199),FO$10:FO$199&lt;&gt;FO$9:FO$198)))),FV176,)"),"")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77" spans="1:259" ht="15.75">
      <c r="A177" s="63"/>
      <c s="107"/>
      <c s="65" t="str">
        <f>IFERROR(__xludf.DUMMYFUNCTION("""COMPUTED_VALUE"""),"")</f>
        <v/>
      </c>
      <c s="66">
        <f ca="1"/>
        <v>45208</v>
      </c>
      <c s="108"/>
      <c s="94"/>
      <c s="95"/>
      <c s="96"/>
      <c s="97" t="str">
        <f t="array" ref="I177">IFERROR(IF(C177="ac"+ISNUMBER(SEARCH("'",H177))+G177="","",MROUND(_xlfn.SWITCH(C177,"sq",'Personal Info'!$O$15,"bn",'Personal Info'!$S$15,"dl",'Personal Info'!$W$15,"")*IF(H177&gt;10,H177/100,VLOOKUP(H177,_rpe,SUBSTITUTE(G177,"+","")+1,0)),IF(_xlfn.SWITCH(C177:C210,"sq",'Personal Info'!$O$15,"bn",'Personal Info'!$S$15,"dl",'Personal Info'!$W$15,"")&lt;IF(_uom="lbs",175,80),1.25,IF(_uom="lbs",5,2.5)))),"")</f>
        <v/>
      </c>
      <c s="70"/>
      <c s="63"/>
      <c s="97"/>
      <c s="44" t="str">
        <f>IFERROR(__xludf.DUMMYFUNCTION("IF(I177=MAX(FILTER(I$10:I$199,LOOKUP(ROW(C$10:C$199),FILTER(ROW(C$10:C$199),C$10:C$199&lt;&gt;C$9:C$198))=LOOKUP(ROW(C177),FILTER(ROW(C$10:C$199),C$10:C$199&lt;&gt;C$9:C$198)))),J177,)"),"")</f>
        <v/>
      </c>
      <c s="42"/>
      <c s="63"/>
      <c s="64" t="str">
        <f t="shared" si="11"/>
        <v/>
      </c>
      <c s="65" t="str">
        <f>IFERROR(__xludf.DUMMYFUNCTION("""COMPUTED_VALUE"""),"")</f>
        <v/>
      </c>
      <c s="66">
        <f ca="1"/>
        <v>45215</v>
      </c>
      <c s="93" t="str">
        <f t="shared" si="12"/>
        <v/>
      </c>
      <c s="94" t="str">
        <f t="shared" si="404"/>
        <v/>
      </c>
      <c s="95" t="str">
        <f t="shared" si="406"/>
        <v/>
      </c>
      <c s="98" t="str">
        <f t="shared" si="407"/>
        <v/>
      </c>
      <c s="97" t="str">
        <f t="array" ref="W177">IFERROR(IF(Q177="ac"+ISNUMBER(SEARCH("'",V177))+U177="","",IF(ISNUMBER(SEARCH("lw",V177)),I177+SUBSTITUTE(V177,"lw+",""),MROUND(_xlfn.SWITCH(Q177,"sq",U$7,"bn",V$7,"dl",W$7,"")*IF(V177&gt;10,V177/100,VLOOKUP(V177,_rpe,SUBSTITUTE(U177,"+","")+1,0)),IF(_xlfn.SWITCH(Q177,"sq",U$7,"bn",V$7,"dl",W$7,"")&lt;IF(_uom="lbs",175,80),1.25,IF(_uom="lbs",5,2.5))))),"")</f>
        <v/>
      </c>
      <c s="70"/>
      <c s="63"/>
      <c s="97"/>
      <c s="44" t="str">
        <f>IFERROR(__xludf.DUMMYFUNCTION("IF(W177=MAX(FILTER(W$10:W$199,LOOKUP(ROW(Q$10:Q$199),FILTER(ROW(Q$10:Q$199),Q$10:Q$199&lt;&gt;Q$9:Q$198))=LOOKUP(ROW(Q177),FILTER(ROW(Q$10:Q$199),Q$10:Q$199&lt;&gt;Q$9:Q$198)))),X177,)"),"")</f>
        <v/>
      </c>
      <c s="42"/>
      <c s="63"/>
      <c s="64" t="str">
        <f t="shared" si="14"/>
        <v/>
      </c>
      <c s="65" t="str">
        <f>IFERROR(__xludf.DUMMYFUNCTION("""COMPUTED_VALUE"""),"")</f>
        <v/>
      </c>
      <c s="66">
        <f ca="1"/>
        <v>45222</v>
      </c>
      <c s="93" t="str">
        <f t="shared" si="156"/>
        <v/>
      </c>
      <c s="94" t="str">
        <f t="shared" si="397"/>
        <v/>
      </c>
      <c s="95" t="str">
        <f t="shared" si="408"/>
        <v/>
      </c>
      <c s="98" t="str">
        <f t="shared" si="398"/>
        <v/>
      </c>
      <c s="97" t="str">
        <f t="array" ref="AK177">IFERROR(IF(AE177="ac"+ISNUMBER(SEARCH("'",AJ177))+AI177="","",IF(ISNUMBER(SEARCH("lw",AJ177)),W177+SUBSTITUTE(AJ177,"lw+",""),MROUND(_xlfn.SWITCH(AE177,"sq",AI$7,"bn",AJ$7,"dl",AK$7,"")*IF(AJ177&gt;10,AJ177/100,VLOOKUP(AJ177,_rpe,SUBSTITUTE(AI177,"+","")+1,0)),IF(_xlfn.SWITCH(AE177,"sq",AI$7,"bn",AJ$7,"dl",AK$7,"")&lt;IF(_uom="lbs",175,80),1.25,IF(_uom="lbs",5,2.5))))),"")</f>
        <v/>
      </c>
      <c s="70"/>
      <c s="63"/>
      <c s="97"/>
      <c s="44" t="str">
        <f>IFERROR(__xludf.DUMMYFUNCTION("IF(AK177=MAX(FILTER(AK$10:AK$199,LOOKUP(ROW(AE$10:AE$199),FILTER(ROW(AE$10:AE$199),AE$10:AE$199&lt;&gt;AE$9:AE$198))=LOOKUP(ROW(AE177),FILTER(ROW(AE$10:AE$199),AE$10:AE$199&lt;&gt;AE$9:AE$198)))),AL177,)"),"")</f>
        <v/>
      </c>
      <c s="42"/>
      <c s="63"/>
      <c s="64" t="str">
        <f t="shared" si="17"/>
        <v/>
      </c>
      <c s="65" t="str">
        <f>IFERROR(__xludf.DUMMYFUNCTION("""COMPUTED_VALUE"""),"")</f>
        <v/>
      </c>
      <c s="66">
        <f ca="1"/>
        <v>45229</v>
      </c>
      <c s="93" t="str">
        <f t="shared" si="157"/>
        <v/>
      </c>
      <c s="94" t="str">
        <f t="shared" si="399"/>
        <v/>
      </c>
      <c s="95" t="str">
        <f t="shared" si="409"/>
        <v/>
      </c>
      <c s="98" t="str">
        <f t="shared" si="400"/>
        <v/>
      </c>
      <c s="97" t="str">
        <f t="array" ref="AY177">IFERROR(IF(AS177="ac"+ISNUMBER(SEARCH("'",AX177))+AW177="","",IF(ISNUMBER(SEARCH("lw",AX177)),AK177+SUBSTITUTE(AX177,"lw+",""),MROUND(_xlfn.SWITCH(AS177,"sq",AW$7,"bn",AX$7,"dl",AY$7,"")*IF(AX177&gt;10,AX177/100,VLOOKUP(AX177,_rpe,SUBSTITUTE(AW177,"+","")+1,0)),IF(_xlfn.SWITCH(AS177,"sq",AW$7,"bn",AX$7,"dl",AY$7,"")&lt;IF(_uom="lbs",175,80),1.25,IF(_uom="lbs",5,2.5))))),"")</f>
        <v/>
      </c>
      <c s="70"/>
      <c s="63"/>
      <c s="97"/>
      <c s="44" t="str">
        <f>IFERROR(__xludf.DUMMYFUNCTION("IF(AY177=MAX(FILTER(AY$10:AY$199,LOOKUP(ROW(AS$10:AS$199),FILTER(ROW(AS$10:AS$199),AS$10:AS$199&lt;&gt;AS$9:AS$198))=LOOKUP(ROW(AS177),FILTER(ROW(AS$10:AS$199),AS$10:AS$199&lt;&gt;AS$9:AS$198)))),AZ177,)"),"")</f>
        <v/>
      </c>
      <c s="42"/>
      <c s="63"/>
      <c s="64" t="str">
        <f t="shared" si="19"/>
        <v/>
      </c>
      <c s="65" t="str">
        <f>IFERROR(__xludf.DUMMYFUNCTION("""COMPUTED_VALUE"""),"")</f>
        <v/>
      </c>
      <c s="66">
        <f ca="1"/>
        <v>45236</v>
      </c>
      <c s="93" t="str">
        <f t="shared" si="20"/>
        <v/>
      </c>
      <c s="94" t="str">
        <f t="shared" si="425"/>
        <v/>
      </c>
      <c s="95" t="str">
        <f t="shared" si="411"/>
        <v/>
      </c>
      <c s="98" t="str">
        <f t="shared" si="412"/>
        <v/>
      </c>
      <c s="97" t="str">
        <f t="array" ref="BM177">IFERROR(IF(BG177="ac"+ISNUMBER(SEARCH("'",BL177))+BK177="","",IF(ISNUMBER(SEARCH("lw",BL177)),AY177+SUBSTITUTE(BL177,"lw+",""),MROUND(_xlfn.SWITCH(BG177,"sq",BK$7,"bn",BL$7,"dl",BM$7,"")*IF(BL177&gt;10,BL177/100,VLOOKUP(BL177,_rpe,SUBSTITUTE(BK177,"+","")+1,0)),IF(_xlfn.SWITCH(BG177,"sq",BK$7,"bn",BL$7,"dl",BM$7,"")&lt;IF(_uom="lbs",175,80),1.25,IF(_uom="lbs",5,2.5))))),"")</f>
        <v/>
      </c>
      <c s="70"/>
      <c s="63"/>
      <c s="97"/>
      <c s="44" t="str">
        <f>IFERROR(__xludf.DUMMYFUNCTION("IF(BM177=MAX(FILTER(BM$10:BM$199,LOOKUP(ROW(BG$10:BG$199),FILTER(ROW(BG$10:BG$199),BG$10:BG$199&lt;&gt;BG$9:BG$198))=LOOKUP(ROW(BG177),FILTER(ROW(BG$10:BG$199),BG$10:BG$199&lt;&gt;BG$9:BG$198)))),BN177,)"),"")</f>
        <v/>
      </c>
      <c s="42"/>
      <c s="63"/>
      <c s="64" t="str">
        <f t="shared" si="21"/>
        <v/>
      </c>
      <c s="65" t="str">
        <f>IFERROR(__xludf.DUMMYFUNCTION("""COMPUTED_VALUE"""),"")</f>
        <v/>
      </c>
      <c s="66">
        <f ca="1"/>
        <v>45243</v>
      </c>
      <c s="93" t="str">
        <f t="shared" si="22"/>
        <v/>
      </c>
      <c s="94" t="str">
        <f t="shared" si="426"/>
        <v/>
      </c>
      <c s="95" t="str">
        <f t="shared" si="414"/>
        <v/>
      </c>
      <c s="98" t="str">
        <f t="shared" si="415"/>
        <v/>
      </c>
      <c s="97" t="str">
        <f t="array" ref="CA177">IFERROR(IF(BU177="ac"+ISNUMBER(SEARCH("'",BZ177))+BY177="","",IF(ISNUMBER(SEARCH("lw",BZ177)),BM177+SUBSTITUTE(BZ177,"lw+",""),MROUND(_xlfn.SWITCH(BU177,"sq",BY$7,"bn",BZ$7,"dl",CA$7,"")*IF(BZ177&gt;10,BZ177/100,VLOOKUP(BZ177,_rpe,SUBSTITUTE(BY177,"+","")+1,0)),IF(_xlfn.SWITCH(BU177,"sq",BY$7,"bn",BZ$7,"dl",CA$7,"")&lt;IF(_uom="lbs",175,80),1.25,IF(_uom="lbs",5,2.5))))),"")</f>
        <v/>
      </c>
      <c s="70"/>
      <c s="63"/>
      <c s="97"/>
      <c s="44" t="str">
        <f>IFERROR(__xludf.DUMMYFUNCTION("IF(CA177=MAX(FILTER(CA$10:CA$199,LOOKUP(ROW(BU$10:BU$199),FILTER(ROW(BU$10:BU$199),BU$10:BU$199&lt;&gt;BU$9:BU$198))=LOOKUP(ROW(BU177),FILTER(ROW(BU$10:BU$199),BU$10:BU$199&lt;&gt;BU$9:BU$198)))),CB177,)"),"")</f>
        <v/>
      </c>
      <c s="42"/>
      <c s="63"/>
      <c s="64" t="str">
        <f t="shared" si="24"/>
        <v/>
      </c>
      <c s="65" t="str">
        <f>IFERROR(__xludf.DUMMYFUNCTION("""COMPUTED_VALUE"""),"")</f>
        <v/>
      </c>
      <c s="66">
        <f ca="1"/>
        <v>45250</v>
      </c>
      <c s="93" t="str">
        <f t="shared" si="44"/>
        <v/>
      </c>
      <c s="94" t="str">
        <f t="shared" si="392"/>
        <v/>
      </c>
      <c s="95" t="str">
        <f t="shared" si="416"/>
        <v/>
      </c>
      <c s="98" t="str">
        <f t="shared" si="417"/>
        <v/>
      </c>
      <c s="97" t="str">
        <f t="array" ref="CO177">IFERROR(IF(CI177="ac"+ISNUMBER(SEARCH("'",CN177))+CM177="","",IF(ISNUMBER(SEARCH("lw",CN177)),CA177+SUBSTITUTE(CN177,"lw+",""),MROUND(_xlfn.SWITCH(CI177,"sq",CM$7,"bn",CN$7,"dl",CO$7,"")*IF(CN177&gt;10,CN177/100,VLOOKUP(CN177,_rpe,SUBSTITUTE(CM177,"+","")+1,0)),IF(_xlfn.SWITCH(CI177,"sq",CM$7,"bn",CN$7,"dl",CO$7,"")&lt;IF(_uom="lbs",175,80),1.25,IF(_uom="lbs",5,2.5))))),"")</f>
        <v/>
      </c>
      <c s="70"/>
      <c s="63"/>
      <c s="97"/>
      <c s="44" t="str">
        <f>IFERROR(__xludf.DUMMYFUNCTION("IF(CO177=MAX(FILTER(CO$10:CO$199,LOOKUP(ROW(CI$10:CI$199),FILTER(ROW(CI$10:CI$199),CI$10:CI$199&lt;&gt;CI$9:CI$198))=LOOKUP(ROW(CI177),FILTER(ROW(CI$10:CI$199),CI$10:CI$199&lt;&gt;CI$9:CI$198)))),CP177,)"),"")</f>
        <v/>
      </c>
      <c s="42"/>
      <c s="63"/>
      <c s="64" t="str">
        <f t="shared" si="27"/>
        <v/>
      </c>
      <c s="65" t="str">
        <f>IFERROR(__xludf.DUMMYFUNCTION("""COMPUTED_VALUE"""),"")</f>
        <v/>
      </c>
      <c s="66">
        <f ca="1"/>
        <v>45257</v>
      </c>
      <c s="93" t="str">
        <f t="shared" si="45"/>
        <v/>
      </c>
      <c s="94" t="str">
        <f t="shared" si="393"/>
        <v/>
      </c>
      <c s="95" t="str">
        <f t="shared" si="418"/>
        <v/>
      </c>
      <c s="98" t="str">
        <f t="shared" si="401"/>
        <v/>
      </c>
      <c s="97" t="str">
        <f t="array" ref="DC177">IFERROR(IF(CW177="ac"+ISNUMBER(SEARCH("'",DB177))+DA177="","",IF(ISNUMBER(SEARCH("lw",DB177)),CO177+SUBSTITUTE(DB177,"lw+",""),MROUND(_xlfn.SWITCH(CW177,"sq",DA$7,"bn",DB$7,"dl",DC$7,"")*IF(DB177&gt;10,DB177/100,VLOOKUP(DB177,_rpe,SUBSTITUTE(DA177,"+","")+1,0)),IF(_xlfn.SWITCH(CW177,"sq",DA$7,"bn",DB$7,"dl",DC$7,"")&lt;IF(_uom="lbs",175,80),1.25,IF(_uom="lbs",5,2.5))))),"")</f>
        <v/>
      </c>
      <c s="70"/>
      <c s="63"/>
      <c s="97"/>
      <c s="44" t="str">
        <f>IFERROR(__xludf.DUMMYFUNCTION("IF(DC177=MAX(FILTER(DC$10:DC$199,LOOKUP(ROW(CW$10:CW$199),FILTER(ROW(CW$10:CW$199),CW$10:CW$199&lt;&gt;CW$9:CW$198))=LOOKUP(ROW(CW177),FILTER(ROW(CW$10:CW$199),CW$10:CW$199&lt;&gt;CW$9:CW$198)))),DD177,)"),"")</f>
        <v/>
      </c>
      <c s="42"/>
      <c s="63"/>
      <c s="64" t="str">
        <f t="shared" si="30"/>
        <v/>
      </c>
      <c s="65" t="str">
        <f>IFERROR(__xludf.DUMMYFUNCTION("""COMPUTED_VALUE"""),"")</f>
        <v/>
      </c>
      <c s="66">
        <f ca="1"/>
        <v>45264</v>
      </c>
      <c s="93" t="str">
        <f t="shared" si="46"/>
        <v/>
      </c>
      <c s="94" t="str">
        <f t="shared" si="394"/>
        <v/>
      </c>
      <c s="95" t="str">
        <f t="shared" si="419"/>
        <v/>
      </c>
      <c s="98" t="str">
        <f t="shared" si="420"/>
        <v/>
      </c>
      <c s="97" t="str">
        <f t="array" ref="DQ177">IFERROR(IF(DK177="ac"+ISNUMBER(SEARCH("'",DP177))+DO177="","",IF(ISNUMBER(SEARCH("lw",DP177)),DC177+SUBSTITUTE(DP177,"lw+",""),MROUND(_xlfn.SWITCH(DK177,"sq",DO$7,"bn",DP$7,"dl",DQ$7,"")*IF(DP177&gt;10,DP177/100,VLOOKUP(DP177,_rpe,SUBSTITUTE(DO177,"+","")+1,0)),IF(_xlfn.SWITCH(DK177,"sq",DO$7,"bn",DP$7,"dl",DQ$7,"")&lt;IF(_uom="lbs",175,80),1.25,IF(_uom="lbs",5,2.5))))),"")</f>
        <v/>
      </c>
      <c s="70"/>
      <c s="63"/>
      <c s="97"/>
      <c s="44" t="str">
        <f>IFERROR(__xludf.DUMMYFUNCTION("IF(DQ177=MAX(FILTER(DQ$10:DQ$199,LOOKUP(ROW(DK$10:DK$199),FILTER(ROW(DK$10:DK$199),DK$10:DK$199&lt;&gt;DK$9:DK$198))=LOOKUP(ROW(DK177),FILTER(ROW(DK$10:DK$199),DK$10:DK$199&lt;&gt;DK$9:DK$198)))),DR177,)"),"")</f>
        <v/>
      </c>
      <c s="42"/>
      <c s="63"/>
      <c s="64" t="str">
        <f t="shared" si="32"/>
        <v/>
      </c>
      <c s="65" t="str">
        <f>IFERROR(__xludf.DUMMYFUNCTION("""COMPUTED_VALUE"""),"")</f>
        <v/>
      </c>
      <c s="66">
        <f ca="1"/>
        <v>45271</v>
      </c>
      <c s="93" t="str">
        <f t="shared" si="47"/>
        <v/>
      </c>
      <c s="94" t="str">
        <f t="shared" si="405"/>
        <v/>
      </c>
      <c s="95" t="str">
        <f t="shared" si="421"/>
        <v/>
      </c>
      <c s="98" t="str">
        <f t="shared" si="422"/>
        <v/>
      </c>
      <c s="97" t="str">
        <f t="array" ref="EE177">IFERROR(IF(DY177="ac"+ISNUMBER(SEARCH("'",ED177))+EC177="","",IF(ISNUMBER(SEARCH("lw",ED177)),DQ177+SUBSTITUTE(ED177,"lw+",""),MROUND(_xlfn.SWITCH(DY177,"sq",EC$7,"bn",ED$7,"dl",EE$7,"")*IF(ED177&gt;10,ED177/100,VLOOKUP(ED177,_rpe,SUBSTITUTE(EC177,"+","")+1,0)),IF(_xlfn.SWITCH(DY177,"sq",EC$7,"bn",ED$7,"dl",EE$7,"")&lt;IF(_uom="lbs",175,80),1.25,IF(_uom="lbs",5,2.5))))),"")</f>
        <v/>
      </c>
      <c s="70"/>
      <c s="63"/>
      <c s="97"/>
      <c s="44" t="str">
        <f>IFERROR(__xludf.DUMMYFUNCTION("IF(EE177=MAX(FILTER(EE$10:EE$199,LOOKUP(ROW(DY$10:DY$199),FILTER(ROW(DY$10:DY$199),DY$10:DY$199&lt;&gt;DY$9:DY$198))=LOOKUP(ROW(DY177),FILTER(ROW(DY$10:DY$199),DY$10:DY$199&lt;&gt;DY$9:DY$198)))),EF177,)"),"")</f>
        <v/>
      </c>
      <c s="42"/>
      <c s="63"/>
      <c s="64" t="str">
        <f t="shared" si="34"/>
        <v/>
      </c>
      <c s="65" t="str">
        <f>IFERROR(__xludf.DUMMYFUNCTION("""COMPUTED_VALUE"""),"")</f>
        <v/>
      </c>
      <c s="66">
        <f ca="1"/>
        <v>45278</v>
      </c>
      <c s="93" t="str">
        <f t="shared" si="48"/>
        <v/>
      </c>
      <c s="94" t="str">
        <f t="shared" si="395"/>
        <v/>
      </c>
      <c s="95" t="str">
        <f t="shared" si="423"/>
        <v/>
      </c>
      <c s="98" t="str">
        <f t="shared" si="402"/>
        <v/>
      </c>
      <c s="97" t="str">
        <f t="array" ref="ES177">IFERROR(IF(EM177="ac"+ISNUMBER(SEARCH("'",ER177))+EQ177="","",IF(ISNUMBER(SEARCH("lw",ER177)),EE177+SUBSTITUTE(ER177,"lw+",""),MROUND(_xlfn.SWITCH(EM177,"sq",EQ$7,"bn",ER$7,"dl",ES$7,"")*IF(ER177&gt;10,ER177/100,VLOOKUP(ER177,_rpe,SUBSTITUTE(EQ177,"+","")+1,0)),IF(_xlfn.SWITCH(EM177,"sq",EQ$7,"bn",ER$7,"dl",ES$7,"")&lt;IF(_uom="lbs",175,80),1.25,IF(_uom="lbs",5,2.5))))),"")</f>
        <v/>
      </c>
      <c s="70"/>
      <c s="63"/>
      <c s="97"/>
      <c s="44" t="str">
        <f>IFERROR(__xludf.DUMMYFUNCTION("IF(ES177=MAX(FILTER(ES$10:ES$199,LOOKUP(ROW(EM$10:EM$199),FILTER(ROW(EM$10:EM$199),EM$10:EM$199&lt;&gt;EM$9:EM$198))=LOOKUP(ROW(EM177),FILTER(ROW(EM$10:EM$199),EM$10:EM$199&lt;&gt;EM$9:EM$198)))),ET177,)"),"")</f>
        <v/>
      </c>
      <c s="42"/>
      <c s="63"/>
      <c s="64" t="str">
        <f t="shared" si="36"/>
        <v/>
      </c>
      <c s="65" t="str">
        <f>IFERROR(__xludf.DUMMYFUNCTION("""COMPUTED_VALUE"""),"")</f>
        <v/>
      </c>
      <c s="66">
        <f ca="1"/>
        <v>45285</v>
      </c>
      <c s="93" t="str">
        <f t="shared" si="49"/>
        <v/>
      </c>
      <c s="94" t="str">
        <f t="shared" si="396"/>
        <v/>
      </c>
      <c s="95" t="str">
        <f t="shared" si="424"/>
        <v/>
      </c>
      <c s="98" t="str">
        <f t="shared" si="403"/>
        <v/>
      </c>
      <c s="97" t="str">
        <f t="array" ref="FG177">IFERROR(IF(FA177="ac"+ISNUMBER(SEARCH("'",FF177))+FE177="","",IF(ISNUMBER(SEARCH("lw",FF177)),ES177+SUBSTITUTE(FF177,"lw+",""),MROUND(_xlfn.SWITCH(FA177,"sq",FE$7,"bn",FF$7,"dl",FG$7,"")*IF(FF177&gt;10,FF177/100,VLOOKUP(FF177,_rpe,SUBSTITUTE(FE177,"+","")+1,0)),IF(_xlfn.SWITCH(FA177,"sq",FE$7,"bn",FF$7,"dl",FG$7,"")&lt;IF(_uom="lbs",175,80),1.25,IF(_uom="lbs",5,2.5))))),"")</f>
        <v/>
      </c>
      <c s="70"/>
      <c s="63"/>
      <c s="97"/>
      <c s="44" t="str">
        <f>IFERROR(__xludf.DUMMYFUNCTION("IF(FG177=MAX(FILTER(FG$10:FG$199,LOOKUP(ROW(FA$10:FA$199),FILTER(ROW(FA$10:FA$199),FA$10:FA$199&lt;&gt;FA$9:FA$198))=LOOKUP(ROW(FA177),FILTER(ROW(FA$10:FA$199),FA$10:FA$199&lt;&gt;FA$9:FA$198)))),FH177,)"),"")</f>
        <v/>
      </c>
      <c s="42"/>
      <c s="63"/>
      <c s="64" t="str">
        <f t="shared" si="38"/>
        <v/>
      </c>
      <c s="65" t="str">
        <f>IFERROR(__xludf.DUMMYFUNCTION("""COMPUTED_VALUE"""),"")</f>
        <v/>
      </c>
      <c s="66">
        <f ca="1"/>
        <v>45292</v>
      </c>
      <c s="93" t="str">
        <f t="shared" si="521" ref="FQ177:FR177">IF(ISBLANK(FC177),"",FC177)</f>
        <v/>
      </c>
      <c s="94" t="str">
        <f t="shared" si="521"/>
        <v/>
      </c>
      <c s="95" t="str">
        <f t="shared" si="428"/>
        <v/>
      </c>
      <c s="98" t="str">
        <f t="shared" si="429"/>
        <v/>
      </c>
      <c s="97" t="str">
        <f t="array" ref="FU177">IFERROR(IF(FO177="ac"+ISNUMBER(SEARCH("'",FT177))+FS177="","",IF(ISNUMBER(SEARCH("lw",FT177)),FG177+SUBSTITUTE(FT177,"lw+",""),MROUND(_xlfn.SWITCH(FO177,"sq",FS$7,"bn",FT$7,"dl",FU$7,"")*IF(FT177&gt;10,FT177/100,VLOOKUP(FT177,_rpe,SUBSTITUTE(FS177,"+","")+1,0)),IF(_xlfn.SWITCH(FO177,"sq",FS$7,"bn",FT$7,"dl",FU$7,"")&lt;IF(_uom="lbs",175,80),1.25,IF(_uom="lbs",5,2.5))))),"")</f>
        <v/>
      </c>
      <c s="70"/>
      <c s="63"/>
      <c s="97"/>
      <c s="44" t="str">
        <f>IFERROR(__xludf.DUMMYFUNCTION("IF(FU177=MAX(FILTER(FU$10:FU$199,LOOKUP(ROW(FO$10:FO$199),FILTER(ROW(FO$10:FO$199),FO$10:FO$199&lt;&gt;FO$9:FO$198))=LOOKUP(ROW(FO177),FILTER(ROW(FO$10:FO$199),FO$10:FO$199&lt;&gt;FO$9:FO$198)))),FV177,)"),"")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78" spans="1:259" ht="15.75">
      <c r="A178" s="63"/>
      <c s="107"/>
      <c s="65" t="str">
        <f>IFERROR(__xludf.DUMMYFUNCTION("""COMPUTED_VALUE"""),"")</f>
        <v/>
      </c>
      <c s="66">
        <f ca="1"/>
        <v>45208</v>
      </c>
      <c s="108"/>
      <c s="94"/>
      <c s="95"/>
      <c s="96"/>
      <c s="97" t="str">
        <f t="array" ref="I178">IFERROR(IF(C178="ac"+ISNUMBER(SEARCH("'",H178))+G178="","",MROUND(_xlfn.SWITCH(C178,"sq",'Personal Info'!$O$15,"bn",'Personal Info'!$S$15,"dl",'Personal Info'!$W$15,"")*IF(H178&gt;10,H178/100,VLOOKUP(H178,_rpe,SUBSTITUTE(G178,"+","")+1,0)),IF(_xlfn.SWITCH(C178:C210,"sq",'Personal Info'!$O$15,"bn",'Personal Info'!$S$15,"dl",'Personal Info'!$W$15,"")&lt;IF(_uom="lbs",175,80),1.25,IF(_uom="lbs",5,2.5)))),"")</f>
        <v/>
      </c>
      <c s="70"/>
      <c s="63"/>
      <c s="97"/>
      <c s="44" t="str">
        <f>IFERROR(__xludf.DUMMYFUNCTION("IF(I178=MAX(FILTER(I$10:I$199,LOOKUP(ROW(C$10:C$199),FILTER(ROW(C$10:C$199),C$10:C$199&lt;&gt;C$9:C$198))=LOOKUP(ROW(C178),FILTER(ROW(C$10:C$199),C$10:C$199&lt;&gt;C$9:C$198)))),J178,)"),"")</f>
        <v/>
      </c>
      <c s="42"/>
      <c s="63"/>
      <c s="64" t="str">
        <f t="shared" si="11"/>
        <v/>
      </c>
      <c s="65" t="str">
        <f>IFERROR(__xludf.DUMMYFUNCTION("""COMPUTED_VALUE"""),"")</f>
        <v/>
      </c>
      <c s="66">
        <f ca="1"/>
        <v>45215</v>
      </c>
      <c s="93" t="str">
        <f t="shared" si="12"/>
        <v/>
      </c>
      <c s="94" t="str">
        <f t="shared" si="404"/>
        <v/>
      </c>
      <c s="95" t="str">
        <f t="shared" si="406"/>
        <v/>
      </c>
      <c s="98" t="str">
        <f t="shared" si="407"/>
        <v/>
      </c>
      <c s="97" t="str">
        <f t="array" ref="W178">IFERROR(IF(Q178="ac"+ISNUMBER(SEARCH("'",V178))+U178="","",IF(ISNUMBER(SEARCH("lw",V178)),I178+SUBSTITUTE(V178,"lw+",""),MROUND(_xlfn.SWITCH(Q178,"sq",U$7,"bn",V$7,"dl",W$7,"")*IF(V178&gt;10,V178/100,VLOOKUP(V178,_rpe,SUBSTITUTE(U178,"+","")+1,0)),IF(_xlfn.SWITCH(Q178,"sq",U$7,"bn",V$7,"dl",W$7,"")&lt;IF(_uom="lbs",175,80),1.25,IF(_uom="lbs",5,2.5))))),"")</f>
        <v/>
      </c>
      <c s="70"/>
      <c s="63"/>
      <c s="97"/>
      <c s="44" t="str">
        <f>IFERROR(__xludf.DUMMYFUNCTION("IF(W178=MAX(FILTER(W$10:W$199,LOOKUP(ROW(Q$10:Q$199),FILTER(ROW(Q$10:Q$199),Q$10:Q$199&lt;&gt;Q$9:Q$198))=LOOKUP(ROW(Q178),FILTER(ROW(Q$10:Q$199),Q$10:Q$199&lt;&gt;Q$9:Q$198)))),X178,)"),"")</f>
        <v/>
      </c>
      <c s="42"/>
      <c s="63"/>
      <c s="64" t="str">
        <f t="shared" si="14"/>
        <v/>
      </c>
      <c s="65" t="str">
        <f>IFERROR(__xludf.DUMMYFUNCTION("""COMPUTED_VALUE"""),"")</f>
        <v/>
      </c>
      <c s="66">
        <f ca="1"/>
        <v>45222</v>
      </c>
      <c s="93" t="str">
        <f t="shared" si="156"/>
        <v/>
      </c>
      <c s="94" t="str">
        <f t="shared" si="397"/>
        <v/>
      </c>
      <c s="95" t="str">
        <f t="shared" si="408"/>
        <v/>
      </c>
      <c s="98" t="str">
        <f t="shared" si="398"/>
        <v/>
      </c>
      <c s="97" t="str">
        <f t="array" ref="AK178">IFERROR(IF(AE178="ac"+ISNUMBER(SEARCH("'",AJ178))+AI178="","",IF(ISNUMBER(SEARCH("lw",AJ178)),W178+SUBSTITUTE(AJ178,"lw+",""),MROUND(_xlfn.SWITCH(AE178,"sq",AI$7,"bn",AJ$7,"dl",AK$7,"")*IF(AJ178&gt;10,AJ178/100,VLOOKUP(AJ178,_rpe,SUBSTITUTE(AI178,"+","")+1,0)),IF(_xlfn.SWITCH(AE178,"sq",AI$7,"bn",AJ$7,"dl",AK$7,"")&lt;IF(_uom="lbs",175,80),1.25,IF(_uom="lbs",5,2.5))))),"")</f>
        <v/>
      </c>
      <c s="70"/>
      <c s="63"/>
      <c s="97"/>
      <c s="44" t="str">
        <f>IFERROR(__xludf.DUMMYFUNCTION("IF(AK178=MAX(FILTER(AK$10:AK$199,LOOKUP(ROW(AE$10:AE$199),FILTER(ROW(AE$10:AE$199),AE$10:AE$199&lt;&gt;AE$9:AE$198))=LOOKUP(ROW(AE178),FILTER(ROW(AE$10:AE$199),AE$10:AE$199&lt;&gt;AE$9:AE$198)))),AL178,)"),"")</f>
        <v/>
      </c>
      <c s="42"/>
      <c s="63"/>
      <c s="64" t="str">
        <f t="shared" si="17"/>
        <v/>
      </c>
      <c s="65" t="str">
        <f>IFERROR(__xludf.DUMMYFUNCTION("""COMPUTED_VALUE"""),"")</f>
        <v/>
      </c>
      <c s="66">
        <f ca="1"/>
        <v>45229</v>
      </c>
      <c s="93" t="str">
        <f t="shared" si="157"/>
        <v/>
      </c>
      <c s="94" t="str">
        <f t="shared" si="399"/>
        <v/>
      </c>
      <c s="95" t="str">
        <f t="shared" si="409"/>
        <v/>
      </c>
      <c s="98" t="str">
        <f t="shared" si="400"/>
        <v/>
      </c>
      <c s="97" t="str">
        <f t="array" ref="AY178">IFERROR(IF(AS178="ac"+ISNUMBER(SEARCH("'",AX178))+AW178="","",IF(ISNUMBER(SEARCH("lw",AX178)),AK178+SUBSTITUTE(AX178,"lw+",""),MROUND(_xlfn.SWITCH(AS178,"sq",AW$7,"bn",AX$7,"dl",AY$7,"")*IF(AX178&gt;10,AX178/100,VLOOKUP(AX178,_rpe,SUBSTITUTE(AW178,"+","")+1,0)),IF(_xlfn.SWITCH(AS178,"sq",AW$7,"bn",AX$7,"dl",AY$7,"")&lt;IF(_uom="lbs",175,80),1.25,IF(_uom="lbs",5,2.5))))),"")</f>
        <v/>
      </c>
      <c s="70"/>
      <c s="63"/>
      <c s="97"/>
      <c s="44" t="str">
        <f>IFERROR(__xludf.DUMMYFUNCTION("IF(AY178=MAX(FILTER(AY$10:AY$199,LOOKUP(ROW(AS$10:AS$199),FILTER(ROW(AS$10:AS$199),AS$10:AS$199&lt;&gt;AS$9:AS$198))=LOOKUP(ROW(AS178),FILTER(ROW(AS$10:AS$199),AS$10:AS$199&lt;&gt;AS$9:AS$198)))),AZ178,)"),"")</f>
        <v/>
      </c>
      <c s="42"/>
      <c s="63"/>
      <c s="64" t="str">
        <f t="shared" si="19"/>
        <v/>
      </c>
      <c s="65" t="str">
        <f>IFERROR(__xludf.DUMMYFUNCTION("""COMPUTED_VALUE"""),"")</f>
        <v/>
      </c>
      <c s="66">
        <f ca="1"/>
        <v>45236</v>
      </c>
      <c s="93" t="str">
        <f t="shared" si="20"/>
        <v/>
      </c>
      <c s="94" t="str">
        <f t="shared" si="425"/>
        <v/>
      </c>
      <c s="95" t="str">
        <f t="shared" si="411"/>
        <v/>
      </c>
      <c s="98" t="str">
        <f t="shared" si="412"/>
        <v/>
      </c>
      <c s="97" t="str">
        <f t="array" ref="BM178">IFERROR(IF(BG178="ac"+ISNUMBER(SEARCH("'",BL178))+BK178="","",IF(ISNUMBER(SEARCH("lw",BL178)),AY178+SUBSTITUTE(BL178,"lw+",""),MROUND(_xlfn.SWITCH(BG178,"sq",BK$7,"bn",BL$7,"dl",BM$7,"")*IF(BL178&gt;10,BL178/100,VLOOKUP(BL178,_rpe,SUBSTITUTE(BK178,"+","")+1,0)),IF(_xlfn.SWITCH(BG178,"sq",BK$7,"bn",BL$7,"dl",BM$7,"")&lt;IF(_uom="lbs",175,80),1.25,IF(_uom="lbs",5,2.5))))),"")</f>
        <v/>
      </c>
      <c s="70"/>
      <c s="63"/>
      <c s="97"/>
      <c s="44" t="str">
        <f>IFERROR(__xludf.DUMMYFUNCTION("IF(BM178=MAX(FILTER(BM$10:BM$199,LOOKUP(ROW(BG$10:BG$199),FILTER(ROW(BG$10:BG$199),BG$10:BG$199&lt;&gt;BG$9:BG$198))=LOOKUP(ROW(BG178),FILTER(ROW(BG$10:BG$199),BG$10:BG$199&lt;&gt;BG$9:BG$198)))),BN178,)"),"")</f>
        <v/>
      </c>
      <c s="42"/>
      <c s="63"/>
      <c s="64" t="str">
        <f t="shared" si="21"/>
        <v/>
      </c>
      <c s="65" t="str">
        <f>IFERROR(__xludf.DUMMYFUNCTION("""COMPUTED_VALUE"""),"")</f>
        <v/>
      </c>
      <c s="66">
        <f ca="1"/>
        <v>45243</v>
      </c>
      <c s="93" t="str">
        <f t="shared" si="22"/>
        <v/>
      </c>
      <c s="94" t="str">
        <f t="shared" si="426"/>
        <v/>
      </c>
      <c s="95" t="str">
        <f t="shared" si="414"/>
        <v/>
      </c>
      <c s="98" t="str">
        <f t="shared" si="415"/>
        <v/>
      </c>
      <c s="97" t="str">
        <f t="array" ref="CA178">IFERROR(IF(BU178="ac"+ISNUMBER(SEARCH("'",BZ178))+BY178="","",IF(ISNUMBER(SEARCH("lw",BZ178)),BM178+SUBSTITUTE(BZ178,"lw+",""),MROUND(_xlfn.SWITCH(BU178,"sq",BY$7,"bn",BZ$7,"dl",CA$7,"")*IF(BZ178&gt;10,BZ178/100,VLOOKUP(BZ178,_rpe,SUBSTITUTE(BY178,"+","")+1,0)),IF(_xlfn.SWITCH(BU178,"sq",BY$7,"bn",BZ$7,"dl",CA$7,"")&lt;IF(_uom="lbs",175,80),1.25,IF(_uom="lbs",5,2.5))))),"")</f>
        <v/>
      </c>
      <c s="70"/>
      <c s="63"/>
      <c s="97"/>
      <c s="44" t="str">
        <f>IFERROR(__xludf.DUMMYFUNCTION("IF(CA178=MAX(FILTER(CA$10:CA$199,LOOKUP(ROW(BU$10:BU$199),FILTER(ROW(BU$10:BU$199),BU$10:BU$199&lt;&gt;BU$9:BU$198))=LOOKUP(ROW(BU178),FILTER(ROW(BU$10:BU$199),BU$10:BU$199&lt;&gt;BU$9:BU$198)))),CB178,)"),"")</f>
        <v/>
      </c>
      <c s="42"/>
      <c s="63"/>
      <c s="64" t="str">
        <f t="shared" si="24"/>
        <v/>
      </c>
      <c s="65" t="str">
        <f>IFERROR(__xludf.DUMMYFUNCTION("""COMPUTED_VALUE"""),"")</f>
        <v/>
      </c>
      <c s="66">
        <f ca="1"/>
        <v>45250</v>
      </c>
      <c s="93" t="str">
        <f t="shared" si="44"/>
        <v/>
      </c>
      <c s="94" t="str">
        <f t="shared" si="392"/>
        <v/>
      </c>
      <c s="95" t="str">
        <f t="shared" si="416"/>
        <v/>
      </c>
      <c s="98" t="str">
        <f t="shared" si="417"/>
        <v/>
      </c>
      <c s="97" t="str">
        <f t="array" ref="CO178">IFERROR(IF(CI178="ac"+ISNUMBER(SEARCH("'",CN178))+CM178="","",IF(ISNUMBER(SEARCH("lw",CN178)),CA178+SUBSTITUTE(CN178,"lw+",""),MROUND(_xlfn.SWITCH(CI178,"sq",CM$7,"bn",CN$7,"dl",CO$7,"")*IF(CN178&gt;10,CN178/100,VLOOKUP(CN178,_rpe,SUBSTITUTE(CM178,"+","")+1,0)),IF(_xlfn.SWITCH(CI178,"sq",CM$7,"bn",CN$7,"dl",CO$7,"")&lt;IF(_uom="lbs",175,80),1.25,IF(_uom="lbs",5,2.5))))),"")</f>
        <v/>
      </c>
      <c s="70"/>
      <c s="63"/>
      <c s="97"/>
      <c s="44" t="str">
        <f>IFERROR(__xludf.DUMMYFUNCTION("IF(CO178=MAX(FILTER(CO$10:CO$199,LOOKUP(ROW(CI$10:CI$199),FILTER(ROW(CI$10:CI$199),CI$10:CI$199&lt;&gt;CI$9:CI$198))=LOOKUP(ROW(CI178),FILTER(ROW(CI$10:CI$199),CI$10:CI$199&lt;&gt;CI$9:CI$198)))),CP178,)"),"")</f>
        <v/>
      </c>
      <c s="42"/>
      <c s="63"/>
      <c s="64" t="str">
        <f t="shared" si="27"/>
        <v/>
      </c>
      <c s="65" t="str">
        <f>IFERROR(__xludf.DUMMYFUNCTION("""COMPUTED_VALUE"""),"")</f>
        <v/>
      </c>
      <c s="66">
        <f ca="1"/>
        <v>45257</v>
      </c>
      <c s="93" t="str">
        <f t="shared" si="45"/>
        <v/>
      </c>
      <c s="94" t="str">
        <f t="shared" si="393"/>
        <v/>
      </c>
      <c s="95" t="str">
        <f t="shared" si="418"/>
        <v/>
      </c>
      <c s="98" t="str">
        <f t="shared" si="401"/>
        <v/>
      </c>
      <c s="97" t="str">
        <f t="array" ref="DC178">IFERROR(IF(CW178="ac"+ISNUMBER(SEARCH("'",DB178))+DA178="","",IF(ISNUMBER(SEARCH("lw",DB178)),CO178+SUBSTITUTE(DB178,"lw+",""),MROUND(_xlfn.SWITCH(CW178,"sq",DA$7,"bn",DB$7,"dl",DC$7,"")*IF(DB178&gt;10,DB178/100,VLOOKUP(DB178,_rpe,SUBSTITUTE(DA178,"+","")+1,0)),IF(_xlfn.SWITCH(CW178,"sq",DA$7,"bn",DB$7,"dl",DC$7,"")&lt;IF(_uom="lbs",175,80),1.25,IF(_uom="lbs",5,2.5))))),"")</f>
        <v/>
      </c>
      <c s="70"/>
      <c s="63"/>
      <c s="97"/>
      <c s="44" t="str">
        <f>IFERROR(__xludf.DUMMYFUNCTION("IF(DC178=MAX(FILTER(DC$10:DC$199,LOOKUP(ROW(CW$10:CW$199),FILTER(ROW(CW$10:CW$199),CW$10:CW$199&lt;&gt;CW$9:CW$198))=LOOKUP(ROW(CW178),FILTER(ROW(CW$10:CW$199),CW$10:CW$199&lt;&gt;CW$9:CW$198)))),DD178,)"),"")</f>
        <v/>
      </c>
      <c s="42"/>
      <c s="63"/>
      <c s="64" t="str">
        <f t="shared" si="30"/>
        <v/>
      </c>
      <c s="65" t="str">
        <f>IFERROR(__xludf.DUMMYFUNCTION("""COMPUTED_VALUE"""),"")</f>
        <v/>
      </c>
      <c s="66">
        <f ca="1"/>
        <v>45264</v>
      </c>
      <c s="93" t="str">
        <f t="shared" si="46"/>
        <v/>
      </c>
      <c s="94" t="str">
        <f t="shared" si="394"/>
        <v/>
      </c>
      <c s="95" t="str">
        <f t="shared" si="419"/>
        <v/>
      </c>
      <c s="98" t="str">
        <f t="shared" si="420"/>
        <v/>
      </c>
      <c s="97" t="str">
        <f t="array" ref="DQ178">IFERROR(IF(DK178="ac"+ISNUMBER(SEARCH("'",DP178))+DO178="","",IF(ISNUMBER(SEARCH("lw",DP178)),DC178+SUBSTITUTE(DP178,"lw+",""),MROUND(_xlfn.SWITCH(DK178,"sq",DO$7,"bn",DP$7,"dl",DQ$7,"")*IF(DP178&gt;10,DP178/100,VLOOKUP(DP178,_rpe,SUBSTITUTE(DO178,"+","")+1,0)),IF(_xlfn.SWITCH(DK178,"sq",DO$7,"bn",DP$7,"dl",DQ$7,"")&lt;IF(_uom="lbs",175,80),1.25,IF(_uom="lbs",5,2.5))))),"")</f>
        <v/>
      </c>
      <c s="70"/>
      <c s="63"/>
      <c s="97"/>
      <c s="44" t="str">
        <f>IFERROR(__xludf.DUMMYFUNCTION("IF(DQ178=MAX(FILTER(DQ$10:DQ$199,LOOKUP(ROW(DK$10:DK$199),FILTER(ROW(DK$10:DK$199),DK$10:DK$199&lt;&gt;DK$9:DK$198))=LOOKUP(ROW(DK178),FILTER(ROW(DK$10:DK$199),DK$10:DK$199&lt;&gt;DK$9:DK$198)))),DR178,)"),"")</f>
        <v/>
      </c>
      <c s="42"/>
      <c s="63"/>
      <c s="64" t="str">
        <f t="shared" si="32"/>
        <v/>
      </c>
      <c s="65" t="str">
        <f>IFERROR(__xludf.DUMMYFUNCTION("""COMPUTED_VALUE"""),"")</f>
        <v/>
      </c>
      <c s="66">
        <f ca="1"/>
        <v>45271</v>
      </c>
      <c s="93" t="str">
        <f t="shared" si="47"/>
        <v/>
      </c>
      <c s="94" t="str">
        <f t="shared" si="405"/>
        <v/>
      </c>
      <c s="95" t="str">
        <f t="shared" si="421"/>
        <v/>
      </c>
      <c s="98" t="str">
        <f t="shared" si="422"/>
        <v/>
      </c>
      <c s="97" t="str">
        <f t="array" ref="EE178">IFERROR(IF(DY178="ac"+ISNUMBER(SEARCH("'",ED178))+EC178="","",IF(ISNUMBER(SEARCH("lw",ED178)),DQ178+SUBSTITUTE(ED178,"lw+",""),MROUND(_xlfn.SWITCH(DY178,"sq",EC$7,"bn",ED$7,"dl",EE$7,"")*IF(ED178&gt;10,ED178/100,VLOOKUP(ED178,_rpe,SUBSTITUTE(EC178,"+","")+1,0)),IF(_xlfn.SWITCH(DY178,"sq",EC$7,"bn",ED$7,"dl",EE$7,"")&lt;IF(_uom="lbs",175,80),1.25,IF(_uom="lbs",5,2.5))))),"")</f>
        <v/>
      </c>
      <c s="70"/>
      <c s="63"/>
      <c s="97"/>
      <c s="44" t="str">
        <f>IFERROR(__xludf.DUMMYFUNCTION("IF(EE178=MAX(FILTER(EE$10:EE$199,LOOKUP(ROW(DY$10:DY$199),FILTER(ROW(DY$10:DY$199),DY$10:DY$199&lt;&gt;DY$9:DY$198))=LOOKUP(ROW(DY178),FILTER(ROW(DY$10:DY$199),DY$10:DY$199&lt;&gt;DY$9:DY$198)))),EF178,)"),"")</f>
        <v/>
      </c>
      <c s="42"/>
      <c s="63"/>
      <c s="64" t="str">
        <f t="shared" si="34"/>
        <v/>
      </c>
      <c s="65" t="str">
        <f>IFERROR(__xludf.DUMMYFUNCTION("""COMPUTED_VALUE"""),"")</f>
        <v/>
      </c>
      <c s="66">
        <f ca="1"/>
        <v>45278</v>
      </c>
      <c s="93" t="str">
        <f t="shared" si="48"/>
        <v/>
      </c>
      <c s="94" t="str">
        <f t="shared" si="395"/>
        <v/>
      </c>
      <c s="95" t="str">
        <f t="shared" si="423"/>
        <v/>
      </c>
      <c s="98" t="str">
        <f t="shared" si="402"/>
        <v/>
      </c>
      <c s="97" t="str">
        <f t="array" ref="ES178">IFERROR(IF(EM178="ac"+ISNUMBER(SEARCH("'",ER178))+EQ178="","",IF(ISNUMBER(SEARCH("lw",ER178)),EE178+SUBSTITUTE(ER178,"lw+",""),MROUND(_xlfn.SWITCH(EM178,"sq",EQ$7,"bn",ER$7,"dl",ES$7,"")*IF(ER178&gt;10,ER178/100,VLOOKUP(ER178,_rpe,SUBSTITUTE(EQ178,"+","")+1,0)),IF(_xlfn.SWITCH(EM178,"sq",EQ$7,"bn",ER$7,"dl",ES$7,"")&lt;IF(_uom="lbs",175,80),1.25,IF(_uom="lbs",5,2.5))))),"")</f>
        <v/>
      </c>
      <c s="70"/>
      <c s="63"/>
      <c s="97"/>
      <c s="44" t="str">
        <f>IFERROR(__xludf.DUMMYFUNCTION("IF(ES178=MAX(FILTER(ES$10:ES$199,LOOKUP(ROW(EM$10:EM$199),FILTER(ROW(EM$10:EM$199),EM$10:EM$199&lt;&gt;EM$9:EM$198))=LOOKUP(ROW(EM178),FILTER(ROW(EM$10:EM$199),EM$10:EM$199&lt;&gt;EM$9:EM$198)))),ET178,)"),"")</f>
        <v/>
      </c>
      <c s="42"/>
      <c s="63"/>
      <c s="64" t="str">
        <f t="shared" si="36"/>
        <v/>
      </c>
      <c s="65" t="str">
        <f>IFERROR(__xludf.DUMMYFUNCTION("""COMPUTED_VALUE"""),"")</f>
        <v/>
      </c>
      <c s="66">
        <f ca="1"/>
        <v>45285</v>
      </c>
      <c s="93" t="str">
        <f t="shared" si="49"/>
        <v/>
      </c>
      <c s="94" t="str">
        <f t="shared" si="396"/>
        <v/>
      </c>
      <c s="95" t="str">
        <f t="shared" si="424"/>
        <v/>
      </c>
      <c s="98" t="str">
        <f t="shared" si="403"/>
        <v/>
      </c>
      <c s="97" t="str">
        <f t="array" ref="FG178">IFERROR(IF(FA178="ac"+ISNUMBER(SEARCH("'",FF178))+FE178="","",IF(ISNUMBER(SEARCH("lw",FF178)),ES178+SUBSTITUTE(FF178,"lw+",""),MROUND(_xlfn.SWITCH(FA178,"sq",FE$7,"bn",FF$7,"dl",FG$7,"")*IF(FF178&gt;10,FF178/100,VLOOKUP(FF178,_rpe,SUBSTITUTE(FE178,"+","")+1,0)),IF(_xlfn.SWITCH(FA178,"sq",FE$7,"bn",FF$7,"dl",FG$7,"")&lt;IF(_uom="lbs",175,80),1.25,IF(_uom="lbs",5,2.5))))),"")</f>
        <v/>
      </c>
      <c s="70"/>
      <c s="63"/>
      <c s="97"/>
      <c s="44" t="str">
        <f>IFERROR(__xludf.DUMMYFUNCTION("IF(FG178=MAX(FILTER(FG$10:FG$199,LOOKUP(ROW(FA$10:FA$199),FILTER(ROW(FA$10:FA$199),FA$10:FA$199&lt;&gt;FA$9:FA$198))=LOOKUP(ROW(FA178),FILTER(ROW(FA$10:FA$199),FA$10:FA$199&lt;&gt;FA$9:FA$198)))),FH178,)"),"")</f>
        <v/>
      </c>
      <c s="42"/>
      <c s="63"/>
      <c s="64" t="str">
        <f t="shared" si="38"/>
        <v/>
      </c>
      <c s="65" t="str">
        <f>IFERROR(__xludf.DUMMYFUNCTION("""COMPUTED_VALUE"""),"")</f>
        <v/>
      </c>
      <c s="66">
        <f ca="1"/>
        <v>45292</v>
      </c>
      <c s="93" t="str">
        <f t="shared" si="522" ref="FQ178:FR178">IF(ISBLANK(FC178),"",FC178)</f>
        <v/>
      </c>
      <c s="94" t="str">
        <f t="shared" si="522"/>
        <v/>
      </c>
      <c s="95" t="str">
        <f t="shared" si="428"/>
        <v/>
      </c>
      <c s="98" t="str">
        <f t="shared" si="429"/>
        <v/>
      </c>
      <c s="97" t="str">
        <f t="array" ref="FU178">IFERROR(IF(FO178="ac"+ISNUMBER(SEARCH("'",FT178))+FS178="","",IF(ISNUMBER(SEARCH("lw",FT178)),FG178+SUBSTITUTE(FT178,"lw+",""),MROUND(_xlfn.SWITCH(FO178,"sq",FS$7,"bn",FT$7,"dl",FU$7,"")*IF(FT178&gt;10,FT178/100,VLOOKUP(FT178,_rpe,SUBSTITUTE(FS178,"+","")+1,0)),IF(_xlfn.SWITCH(FO178,"sq",FS$7,"bn",FT$7,"dl",FU$7,"")&lt;IF(_uom="lbs",175,80),1.25,IF(_uom="lbs",5,2.5))))),"")</f>
        <v/>
      </c>
      <c s="70"/>
      <c s="63"/>
      <c s="97"/>
      <c s="44" t="str">
        <f>IFERROR(__xludf.DUMMYFUNCTION("IF(FU178=MAX(FILTER(FU$10:FU$199,LOOKUP(ROW(FO$10:FO$199),FILTER(ROW(FO$10:FO$199),FO$10:FO$199&lt;&gt;FO$9:FO$198))=LOOKUP(ROW(FO178),FILTER(ROW(FO$10:FO$199),FO$10:FO$199&lt;&gt;FO$9:FO$198)))),FV178,)"),"")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79" spans="1:259" ht="15.75">
      <c r="A179" s="63"/>
      <c s="107"/>
      <c s="65" t="str">
        <f>IFERROR(__xludf.DUMMYFUNCTION("""COMPUTED_VALUE"""),"")</f>
        <v/>
      </c>
      <c s="66">
        <f ca="1"/>
        <v>45208</v>
      </c>
      <c s="108"/>
      <c s="94"/>
      <c s="95"/>
      <c s="96"/>
      <c s="97" t="str">
        <f t="array" ref="I179">IFERROR(IF(C179="ac"+ISNUMBER(SEARCH("'",H179))+G179="","",MROUND(_xlfn.SWITCH(C179,"sq",'Personal Info'!$O$15,"bn",'Personal Info'!$S$15,"dl",'Personal Info'!$W$15,"")*IF(H179&gt;10,H179/100,VLOOKUP(H179,_rpe,SUBSTITUTE(G179,"+","")+1,0)),IF(_xlfn.SWITCH(C179:C210,"sq",'Personal Info'!$O$15,"bn",'Personal Info'!$S$15,"dl",'Personal Info'!$W$15,"")&lt;IF(_uom="lbs",175,80),1.25,IF(_uom="lbs",5,2.5)))),"")</f>
        <v/>
      </c>
      <c s="70"/>
      <c s="63"/>
      <c s="97"/>
      <c s="44" t="str">
        <f>IFERROR(__xludf.DUMMYFUNCTION("IF(I179=MAX(FILTER(I$10:I$199,LOOKUP(ROW(C$10:C$199),FILTER(ROW(C$10:C$199),C$10:C$199&lt;&gt;C$9:C$198))=LOOKUP(ROW(C179),FILTER(ROW(C$10:C$199),C$10:C$199&lt;&gt;C$9:C$198)))),J179,)"),"")</f>
        <v/>
      </c>
      <c s="42"/>
      <c s="63"/>
      <c s="64" t="str">
        <f t="shared" si="11"/>
        <v/>
      </c>
      <c s="65" t="str">
        <f>IFERROR(__xludf.DUMMYFUNCTION("""COMPUTED_VALUE"""),"")</f>
        <v/>
      </c>
      <c s="66">
        <f ca="1"/>
        <v>45215</v>
      </c>
      <c s="93" t="str">
        <f t="shared" si="12"/>
        <v/>
      </c>
      <c s="94" t="str">
        <f t="shared" si="404"/>
        <v/>
      </c>
      <c s="95" t="str">
        <f t="shared" si="406"/>
        <v/>
      </c>
      <c s="98" t="str">
        <f t="shared" si="407"/>
        <v/>
      </c>
      <c s="97" t="str">
        <f t="array" ref="W179">IFERROR(IF(Q179="ac"+ISNUMBER(SEARCH("'",V179))+U179="","",IF(ISNUMBER(SEARCH("lw",V179)),I179+SUBSTITUTE(V179,"lw+",""),MROUND(_xlfn.SWITCH(Q179,"sq",U$7,"bn",V$7,"dl",W$7,"")*IF(V179&gt;10,V179/100,VLOOKUP(V179,_rpe,SUBSTITUTE(U179,"+","")+1,0)),IF(_xlfn.SWITCH(Q179,"sq",U$7,"bn",V$7,"dl",W$7,"")&lt;IF(_uom="lbs",175,80),1.25,IF(_uom="lbs",5,2.5))))),"")</f>
        <v/>
      </c>
      <c s="70"/>
      <c s="63"/>
      <c s="97"/>
      <c s="44" t="str">
        <f>IFERROR(__xludf.DUMMYFUNCTION("IF(W179=MAX(FILTER(W$10:W$199,LOOKUP(ROW(Q$10:Q$199),FILTER(ROW(Q$10:Q$199),Q$10:Q$199&lt;&gt;Q$9:Q$198))=LOOKUP(ROW(Q179),FILTER(ROW(Q$10:Q$199),Q$10:Q$199&lt;&gt;Q$9:Q$198)))),X179,)"),"")</f>
        <v/>
      </c>
      <c s="42"/>
      <c s="63"/>
      <c s="64" t="str">
        <f t="shared" si="14"/>
        <v/>
      </c>
      <c s="65" t="str">
        <f>IFERROR(__xludf.DUMMYFUNCTION("""COMPUTED_VALUE"""),"")</f>
        <v/>
      </c>
      <c s="66">
        <f ca="1"/>
        <v>45222</v>
      </c>
      <c s="93" t="str">
        <f t="shared" si="156"/>
        <v/>
      </c>
      <c s="94" t="str">
        <f t="shared" si="397"/>
        <v/>
      </c>
      <c s="95" t="str">
        <f t="shared" si="408"/>
        <v/>
      </c>
      <c s="98" t="str">
        <f t="shared" si="398"/>
        <v/>
      </c>
      <c s="97" t="str">
        <f t="array" ref="AK179">IFERROR(IF(AE179="ac"+ISNUMBER(SEARCH("'",AJ179))+AI179="","",IF(ISNUMBER(SEARCH("lw",AJ179)),W179+SUBSTITUTE(AJ179,"lw+",""),MROUND(_xlfn.SWITCH(AE179,"sq",AI$7,"bn",AJ$7,"dl",AK$7,"")*IF(AJ179&gt;10,AJ179/100,VLOOKUP(AJ179,_rpe,SUBSTITUTE(AI179,"+","")+1,0)),IF(_xlfn.SWITCH(AE179,"sq",AI$7,"bn",AJ$7,"dl",AK$7,"")&lt;IF(_uom="lbs",175,80),1.25,IF(_uom="lbs",5,2.5))))),"")</f>
        <v/>
      </c>
      <c s="70"/>
      <c s="63"/>
      <c s="97"/>
      <c s="44" t="str">
        <f>IFERROR(__xludf.DUMMYFUNCTION("IF(AK179=MAX(FILTER(AK$10:AK$199,LOOKUP(ROW(AE$10:AE$199),FILTER(ROW(AE$10:AE$199),AE$10:AE$199&lt;&gt;AE$9:AE$198))=LOOKUP(ROW(AE179),FILTER(ROW(AE$10:AE$199),AE$10:AE$199&lt;&gt;AE$9:AE$198)))),AL179,)"),"")</f>
        <v/>
      </c>
      <c s="42"/>
      <c s="63"/>
      <c s="64" t="str">
        <f t="shared" si="17"/>
        <v/>
      </c>
      <c s="65" t="str">
        <f>IFERROR(__xludf.DUMMYFUNCTION("""COMPUTED_VALUE"""),"")</f>
        <v/>
      </c>
      <c s="66">
        <f ca="1"/>
        <v>45229</v>
      </c>
      <c s="93" t="str">
        <f t="shared" si="157"/>
        <v/>
      </c>
      <c s="94" t="str">
        <f t="shared" si="399"/>
        <v/>
      </c>
      <c s="95" t="str">
        <f t="shared" si="409"/>
        <v/>
      </c>
      <c s="98" t="str">
        <f t="shared" si="400"/>
        <v/>
      </c>
      <c s="97" t="str">
        <f t="array" ref="AY179">IFERROR(IF(AS179="ac"+ISNUMBER(SEARCH("'",AX179))+AW179="","",IF(ISNUMBER(SEARCH("lw",AX179)),AK179+SUBSTITUTE(AX179,"lw+",""),MROUND(_xlfn.SWITCH(AS179,"sq",AW$7,"bn",AX$7,"dl",AY$7,"")*IF(AX179&gt;10,AX179/100,VLOOKUP(AX179,_rpe,SUBSTITUTE(AW179,"+","")+1,0)),IF(_xlfn.SWITCH(AS179,"sq",AW$7,"bn",AX$7,"dl",AY$7,"")&lt;IF(_uom="lbs",175,80),1.25,IF(_uom="lbs",5,2.5))))),"")</f>
        <v/>
      </c>
      <c s="70"/>
      <c s="63"/>
      <c s="97"/>
      <c s="44" t="str">
        <f>IFERROR(__xludf.DUMMYFUNCTION("IF(AY179=MAX(FILTER(AY$10:AY$199,LOOKUP(ROW(AS$10:AS$199),FILTER(ROW(AS$10:AS$199),AS$10:AS$199&lt;&gt;AS$9:AS$198))=LOOKUP(ROW(AS179),FILTER(ROW(AS$10:AS$199),AS$10:AS$199&lt;&gt;AS$9:AS$198)))),AZ179,)"),"")</f>
        <v/>
      </c>
      <c s="42"/>
      <c s="63"/>
      <c s="64" t="str">
        <f t="shared" si="19"/>
        <v/>
      </c>
      <c s="65" t="str">
        <f>IFERROR(__xludf.DUMMYFUNCTION("""COMPUTED_VALUE"""),"")</f>
        <v/>
      </c>
      <c s="66">
        <f ca="1"/>
        <v>45236</v>
      </c>
      <c s="93" t="str">
        <f t="shared" si="20"/>
        <v/>
      </c>
      <c s="94" t="str">
        <f t="shared" si="425"/>
        <v/>
      </c>
      <c s="95" t="str">
        <f t="shared" si="411"/>
        <v/>
      </c>
      <c s="98" t="str">
        <f t="shared" si="412"/>
        <v/>
      </c>
      <c s="97" t="str">
        <f t="array" ref="BM179">IFERROR(IF(BG179="ac"+ISNUMBER(SEARCH("'",BL179))+BK179="","",IF(ISNUMBER(SEARCH("lw",BL179)),AY179+SUBSTITUTE(BL179,"lw+",""),MROUND(_xlfn.SWITCH(BG179,"sq",BK$7,"bn",BL$7,"dl",BM$7,"")*IF(BL179&gt;10,BL179/100,VLOOKUP(BL179,_rpe,SUBSTITUTE(BK179,"+","")+1,0)),IF(_xlfn.SWITCH(BG179,"sq",BK$7,"bn",BL$7,"dl",BM$7,"")&lt;IF(_uom="lbs",175,80),1.25,IF(_uom="lbs",5,2.5))))),"")</f>
        <v/>
      </c>
      <c s="70"/>
      <c s="63"/>
      <c s="97"/>
      <c s="44" t="str">
        <f>IFERROR(__xludf.DUMMYFUNCTION("IF(BM179=MAX(FILTER(BM$10:BM$199,LOOKUP(ROW(BG$10:BG$199),FILTER(ROW(BG$10:BG$199),BG$10:BG$199&lt;&gt;BG$9:BG$198))=LOOKUP(ROW(BG179),FILTER(ROW(BG$10:BG$199),BG$10:BG$199&lt;&gt;BG$9:BG$198)))),BN179,)"),"")</f>
        <v/>
      </c>
      <c s="42"/>
      <c s="63"/>
      <c s="64" t="str">
        <f t="shared" si="21"/>
        <v/>
      </c>
      <c s="65" t="str">
        <f>IFERROR(__xludf.DUMMYFUNCTION("""COMPUTED_VALUE"""),"")</f>
        <v/>
      </c>
      <c s="66">
        <f ca="1"/>
        <v>45243</v>
      </c>
      <c s="93" t="str">
        <f t="shared" si="22"/>
        <v/>
      </c>
      <c s="94" t="str">
        <f t="shared" si="426"/>
        <v/>
      </c>
      <c s="95" t="str">
        <f t="shared" si="414"/>
        <v/>
      </c>
      <c s="98" t="str">
        <f t="shared" si="415"/>
        <v/>
      </c>
      <c s="97" t="str">
        <f t="array" ref="CA179">IFERROR(IF(BU179="ac"+ISNUMBER(SEARCH("'",BZ179))+BY179="","",IF(ISNUMBER(SEARCH("lw",BZ179)),BM179+SUBSTITUTE(BZ179,"lw+",""),MROUND(_xlfn.SWITCH(BU179,"sq",BY$7,"bn",BZ$7,"dl",CA$7,"")*IF(BZ179&gt;10,BZ179/100,VLOOKUP(BZ179,_rpe,SUBSTITUTE(BY179,"+","")+1,0)),IF(_xlfn.SWITCH(BU179,"sq",BY$7,"bn",BZ$7,"dl",CA$7,"")&lt;IF(_uom="lbs",175,80),1.25,IF(_uom="lbs",5,2.5))))),"")</f>
        <v/>
      </c>
      <c s="70"/>
      <c s="63"/>
      <c s="97"/>
      <c s="44" t="str">
        <f>IFERROR(__xludf.DUMMYFUNCTION("IF(CA179=MAX(FILTER(CA$10:CA$199,LOOKUP(ROW(BU$10:BU$199),FILTER(ROW(BU$10:BU$199),BU$10:BU$199&lt;&gt;BU$9:BU$198))=LOOKUP(ROW(BU179),FILTER(ROW(BU$10:BU$199),BU$10:BU$199&lt;&gt;BU$9:BU$198)))),CB179,)"),"")</f>
        <v/>
      </c>
      <c s="42"/>
      <c s="63"/>
      <c s="64" t="str">
        <f t="shared" si="24"/>
        <v/>
      </c>
      <c s="65" t="str">
        <f>IFERROR(__xludf.DUMMYFUNCTION("""COMPUTED_VALUE"""),"")</f>
        <v/>
      </c>
      <c s="66">
        <f ca="1"/>
        <v>45250</v>
      </c>
      <c s="93" t="str">
        <f t="shared" si="44"/>
        <v/>
      </c>
      <c s="94" t="str">
        <f t="shared" si="392"/>
        <v/>
      </c>
      <c s="95" t="str">
        <f t="shared" si="416"/>
        <v/>
      </c>
      <c s="98" t="str">
        <f t="shared" si="417"/>
        <v/>
      </c>
      <c s="97" t="str">
        <f t="array" ref="CO179">IFERROR(IF(CI179="ac"+ISNUMBER(SEARCH("'",CN179))+CM179="","",IF(ISNUMBER(SEARCH("lw",CN179)),CA179+SUBSTITUTE(CN179,"lw+",""),MROUND(_xlfn.SWITCH(CI179,"sq",CM$7,"bn",CN$7,"dl",CO$7,"")*IF(CN179&gt;10,CN179/100,VLOOKUP(CN179,_rpe,SUBSTITUTE(CM179,"+","")+1,0)),IF(_xlfn.SWITCH(CI179,"sq",CM$7,"bn",CN$7,"dl",CO$7,"")&lt;IF(_uom="lbs",175,80),1.25,IF(_uom="lbs",5,2.5))))),"")</f>
        <v/>
      </c>
      <c s="70"/>
      <c s="63"/>
      <c s="97"/>
      <c s="44" t="str">
        <f>IFERROR(__xludf.DUMMYFUNCTION("IF(CO179=MAX(FILTER(CO$10:CO$199,LOOKUP(ROW(CI$10:CI$199),FILTER(ROW(CI$10:CI$199),CI$10:CI$199&lt;&gt;CI$9:CI$198))=LOOKUP(ROW(CI179),FILTER(ROW(CI$10:CI$199),CI$10:CI$199&lt;&gt;CI$9:CI$198)))),CP179,)"),"")</f>
        <v/>
      </c>
      <c s="42"/>
      <c s="63"/>
      <c s="64" t="str">
        <f t="shared" si="27"/>
        <v/>
      </c>
      <c s="65" t="str">
        <f>IFERROR(__xludf.DUMMYFUNCTION("""COMPUTED_VALUE"""),"")</f>
        <v/>
      </c>
      <c s="66">
        <f ca="1"/>
        <v>45257</v>
      </c>
      <c s="93" t="str">
        <f t="shared" si="45"/>
        <v/>
      </c>
      <c s="94" t="str">
        <f t="shared" si="393"/>
        <v/>
      </c>
      <c s="95" t="str">
        <f t="shared" si="418"/>
        <v/>
      </c>
      <c s="98" t="str">
        <f t="shared" si="401"/>
        <v/>
      </c>
      <c s="97" t="str">
        <f t="array" ref="DC179">IFERROR(IF(CW179="ac"+ISNUMBER(SEARCH("'",DB179))+DA179="","",IF(ISNUMBER(SEARCH("lw",DB179)),CO179+SUBSTITUTE(DB179,"lw+",""),MROUND(_xlfn.SWITCH(CW179,"sq",DA$7,"bn",DB$7,"dl",DC$7,"")*IF(DB179&gt;10,DB179/100,VLOOKUP(DB179,_rpe,SUBSTITUTE(DA179,"+","")+1,0)),IF(_xlfn.SWITCH(CW179,"sq",DA$7,"bn",DB$7,"dl",DC$7,"")&lt;IF(_uom="lbs",175,80),1.25,IF(_uom="lbs",5,2.5))))),"")</f>
        <v/>
      </c>
      <c s="70"/>
      <c s="63"/>
      <c s="97"/>
      <c s="44" t="str">
        <f>IFERROR(__xludf.DUMMYFUNCTION("IF(DC179=MAX(FILTER(DC$10:DC$199,LOOKUP(ROW(CW$10:CW$199),FILTER(ROW(CW$10:CW$199),CW$10:CW$199&lt;&gt;CW$9:CW$198))=LOOKUP(ROW(CW179),FILTER(ROW(CW$10:CW$199),CW$10:CW$199&lt;&gt;CW$9:CW$198)))),DD179,)"),"")</f>
        <v/>
      </c>
      <c s="42"/>
      <c s="63"/>
      <c s="64" t="str">
        <f t="shared" si="30"/>
        <v/>
      </c>
      <c s="65" t="str">
        <f>IFERROR(__xludf.DUMMYFUNCTION("""COMPUTED_VALUE"""),"")</f>
        <v/>
      </c>
      <c s="66">
        <f ca="1"/>
        <v>45264</v>
      </c>
      <c s="93" t="str">
        <f t="shared" si="46"/>
        <v/>
      </c>
      <c s="94" t="str">
        <f t="shared" si="394"/>
        <v/>
      </c>
      <c s="95" t="str">
        <f t="shared" si="419"/>
        <v/>
      </c>
      <c s="98" t="str">
        <f t="shared" si="420"/>
        <v/>
      </c>
      <c s="97" t="str">
        <f t="array" ref="DQ179">IFERROR(IF(DK179="ac"+ISNUMBER(SEARCH("'",DP179))+DO179="","",IF(ISNUMBER(SEARCH("lw",DP179)),DC179+SUBSTITUTE(DP179,"lw+",""),MROUND(_xlfn.SWITCH(DK179,"sq",DO$7,"bn",DP$7,"dl",DQ$7,"")*IF(DP179&gt;10,DP179/100,VLOOKUP(DP179,_rpe,SUBSTITUTE(DO179,"+","")+1,0)),IF(_xlfn.SWITCH(DK179,"sq",DO$7,"bn",DP$7,"dl",DQ$7,"")&lt;IF(_uom="lbs",175,80),1.25,IF(_uom="lbs",5,2.5))))),"")</f>
        <v/>
      </c>
      <c s="70"/>
      <c s="63"/>
      <c s="97"/>
      <c s="44" t="str">
        <f>IFERROR(__xludf.DUMMYFUNCTION("IF(DQ179=MAX(FILTER(DQ$10:DQ$199,LOOKUP(ROW(DK$10:DK$199),FILTER(ROW(DK$10:DK$199),DK$10:DK$199&lt;&gt;DK$9:DK$198))=LOOKUP(ROW(DK179),FILTER(ROW(DK$10:DK$199),DK$10:DK$199&lt;&gt;DK$9:DK$198)))),DR179,)"),"")</f>
        <v/>
      </c>
      <c s="42"/>
      <c s="63"/>
      <c s="64" t="str">
        <f t="shared" si="32"/>
        <v/>
      </c>
      <c s="65" t="str">
        <f>IFERROR(__xludf.DUMMYFUNCTION("""COMPUTED_VALUE"""),"")</f>
        <v/>
      </c>
      <c s="66">
        <f ca="1"/>
        <v>45271</v>
      </c>
      <c s="93" t="str">
        <f t="shared" si="47"/>
        <v/>
      </c>
      <c s="94" t="str">
        <f t="shared" si="405"/>
        <v/>
      </c>
      <c s="95" t="str">
        <f t="shared" si="421"/>
        <v/>
      </c>
      <c s="98" t="str">
        <f t="shared" si="422"/>
        <v/>
      </c>
      <c s="97" t="str">
        <f t="array" ref="EE179">IFERROR(IF(DY179="ac"+ISNUMBER(SEARCH("'",ED179))+EC179="","",IF(ISNUMBER(SEARCH("lw",ED179)),DQ179+SUBSTITUTE(ED179,"lw+",""),MROUND(_xlfn.SWITCH(DY179,"sq",EC$7,"bn",ED$7,"dl",EE$7,"")*IF(ED179&gt;10,ED179/100,VLOOKUP(ED179,_rpe,SUBSTITUTE(EC179,"+","")+1,0)),IF(_xlfn.SWITCH(DY179,"sq",EC$7,"bn",ED$7,"dl",EE$7,"")&lt;IF(_uom="lbs",175,80),1.25,IF(_uom="lbs",5,2.5))))),"")</f>
        <v/>
      </c>
      <c s="70"/>
      <c s="63"/>
      <c s="97"/>
      <c s="44" t="str">
        <f>IFERROR(__xludf.DUMMYFUNCTION("IF(EE179=MAX(FILTER(EE$10:EE$199,LOOKUP(ROW(DY$10:DY$199),FILTER(ROW(DY$10:DY$199),DY$10:DY$199&lt;&gt;DY$9:DY$198))=LOOKUP(ROW(DY179),FILTER(ROW(DY$10:DY$199),DY$10:DY$199&lt;&gt;DY$9:DY$198)))),EF179,)"),"")</f>
        <v/>
      </c>
      <c s="42"/>
      <c s="63"/>
      <c s="64" t="str">
        <f t="shared" si="34"/>
        <v/>
      </c>
      <c s="65" t="str">
        <f>IFERROR(__xludf.DUMMYFUNCTION("""COMPUTED_VALUE"""),"")</f>
        <v/>
      </c>
      <c s="66">
        <f ca="1"/>
        <v>45278</v>
      </c>
      <c s="93" t="str">
        <f t="shared" si="48"/>
        <v/>
      </c>
      <c s="94" t="str">
        <f t="shared" si="395"/>
        <v/>
      </c>
      <c s="95" t="str">
        <f t="shared" si="423"/>
        <v/>
      </c>
      <c s="98" t="str">
        <f t="shared" si="402"/>
        <v/>
      </c>
      <c s="97" t="str">
        <f t="array" ref="ES179">IFERROR(IF(EM179="ac"+ISNUMBER(SEARCH("'",ER179))+EQ179="","",IF(ISNUMBER(SEARCH("lw",ER179)),EE179+SUBSTITUTE(ER179,"lw+",""),MROUND(_xlfn.SWITCH(EM179,"sq",EQ$7,"bn",ER$7,"dl",ES$7,"")*IF(ER179&gt;10,ER179/100,VLOOKUP(ER179,_rpe,SUBSTITUTE(EQ179,"+","")+1,0)),IF(_xlfn.SWITCH(EM179,"sq",EQ$7,"bn",ER$7,"dl",ES$7,"")&lt;IF(_uom="lbs",175,80),1.25,IF(_uom="lbs",5,2.5))))),"")</f>
        <v/>
      </c>
      <c s="70"/>
      <c s="63"/>
      <c s="97"/>
      <c s="44" t="str">
        <f>IFERROR(__xludf.DUMMYFUNCTION("IF(ES179=MAX(FILTER(ES$10:ES$199,LOOKUP(ROW(EM$10:EM$199),FILTER(ROW(EM$10:EM$199),EM$10:EM$199&lt;&gt;EM$9:EM$198))=LOOKUP(ROW(EM179),FILTER(ROW(EM$10:EM$199),EM$10:EM$199&lt;&gt;EM$9:EM$198)))),ET179,)"),"")</f>
        <v/>
      </c>
      <c s="42"/>
      <c s="63"/>
      <c s="64" t="str">
        <f t="shared" si="36"/>
        <v/>
      </c>
      <c s="65" t="str">
        <f>IFERROR(__xludf.DUMMYFUNCTION("""COMPUTED_VALUE"""),"")</f>
        <v/>
      </c>
      <c s="66">
        <f ca="1"/>
        <v>45285</v>
      </c>
      <c s="93" t="str">
        <f t="shared" si="49"/>
        <v/>
      </c>
      <c s="94" t="str">
        <f t="shared" si="396"/>
        <v/>
      </c>
      <c s="95" t="str">
        <f t="shared" si="424"/>
        <v/>
      </c>
      <c s="98" t="str">
        <f t="shared" si="403"/>
        <v/>
      </c>
      <c s="97" t="str">
        <f t="array" ref="FG179">IFERROR(IF(FA179="ac"+ISNUMBER(SEARCH("'",FF179))+FE179="","",IF(ISNUMBER(SEARCH("lw",FF179)),ES179+SUBSTITUTE(FF179,"lw+",""),MROUND(_xlfn.SWITCH(FA179,"sq",FE$7,"bn",FF$7,"dl",FG$7,"")*IF(FF179&gt;10,FF179/100,VLOOKUP(FF179,_rpe,SUBSTITUTE(FE179,"+","")+1,0)),IF(_xlfn.SWITCH(FA179,"sq",FE$7,"bn",FF$7,"dl",FG$7,"")&lt;IF(_uom="lbs",175,80),1.25,IF(_uom="lbs",5,2.5))))),"")</f>
        <v/>
      </c>
      <c s="70"/>
      <c s="63"/>
      <c s="97"/>
      <c s="44" t="str">
        <f>IFERROR(__xludf.DUMMYFUNCTION("IF(FG179=MAX(FILTER(FG$10:FG$199,LOOKUP(ROW(FA$10:FA$199),FILTER(ROW(FA$10:FA$199),FA$10:FA$199&lt;&gt;FA$9:FA$198))=LOOKUP(ROW(FA179),FILTER(ROW(FA$10:FA$199),FA$10:FA$199&lt;&gt;FA$9:FA$198)))),FH179,)"),"")</f>
        <v/>
      </c>
      <c s="42"/>
      <c s="63"/>
      <c s="64" t="str">
        <f t="shared" si="38"/>
        <v/>
      </c>
      <c s="65" t="str">
        <f>IFERROR(__xludf.DUMMYFUNCTION("""COMPUTED_VALUE"""),"")</f>
        <v/>
      </c>
      <c s="66">
        <f ca="1"/>
        <v>45292</v>
      </c>
      <c s="93" t="str">
        <f t="shared" si="523" ref="FQ179:FR179">IF(ISBLANK(FC179),"",FC179)</f>
        <v/>
      </c>
      <c s="94" t="str">
        <f t="shared" si="523"/>
        <v/>
      </c>
      <c s="95" t="str">
        <f t="shared" si="428"/>
        <v/>
      </c>
      <c s="98" t="str">
        <f t="shared" si="429"/>
        <v/>
      </c>
      <c s="97" t="str">
        <f t="array" ref="FU179">IFERROR(IF(FO179="ac"+ISNUMBER(SEARCH("'",FT179))+FS179="","",IF(ISNUMBER(SEARCH("lw",FT179)),FG179+SUBSTITUTE(FT179,"lw+",""),MROUND(_xlfn.SWITCH(FO179,"sq",FS$7,"bn",FT$7,"dl",FU$7,"")*IF(FT179&gt;10,FT179/100,VLOOKUP(FT179,_rpe,SUBSTITUTE(FS179,"+","")+1,0)),IF(_xlfn.SWITCH(FO179,"sq",FS$7,"bn",FT$7,"dl",FU$7,"")&lt;IF(_uom="lbs",175,80),1.25,IF(_uom="lbs",5,2.5))))),"")</f>
        <v/>
      </c>
      <c s="70"/>
      <c s="63"/>
      <c s="97"/>
      <c s="44" t="str">
        <f>IFERROR(__xludf.DUMMYFUNCTION("IF(FU179=MAX(FILTER(FU$10:FU$199,LOOKUP(ROW(FO$10:FO$199),FILTER(ROW(FO$10:FO$199),FO$10:FO$199&lt;&gt;FO$9:FO$198))=LOOKUP(ROW(FO179),FILTER(ROW(FO$10:FO$199),FO$10:FO$199&lt;&gt;FO$9:FO$198)))),FV179,)"),"")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80" spans="1:259" ht="15.75">
      <c r="A180" s="63"/>
      <c s="107"/>
      <c s="65" t="str">
        <f>IFERROR(__xludf.DUMMYFUNCTION("""COMPUTED_VALUE"""),"")</f>
        <v/>
      </c>
      <c s="66">
        <f ca="1"/>
        <v>45208</v>
      </c>
      <c s="108"/>
      <c s="94"/>
      <c s="95"/>
      <c s="96"/>
      <c s="97" t="str">
        <f t="array" ref="I180">IFERROR(IF(C180="ac"+ISNUMBER(SEARCH("'",H180))+G180="","",MROUND(_xlfn.SWITCH(C180,"sq",'Personal Info'!$O$15,"bn",'Personal Info'!$S$15,"dl",'Personal Info'!$W$15,"")*IF(H180&gt;10,H180/100,VLOOKUP(H180,_rpe,SUBSTITUTE(G180,"+","")+1,0)),IF(_xlfn.SWITCH(C180:C210,"sq",'Personal Info'!$O$15,"bn",'Personal Info'!$S$15,"dl",'Personal Info'!$W$15,"")&lt;IF(_uom="lbs",175,80),1.25,IF(_uom="lbs",5,2.5)))),"")</f>
        <v/>
      </c>
      <c s="70"/>
      <c s="63"/>
      <c s="97"/>
      <c s="44" t="str">
        <f>IFERROR(__xludf.DUMMYFUNCTION("IF(I180=MAX(FILTER(I$10:I$199,LOOKUP(ROW(C$10:C$199),FILTER(ROW(C$10:C$199),C$10:C$199&lt;&gt;C$9:C$198))=LOOKUP(ROW(C180),FILTER(ROW(C$10:C$199),C$10:C$199&lt;&gt;C$9:C$198)))),J180,)"),"")</f>
        <v/>
      </c>
      <c s="42"/>
      <c s="63"/>
      <c s="64" t="str">
        <f t="shared" si="11"/>
        <v/>
      </c>
      <c s="65" t="str">
        <f>IFERROR(__xludf.DUMMYFUNCTION("""COMPUTED_VALUE"""),"")</f>
        <v/>
      </c>
      <c s="66">
        <f ca="1"/>
        <v>45215</v>
      </c>
      <c s="93" t="str">
        <f t="shared" si="12"/>
        <v/>
      </c>
      <c s="94" t="str">
        <f t="shared" si="404"/>
        <v/>
      </c>
      <c s="95" t="str">
        <f t="shared" si="406"/>
        <v/>
      </c>
      <c s="98" t="str">
        <f t="shared" si="407"/>
        <v/>
      </c>
      <c s="97" t="str">
        <f t="array" ref="W180">IFERROR(IF(Q180="ac"+ISNUMBER(SEARCH("'",V180))+U180="","",IF(ISNUMBER(SEARCH("lw",V180)),I180+SUBSTITUTE(V180,"lw+",""),MROUND(_xlfn.SWITCH(Q180,"sq",U$7,"bn",V$7,"dl",W$7,"")*IF(V180&gt;10,V180/100,VLOOKUP(V180,_rpe,SUBSTITUTE(U180,"+","")+1,0)),IF(_xlfn.SWITCH(Q180,"sq",U$7,"bn",V$7,"dl",W$7,"")&lt;IF(_uom="lbs",175,80),1.25,IF(_uom="lbs",5,2.5))))),"")</f>
        <v/>
      </c>
      <c s="70"/>
      <c s="63"/>
      <c s="97"/>
      <c s="44" t="str">
        <f>IFERROR(__xludf.DUMMYFUNCTION("IF(W180=MAX(FILTER(W$10:W$199,LOOKUP(ROW(Q$10:Q$199),FILTER(ROW(Q$10:Q$199),Q$10:Q$199&lt;&gt;Q$9:Q$198))=LOOKUP(ROW(Q180),FILTER(ROW(Q$10:Q$199),Q$10:Q$199&lt;&gt;Q$9:Q$198)))),X180,)"),"")</f>
        <v/>
      </c>
      <c s="42"/>
      <c s="63"/>
      <c s="64" t="str">
        <f t="shared" si="14"/>
        <v/>
      </c>
      <c s="65" t="str">
        <f>IFERROR(__xludf.DUMMYFUNCTION("""COMPUTED_VALUE"""),"")</f>
        <v/>
      </c>
      <c s="66">
        <f ca="1"/>
        <v>45222</v>
      </c>
      <c s="93" t="str">
        <f t="shared" si="156"/>
        <v/>
      </c>
      <c s="94" t="str">
        <f t="shared" si="397"/>
        <v/>
      </c>
      <c s="95" t="str">
        <f t="shared" si="408"/>
        <v/>
      </c>
      <c s="98" t="str">
        <f t="shared" si="398"/>
        <v/>
      </c>
      <c s="97" t="str">
        <f t="array" ref="AK180">IFERROR(IF(AE180="ac"+ISNUMBER(SEARCH("'",AJ180))+AI180="","",IF(ISNUMBER(SEARCH("lw",AJ180)),W180+SUBSTITUTE(AJ180,"lw+",""),MROUND(_xlfn.SWITCH(AE180,"sq",AI$7,"bn",AJ$7,"dl",AK$7,"")*IF(AJ180&gt;10,AJ180/100,VLOOKUP(AJ180,_rpe,SUBSTITUTE(AI180,"+","")+1,0)),IF(_xlfn.SWITCH(AE180,"sq",AI$7,"bn",AJ$7,"dl",AK$7,"")&lt;IF(_uom="lbs",175,80),1.25,IF(_uom="lbs",5,2.5))))),"")</f>
        <v/>
      </c>
      <c s="70"/>
      <c s="63"/>
      <c s="97"/>
      <c s="44" t="str">
        <f>IFERROR(__xludf.DUMMYFUNCTION("IF(AK180=MAX(FILTER(AK$10:AK$199,LOOKUP(ROW(AE$10:AE$199),FILTER(ROW(AE$10:AE$199),AE$10:AE$199&lt;&gt;AE$9:AE$198))=LOOKUP(ROW(AE180),FILTER(ROW(AE$10:AE$199),AE$10:AE$199&lt;&gt;AE$9:AE$198)))),AL180,)"),"")</f>
        <v/>
      </c>
      <c s="42"/>
      <c s="63"/>
      <c s="64" t="str">
        <f t="shared" si="17"/>
        <v/>
      </c>
      <c s="65" t="str">
        <f>IFERROR(__xludf.DUMMYFUNCTION("""COMPUTED_VALUE"""),"")</f>
        <v/>
      </c>
      <c s="66">
        <f ca="1"/>
        <v>45229</v>
      </c>
      <c s="93" t="str">
        <f t="shared" si="157"/>
        <v/>
      </c>
      <c s="94" t="str">
        <f t="shared" si="399"/>
        <v/>
      </c>
      <c s="95" t="str">
        <f t="shared" si="409"/>
        <v/>
      </c>
      <c s="98" t="str">
        <f t="shared" si="400"/>
        <v/>
      </c>
      <c s="97" t="str">
        <f t="array" ref="AY180">IFERROR(IF(AS180="ac"+ISNUMBER(SEARCH("'",AX180))+AW180="","",IF(ISNUMBER(SEARCH("lw",AX180)),AK180+SUBSTITUTE(AX180,"lw+",""),MROUND(_xlfn.SWITCH(AS180,"sq",AW$7,"bn",AX$7,"dl",AY$7,"")*IF(AX180&gt;10,AX180/100,VLOOKUP(AX180,_rpe,SUBSTITUTE(AW180,"+","")+1,0)),IF(_xlfn.SWITCH(AS180,"sq",AW$7,"bn",AX$7,"dl",AY$7,"")&lt;IF(_uom="lbs",175,80),1.25,IF(_uom="lbs",5,2.5))))),"")</f>
        <v/>
      </c>
      <c s="70"/>
      <c s="63"/>
      <c s="97"/>
      <c s="44" t="str">
        <f>IFERROR(__xludf.DUMMYFUNCTION("IF(AY180=MAX(FILTER(AY$10:AY$199,LOOKUP(ROW(AS$10:AS$199),FILTER(ROW(AS$10:AS$199),AS$10:AS$199&lt;&gt;AS$9:AS$198))=LOOKUP(ROW(AS180),FILTER(ROW(AS$10:AS$199),AS$10:AS$199&lt;&gt;AS$9:AS$198)))),AZ180,)"),"")</f>
        <v/>
      </c>
      <c s="42"/>
      <c s="63"/>
      <c s="64" t="str">
        <f t="shared" si="19"/>
        <v/>
      </c>
      <c s="65" t="str">
        <f>IFERROR(__xludf.DUMMYFUNCTION("""COMPUTED_VALUE"""),"")</f>
        <v/>
      </c>
      <c s="66">
        <f ca="1"/>
        <v>45236</v>
      </c>
      <c s="93" t="str">
        <f t="shared" si="20"/>
        <v/>
      </c>
      <c s="94" t="str">
        <f t="shared" si="425"/>
        <v/>
      </c>
      <c s="95" t="str">
        <f t="shared" si="411"/>
        <v/>
      </c>
      <c s="98" t="str">
        <f t="shared" si="412"/>
        <v/>
      </c>
      <c s="97" t="str">
        <f t="array" ref="BM180">IFERROR(IF(BG180="ac"+ISNUMBER(SEARCH("'",BL180))+BK180="","",IF(ISNUMBER(SEARCH("lw",BL180)),AY180+SUBSTITUTE(BL180,"lw+",""),MROUND(_xlfn.SWITCH(BG180,"sq",BK$7,"bn",BL$7,"dl",BM$7,"")*IF(BL180&gt;10,BL180/100,VLOOKUP(BL180,_rpe,SUBSTITUTE(BK180,"+","")+1,0)),IF(_xlfn.SWITCH(BG180,"sq",BK$7,"bn",BL$7,"dl",BM$7,"")&lt;IF(_uom="lbs",175,80),1.25,IF(_uom="lbs",5,2.5))))),"")</f>
        <v/>
      </c>
      <c s="70"/>
      <c s="63"/>
      <c s="97"/>
      <c s="44" t="str">
        <f>IFERROR(__xludf.DUMMYFUNCTION("IF(BM180=MAX(FILTER(BM$10:BM$199,LOOKUP(ROW(BG$10:BG$199),FILTER(ROW(BG$10:BG$199),BG$10:BG$199&lt;&gt;BG$9:BG$198))=LOOKUP(ROW(BG180),FILTER(ROW(BG$10:BG$199),BG$10:BG$199&lt;&gt;BG$9:BG$198)))),BN180,)"),"")</f>
        <v/>
      </c>
      <c s="42"/>
      <c s="63"/>
      <c s="64" t="str">
        <f t="shared" si="21"/>
        <v/>
      </c>
      <c s="65" t="str">
        <f>IFERROR(__xludf.DUMMYFUNCTION("""COMPUTED_VALUE"""),"")</f>
        <v/>
      </c>
      <c s="66">
        <f ca="1"/>
        <v>45243</v>
      </c>
      <c s="93" t="str">
        <f t="shared" si="22"/>
        <v/>
      </c>
      <c s="94" t="str">
        <f t="shared" si="426"/>
        <v/>
      </c>
      <c s="95" t="str">
        <f t="shared" si="414"/>
        <v/>
      </c>
      <c s="98" t="str">
        <f t="shared" si="415"/>
        <v/>
      </c>
      <c s="97" t="str">
        <f t="array" ref="CA180">IFERROR(IF(BU180="ac"+ISNUMBER(SEARCH("'",BZ180))+BY180="","",IF(ISNUMBER(SEARCH("lw",BZ180)),BM180+SUBSTITUTE(BZ180,"lw+",""),MROUND(_xlfn.SWITCH(BU180,"sq",BY$7,"bn",BZ$7,"dl",CA$7,"")*IF(BZ180&gt;10,BZ180/100,VLOOKUP(BZ180,_rpe,SUBSTITUTE(BY180,"+","")+1,0)),IF(_xlfn.SWITCH(BU180,"sq",BY$7,"bn",BZ$7,"dl",CA$7,"")&lt;IF(_uom="lbs",175,80),1.25,IF(_uom="lbs",5,2.5))))),"")</f>
        <v/>
      </c>
      <c s="70"/>
      <c s="63"/>
      <c s="97"/>
      <c s="44" t="str">
        <f>IFERROR(__xludf.DUMMYFUNCTION("IF(CA180=MAX(FILTER(CA$10:CA$199,LOOKUP(ROW(BU$10:BU$199),FILTER(ROW(BU$10:BU$199),BU$10:BU$199&lt;&gt;BU$9:BU$198))=LOOKUP(ROW(BU180),FILTER(ROW(BU$10:BU$199),BU$10:BU$199&lt;&gt;BU$9:BU$198)))),CB180,)"),"")</f>
        <v/>
      </c>
      <c s="42"/>
      <c s="63"/>
      <c s="64" t="str">
        <f t="shared" si="24"/>
        <v/>
      </c>
      <c s="65" t="str">
        <f>IFERROR(__xludf.DUMMYFUNCTION("""COMPUTED_VALUE"""),"")</f>
        <v/>
      </c>
      <c s="66">
        <f ca="1"/>
        <v>45250</v>
      </c>
      <c s="93" t="str">
        <f t="shared" si="44"/>
        <v/>
      </c>
      <c s="94" t="str">
        <f t="shared" si="392"/>
        <v/>
      </c>
      <c s="95" t="str">
        <f t="shared" si="416"/>
        <v/>
      </c>
      <c s="98" t="str">
        <f t="shared" si="417"/>
        <v/>
      </c>
      <c s="97" t="str">
        <f t="array" ref="CO180">IFERROR(IF(CI180="ac"+ISNUMBER(SEARCH("'",CN180))+CM180="","",IF(ISNUMBER(SEARCH("lw",CN180)),CA180+SUBSTITUTE(CN180,"lw+",""),MROUND(_xlfn.SWITCH(CI180,"sq",CM$7,"bn",CN$7,"dl",CO$7,"")*IF(CN180&gt;10,CN180/100,VLOOKUP(CN180,_rpe,SUBSTITUTE(CM180,"+","")+1,0)),IF(_xlfn.SWITCH(CI180,"sq",CM$7,"bn",CN$7,"dl",CO$7,"")&lt;IF(_uom="lbs",175,80),1.25,IF(_uom="lbs",5,2.5))))),"")</f>
        <v/>
      </c>
      <c s="70"/>
      <c s="63"/>
      <c s="97"/>
      <c s="44" t="str">
        <f>IFERROR(__xludf.DUMMYFUNCTION("IF(CO180=MAX(FILTER(CO$10:CO$199,LOOKUP(ROW(CI$10:CI$199),FILTER(ROW(CI$10:CI$199),CI$10:CI$199&lt;&gt;CI$9:CI$198))=LOOKUP(ROW(CI180),FILTER(ROW(CI$10:CI$199),CI$10:CI$199&lt;&gt;CI$9:CI$198)))),CP180,)"),"")</f>
        <v/>
      </c>
      <c s="42"/>
      <c s="63"/>
      <c s="64" t="str">
        <f t="shared" si="27"/>
        <v/>
      </c>
      <c s="65" t="str">
        <f>IFERROR(__xludf.DUMMYFUNCTION("""COMPUTED_VALUE"""),"")</f>
        <v/>
      </c>
      <c s="66">
        <f ca="1"/>
        <v>45257</v>
      </c>
      <c s="93" t="str">
        <f t="shared" si="45"/>
        <v/>
      </c>
      <c s="94" t="str">
        <f t="shared" si="393"/>
        <v/>
      </c>
      <c s="95" t="str">
        <f t="shared" si="418"/>
        <v/>
      </c>
      <c s="98" t="str">
        <f t="shared" si="401"/>
        <v/>
      </c>
      <c s="97" t="str">
        <f t="array" ref="DC180">IFERROR(IF(CW180="ac"+ISNUMBER(SEARCH("'",DB180))+DA180="","",IF(ISNUMBER(SEARCH("lw",DB180)),CO180+SUBSTITUTE(DB180,"lw+",""),MROUND(_xlfn.SWITCH(CW180,"sq",DA$7,"bn",DB$7,"dl",DC$7,"")*IF(DB180&gt;10,DB180/100,VLOOKUP(DB180,_rpe,SUBSTITUTE(DA180,"+","")+1,0)),IF(_xlfn.SWITCH(CW180,"sq",DA$7,"bn",DB$7,"dl",DC$7,"")&lt;IF(_uom="lbs",175,80),1.25,IF(_uom="lbs",5,2.5))))),"")</f>
        <v/>
      </c>
      <c s="70"/>
      <c s="63"/>
      <c s="97"/>
      <c s="44" t="str">
        <f>IFERROR(__xludf.DUMMYFUNCTION("IF(DC180=MAX(FILTER(DC$10:DC$199,LOOKUP(ROW(CW$10:CW$199),FILTER(ROW(CW$10:CW$199),CW$10:CW$199&lt;&gt;CW$9:CW$198))=LOOKUP(ROW(CW180),FILTER(ROW(CW$10:CW$199),CW$10:CW$199&lt;&gt;CW$9:CW$198)))),DD180,)"),"")</f>
        <v/>
      </c>
      <c s="42"/>
      <c s="63"/>
      <c s="64" t="str">
        <f t="shared" si="30"/>
        <v/>
      </c>
      <c s="65" t="str">
        <f>IFERROR(__xludf.DUMMYFUNCTION("""COMPUTED_VALUE"""),"")</f>
        <v/>
      </c>
      <c s="66">
        <f ca="1"/>
        <v>45264</v>
      </c>
      <c s="93" t="str">
        <f t="shared" si="46"/>
        <v/>
      </c>
      <c s="94" t="str">
        <f t="shared" si="394"/>
        <v/>
      </c>
      <c s="95" t="str">
        <f t="shared" si="419"/>
        <v/>
      </c>
      <c s="98" t="str">
        <f t="shared" si="420"/>
        <v/>
      </c>
      <c s="97" t="str">
        <f t="array" ref="DQ180">IFERROR(IF(DK180="ac"+ISNUMBER(SEARCH("'",DP180))+DO180="","",IF(ISNUMBER(SEARCH("lw",DP180)),DC180+SUBSTITUTE(DP180,"lw+",""),MROUND(_xlfn.SWITCH(DK180,"sq",DO$7,"bn",DP$7,"dl",DQ$7,"")*IF(DP180&gt;10,DP180/100,VLOOKUP(DP180,_rpe,SUBSTITUTE(DO180,"+","")+1,0)),IF(_xlfn.SWITCH(DK180,"sq",DO$7,"bn",DP$7,"dl",DQ$7,"")&lt;IF(_uom="lbs",175,80),1.25,IF(_uom="lbs",5,2.5))))),"")</f>
        <v/>
      </c>
      <c s="70"/>
      <c s="63"/>
      <c s="97"/>
      <c s="44" t="str">
        <f>IFERROR(__xludf.DUMMYFUNCTION("IF(DQ180=MAX(FILTER(DQ$10:DQ$199,LOOKUP(ROW(DK$10:DK$199),FILTER(ROW(DK$10:DK$199),DK$10:DK$199&lt;&gt;DK$9:DK$198))=LOOKUP(ROW(DK180),FILTER(ROW(DK$10:DK$199),DK$10:DK$199&lt;&gt;DK$9:DK$198)))),DR180,)"),"")</f>
        <v/>
      </c>
      <c s="42"/>
      <c s="63"/>
      <c s="64" t="str">
        <f t="shared" si="32"/>
        <v/>
      </c>
      <c s="65" t="str">
        <f>IFERROR(__xludf.DUMMYFUNCTION("""COMPUTED_VALUE"""),"")</f>
        <v/>
      </c>
      <c s="66">
        <f ca="1"/>
        <v>45271</v>
      </c>
      <c s="93" t="str">
        <f t="shared" si="47"/>
        <v/>
      </c>
      <c s="94" t="str">
        <f t="shared" si="405"/>
        <v/>
      </c>
      <c s="95" t="str">
        <f t="shared" si="421"/>
        <v/>
      </c>
      <c s="98" t="str">
        <f t="shared" si="422"/>
        <v/>
      </c>
      <c s="97" t="str">
        <f t="array" ref="EE180">IFERROR(IF(DY180="ac"+ISNUMBER(SEARCH("'",ED180))+EC180="","",IF(ISNUMBER(SEARCH("lw",ED180)),DQ180+SUBSTITUTE(ED180,"lw+",""),MROUND(_xlfn.SWITCH(DY180,"sq",EC$7,"bn",ED$7,"dl",EE$7,"")*IF(ED180&gt;10,ED180/100,VLOOKUP(ED180,_rpe,SUBSTITUTE(EC180,"+","")+1,0)),IF(_xlfn.SWITCH(DY180,"sq",EC$7,"bn",ED$7,"dl",EE$7,"")&lt;IF(_uom="lbs",175,80),1.25,IF(_uom="lbs",5,2.5))))),"")</f>
        <v/>
      </c>
      <c s="70"/>
      <c s="63"/>
      <c s="97"/>
      <c s="44" t="str">
        <f>IFERROR(__xludf.DUMMYFUNCTION("IF(EE180=MAX(FILTER(EE$10:EE$199,LOOKUP(ROW(DY$10:DY$199),FILTER(ROW(DY$10:DY$199),DY$10:DY$199&lt;&gt;DY$9:DY$198))=LOOKUP(ROW(DY180),FILTER(ROW(DY$10:DY$199),DY$10:DY$199&lt;&gt;DY$9:DY$198)))),EF180,)"),"")</f>
        <v/>
      </c>
      <c s="42"/>
      <c s="63"/>
      <c s="64" t="str">
        <f t="shared" si="34"/>
        <v/>
      </c>
      <c s="65" t="str">
        <f>IFERROR(__xludf.DUMMYFUNCTION("""COMPUTED_VALUE"""),"")</f>
        <v/>
      </c>
      <c s="66">
        <f ca="1"/>
        <v>45278</v>
      </c>
      <c s="93" t="str">
        <f t="shared" si="48"/>
        <v/>
      </c>
      <c s="94" t="str">
        <f t="shared" si="395"/>
        <v/>
      </c>
      <c s="95" t="str">
        <f t="shared" si="423"/>
        <v/>
      </c>
      <c s="98" t="str">
        <f t="shared" si="402"/>
        <v/>
      </c>
      <c s="97" t="str">
        <f t="array" ref="ES180">IFERROR(IF(EM180="ac"+ISNUMBER(SEARCH("'",ER180))+EQ180="","",IF(ISNUMBER(SEARCH("lw",ER180)),EE180+SUBSTITUTE(ER180,"lw+",""),MROUND(_xlfn.SWITCH(EM180,"sq",EQ$7,"bn",ER$7,"dl",ES$7,"")*IF(ER180&gt;10,ER180/100,VLOOKUP(ER180,_rpe,SUBSTITUTE(EQ180,"+","")+1,0)),IF(_xlfn.SWITCH(EM180,"sq",EQ$7,"bn",ER$7,"dl",ES$7,"")&lt;IF(_uom="lbs",175,80),1.25,IF(_uom="lbs",5,2.5))))),"")</f>
        <v/>
      </c>
      <c s="70"/>
      <c s="63"/>
      <c s="97"/>
      <c s="44" t="str">
        <f>IFERROR(__xludf.DUMMYFUNCTION("IF(ES180=MAX(FILTER(ES$10:ES$199,LOOKUP(ROW(EM$10:EM$199),FILTER(ROW(EM$10:EM$199),EM$10:EM$199&lt;&gt;EM$9:EM$198))=LOOKUP(ROW(EM180),FILTER(ROW(EM$10:EM$199),EM$10:EM$199&lt;&gt;EM$9:EM$198)))),ET180,)"),"")</f>
        <v/>
      </c>
      <c s="42"/>
      <c s="63"/>
      <c s="64" t="str">
        <f t="shared" si="36"/>
        <v/>
      </c>
      <c s="65" t="str">
        <f>IFERROR(__xludf.DUMMYFUNCTION("""COMPUTED_VALUE"""),"")</f>
        <v/>
      </c>
      <c s="66">
        <f ca="1"/>
        <v>45285</v>
      </c>
      <c s="93" t="str">
        <f t="shared" si="49"/>
        <v/>
      </c>
      <c s="94" t="str">
        <f t="shared" si="396"/>
        <v/>
      </c>
      <c s="95" t="str">
        <f t="shared" si="424"/>
        <v/>
      </c>
      <c s="98" t="str">
        <f t="shared" si="403"/>
        <v/>
      </c>
      <c s="97" t="str">
        <f t="array" ref="FG180">IFERROR(IF(FA180="ac"+ISNUMBER(SEARCH("'",FF180))+FE180="","",IF(ISNUMBER(SEARCH("lw",FF180)),ES180+SUBSTITUTE(FF180,"lw+",""),MROUND(_xlfn.SWITCH(FA180,"sq",FE$7,"bn",FF$7,"dl",FG$7,"")*IF(FF180&gt;10,FF180/100,VLOOKUP(FF180,_rpe,SUBSTITUTE(FE180,"+","")+1,0)),IF(_xlfn.SWITCH(FA180,"sq",FE$7,"bn",FF$7,"dl",FG$7,"")&lt;IF(_uom="lbs",175,80),1.25,IF(_uom="lbs",5,2.5))))),"")</f>
        <v/>
      </c>
      <c s="70"/>
      <c s="63"/>
      <c s="97"/>
      <c s="44" t="str">
        <f>IFERROR(__xludf.DUMMYFUNCTION("IF(FG180=MAX(FILTER(FG$10:FG$199,LOOKUP(ROW(FA$10:FA$199),FILTER(ROW(FA$10:FA$199),FA$10:FA$199&lt;&gt;FA$9:FA$198))=LOOKUP(ROW(FA180),FILTER(ROW(FA$10:FA$199),FA$10:FA$199&lt;&gt;FA$9:FA$198)))),FH180,)"),"")</f>
        <v/>
      </c>
      <c s="42"/>
      <c s="63"/>
      <c s="64" t="str">
        <f t="shared" si="38"/>
        <v/>
      </c>
      <c s="65" t="str">
        <f>IFERROR(__xludf.DUMMYFUNCTION("""COMPUTED_VALUE"""),"")</f>
        <v/>
      </c>
      <c s="66">
        <f ca="1"/>
        <v>45292</v>
      </c>
      <c s="93" t="str">
        <f t="shared" si="524" ref="FQ180:FR180">IF(ISBLANK(FC180),"",FC180)</f>
        <v/>
      </c>
      <c s="94" t="str">
        <f t="shared" si="524"/>
        <v/>
      </c>
      <c s="95" t="str">
        <f t="shared" si="428"/>
        <v/>
      </c>
      <c s="98" t="str">
        <f t="shared" si="429"/>
        <v/>
      </c>
      <c s="97" t="str">
        <f t="array" ref="FU180">IFERROR(IF(FO180="ac"+ISNUMBER(SEARCH("'",FT180))+FS180="","",IF(ISNUMBER(SEARCH("lw",FT180)),FG180+SUBSTITUTE(FT180,"lw+",""),MROUND(_xlfn.SWITCH(FO180,"sq",FS$7,"bn",FT$7,"dl",FU$7,"")*IF(FT180&gt;10,FT180/100,VLOOKUP(FT180,_rpe,SUBSTITUTE(FS180,"+","")+1,0)),IF(_xlfn.SWITCH(FO180,"sq",FS$7,"bn",FT$7,"dl",FU$7,"")&lt;IF(_uom="lbs",175,80),1.25,IF(_uom="lbs",5,2.5))))),"")</f>
        <v/>
      </c>
      <c s="70"/>
      <c s="63"/>
      <c s="97"/>
      <c s="44" t="str">
        <f>IFERROR(__xludf.DUMMYFUNCTION("IF(FU180=MAX(FILTER(FU$10:FU$199,LOOKUP(ROW(FO$10:FO$199),FILTER(ROW(FO$10:FO$199),FO$10:FO$199&lt;&gt;FO$9:FO$198))=LOOKUP(ROW(FO180),FILTER(ROW(FO$10:FO$199),FO$10:FO$199&lt;&gt;FO$9:FO$198)))),FV180,)"),"")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81" spans="1:259" ht="15.75">
      <c r="A181" s="63"/>
      <c s="107"/>
      <c s="65" t="str">
        <f>IFERROR(__xludf.DUMMYFUNCTION("""COMPUTED_VALUE"""),"")</f>
        <v/>
      </c>
      <c s="66">
        <f ca="1"/>
        <v>45208</v>
      </c>
      <c s="108"/>
      <c s="94"/>
      <c s="95"/>
      <c s="96"/>
      <c s="97" t="str">
        <f t="array" ref="I181">IFERROR(IF(C181="ac"+ISNUMBER(SEARCH("'",H181))+G181="","",MROUND(_xlfn.SWITCH(C181,"sq",'Personal Info'!$O$15,"bn",'Personal Info'!$S$15,"dl",'Personal Info'!$W$15,"")*IF(H181&gt;10,H181/100,VLOOKUP(H181,_rpe,SUBSTITUTE(G181,"+","")+1,0)),IF(_xlfn.SWITCH(C181:C210,"sq",'Personal Info'!$O$15,"bn",'Personal Info'!$S$15,"dl",'Personal Info'!$W$15,"")&lt;IF(_uom="lbs",175,80),1.25,IF(_uom="lbs",5,2.5)))),"")</f>
        <v/>
      </c>
      <c s="70"/>
      <c s="63"/>
      <c s="97"/>
      <c s="44" t="str">
        <f>IFERROR(__xludf.DUMMYFUNCTION("IF(I181=MAX(FILTER(I$10:I$199,LOOKUP(ROW(C$10:C$199),FILTER(ROW(C$10:C$199),C$10:C$199&lt;&gt;C$9:C$198))=LOOKUP(ROW(C181),FILTER(ROW(C$10:C$199),C$10:C$199&lt;&gt;C$9:C$198)))),J181,)"),"")</f>
        <v/>
      </c>
      <c s="42"/>
      <c s="63"/>
      <c s="64" t="str">
        <f t="shared" si="11"/>
        <v/>
      </c>
      <c s="65" t="str">
        <f>IFERROR(__xludf.DUMMYFUNCTION("""COMPUTED_VALUE"""),"")</f>
        <v/>
      </c>
      <c s="66">
        <f ca="1"/>
        <v>45215</v>
      </c>
      <c s="93" t="str">
        <f t="shared" si="12"/>
        <v/>
      </c>
      <c s="94" t="str">
        <f t="shared" si="404"/>
        <v/>
      </c>
      <c s="95" t="str">
        <f t="shared" si="406"/>
        <v/>
      </c>
      <c s="98" t="str">
        <f t="shared" si="407"/>
        <v/>
      </c>
      <c s="97" t="str">
        <f t="array" ref="W181">IFERROR(IF(Q181="ac"+ISNUMBER(SEARCH("'",V181))+U181="","",IF(ISNUMBER(SEARCH("lw",V181)),I181+SUBSTITUTE(V181,"lw+",""),MROUND(_xlfn.SWITCH(Q181,"sq",U$7,"bn",V$7,"dl",W$7,"")*IF(V181&gt;10,V181/100,VLOOKUP(V181,_rpe,SUBSTITUTE(U181,"+","")+1,0)),IF(_xlfn.SWITCH(Q181,"sq",U$7,"bn",V$7,"dl",W$7,"")&lt;IF(_uom="lbs",175,80),1.25,IF(_uom="lbs",5,2.5))))),"")</f>
        <v/>
      </c>
      <c s="70"/>
      <c s="63"/>
      <c s="97"/>
      <c s="44" t="str">
        <f>IFERROR(__xludf.DUMMYFUNCTION("IF(W181=MAX(FILTER(W$10:W$199,LOOKUP(ROW(Q$10:Q$199),FILTER(ROW(Q$10:Q$199),Q$10:Q$199&lt;&gt;Q$9:Q$198))=LOOKUP(ROW(Q181),FILTER(ROW(Q$10:Q$199),Q$10:Q$199&lt;&gt;Q$9:Q$198)))),X181,)"),"")</f>
        <v/>
      </c>
      <c s="42"/>
      <c s="63"/>
      <c s="64" t="str">
        <f t="shared" si="14"/>
        <v/>
      </c>
      <c s="65" t="str">
        <f>IFERROR(__xludf.DUMMYFUNCTION("""COMPUTED_VALUE"""),"")</f>
        <v/>
      </c>
      <c s="66">
        <f ca="1"/>
        <v>45222</v>
      </c>
      <c s="93" t="str">
        <f t="shared" si="156"/>
        <v/>
      </c>
      <c s="94" t="str">
        <f t="shared" si="397"/>
        <v/>
      </c>
      <c s="95" t="str">
        <f t="shared" si="408"/>
        <v/>
      </c>
      <c s="98" t="str">
        <f t="shared" si="398"/>
        <v/>
      </c>
      <c s="97" t="str">
        <f t="array" ref="AK181">IFERROR(IF(AE181="ac"+ISNUMBER(SEARCH("'",AJ181))+AI181="","",IF(ISNUMBER(SEARCH("lw",AJ181)),W181+SUBSTITUTE(AJ181,"lw+",""),MROUND(_xlfn.SWITCH(AE181,"sq",AI$7,"bn",AJ$7,"dl",AK$7,"")*IF(AJ181&gt;10,AJ181/100,VLOOKUP(AJ181,_rpe,SUBSTITUTE(AI181,"+","")+1,0)),IF(_xlfn.SWITCH(AE181,"sq",AI$7,"bn",AJ$7,"dl",AK$7,"")&lt;IF(_uom="lbs",175,80),1.25,IF(_uom="lbs",5,2.5))))),"")</f>
        <v/>
      </c>
      <c s="70"/>
      <c s="63"/>
      <c s="97"/>
      <c s="44" t="str">
        <f>IFERROR(__xludf.DUMMYFUNCTION("IF(AK181=MAX(FILTER(AK$10:AK$199,LOOKUP(ROW(AE$10:AE$199),FILTER(ROW(AE$10:AE$199),AE$10:AE$199&lt;&gt;AE$9:AE$198))=LOOKUP(ROW(AE181),FILTER(ROW(AE$10:AE$199),AE$10:AE$199&lt;&gt;AE$9:AE$198)))),AL181,)"),"")</f>
        <v/>
      </c>
      <c s="42"/>
      <c s="63"/>
      <c s="64" t="str">
        <f t="shared" si="17"/>
        <v/>
      </c>
      <c s="65" t="str">
        <f>IFERROR(__xludf.DUMMYFUNCTION("""COMPUTED_VALUE"""),"")</f>
        <v/>
      </c>
      <c s="66">
        <f ca="1"/>
        <v>45229</v>
      </c>
      <c s="93" t="str">
        <f t="shared" si="157"/>
        <v/>
      </c>
      <c s="94" t="str">
        <f t="shared" si="399"/>
        <v/>
      </c>
      <c s="95" t="str">
        <f t="shared" si="409"/>
        <v/>
      </c>
      <c s="98" t="str">
        <f t="shared" si="400"/>
        <v/>
      </c>
      <c s="97" t="str">
        <f t="array" ref="AY181">IFERROR(IF(AS181="ac"+ISNUMBER(SEARCH("'",AX181))+AW181="","",IF(ISNUMBER(SEARCH("lw",AX181)),AK181+SUBSTITUTE(AX181,"lw+",""),MROUND(_xlfn.SWITCH(AS181,"sq",AW$7,"bn",AX$7,"dl",AY$7,"")*IF(AX181&gt;10,AX181/100,VLOOKUP(AX181,_rpe,SUBSTITUTE(AW181,"+","")+1,0)),IF(_xlfn.SWITCH(AS181,"sq",AW$7,"bn",AX$7,"dl",AY$7,"")&lt;IF(_uom="lbs",175,80),1.25,IF(_uom="lbs",5,2.5))))),"")</f>
        <v/>
      </c>
      <c s="70"/>
      <c s="63"/>
      <c s="97"/>
      <c s="44" t="str">
        <f>IFERROR(__xludf.DUMMYFUNCTION("IF(AY181=MAX(FILTER(AY$10:AY$199,LOOKUP(ROW(AS$10:AS$199),FILTER(ROW(AS$10:AS$199),AS$10:AS$199&lt;&gt;AS$9:AS$198))=LOOKUP(ROW(AS181),FILTER(ROW(AS$10:AS$199),AS$10:AS$199&lt;&gt;AS$9:AS$198)))),AZ181,)"),"")</f>
        <v/>
      </c>
      <c s="42"/>
      <c s="63"/>
      <c s="64" t="str">
        <f t="shared" si="19"/>
        <v/>
      </c>
      <c s="65" t="str">
        <f>IFERROR(__xludf.DUMMYFUNCTION("""COMPUTED_VALUE"""),"")</f>
        <v/>
      </c>
      <c s="66">
        <f ca="1"/>
        <v>45236</v>
      </c>
      <c s="93" t="str">
        <f t="shared" si="20"/>
        <v/>
      </c>
      <c s="94" t="str">
        <f t="shared" si="425"/>
        <v/>
      </c>
      <c s="95" t="str">
        <f t="shared" si="411"/>
        <v/>
      </c>
      <c s="98" t="str">
        <f t="shared" si="412"/>
        <v/>
      </c>
      <c s="97" t="str">
        <f t="array" ref="BM181">IFERROR(IF(BG181="ac"+ISNUMBER(SEARCH("'",BL181))+BK181="","",IF(ISNUMBER(SEARCH("lw",BL181)),AY181+SUBSTITUTE(BL181,"lw+",""),MROUND(_xlfn.SWITCH(BG181,"sq",BK$7,"bn",BL$7,"dl",BM$7,"")*IF(BL181&gt;10,BL181/100,VLOOKUP(BL181,_rpe,SUBSTITUTE(BK181,"+","")+1,0)),IF(_xlfn.SWITCH(BG181,"sq",BK$7,"bn",BL$7,"dl",BM$7,"")&lt;IF(_uom="lbs",175,80),1.25,IF(_uom="lbs",5,2.5))))),"")</f>
        <v/>
      </c>
      <c s="70"/>
      <c s="63"/>
      <c s="97"/>
      <c s="44" t="str">
        <f>IFERROR(__xludf.DUMMYFUNCTION("IF(BM181=MAX(FILTER(BM$10:BM$199,LOOKUP(ROW(BG$10:BG$199),FILTER(ROW(BG$10:BG$199),BG$10:BG$199&lt;&gt;BG$9:BG$198))=LOOKUP(ROW(BG181),FILTER(ROW(BG$10:BG$199),BG$10:BG$199&lt;&gt;BG$9:BG$198)))),BN181,)"),"")</f>
        <v/>
      </c>
      <c s="42"/>
      <c s="63"/>
      <c s="64" t="str">
        <f t="shared" si="21"/>
        <v/>
      </c>
      <c s="65" t="str">
        <f>IFERROR(__xludf.DUMMYFUNCTION("""COMPUTED_VALUE"""),"")</f>
        <v/>
      </c>
      <c s="66">
        <f ca="1"/>
        <v>45243</v>
      </c>
      <c s="93" t="str">
        <f t="shared" si="22"/>
        <v/>
      </c>
      <c s="94" t="str">
        <f t="shared" si="426"/>
        <v/>
      </c>
      <c s="95" t="str">
        <f t="shared" si="414"/>
        <v/>
      </c>
      <c s="98" t="str">
        <f t="shared" si="415"/>
        <v/>
      </c>
      <c s="97" t="str">
        <f t="array" ref="CA181">IFERROR(IF(BU181="ac"+ISNUMBER(SEARCH("'",BZ181))+BY181="","",IF(ISNUMBER(SEARCH("lw",BZ181)),BM181+SUBSTITUTE(BZ181,"lw+",""),MROUND(_xlfn.SWITCH(BU181,"sq",BY$7,"bn",BZ$7,"dl",CA$7,"")*IF(BZ181&gt;10,BZ181/100,VLOOKUP(BZ181,_rpe,SUBSTITUTE(BY181,"+","")+1,0)),IF(_xlfn.SWITCH(BU181,"sq",BY$7,"bn",BZ$7,"dl",CA$7,"")&lt;IF(_uom="lbs",175,80),1.25,IF(_uom="lbs",5,2.5))))),"")</f>
        <v/>
      </c>
      <c s="70"/>
      <c s="63"/>
      <c s="97"/>
      <c s="44" t="str">
        <f>IFERROR(__xludf.DUMMYFUNCTION("IF(CA181=MAX(FILTER(CA$10:CA$199,LOOKUP(ROW(BU$10:BU$199),FILTER(ROW(BU$10:BU$199),BU$10:BU$199&lt;&gt;BU$9:BU$198))=LOOKUP(ROW(BU181),FILTER(ROW(BU$10:BU$199),BU$10:BU$199&lt;&gt;BU$9:BU$198)))),CB181,)"),"")</f>
        <v/>
      </c>
      <c s="42"/>
      <c s="63"/>
      <c s="64" t="str">
        <f t="shared" si="24"/>
        <v/>
      </c>
      <c s="65" t="str">
        <f>IFERROR(__xludf.DUMMYFUNCTION("""COMPUTED_VALUE"""),"")</f>
        <v/>
      </c>
      <c s="66">
        <f ca="1"/>
        <v>45250</v>
      </c>
      <c s="93" t="str">
        <f t="shared" si="44"/>
        <v/>
      </c>
      <c s="94" t="str">
        <f t="shared" si="392"/>
        <v/>
      </c>
      <c s="95" t="str">
        <f t="shared" si="416"/>
        <v/>
      </c>
      <c s="98" t="str">
        <f t="shared" si="417"/>
        <v/>
      </c>
      <c s="97" t="str">
        <f t="array" ref="CO181">IFERROR(IF(CI181="ac"+ISNUMBER(SEARCH("'",CN181))+CM181="","",IF(ISNUMBER(SEARCH("lw",CN181)),CA181+SUBSTITUTE(CN181,"lw+",""),MROUND(_xlfn.SWITCH(CI181,"sq",CM$7,"bn",CN$7,"dl",CO$7,"")*IF(CN181&gt;10,CN181/100,VLOOKUP(CN181,_rpe,SUBSTITUTE(CM181,"+","")+1,0)),IF(_xlfn.SWITCH(CI181,"sq",CM$7,"bn",CN$7,"dl",CO$7,"")&lt;IF(_uom="lbs",175,80),1.25,IF(_uom="lbs",5,2.5))))),"")</f>
        <v/>
      </c>
      <c s="70"/>
      <c s="63"/>
      <c s="97"/>
      <c s="44" t="str">
        <f>IFERROR(__xludf.DUMMYFUNCTION("IF(CO181=MAX(FILTER(CO$10:CO$199,LOOKUP(ROW(CI$10:CI$199),FILTER(ROW(CI$10:CI$199),CI$10:CI$199&lt;&gt;CI$9:CI$198))=LOOKUP(ROW(CI181),FILTER(ROW(CI$10:CI$199),CI$10:CI$199&lt;&gt;CI$9:CI$198)))),CP181,)"),"")</f>
        <v/>
      </c>
      <c s="42"/>
      <c s="63"/>
      <c s="64" t="str">
        <f t="shared" si="27"/>
        <v/>
      </c>
      <c s="65" t="str">
        <f>IFERROR(__xludf.DUMMYFUNCTION("""COMPUTED_VALUE"""),"")</f>
        <v/>
      </c>
      <c s="66">
        <f ca="1"/>
        <v>45257</v>
      </c>
      <c s="93" t="str">
        <f t="shared" si="45"/>
        <v/>
      </c>
      <c s="94" t="str">
        <f t="shared" si="393"/>
        <v/>
      </c>
      <c s="95" t="str">
        <f t="shared" si="418"/>
        <v/>
      </c>
      <c s="98" t="str">
        <f t="shared" si="401"/>
        <v/>
      </c>
      <c s="97" t="str">
        <f t="array" ref="DC181">IFERROR(IF(CW181="ac"+ISNUMBER(SEARCH("'",DB181))+DA181="","",IF(ISNUMBER(SEARCH("lw",DB181)),CO181+SUBSTITUTE(DB181,"lw+",""),MROUND(_xlfn.SWITCH(CW181,"sq",DA$7,"bn",DB$7,"dl",DC$7,"")*IF(DB181&gt;10,DB181/100,VLOOKUP(DB181,_rpe,SUBSTITUTE(DA181,"+","")+1,0)),IF(_xlfn.SWITCH(CW181,"sq",DA$7,"bn",DB$7,"dl",DC$7,"")&lt;IF(_uom="lbs",175,80),1.25,IF(_uom="lbs",5,2.5))))),"")</f>
        <v/>
      </c>
      <c s="70"/>
      <c s="63"/>
      <c s="97"/>
      <c s="44" t="str">
        <f>IFERROR(__xludf.DUMMYFUNCTION("IF(DC181=MAX(FILTER(DC$10:DC$199,LOOKUP(ROW(CW$10:CW$199),FILTER(ROW(CW$10:CW$199),CW$10:CW$199&lt;&gt;CW$9:CW$198))=LOOKUP(ROW(CW181),FILTER(ROW(CW$10:CW$199),CW$10:CW$199&lt;&gt;CW$9:CW$198)))),DD181,)"),"")</f>
        <v/>
      </c>
      <c s="42"/>
      <c s="63"/>
      <c s="64" t="str">
        <f t="shared" si="30"/>
        <v/>
      </c>
      <c s="65" t="str">
        <f>IFERROR(__xludf.DUMMYFUNCTION("""COMPUTED_VALUE"""),"")</f>
        <v/>
      </c>
      <c s="66">
        <f ca="1"/>
        <v>45264</v>
      </c>
      <c s="93" t="str">
        <f t="shared" si="46"/>
        <v/>
      </c>
      <c s="94" t="str">
        <f t="shared" si="394"/>
        <v/>
      </c>
      <c s="95" t="str">
        <f t="shared" si="419"/>
        <v/>
      </c>
      <c s="98" t="str">
        <f t="shared" si="420"/>
        <v/>
      </c>
      <c s="97" t="str">
        <f t="array" ref="DQ181">IFERROR(IF(DK181="ac"+ISNUMBER(SEARCH("'",DP181))+DO181="","",IF(ISNUMBER(SEARCH("lw",DP181)),DC181+SUBSTITUTE(DP181,"lw+",""),MROUND(_xlfn.SWITCH(DK181,"sq",DO$7,"bn",DP$7,"dl",DQ$7,"")*IF(DP181&gt;10,DP181/100,VLOOKUP(DP181,_rpe,SUBSTITUTE(DO181,"+","")+1,0)),IF(_xlfn.SWITCH(DK181,"sq",DO$7,"bn",DP$7,"dl",DQ$7,"")&lt;IF(_uom="lbs",175,80),1.25,IF(_uom="lbs",5,2.5))))),"")</f>
        <v/>
      </c>
      <c s="70"/>
      <c s="63"/>
      <c s="97"/>
      <c s="44" t="str">
        <f>IFERROR(__xludf.DUMMYFUNCTION("IF(DQ181=MAX(FILTER(DQ$10:DQ$199,LOOKUP(ROW(DK$10:DK$199),FILTER(ROW(DK$10:DK$199),DK$10:DK$199&lt;&gt;DK$9:DK$198))=LOOKUP(ROW(DK181),FILTER(ROW(DK$10:DK$199),DK$10:DK$199&lt;&gt;DK$9:DK$198)))),DR181,)"),"")</f>
        <v/>
      </c>
      <c s="42"/>
      <c s="63"/>
      <c s="64" t="str">
        <f t="shared" si="32"/>
        <v/>
      </c>
      <c s="65" t="str">
        <f>IFERROR(__xludf.DUMMYFUNCTION("""COMPUTED_VALUE"""),"")</f>
        <v/>
      </c>
      <c s="66">
        <f ca="1"/>
        <v>45271</v>
      </c>
      <c s="93" t="str">
        <f t="shared" si="47"/>
        <v/>
      </c>
      <c s="94" t="str">
        <f t="shared" si="405"/>
        <v/>
      </c>
      <c s="95" t="str">
        <f t="shared" si="421"/>
        <v/>
      </c>
      <c s="98" t="str">
        <f t="shared" si="422"/>
        <v/>
      </c>
      <c s="97" t="str">
        <f t="array" ref="EE181">IFERROR(IF(DY181="ac"+ISNUMBER(SEARCH("'",ED181))+EC181="","",IF(ISNUMBER(SEARCH("lw",ED181)),DQ181+SUBSTITUTE(ED181,"lw+",""),MROUND(_xlfn.SWITCH(DY181,"sq",EC$7,"bn",ED$7,"dl",EE$7,"")*IF(ED181&gt;10,ED181/100,VLOOKUP(ED181,_rpe,SUBSTITUTE(EC181,"+","")+1,0)),IF(_xlfn.SWITCH(DY181,"sq",EC$7,"bn",ED$7,"dl",EE$7,"")&lt;IF(_uom="lbs",175,80),1.25,IF(_uom="lbs",5,2.5))))),"")</f>
        <v/>
      </c>
      <c s="70"/>
      <c s="63"/>
      <c s="97"/>
      <c s="44" t="str">
        <f>IFERROR(__xludf.DUMMYFUNCTION("IF(EE181=MAX(FILTER(EE$10:EE$199,LOOKUP(ROW(DY$10:DY$199),FILTER(ROW(DY$10:DY$199),DY$10:DY$199&lt;&gt;DY$9:DY$198))=LOOKUP(ROW(DY181),FILTER(ROW(DY$10:DY$199),DY$10:DY$199&lt;&gt;DY$9:DY$198)))),EF181,)"),"")</f>
        <v/>
      </c>
      <c s="42"/>
      <c s="63"/>
      <c s="64" t="str">
        <f t="shared" si="34"/>
        <v/>
      </c>
      <c s="65" t="str">
        <f>IFERROR(__xludf.DUMMYFUNCTION("""COMPUTED_VALUE"""),"")</f>
        <v/>
      </c>
      <c s="66">
        <f ca="1"/>
        <v>45278</v>
      </c>
      <c s="93" t="str">
        <f t="shared" si="48"/>
        <v/>
      </c>
      <c s="94" t="str">
        <f t="shared" si="395"/>
        <v/>
      </c>
      <c s="95" t="str">
        <f t="shared" si="423"/>
        <v/>
      </c>
      <c s="98" t="str">
        <f t="shared" si="402"/>
        <v/>
      </c>
      <c s="97" t="str">
        <f t="array" ref="ES181">IFERROR(IF(EM181="ac"+ISNUMBER(SEARCH("'",ER181))+EQ181="","",IF(ISNUMBER(SEARCH("lw",ER181)),EE181+SUBSTITUTE(ER181,"lw+",""),MROUND(_xlfn.SWITCH(EM181,"sq",EQ$7,"bn",ER$7,"dl",ES$7,"")*IF(ER181&gt;10,ER181/100,VLOOKUP(ER181,_rpe,SUBSTITUTE(EQ181,"+","")+1,0)),IF(_xlfn.SWITCH(EM181,"sq",EQ$7,"bn",ER$7,"dl",ES$7,"")&lt;IF(_uom="lbs",175,80),1.25,IF(_uom="lbs",5,2.5))))),"")</f>
        <v/>
      </c>
      <c s="70"/>
      <c s="63"/>
      <c s="97"/>
      <c s="44" t="str">
        <f>IFERROR(__xludf.DUMMYFUNCTION("IF(ES181=MAX(FILTER(ES$10:ES$199,LOOKUP(ROW(EM$10:EM$199),FILTER(ROW(EM$10:EM$199),EM$10:EM$199&lt;&gt;EM$9:EM$198))=LOOKUP(ROW(EM181),FILTER(ROW(EM$10:EM$199),EM$10:EM$199&lt;&gt;EM$9:EM$198)))),ET181,)"),"")</f>
        <v/>
      </c>
      <c s="42"/>
      <c s="63"/>
      <c s="64" t="str">
        <f t="shared" si="36"/>
        <v/>
      </c>
      <c s="65" t="str">
        <f>IFERROR(__xludf.DUMMYFUNCTION("""COMPUTED_VALUE"""),"")</f>
        <v/>
      </c>
      <c s="66">
        <f ca="1"/>
        <v>45285</v>
      </c>
      <c s="93" t="str">
        <f t="shared" si="49"/>
        <v/>
      </c>
      <c s="94" t="str">
        <f t="shared" si="396"/>
        <v/>
      </c>
      <c s="95" t="str">
        <f t="shared" si="424"/>
        <v/>
      </c>
      <c s="98" t="str">
        <f t="shared" si="403"/>
        <v/>
      </c>
      <c s="97" t="str">
        <f t="array" ref="FG181">IFERROR(IF(FA181="ac"+ISNUMBER(SEARCH("'",FF181))+FE181="","",IF(ISNUMBER(SEARCH("lw",FF181)),ES181+SUBSTITUTE(FF181,"lw+",""),MROUND(_xlfn.SWITCH(FA181,"sq",FE$7,"bn",FF$7,"dl",FG$7,"")*IF(FF181&gt;10,FF181/100,VLOOKUP(FF181,_rpe,SUBSTITUTE(FE181,"+","")+1,0)),IF(_xlfn.SWITCH(FA181,"sq",FE$7,"bn",FF$7,"dl",FG$7,"")&lt;IF(_uom="lbs",175,80),1.25,IF(_uom="lbs",5,2.5))))),"")</f>
        <v/>
      </c>
      <c s="70"/>
      <c s="63"/>
      <c s="97"/>
      <c s="44" t="str">
        <f>IFERROR(__xludf.DUMMYFUNCTION("IF(FG181=MAX(FILTER(FG$10:FG$199,LOOKUP(ROW(FA$10:FA$199),FILTER(ROW(FA$10:FA$199),FA$10:FA$199&lt;&gt;FA$9:FA$198))=LOOKUP(ROW(FA181),FILTER(ROW(FA$10:FA$199),FA$10:FA$199&lt;&gt;FA$9:FA$198)))),FH181,)"),"")</f>
        <v/>
      </c>
      <c s="42"/>
      <c s="63"/>
      <c s="64" t="str">
        <f t="shared" si="38"/>
        <v/>
      </c>
      <c s="65" t="str">
        <f>IFERROR(__xludf.DUMMYFUNCTION("""COMPUTED_VALUE"""),"")</f>
        <v/>
      </c>
      <c s="66">
        <f ca="1"/>
        <v>45292</v>
      </c>
      <c s="93" t="str">
        <f t="shared" si="525" ref="FQ181:FR181">IF(ISBLANK(FC181),"",FC181)</f>
        <v/>
      </c>
      <c s="94" t="str">
        <f t="shared" si="525"/>
        <v/>
      </c>
      <c s="95" t="str">
        <f t="shared" si="428"/>
        <v/>
      </c>
      <c s="98" t="str">
        <f t="shared" si="429"/>
        <v/>
      </c>
      <c s="97" t="str">
        <f t="array" ref="FU181">IFERROR(IF(FO181="ac"+ISNUMBER(SEARCH("'",FT181))+FS181="","",IF(ISNUMBER(SEARCH("lw",FT181)),FG181+SUBSTITUTE(FT181,"lw+",""),MROUND(_xlfn.SWITCH(FO181,"sq",FS$7,"bn",FT$7,"dl",FU$7,"")*IF(FT181&gt;10,FT181/100,VLOOKUP(FT181,_rpe,SUBSTITUTE(FS181,"+","")+1,0)),IF(_xlfn.SWITCH(FO181,"sq",FS$7,"bn",FT$7,"dl",FU$7,"")&lt;IF(_uom="lbs",175,80),1.25,IF(_uom="lbs",5,2.5))))),"")</f>
        <v/>
      </c>
      <c s="70"/>
      <c s="63"/>
      <c s="97"/>
      <c s="44" t="str">
        <f>IFERROR(__xludf.DUMMYFUNCTION("IF(FU181=MAX(FILTER(FU$10:FU$199,LOOKUP(ROW(FO$10:FO$199),FILTER(ROW(FO$10:FO$199),FO$10:FO$199&lt;&gt;FO$9:FO$198))=LOOKUP(ROW(FO181),FILTER(ROW(FO$10:FO$199),FO$10:FO$199&lt;&gt;FO$9:FO$198)))),FV181,)"),"")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82" spans="1:259" ht="15.75">
      <c r="A182" s="63"/>
      <c s="107"/>
      <c s="65" t="str">
        <f>IFERROR(__xludf.DUMMYFUNCTION("""COMPUTED_VALUE"""),"")</f>
        <v/>
      </c>
      <c s="66">
        <f ca="1"/>
        <v>45208</v>
      </c>
      <c s="108"/>
      <c s="94"/>
      <c s="95"/>
      <c s="96"/>
      <c s="97" t="str">
        <f t="array" ref="I182">IFERROR(IF(C182="ac"+ISNUMBER(SEARCH("'",H182))+G182="","",MROUND(_xlfn.SWITCH(C182,"sq",'Personal Info'!$O$15,"bn",'Personal Info'!$S$15,"dl",'Personal Info'!$W$15,"")*IF(H182&gt;10,H182/100,VLOOKUP(H182,_rpe,SUBSTITUTE(G182,"+","")+1,0)),IF(_xlfn.SWITCH(C182:C210,"sq",'Personal Info'!$O$15,"bn",'Personal Info'!$S$15,"dl",'Personal Info'!$W$15,"")&lt;IF(_uom="lbs",175,80),1.25,IF(_uom="lbs",5,2.5)))),"")</f>
        <v/>
      </c>
      <c s="70"/>
      <c s="63"/>
      <c s="97"/>
      <c s="44" t="str">
        <f>IFERROR(__xludf.DUMMYFUNCTION("IF(I182=MAX(FILTER(I$10:I$199,LOOKUP(ROW(C$10:C$199),FILTER(ROW(C$10:C$199),C$10:C$199&lt;&gt;C$9:C$198))=LOOKUP(ROW(C182),FILTER(ROW(C$10:C$199),C$10:C$199&lt;&gt;C$9:C$198)))),J182,)"),"")</f>
        <v/>
      </c>
      <c s="42"/>
      <c s="63"/>
      <c s="64" t="str">
        <f t="shared" si="11"/>
        <v/>
      </c>
      <c s="65" t="str">
        <f>IFERROR(__xludf.DUMMYFUNCTION("""COMPUTED_VALUE"""),"")</f>
        <v/>
      </c>
      <c s="66">
        <f ca="1"/>
        <v>45215</v>
      </c>
      <c s="93" t="str">
        <f t="shared" si="12"/>
        <v/>
      </c>
      <c s="94" t="str">
        <f t="shared" si="404"/>
        <v/>
      </c>
      <c s="95" t="str">
        <f t="shared" si="406"/>
        <v/>
      </c>
      <c s="98" t="str">
        <f t="shared" si="407"/>
        <v/>
      </c>
      <c s="97" t="str">
        <f t="array" ref="W182">IFERROR(IF(Q182="ac"+ISNUMBER(SEARCH("'",V182))+U182="","",IF(ISNUMBER(SEARCH("lw",V182)),I182+SUBSTITUTE(V182,"lw+",""),MROUND(_xlfn.SWITCH(Q182,"sq",U$7,"bn",V$7,"dl",W$7,"")*IF(V182&gt;10,V182/100,VLOOKUP(V182,_rpe,SUBSTITUTE(U182,"+","")+1,0)),IF(_xlfn.SWITCH(Q182,"sq",U$7,"bn",V$7,"dl",W$7,"")&lt;IF(_uom="lbs",175,80),1.25,IF(_uom="lbs",5,2.5))))),"")</f>
        <v/>
      </c>
      <c s="70"/>
      <c s="63"/>
      <c s="97"/>
      <c s="44" t="str">
        <f>IFERROR(__xludf.DUMMYFUNCTION("IF(W182=MAX(FILTER(W$10:W$199,LOOKUP(ROW(Q$10:Q$199),FILTER(ROW(Q$10:Q$199),Q$10:Q$199&lt;&gt;Q$9:Q$198))=LOOKUP(ROW(Q182),FILTER(ROW(Q$10:Q$199),Q$10:Q$199&lt;&gt;Q$9:Q$198)))),X182,)"),"")</f>
        <v/>
      </c>
      <c s="42"/>
      <c s="63"/>
      <c s="64" t="str">
        <f t="shared" si="14"/>
        <v/>
      </c>
      <c s="65" t="str">
        <f>IFERROR(__xludf.DUMMYFUNCTION("""COMPUTED_VALUE"""),"")</f>
        <v/>
      </c>
      <c s="66">
        <f ca="1"/>
        <v>45222</v>
      </c>
      <c s="93" t="str">
        <f t="shared" si="156"/>
        <v/>
      </c>
      <c s="94" t="str">
        <f t="shared" si="397"/>
        <v/>
      </c>
      <c s="95" t="str">
        <f t="shared" si="408"/>
        <v/>
      </c>
      <c s="98" t="str">
        <f t="shared" si="398"/>
        <v/>
      </c>
      <c s="97" t="str">
        <f t="array" ref="AK182">IFERROR(IF(AE182="ac"+ISNUMBER(SEARCH("'",AJ182))+AI182="","",IF(ISNUMBER(SEARCH("lw",AJ182)),W182+SUBSTITUTE(AJ182,"lw+",""),MROUND(_xlfn.SWITCH(AE182,"sq",AI$7,"bn",AJ$7,"dl",AK$7,"")*IF(AJ182&gt;10,AJ182/100,VLOOKUP(AJ182,_rpe,SUBSTITUTE(AI182,"+","")+1,0)),IF(_xlfn.SWITCH(AE182,"sq",AI$7,"bn",AJ$7,"dl",AK$7,"")&lt;IF(_uom="lbs",175,80),1.25,IF(_uom="lbs",5,2.5))))),"")</f>
        <v/>
      </c>
      <c s="70"/>
      <c s="63"/>
      <c s="97"/>
      <c s="44" t="str">
        <f>IFERROR(__xludf.DUMMYFUNCTION("IF(AK182=MAX(FILTER(AK$10:AK$199,LOOKUP(ROW(AE$10:AE$199),FILTER(ROW(AE$10:AE$199),AE$10:AE$199&lt;&gt;AE$9:AE$198))=LOOKUP(ROW(AE182),FILTER(ROW(AE$10:AE$199),AE$10:AE$199&lt;&gt;AE$9:AE$198)))),AL182,)"),"")</f>
        <v/>
      </c>
      <c s="42"/>
      <c s="63"/>
      <c s="64" t="str">
        <f t="shared" si="17"/>
        <v/>
      </c>
      <c s="65" t="str">
        <f>IFERROR(__xludf.DUMMYFUNCTION("""COMPUTED_VALUE"""),"")</f>
        <v/>
      </c>
      <c s="66">
        <f ca="1"/>
        <v>45229</v>
      </c>
      <c s="93" t="str">
        <f t="shared" si="157"/>
        <v/>
      </c>
      <c s="94" t="str">
        <f t="shared" si="399"/>
        <v/>
      </c>
      <c s="95" t="str">
        <f t="shared" si="409"/>
        <v/>
      </c>
      <c s="98" t="str">
        <f t="shared" si="400"/>
        <v/>
      </c>
      <c s="97" t="str">
        <f t="array" ref="AY182">IFERROR(IF(AS182="ac"+ISNUMBER(SEARCH("'",AX182))+AW182="","",IF(ISNUMBER(SEARCH("lw",AX182)),AK182+SUBSTITUTE(AX182,"lw+",""),MROUND(_xlfn.SWITCH(AS182,"sq",AW$7,"bn",AX$7,"dl",AY$7,"")*IF(AX182&gt;10,AX182/100,VLOOKUP(AX182,_rpe,SUBSTITUTE(AW182,"+","")+1,0)),IF(_xlfn.SWITCH(AS182,"sq",AW$7,"bn",AX$7,"dl",AY$7,"")&lt;IF(_uom="lbs",175,80),1.25,IF(_uom="lbs",5,2.5))))),"")</f>
        <v/>
      </c>
      <c s="70"/>
      <c s="63"/>
      <c s="97"/>
      <c s="44" t="str">
        <f>IFERROR(__xludf.DUMMYFUNCTION("IF(AY182=MAX(FILTER(AY$10:AY$199,LOOKUP(ROW(AS$10:AS$199),FILTER(ROW(AS$10:AS$199),AS$10:AS$199&lt;&gt;AS$9:AS$198))=LOOKUP(ROW(AS182),FILTER(ROW(AS$10:AS$199),AS$10:AS$199&lt;&gt;AS$9:AS$198)))),AZ182,)"),"")</f>
        <v/>
      </c>
      <c s="42"/>
      <c s="63"/>
      <c s="64" t="str">
        <f t="shared" si="19"/>
        <v/>
      </c>
      <c s="65" t="str">
        <f>IFERROR(__xludf.DUMMYFUNCTION("""COMPUTED_VALUE"""),"")</f>
        <v/>
      </c>
      <c s="66">
        <f ca="1"/>
        <v>45236</v>
      </c>
      <c s="93" t="str">
        <f t="shared" si="20"/>
        <v/>
      </c>
      <c s="94" t="str">
        <f t="shared" si="425"/>
        <v/>
      </c>
      <c s="95" t="str">
        <f t="shared" si="411"/>
        <v/>
      </c>
      <c s="98" t="str">
        <f t="shared" si="412"/>
        <v/>
      </c>
      <c s="97" t="str">
        <f t="array" ref="BM182">IFERROR(IF(BG182="ac"+ISNUMBER(SEARCH("'",BL182))+BK182="","",IF(ISNUMBER(SEARCH("lw",BL182)),AY182+SUBSTITUTE(BL182,"lw+",""),MROUND(_xlfn.SWITCH(BG182,"sq",BK$7,"bn",BL$7,"dl",BM$7,"")*IF(BL182&gt;10,BL182/100,VLOOKUP(BL182,_rpe,SUBSTITUTE(BK182,"+","")+1,0)),IF(_xlfn.SWITCH(BG182,"sq",BK$7,"bn",BL$7,"dl",BM$7,"")&lt;IF(_uom="lbs",175,80),1.25,IF(_uom="lbs",5,2.5))))),"")</f>
        <v/>
      </c>
      <c s="70"/>
      <c s="63"/>
      <c s="97"/>
      <c s="44" t="str">
        <f>IFERROR(__xludf.DUMMYFUNCTION("IF(BM182=MAX(FILTER(BM$10:BM$199,LOOKUP(ROW(BG$10:BG$199),FILTER(ROW(BG$10:BG$199),BG$10:BG$199&lt;&gt;BG$9:BG$198))=LOOKUP(ROW(BG182),FILTER(ROW(BG$10:BG$199),BG$10:BG$199&lt;&gt;BG$9:BG$198)))),BN182,)"),"")</f>
        <v/>
      </c>
      <c s="42"/>
      <c s="63"/>
      <c s="64" t="str">
        <f t="shared" si="21"/>
        <v/>
      </c>
      <c s="65" t="str">
        <f>IFERROR(__xludf.DUMMYFUNCTION("""COMPUTED_VALUE"""),"")</f>
        <v/>
      </c>
      <c s="66">
        <f ca="1"/>
        <v>45243</v>
      </c>
      <c s="93" t="str">
        <f t="shared" si="22"/>
        <v/>
      </c>
      <c s="94" t="str">
        <f t="shared" si="426"/>
        <v/>
      </c>
      <c s="95" t="str">
        <f t="shared" si="414"/>
        <v/>
      </c>
      <c s="98" t="str">
        <f t="shared" si="415"/>
        <v/>
      </c>
      <c s="97" t="str">
        <f t="array" ref="CA182">IFERROR(IF(BU182="ac"+ISNUMBER(SEARCH("'",BZ182))+BY182="","",IF(ISNUMBER(SEARCH("lw",BZ182)),BM182+SUBSTITUTE(BZ182,"lw+",""),MROUND(_xlfn.SWITCH(BU182,"sq",BY$7,"bn",BZ$7,"dl",CA$7,"")*IF(BZ182&gt;10,BZ182/100,VLOOKUP(BZ182,_rpe,SUBSTITUTE(BY182,"+","")+1,0)),IF(_xlfn.SWITCH(BU182,"sq",BY$7,"bn",BZ$7,"dl",CA$7,"")&lt;IF(_uom="lbs",175,80),1.25,IF(_uom="lbs",5,2.5))))),"")</f>
        <v/>
      </c>
      <c s="70"/>
      <c s="63"/>
      <c s="97"/>
      <c s="44" t="str">
        <f>IFERROR(__xludf.DUMMYFUNCTION("IF(CA182=MAX(FILTER(CA$10:CA$199,LOOKUP(ROW(BU$10:BU$199),FILTER(ROW(BU$10:BU$199),BU$10:BU$199&lt;&gt;BU$9:BU$198))=LOOKUP(ROW(BU182),FILTER(ROW(BU$10:BU$199),BU$10:BU$199&lt;&gt;BU$9:BU$198)))),CB182,)"),"")</f>
        <v/>
      </c>
      <c s="42"/>
      <c s="63"/>
      <c s="64" t="str">
        <f t="shared" si="24"/>
        <v/>
      </c>
      <c s="65" t="str">
        <f>IFERROR(__xludf.DUMMYFUNCTION("""COMPUTED_VALUE"""),"")</f>
        <v/>
      </c>
      <c s="66">
        <f ca="1"/>
        <v>45250</v>
      </c>
      <c s="93" t="str">
        <f t="shared" si="44"/>
        <v/>
      </c>
      <c s="94" t="str">
        <f t="shared" si="392"/>
        <v/>
      </c>
      <c s="95" t="str">
        <f t="shared" si="416"/>
        <v/>
      </c>
      <c s="98" t="str">
        <f t="shared" si="417"/>
        <v/>
      </c>
      <c s="97" t="str">
        <f t="array" ref="CO182">IFERROR(IF(CI182="ac"+ISNUMBER(SEARCH("'",CN182))+CM182="","",IF(ISNUMBER(SEARCH("lw",CN182)),CA182+SUBSTITUTE(CN182,"lw+",""),MROUND(_xlfn.SWITCH(CI182,"sq",CM$7,"bn",CN$7,"dl",CO$7,"")*IF(CN182&gt;10,CN182/100,VLOOKUP(CN182,_rpe,SUBSTITUTE(CM182,"+","")+1,0)),IF(_xlfn.SWITCH(CI182,"sq",CM$7,"bn",CN$7,"dl",CO$7,"")&lt;IF(_uom="lbs",175,80),1.25,IF(_uom="lbs",5,2.5))))),"")</f>
        <v/>
      </c>
      <c s="70"/>
      <c s="63"/>
      <c s="97"/>
      <c s="44" t="str">
        <f>IFERROR(__xludf.DUMMYFUNCTION("IF(CO182=MAX(FILTER(CO$10:CO$199,LOOKUP(ROW(CI$10:CI$199),FILTER(ROW(CI$10:CI$199),CI$10:CI$199&lt;&gt;CI$9:CI$198))=LOOKUP(ROW(CI182),FILTER(ROW(CI$10:CI$199),CI$10:CI$199&lt;&gt;CI$9:CI$198)))),CP182,)"),"")</f>
        <v/>
      </c>
      <c s="42"/>
      <c s="63"/>
      <c s="64" t="str">
        <f t="shared" si="27"/>
        <v/>
      </c>
      <c s="65" t="str">
        <f>IFERROR(__xludf.DUMMYFUNCTION("""COMPUTED_VALUE"""),"")</f>
        <v/>
      </c>
      <c s="66">
        <f ca="1"/>
        <v>45257</v>
      </c>
      <c s="93" t="str">
        <f t="shared" si="45"/>
        <v/>
      </c>
      <c s="94" t="str">
        <f t="shared" si="393"/>
        <v/>
      </c>
      <c s="95" t="str">
        <f t="shared" si="418"/>
        <v/>
      </c>
      <c s="98" t="str">
        <f t="shared" si="401"/>
        <v/>
      </c>
      <c s="97" t="str">
        <f t="array" ref="DC182">IFERROR(IF(CW182="ac"+ISNUMBER(SEARCH("'",DB182))+DA182="","",IF(ISNUMBER(SEARCH("lw",DB182)),CO182+SUBSTITUTE(DB182,"lw+",""),MROUND(_xlfn.SWITCH(CW182,"sq",DA$7,"bn",DB$7,"dl",DC$7,"")*IF(DB182&gt;10,DB182/100,VLOOKUP(DB182,_rpe,SUBSTITUTE(DA182,"+","")+1,0)),IF(_xlfn.SWITCH(CW182,"sq",DA$7,"bn",DB$7,"dl",DC$7,"")&lt;IF(_uom="lbs",175,80),1.25,IF(_uom="lbs",5,2.5))))),"")</f>
        <v/>
      </c>
      <c s="70"/>
      <c s="63"/>
      <c s="97"/>
      <c s="44" t="str">
        <f>IFERROR(__xludf.DUMMYFUNCTION("IF(DC182=MAX(FILTER(DC$10:DC$199,LOOKUP(ROW(CW$10:CW$199),FILTER(ROW(CW$10:CW$199),CW$10:CW$199&lt;&gt;CW$9:CW$198))=LOOKUP(ROW(CW182),FILTER(ROW(CW$10:CW$199),CW$10:CW$199&lt;&gt;CW$9:CW$198)))),DD182,)"),"")</f>
        <v/>
      </c>
      <c s="42"/>
      <c s="63"/>
      <c s="64" t="str">
        <f t="shared" si="30"/>
        <v/>
      </c>
      <c s="65" t="str">
        <f>IFERROR(__xludf.DUMMYFUNCTION("""COMPUTED_VALUE"""),"")</f>
        <v/>
      </c>
      <c s="66">
        <f ca="1"/>
        <v>45264</v>
      </c>
      <c s="93" t="str">
        <f t="shared" si="46"/>
        <v/>
      </c>
      <c s="94" t="str">
        <f t="shared" si="394"/>
        <v/>
      </c>
      <c s="95" t="str">
        <f t="shared" si="419"/>
        <v/>
      </c>
      <c s="98" t="str">
        <f t="shared" si="420"/>
        <v/>
      </c>
      <c s="97" t="str">
        <f t="array" ref="DQ182">IFERROR(IF(DK182="ac"+ISNUMBER(SEARCH("'",DP182))+DO182="","",IF(ISNUMBER(SEARCH("lw",DP182)),DC182+SUBSTITUTE(DP182,"lw+",""),MROUND(_xlfn.SWITCH(DK182,"sq",DO$7,"bn",DP$7,"dl",DQ$7,"")*IF(DP182&gt;10,DP182/100,VLOOKUP(DP182,_rpe,SUBSTITUTE(DO182,"+","")+1,0)),IF(_xlfn.SWITCH(DK182,"sq",DO$7,"bn",DP$7,"dl",DQ$7,"")&lt;IF(_uom="lbs",175,80),1.25,IF(_uom="lbs",5,2.5))))),"")</f>
        <v/>
      </c>
      <c s="70"/>
      <c s="63"/>
      <c s="97"/>
      <c s="44" t="str">
        <f>IFERROR(__xludf.DUMMYFUNCTION("IF(DQ182=MAX(FILTER(DQ$10:DQ$199,LOOKUP(ROW(DK$10:DK$199),FILTER(ROW(DK$10:DK$199),DK$10:DK$199&lt;&gt;DK$9:DK$198))=LOOKUP(ROW(DK182),FILTER(ROW(DK$10:DK$199),DK$10:DK$199&lt;&gt;DK$9:DK$198)))),DR182,)"),"")</f>
        <v/>
      </c>
      <c s="42"/>
      <c s="63"/>
      <c s="64" t="str">
        <f t="shared" si="32"/>
        <v/>
      </c>
      <c s="65" t="str">
        <f>IFERROR(__xludf.DUMMYFUNCTION("""COMPUTED_VALUE"""),"")</f>
        <v/>
      </c>
      <c s="66">
        <f ca="1"/>
        <v>45271</v>
      </c>
      <c s="93" t="str">
        <f t="shared" si="47"/>
        <v/>
      </c>
      <c s="94" t="str">
        <f t="shared" si="405"/>
        <v/>
      </c>
      <c s="95" t="str">
        <f t="shared" si="421"/>
        <v/>
      </c>
      <c s="98" t="str">
        <f t="shared" si="422"/>
        <v/>
      </c>
      <c s="97" t="str">
        <f t="array" ref="EE182">IFERROR(IF(DY182="ac"+ISNUMBER(SEARCH("'",ED182))+EC182="","",IF(ISNUMBER(SEARCH("lw",ED182)),DQ182+SUBSTITUTE(ED182,"lw+",""),MROUND(_xlfn.SWITCH(DY182,"sq",EC$7,"bn",ED$7,"dl",EE$7,"")*IF(ED182&gt;10,ED182/100,VLOOKUP(ED182,_rpe,SUBSTITUTE(EC182,"+","")+1,0)),IF(_xlfn.SWITCH(DY182,"sq",EC$7,"bn",ED$7,"dl",EE$7,"")&lt;IF(_uom="lbs",175,80),1.25,IF(_uom="lbs",5,2.5))))),"")</f>
        <v/>
      </c>
      <c s="70"/>
      <c s="63"/>
      <c s="97"/>
      <c s="44" t="str">
        <f>IFERROR(__xludf.DUMMYFUNCTION("IF(EE182=MAX(FILTER(EE$10:EE$199,LOOKUP(ROW(DY$10:DY$199),FILTER(ROW(DY$10:DY$199),DY$10:DY$199&lt;&gt;DY$9:DY$198))=LOOKUP(ROW(DY182),FILTER(ROW(DY$10:DY$199),DY$10:DY$199&lt;&gt;DY$9:DY$198)))),EF182,)"),"")</f>
        <v/>
      </c>
      <c s="42"/>
      <c s="63"/>
      <c s="64" t="str">
        <f t="shared" si="34"/>
        <v/>
      </c>
      <c s="65" t="str">
        <f>IFERROR(__xludf.DUMMYFUNCTION("""COMPUTED_VALUE"""),"")</f>
        <v/>
      </c>
      <c s="66">
        <f ca="1"/>
        <v>45278</v>
      </c>
      <c s="93" t="str">
        <f t="shared" si="48"/>
        <v/>
      </c>
      <c s="94" t="str">
        <f t="shared" si="395"/>
        <v/>
      </c>
      <c s="95" t="str">
        <f t="shared" si="423"/>
        <v/>
      </c>
      <c s="98" t="str">
        <f t="shared" si="402"/>
        <v/>
      </c>
      <c s="97" t="str">
        <f t="array" ref="ES182">IFERROR(IF(EM182="ac"+ISNUMBER(SEARCH("'",ER182))+EQ182="","",IF(ISNUMBER(SEARCH("lw",ER182)),EE182+SUBSTITUTE(ER182,"lw+",""),MROUND(_xlfn.SWITCH(EM182,"sq",EQ$7,"bn",ER$7,"dl",ES$7,"")*IF(ER182&gt;10,ER182/100,VLOOKUP(ER182,_rpe,SUBSTITUTE(EQ182,"+","")+1,0)),IF(_xlfn.SWITCH(EM182,"sq",EQ$7,"bn",ER$7,"dl",ES$7,"")&lt;IF(_uom="lbs",175,80),1.25,IF(_uom="lbs",5,2.5))))),"")</f>
        <v/>
      </c>
      <c s="70"/>
      <c s="63"/>
      <c s="97"/>
      <c s="44" t="str">
        <f>IFERROR(__xludf.DUMMYFUNCTION("IF(ES182=MAX(FILTER(ES$10:ES$199,LOOKUP(ROW(EM$10:EM$199),FILTER(ROW(EM$10:EM$199),EM$10:EM$199&lt;&gt;EM$9:EM$198))=LOOKUP(ROW(EM182),FILTER(ROW(EM$10:EM$199),EM$10:EM$199&lt;&gt;EM$9:EM$198)))),ET182,)"),"")</f>
        <v/>
      </c>
      <c s="42"/>
      <c s="63"/>
      <c s="64" t="str">
        <f t="shared" si="36"/>
        <v/>
      </c>
      <c s="65" t="str">
        <f>IFERROR(__xludf.DUMMYFUNCTION("""COMPUTED_VALUE"""),"")</f>
        <v/>
      </c>
      <c s="66">
        <f ca="1"/>
        <v>45285</v>
      </c>
      <c s="93" t="str">
        <f t="shared" si="49"/>
        <v/>
      </c>
      <c s="94" t="str">
        <f t="shared" si="396"/>
        <v/>
      </c>
      <c s="95" t="str">
        <f t="shared" si="424"/>
        <v/>
      </c>
      <c s="98" t="str">
        <f t="shared" si="403"/>
        <v/>
      </c>
      <c s="97" t="str">
        <f t="array" ref="FG182">IFERROR(IF(FA182="ac"+ISNUMBER(SEARCH("'",FF182))+FE182="","",IF(ISNUMBER(SEARCH("lw",FF182)),ES182+SUBSTITUTE(FF182,"lw+",""),MROUND(_xlfn.SWITCH(FA182,"sq",FE$7,"bn",FF$7,"dl",FG$7,"")*IF(FF182&gt;10,FF182/100,VLOOKUP(FF182,_rpe,SUBSTITUTE(FE182,"+","")+1,0)),IF(_xlfn.SWITCH(FA182,"sq",FE$7,"bn",FF$7,"dl",FG$7,"")&lt;IF(_uom="lbs",175,80),1.25,IF(_uom="lbs",5,2.5))))),"")</f>
        <v/>
      </c>
      <c s="70"/>
      <c s="63"/>
      <c s="97"/>
      <c s="44" t="str">
        <f>IFERROR(__xludf.DUMMYFUNCTION("IF(FG182=MAX(FILTER(FG$10:FG$199,LOOKUP(ROW(FA$10:FA$199),FILTER(ROW(FA$10:FA$199),FA$10:FA$199&lt;&gt;FA$9:FA$198))=LOOKUP(ROW(FA182),FILTER(ROW(FA$10:FA$199),FA$10:FA$199&lt;&gt;FA$9:FA$198)))),FH182,)"),"")</f>
        <v/>
      </c>
      <c s="42"/>
      <c s="63"/>
      <c s="64" t="str">
        <f t="shared" si="38"/>
        <v/>
      </c>
      <c s="65" t="str">
        <f>IFERROR(__xludf.DUMMYFUNCTION("""COMPUTED_VALUE"""),"")</f>
        <v/>
      </c>
      <c s="66">
        <f ca="1"/>
        <v>45292</v>
      </c>
      <c s="93" t="str">
        <f t="shared" si="526" ref="FQ182:FR182">IF(ISBLANK(FC182),"",FC182)</f>
        <v/>
      </c>
      <c s="94" t="str">
        <f t="shared" si="526"/>
        <v/>
      </c>
      <c s="95" t="str">
        <f t="shared" si="428"/>
        <v/>
      </c>
      <c s="98" t="str">
        <f t="shared" si="429"/>
        <v/>
      </c>
      <c s="97" t="str">
        <f t="array" ref="FU182">IFERROR(IF(FO182="ac"+ISNUMBER(SEARCH("'",FT182))+FS182="","",IF(ISNUMBER(SEARCH("lw",FT182)),FG182+SUBSTITUTE(FT182,"lw+",""),MROUND(_xlfn.SWITCH(FO182,"sq",FS$7,"bn",FT$7,"dl",FU$7,"")*IF(FT182&gt;10,FT182/100,VLOOKUP(FT182,_rpe,SUBSTITUTE(FS182,"+","")+1,0)),IF(_xlfn.SWITCH(FO182,"sq",FS$7,"bn",FT$7,"dl",FU$7,"")&lt;IF(_uom="lbs",175,80),1.25,IF(_uom="lbs",5,2.5))))),"")</f>
        <v/>
      </c>
      <c s="70"/>
      <c s="63"/>
      <c s="97"/>
      <c s="44" t="str">
        <f>IFERROR(__xludf.DUMMYFUNCTION("IF(FU182=MAX(FILTER(FU$10:FU$199,LOOKUP(ROW(FO$10:FO$199),FILTER(ROW(FO$10:FO$199),FO$10:FO$199&lt;&gt;FO$9:FO$198))=LOOKUP(ROW(FO182),FILTER(ROW(FO$10:FO$199),FO$10:FO$199&lt;&gt;FO$9:FO$198)))),FV182,)"),"")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83" spans="1:259" ht="15.75">
      <c r="A183" s="63"/>
      <c s="107"/>
      <c s="65" t="str">
        <f>IFERROR(__xludf.DUMMYFUNCTION("""COMPUTED_VALUE"""),"")</f>
        <v/>
      </c>
      <c s="66">
        <f ca="1"/>
        <v>45208</v>
      </c>
      <c s="108"/>
      <c s="94"/>
      <c s="95"/>
      <c s="96"/>
      <c s="97" t="str">
        <f t="array" ref="I183">IFERROR(IF(C183="ac"+ISNUMBER(SEARCH("'",H183))+G183="","",MROUND(_xlfn.SWITCH(C183,"sq",'Personal Info'!$O$15,"bn",'Personal Info'!$S$15,"dl",'Personal Info'!$W$15,"")*IF(H183&gt;10,H183/100,VLOOKUP(H183,_rpe,SUBSTITUTE(G183,"+","")+1,0)),IF(_xlfn.SWITCH(C183:C210,"sq",'Personal Info'!$O$15,"bn",'Personal Info'!$S$15,"dl",'Personal Info'!$W$15,"")&lt;IF(_uom="lbs",175,80),1.25,IF(_uom="lbs",5,2.5)))),"")</f>
        <v/>
      </c>
      <c s="70"/>
      <c s="63"/>
      <c s="97"/>
      <c s="44" t="str">
        <f>IFERROR(__xludf.DUMMYFUNCTION("IF(I183=MAX(FILTER(I$10:I$199,LOOKUP(ROW(C$10:C$199),FILTER(ROW(C$10:C$199),C$10:C$199&lt;&gt;C$9:C$198))=LOOKUP(ROW(C183),FILTER(ROW(C$10:C$199),C$10:C$199&lt;&gt;C$9:C$198)))),J183,)"),"")</f>
        <v/>
      </c>
      <c s="42"/>
      <c s="63"/>
      <c s="64" t="str">
        <f t="shared" si="11"/>
        <v/>
      </c>
      <c s="65" t="str">
        <f>IFERROR(__xludf.DUMMYFUNCTION("""COMPUTED_VALUE"""),"")</f>
        <v/>
      </c>
      <c s="66">
        <f ca="1"/>
        <v>45215</v>
      </c>
      <c s="93" t="str">
        <f t="shared" si="12"/>
        <v/>
      </c>
      <c s="94" t="str">
        <f t="shared" si="404"/>
        <v/>
      </c>
      <c s="95" t="str">
        <f t="shared" si="406"/>
        <v/>
      </c>
      <c s="98" t="str">
        <f t="shared" si="407"/>
        <v/>
      </c>
      <c s="97" t="str">
        <f t="array" ref="W183">IFERROR(IF(Q183="ac"+ISNUMBER(SEARCH("'",V183))+U183="","",IF(ISNUMBER(SEARCH("lw",V183)),I183+SUBSTITUTE(V183,"lw+",""),MROUND(_xlfn.SWITCH(Q183,"sq",U$7,"bn",V$7,"dl",W$7,"")*IF(V183&gt;10,V183/100,VLOOKUP(V183,_rpe,SUBSTITUTE(U183,"+","")+1,0)),IF(_xlfn.SWITCH(Q183,"sq",U$7,"bn",V$7,"dl",W$7,"")&lt;IF(_uom="lbs",175,80),1.25,IF(_uom="lbs",5,2.5))))),"")</f>
        <v/>
      </c>
      <c s="70"/>
      <c s="63"/>
      <c s="97"/>
      <c s="44" t="str">
        <f>IFERROR(__xludf.DUMMYFUNCTION("IF(W183=MAX(FILTER(W$10:W$199,LOOKUP(ROW(Q$10:Q$199),FILTER(ROW(Q$10:Q$199),Q$10:Q$199&lt;&gt;Q$9:Q$198))=LOOKUP(ROW(Q183),FILTER(ROW(Q$10:Q$199),Q$10:Q$199&lt;&gt;Q$9:Q$198)))),X183,)"),"")</f>
        <v/>
      </c>
      <c s="42"/>
      <c s="63"/>
      <c s="64" t="str">
        <f t="shared" si="14"/>
        <v/>
      </c>
      <c s="65" t="str">
        <f>IFERROR(__xludf.DUMMYFUNCTION("""COMPUTED_VALUE"""),"")</f>
        <v/>
      </c>
      <c s="66">
        <f ca="1"/>
        <v>45222</v>
      </c>
      <c s="93" t="str">
        <f t="shared" si="156"/>
        <v/>
      </c>
      <c s="94" t="str">
        <f t="shared" si="397"/>
        <v/>
      </c>
      <c s="95" t="str">
        <f t="shared" si="408"/>
        <v/>
      </c>
      <c s="98" t="str">
        <f t="shared" si="398"/>
        <v/>
      </c>
      <c s="97" t="str">
        <f t="array" ref="AK183">IFERROR(IF(AE183="ac"+ISNUMBER(SEARCH("'",AJ183))+AI183="","",IF(ISNUMBER(SEARCH("lw",AJ183)),W183+SUBSTITUTE(AJ183,"lw+",""),MROUND(_xlfn.SWITCH(AE183,"sq",AI$7,"bn",AJ$7,"dl",AK$7,"")*IF(AJ183&gt;10,AJ183/100,VLOOKUP(AJ183,_rpe,SUBSTITUTE(AI183,"+","")+1,0)),IF(_xlfn.SWITCH(AE183,"sq",AI$7,"bn",AJ$7,"dl",AK$7,"")&lt;IF(_uom="lbs",175,80),1.25,IF(_uom="lbs",5,2.5))))),"")</f>
        <v/>
      </c>
      <c s="70"/>
      <c s="63"/>
      <c s="97"/>
      <c s="44" t="str">
        <f>IFERROR(__xludf.DUMMYFUNCTION("IF(AK183=MAX(FILTER(AK$10:AK$199,LOOKUP(ROW(AE$10:AE$199),FILTER(ROW(AE$10:AE$199),AE$10:AE$199&lt;&gt;AE$9:AE$198))=LOOKUP(ROW(AE183),FILTER(ROW(AE$10:AE$199),AE$10:AE$199&lt;&gt;AE$9:AE$198)))),AL183,)"),"")</f>
        <v/>
      </c>
      <c s="42"/>
      <c s="63"/>
      <c s="64" t="str">
        <f t="shared" si="17"/>
        <v/>
      </c>
      <c s="65" t="str">
        <f>IFERROR(__xludf.DUMMYFUNCTION("""COMPUTED_VALUE"""),"")</f>
        <v/>
      </c>
      <c s="66">
        <f ca="1"/>
        <v>45229</v>
      </c>
      <c s="93" t="str">
        <f t="shared" si="157"/>
        <v/>
      </c>
      <c s="94" t="str">
        <f t="shared" si="399"/>
        <v/>
      </c>
      <c s="95" t="str">
        <f t="shared" si="409"/>
        <v/>
      </c>
      <c s="98" t="str">
        <f t="shared" si="400"/>
        <v/>
      </c>
      <c s="97" t="str">
        <f t="array" ref="AY183">IFERROR(IF(AS183="ac"+ISNUMBER(SEARCH("'",AX183))+AW183="","",IF(ISNUMBER(SEARCH("lw",AX183)),AK183+SUBSTITUTE(AX183,"lw+",""),MROUND(_xlfn.SWITCH(AS183,"sq",AW$7,"bn",AX$7,"dl",AY$7,"")*IF(AX183&gt;10,AX183/100,VLOOKUP(AX183,_rpe,SUBSTITUTE(AW183,"+","")+1,0)),IF(_xlfn.SWITCH(AS183,"sq",AW$7,"bn",AX$7,"dl",AY$7,"")&lt;IF(_uom="lbs",175,80),1.25,IF(_uom="lbs",5,2.5))))),"")</f>
        <v/>
      </c>
      <c s="70"/>
      <c s="63"/>
      <c s="97"/>
      <c s="44" t="str">
        <f>IFERROR(__xludf.DUMMYFUNCTION("IF(AY183=MAX(FILTER(AY$10:AY$199,LOOKUP(ROW(AS$10:AS$199),FILTER(ROW(AS$10:AS$199),AS$10:AS$199&lt;&gt;AS$9:AS$198))=LOOKUP(ROW(AS183),FILTER(ROW(AS$10:AS$199),AS$10:AS$199&lt;&gt;AS$9:AS$198)))),AZ183,)"),"")</f>
        <v/>
      </c>
      <c s="42"/>
      <c s="63"/>
      <c s="64" t="str">
        <f t="shared" si="19"/>
        <v/>
      </c>
      <c s="65" t="str">
        <f>IFERROR(__xludf.DUMMYFUNCTION("""COMPUTED_VALUE"""),"")</f>
        <v/>
      </c>
      <c s="66">
        <f ca="1"/>
        <v>45236</v>
      </c>
      <c s="93" t="str">
        <f t="shared" si="20"/>
        <v/>
      </c>
      <c s="94" t="str">
        <f t="shared" si="425"/>
        <v/>
      </c>
      <c s="95" t="str">
        <f t="shared" si="411"/>
        <v/>
      </c>
      <c s="98" t="str">
        <f t="shared" si="412"/>
        <v/>
      </c>
      <c s="97" t="str">
        <f t="array" ref="BM183">IFERROR(IF(BG183="ac"+ISNUMBER(SEARCH("'",BL183))+BK183="","",IF(ISNUMBER(SEARCH("lw",BL183)),AY183+SUBSTITUTE(BL183,"lw+",""),MROUND(_xlfn.SWITCH(BG183,"sq",BK$7,"bn",BL$7,"dl",BM$7,"")*IF(BL183&gt;10,BL183/100,VLOOKUP(BL183,_rpe,SUBSTITUTE(BK183,"+","")+1,0)),IF(_xlfn.SWITCH(BG183,"sq",BK$7,"bn",BL$7,"dl",BM$7,"")&lt;IF(_uom="lbs",175,80),1.25,IF(_uom="lbs",5,2.5))))),"")</f>
        <v/>
      </c>
      <c s="70"/>
      <c s="63"/>
      <c s="97"/>
      <c s="44" t="str">
        <f>IFERROR(__xludf.DUMMYFUNCTION("IF(BM183=MAX(FILTER(BM$10:BM$199,LOOKUP(ROW(BG$10:BG$199),FILTER(ROW(BG$10:BG$199),BG$10:BG$199&lt;&gt;BG$9:BG$198))=LOOKUP(ROW(BG183),FILTER(ROW(BG$10:BG$199),BG$10:BG$199&lt;&gt;BG$9:BG$198)))),BN183,)"),"")</f>
        <v/>
      </c>
      <c s="42"/>
      <c s="63"/>
      <c s="64" t="str">
        <f t="shared" si="21"/>
        <v/>
      </c>
      <c s="65" t="str">
        <f>IFERROR(__xludf.DUMMYFUNCTION("""COMPUTED_VALUE"""),"")</f>
        <v/>
      </c>
      <c s="66">
        <f ca="1"/>
        <v>45243</v>
      </c>
      <c s="93" t="str">
        <f t="shared" si="22"/>
        <v/>
      </c>
      <c s="94" t="str">
        <f t="shared" si="426"/>
        <v/>
      </c>
      <c s="95" t="str">
        <f t="shared" si="414"/>
        <v/>
      </c>
      <c s="98" t="str">
        <f t="shared" si="415"/>
        <v/>
      </c>
      <c s="97" t="str">
        <f t="array" ref="CA183">IFERROR(IF(BU183="ac"+ISNUMBER(SEARCH("'",BZ183))+BY183="","",IF(ISNUMBER(SEARCH("lw",BZ183)),BM183+SUBSTITUTE(BZ183,"lw+",""),MROUND(_xlfn.SWITCH(BU183,"sq",BY$7,"bn",BZ$7,"dl",CA$7,"")*IF(BZ183&gt;10,BZ183/100,VLOOKUP(BZ183,_rpe,SUBSTITUTE(BY183,"+","")+1,0)),IF(_xlfn.SWITCH(BU183,"sq",BY$7,"bn",BZ$7,"dl",CA$7,"")&lt;IF(_uom="lbs",175,80),1.25,IF(_uom="lbs",5,2.5))))),"")</f>
        <v/>
      </c>
      <c s="70"/>
      <c s="63"/>
      <c s="97"/>
      <c s="44" t="str">
        <f>IFERROR(__xludf.DUMMYFUNCTION("IF(CA183=MAX(FILTER(CA$10:CA$199,LOOKUP(ROW(BU$10:BU$199),FILTER(ROW(BU$10:BU$199),BU$10:BU$199&lt;&gt;BU$9:BU$198))=LOOKUP(ROW(BU183),FILTER(ROW(BU$10:BU$199),BU$10:BU$199&lt;&gt;BU$9:BU$198)))),CB183,)"),"")</f>
        <v/>
      </c>
      <c s="42"/>
      <c s="63"/>
      <c s="64" t="str">
        <f t="shared" si="24"/>
        <v/>
      </c>
      <c s="65" t="str">
        <f>IFERROR(__xludf.DUMMYFUNCTION("""COMPUTED_VALUE"""),"")</f>
        <v/>
      </c>
      <c s="66">
        <f ca="1"/>
        <v>45250</v>
      </c>
      <c s="93" t="str">
        <f t="shared" si="44"/>
        <v/>
      </c>
      <c s="94" t="str">
        <f t="shared" si="392"/>
        <v/>
      </c>
      <c s="95" t="str">
        <f t="shared" si="416"/>
        <v/>
      </c>
      <c s="98" t="str">
        <f t="shared" si="417"/>
        <v/>
      </c>
      <c s="97" t="str">
        <f t="array" ref="CO183">IFERROR(IF(CI183="ac"+ISNUMBER(SEARCH("'",CN183))+CM183="","",IF(ISNUMBER(SEARCH("lw",CN183)),CA183+SUBSTITUTE(CN183,"lw+",""),MROUND(_xlfn.SWITCH(CI183,"sq",CM$7,"bn",CN$7,"dl",CO$7,"")*IF(CN183&gt;10,CN183/100,VLOOKUP(CN183,_rpe,SUBSTITUTE(CM183,"+","")+1,0)),IF(_xlfn.SWITCH(CI183,"sq",CM$7,"bn",CN$7,"dl",CO$7,"")&lt;IF(_uom="lbs",175,80),1.25,IF(_uom="lbs",5,2.5))))),"")</f>
        <v/>
      </c>
      <c s="70"/>
      <c s="63"/>
      <c s="97"/>
      <c s="44" t="str">
        <f>IFERROR(__xludf.DUMMYFUNCTION("IF(CO183=MAX(FILTER(CO$10:CO$199,LOOKUP(ROW(CI$10:CI$199),FILTER(ROW(CI$10:CI$199),CI$10:CI$199&lt;&gt;CI$9:CI$198))=LOOKUP(ROW(CI183),FILTER(ROW(CI$10:CI$199),CI$10:CI$199&lt;&gt;CI$9:CI$198)))),CP183,)"),"")</f>
        <v/>
      </c>
      <c s="42"/>
      <c s="63"/>
      <c s="64" t="str">
        <f t="shared" si="27"/>
        <v/>
      </c>
      <c s="65" t="str">
        <f>IFERROR(__xludf.DUMMYFUNCTION("""COMPUTED_VALUE"""),"")</f>
        <v/>
      </c>
      <c s="66">
        <f ca="1"/>
        <v>45257</v>
      </c>
      <c s="93" t="str">
        <f t="shared" si="45"/>
        <v/>
      </c>
      <c s="94" t="str">
        <f t="shared" si="393"/>
        <v/>
      </c>
      <c s="95" t="str">
        <f t="shared" si="418"/>
        <v/>
      </c>
      <c s="98" t="str">
        <f t="shared" si="401"/>
        <v/>
      </c>
      <c s="97" t="str">
        <f t="array" ref="DC183">IFERROR(IF(CW183="ac"+ISNUMBER(SEARCH("'",DB183))+DA183="","",IF(ISNUMBER(SEARCH("lw",DB183)),CO183+SUBSTITUTE(DB183,"lw+",""),MROUND(_xlfn.SWITCH(CW183,"sq",DA$7,"bn",DB$7,"dl",DC$7,"")*IF(DB183&gt;10,DB183/100,VLOOKUP(DB183,_rpe,SUBSTITUTE(DA183,"+","")+1,0)),IF(_xlfn.SWITCH(CW183,"sq",DA$7,"bn",DB$7,"dl",DC$7,"")&lt;IF(_uom="lbs",175,80),1.25,IF(_uom="lbs",5,2.5))))),"")</f>
        <v/>
      </c>
      <c s="70"/>
      <c s="63"/>
      <c s="97"/>
      <c s="44" t="str">
        <f>IFERROR(__xludf.DUMMYFUNCTION("IF(DC183=MAX(FILTER(DC$10:DC$199,LOOKUP(ROW(CW$10:CW$199),FILTER(ROW(CW$10:CW$199),CW$10:CW$199&lt;&gt;CW$9:CW$198))=LOOKUP(ROW(CW183),FILTER(ROW(CW$10:CW$199),CW$10:CW$199&lt;&gt;CW$9:CW$198)))),DD183,)"),"")</f>
        <v/>
      </c>
      <c s="42"/>
      <c s="63"/>
      <c s="64" t="str">
        <f t="shared" si="30"/>
        <v/>
      </c>
      <c s="65" t="str">
        <f>IFERROR(__xludf.DUMMYFUNCTION("""COMPUTED_VALUE"""),"")</f>
        <v/>
      </c>
      <c s="66">
        <f ca="1"/>
        <v>45264</v>
      </c>
      <c s="93" t="str">
        <f t="shared" si="46"/>
        <v/>
      </c>
      <c s="94" t="str">
        <f t="shared" si="394"/>
        <v/>
      </c>
      <c s="95" t="str">
        <f t="shared" si="419"/>
        <v/>
      </c>
      <c s="98" t="str">
        <f t="shared" si="420"/>
        <v/>
      </c>
      <c s="97" t="str">
        <f t="array" ref="DQ183">IFERROR(IF(DK183="ac"+ISNUMBER(SEARCH("'",DP183))+DO183="","",IF(ISNUMBER(SEARCH("lw",DP183)),DC183+SUBSTITUTE(DP183,"lw+",""),MROUND(_xlfn.SWITCH(DK183,"sq",DO$7,"bn",DP$7,"dl",DQ$7,"")*IF(DP183&gt;10,DP183/100,VLOOKUP(DP183,_rpe,SUBSTITUTE(DO183,"+","")+1,0)),IF(_xlfn.SWITCH(DK183,"sq",DO$7,"bn",DP$7,"dl",DQ$7,"")&lt;IF(_uom="lbs",175,80),1.25,IF(_uom="lbs",5,2.5))))),"")</f>
        <v/>
      </c>
      <c s="70"/>
      <c s="63"/>
      <c s="97"/>
      <c s="44" t="str">
        <f>IFERROR(__xludf.DUMMYFUNCTION("IF(DQ183=MAX(FILTER(DQ$10:DQ$199,LOOKUP(ROW(DK$10:DK$199),FILTER(ROW(DK$10:DK$199),DK$10:DK$199&lt;&gt;DK$9:DK$198))=LOOKUP(ROW(DK183),FILTER(ROW(DK$10:DK$199),DK$10:DK$199&lt;&gt;DK$9:DK$198)))),DR183,)"),"")</f>
        <v/>
      </c>
      <c s="42"/>
      <c s="63"/>
      <c s="64" t="str">
        <f t="shared" si="32"/>
        <v/>
      </c>
      <c s="65" t="str">
        <f>IFERROR(__xludf.DUMMYFUNCTION("""COMPUTED_VALUE"""),"")</f>
        <v/>
      </c>
      <c s="66">
        <f ca="1"/>
        <v>45271</v>
      </c>
      <c s="93" t="str">
        <f t="shared" si="47"/>
        <v/>
      </c>
      <c s="94" t="str">
        <f t="shared" si="405"/>
        <v/>
      </c>
      <c s="95" t="str">
        <f t="shared" si="421"/>
        <v/>
      </c>
      <c s="98" t="str">
        <f t="shared" si="422"/>
        <v/>
      </c>
      <c s="97" t="str">
        <f t="array" ref="EE183">IFERROR(IF(DY183="ac"+ISNUMBER(SEARCH("'",ED183))+EC183="","",IF(ISNUMBER(SEARCH("lw",ED183)),DQ183+SUBSTITUTE(ED183,"lw+",""),MROUND(_xlfn.SWITCH(DY183,"sq",EC$7,"bn",ED$7,"dl",EE$7,"")*IF(ED183&gt;10,ED183/100,VLOOKUP(ED183,_rpe,SUBSTITUTE(EC183,"+","")+1,0)),IF(_xlfn.SWITCH(DY183,"sq",EC$7,"bn",ED$7,"dl",EE$7,"")&lt;IF(_uom="lbs",175,80),1.25,IF(_uom="lbs",5,2.5))))),"")</f>
        <v/>
      </c>
      <c s="70"/>
      <c s="63"/>
      <c s="97"/>
      <c s="44" t="str">
        <f>IFERROR(__xludf.DUMMYFUNCTION("IF(EE183=MAX(FILTER(EE$10:EE$199,LOOKUP(ROW(DY$10:DY$199),FILTER(ROW(DY$10:DY$199),DY$10:DY$199&lt;&gt;DY$9:DY$198))=LOOKUP(ROW(DY183),FILTER(ROW(DY$10:DY$199),DY$10:DY$199&lt;&gt;DY$9:DY$198)))),EF183,)"),"")</f>
        <v/>
      </c>
      <c s="42"/>
      <c s="63"/>
      <c s="64" t="str">
        <f t="shared" si="34"/>
        <v/>
      </c>
      <c s="65" t="str">
        <f>IFERROR(__xludf.DUMMYFUNCTION("""COMPUTED_VALUE"""),"")</f>
        <v/>
      </c>
      <c s="66">
        <f ca="1"/>
        <v>45278</v>
      </c>
      <c s="93" t="str">
        <f t="shared" si="48"/>
        <v/>
      </c>
      <c s="94" t="str">
        <f t="shared" si="395"/>
        <v/>
      </c>
      <c s="95" t="str">
        <f t="shared" si="423"/>
        <v/>
      </c>
      <c s="98" t="str">
        <f t="shared" si="402"/>
        <v/>
      </c>
      <c s="97" t="str">
        <f t="array" ref="ES183">IFERROR(IF(EM183="ac"+ISNUMBER(SEARCH("'",ER183))+EQ183="","",IF(ISNUMBER(SEARCH("lw",ER183)),EE183+SUBSTITUTE(ER183,"lw+",""),MROUND(_xlfn.SWITCH(EM183,"sq",EQ$7,"bn",ER$7,"dl",ES$7,"")*IF(ER183&gt;10,ER183/100,VLOOKUP(ER183,_rpe,SUBSTITUTE(EQ183,"+","")+1,0)),IF(_xlfn.SWITCH(EM183,"sq",EQ$7,"bn",ER$7,"dl",ES$7,"")&lt;IF(_uom="lbs",175,80),1.25,IF(_uom="lbs",5,2.5))))),"")</f>
        <v/>
      </c>
      <c s="70"/>
      <c s="63"/>
      <c s="97"/>
      <c s="44" t="str">
        <f>IFERROR(__xludf.DUMMYFUNCTION("IF(ES183=MAX(FILTER(ES$10:ES$199,LOOKUP(ROW(EM$10:EM$199),FILTER(ROW(EM$10:EM$199),EM$10:EM$199&lt;&gt;EM$9:EM$198))=LOOKUP(ROW(EM183),FILTER(ROW(EM$10:EM$199),EM$10:EM$199&lt;&gt;EM$9:EM$198)))),ET183,)"),"")</f>
        <v/>
      </c>
      <c s="42"/>
      <c s="63"/>
      <c s="64" t="str">
        <f t="shared" si="36"/>
        <v/>
      </c>
      <c s="65" t="str">
        <f>IFERROR(__xludf.DUMMYFUNCTION("""COMPUTED_VALUE"""),"")</f>
        <v/>
      </c>
      <c s="66">
        <f ca="1"/>
        <v>45285</v>
      </c>
      <c s="93" t="str">
        <f t="shared" si="49"/>
        <v/>
      </c>
      <c s="94" t="str">
        <f t="shared" si="396"/>
        <v/>
      </c>
      <c s="95" t="str">
        <f t="shared" si="424"/>
        <v/>
      </c>
      <c s="98" t="str">
        <f t="shared" si="403"/>
        <v/>
      </c>
      <c s="97" t="str">
        <f t="array" ref="FG183">IFERROR(IF(FA183="ac"+ISNUMBER(SEARCH("'",FF183))+FE183="","",IF(ISNUMBER(SEARCH("lw",FF183)),ES183+SUBSTITUTE(FF183,"lw+",""),MROUND(_xlfn.SWITCH(FA183,"sq",FE$7,"bn",FF$7,"dl",FG$7,"")*IF(FF183&gt;10,FF183/100,VLOOKUP(FF183,_rpe,SUBSTITUTE(FE183,"+","")+1,0)),IF(_xlfn.SWITCH(FA183,"sq",FE$7,"bn",FF$7,"dl",FG$7,"")&lt;IF(_uom="lbs",175,80),1.25,IF(_uom="lbs",5,2.5))))),"")</f>
        <v/>
      </c>
      <c s="70"/>
      <c s="63"/>
      <c s="97"/>
      <c s="44" t="str">
        <f>IFERROR(__xludf.DUMMYFUNCTION("IF(FG183=MAX(FILTER(FG$10:FG$199,LOOKUP(ROW(FA$10:FA$199),FILTER(ROW(FA$10:FA$199),FA$10:FA$199&lt;&gt;FA$9:FA$198))=LOOKUP(ROW(FA183),FILTER(ROW(FA$10:FA$199),FA$10:FA$199&lt;&gt;FA$9:FA$198)))),FH183,)"),"")</f>
        <v/>
      </c>
      <c s="42"/>
      <c s="63"/>
      <c s="64" t="str">
        <f t="shared" si="38"/>
        <v/>
      </c>
      <c s="65" t="str">
        <f>IFERROR(__xludf.DUMMYFUNCTION("""COMPUTED_VALUE"""),"")</f>
        <v/>
      </c>
      <c s="66">
        <f ca="1"/>
        <v>45292</v>
      </c>
      <c s="93" t="str">
        <f t="shared" si="527" ref="FQ183:FR183">IF(ISBLANK(FC183),"",FC183)</f>
        <v/>
      </c>
      <c s="94" t="str">
        <f t="shared" si="527"/>
        <v/>
      </c>
      <c s="95" t="str">
        <f t="shared" si="428"/>
        <v/>
      </c>
      <c s="98" t="str">
        <f t="shared" si="429"/>
        <v/>
      </c>
      <c s="97" t="str">
        <f t="array" ref="FU183">IFERROR(IF(FO183="ac"+ISNUMBER(SEARCH("'",FT183))+FS183="","",IF(ISNUMBER(SEARCH("lw",FT183)),FG183+SUBSTITUTE(FT183,"lw+",""),MROUND(_xlfn.SWITCH(FO183,"sq",FS$7,"bn",FT$7,"dl",FU$7,"")*IF(FT183&gt;10,FT183/100,VLOOKUP(FT183,_rpe,SUBSTITUTE(FS183,"+","")+1,0)),IF(_xlfn.SWITCH(FO183,"sq",FS$7,"bn",FT$7,"dl",FU$7,"")&lt;IF(_uom="lbs",175,80),1.25,IF(_uom="lbs",5,2.5))))),"")</f>
        <v/>
      </c>
      <c s="70"/>
      <c s="63"/>
      <c s="97"/>
      <c s="44" t="str">
        <f>IFERROR(__xludf.DUMMYFUNCTION("IF(FU183=MAX(FILTER(FU$10:FU$199,LOOKUP(ROW(FO$10:FO$199),FILTER(ROW(FO$10:FO$199),FO$10:FO$199&lt;&gt;FO$9:FO$198))=LOOKUP(ROW(FO183),FILTER(ROW(FO$10:FO$199),FO$10:FO$199&lt;&gt;FO$9:FO$198)))),FV183,)"),"")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84" spans="1:259" ht="15.75">
      <c r="A184" s="63"/>
      <c s="107"/>
      <c s="65" t="str">
        <f>IFERROR(__xludf.DUMMYFUNCTION("""COMPUTED_VALUE"""),"")</f>
        <v/>
      </c>
      <c s="66">
        <f ca="1"/>
        <v>45208</v>
      </c>
      <c s="108"/>
      <c s="94"/>
      <c s="95"/>
      <c s="96"/>
      <c s="97" t="str">
        <f t="array" ref="I184">IFERROR(IF(C184="ac"+ISNUMBER(SEARCH("'",H184))+G184="","",MROUND(_xlfn.SWITCH(C184,"sq",'Personal Info'!$O$15,"bn",'Personal Info'!$S$15,"dl",'Personal Info'!$W$15,"")*IF(H184&gt;10,H184/100,VLOOKUP(H184,_rpe,SUBSTITUTE(G184,"+","")+1,0)),IF(_xlfn.SWITCH(C184:C210,"sq",'Personal Info'!$O$15,"bn",'Personal Info'!$S$15,"dl",'Personal Info'!$W$15,"")&lt;IF(_uom="lbs",175,80),1.25,IF(_uom="lbs",5,2.5)))),"")</f>
        <v/>
      </c>
      <c s="70"/>
      <c s="63"/>
      <c s="97"/>
      <c s="44" t="str">
        <f>IFERROR(__xludf.DUMMYFUNCTION("IF(I184=MAX(FILTER(I$10:I$199,LOOKUP(ROW(C$10:C$199),FILTER(ROW(C$10:C$199),C$10:C$199&lt;&gt;C$9:C$198))=LOOKUP(ROW(C184),FILTER(ROW(C$10:C$199),C$10:C$199&lt;&gt;C$9:C$198)))),J184,)"),"")</f>
        <v/>
      </c>
      <c s="42"/>
      <c s="63"/>
      <c s="64" t="str">
        <f t="shared" si="11"/>
        <v/>
      </c>
      <c s="65" t="str">
        <f>IFERROR(__xludf.DUMMYFUNCTION("""COMPUTED_VALUE"""),"")</f>
        <v/>
      </c>
      <c s="66">
        <f ca="1"/>
        <v>45215</v>
      </c>
      <c s="93" t="str">
        <f t="shared" si="12"/>
        <v/>
      </c>
      <c s="94" t="str">
        <f t="shared" si="404"/>
        <v/>
      </c>
      <c s="95" t="str">
        <f t="shared" si="406"/>
        <v/>
      </c>
      <c s="98" t="str">
        <f t="shared" si="407"/>
        <v/>
      </c>
      <c s="97" t="str">
        <f t="array" ref="W184">IFERROR(IF(Q184="ac"+ISNUMBER(SEARCH("'",V184))+U184="","",IF(ISNUMBER(SEARCH("lw",V184)),I184+SUBSTITUTE(V184,"lw+",""),MROUND(_xlfn.SWITCH(Q184,"sq",U$7,"bn",V$7,"dl",W$7,"")*IF(V184&gt;10,V184/100,VLOOKUP(V184,_rpe,SUBSTITUTE(U184,"+","")+1,0)),IF(_xlfn.SWITCH(Q184,"sq",U$7,"bn",V$7,"dl",W$7,"")&lt;IF(_uom="lbs",175,80),1.25,IF(_uom="lbs",5,2.5))))),"")</f>
        <v/>
      </c>
      <c s="70"/>
      <c s="63"/>
      <c s="97"/>
      <c s="44" t="str">
        <f>IFERROR(__xludf.DUMMYFUNCTION("IF(W184=MAX(FILTER(W$10:W$199,LOOKUP(ROW(Q$10:Q$199),FILTER(ROW(Q$10:Q$199),Q$10:Q$199&lt;&gt;Q$9:Q$198))=LOOKUP(ROW(Q184),FILTER(ROW(Q$10:Q$199),Q$10:Q$199&lt;&gt;Q$9:Q$198)))),X184,)"),"")</f>
        <v/>
      </c>
      <c s="42"/>
      <c s="63"/>
      <c s="64" t="str">
        <f t="shared" si="14"/>
        <v/>
      </c>
      <c s="65" t="str">
        <f>IFERROR(__xludf.DUMMYFUNCTION("""COMPUTED_VALUE"""),"")</f>
        <v/>
      </c>
      <c s="66">
        <f ca="1"/>
        <v>45222</v>
      </c>
      <c s="93" t="str">
        <f t="shared" si="156"/>
        <v/>
      </c>
      <c s="94" t="str">
        <f t="shared" si="397"/>
        <v/>
      </c>
      <c s="95" t="str">
        <f t="shared" si="408"/>
        <v/>
      </c>
      <c s="98" t="str">
        <f t="shared" si="398"/>
        <v/>
      </c>
      <c s="97" t="str">
        <f t="array" ref="AK184">IFERROR(IF(AE184="ac"+ISNUMBER(SEARCH("'",AJ184))+AI184="","",IF(ISNUMBER(SEARCH("lw",AJ184)),W184+SUBSTITUTE(AJ184,"lw+",""),MROUND(_xlfn.SWITCH(AE184,"sq",AI$7,"bn",AJ$7,"dl",AK$7,"")*IF(AJ184&gt;10,AJ184/100,VLOOKUP(AJ184,_rpe,SUBSTITUTE(AI184,"+","")+1,0)),IF(_xlfn.SWITCH(AE184,"sq",AI$7,"bn",AJ$7,"dl",AK$7,"")&lt;IF(_uom="lbs",175,80),1.25,IF(_uom="lbs",5,2.5))))),"")</f>
        <v/>
      </c>
      <c s="70"/>
      <c s="63"/>
      <c s="97"/>
      <c s="44" t="str">
        <f>IFERROR(__xludf.DUMMYFUNCTION("IF(AK184=MAX(FILTER(AK$10:AK$199,LOOKUP(ROW(AE$10:AE$199),FILTER(ROW(AE$10:AE$199),AE$10:AE$199&lt;&gt;AE$9:AE$198))=LOOKUP(ROW(AE184),FILTER(ROW(AE$10:AE$199),AE$10:AE$199&lt;&gt;AE$9:AE$198)))),AL184,)"),"")</f>
        <v/>
      </c>
      <c s="42"/>
      <c s="63"/>
      <c s="64" t="str">
        <f t="shared" si="17"/>
        <v/>
      </c>
      <c s="65" t="str">
        <f>IFERROR(__xludf.DUMMYFUNCTION("""COMPUTED_VALUE"""),"")</f>
        <v/>
      </c>
      <c s="66">
        <f ca="1"/>
        <v>45229</v>
      </c>
      <c s="93" t="str">
        <f t="shared" si="157"/>
        <v/>
      </c>
      <c s="94" t="str">
        <f t="shared" si="399"/>
        <v/>
      </c>
      <c s="95" t="str">
        <f t="shared" si="409"/>
        <v/>
      </c>
      <c s="98" t="str">
        <f t="shared" si="400"/>
        <v/>
      </c>
      <c s="97" t="str">
        <f t="array" ref="AY184">IFERROR(IF(AS184="ac"+ISNUMBER(SEARCH("'",AX184))+AW184="","",IF(ISNUMBER(SEARCH("lw",AX184)),AK184+SUBSTITUTE(AX184,"lw+",""),MROUND(_xlfn.SWITCH(AS184,"sq",AW$7,"bn",AX$7,"dl",AY$7,"")*IF(AX184&gt;10,AX184/100,VLOOKUP(AX184,_rpe,SUBSTITUTE(AW184,"+","")+1,0)),IF(_xlfn.SWITCH(AS184,"sq",AW$7,"bn",AX$7,"dl",AY$7,"")&lt;IF(_uom="lbs",175,80),1.25,IF(_uom="lbs",5,2.5))))),"")</f>
        <v/>
      </c>
      <c s="70"/>
      <c s="63"/>
      <c s="97"/>
      <c s="44" t="str">
        <f>IFERROR(__xludf.DUMMYFUNCTION("IF(AY184=MAX(FILTER(AY$10:AY$199,LOOKUP(ROW(AS$10:AS$199),FILTER(ROW(AS$10:AS$199),AS$10:AS$199&lt;&gt;AS$9:AS$198))=LOOKUP(ROW(AS184),FILTER(ROW(AS$10:AS$199),AS$10:AS$199&lt;&gt;AS$9:AS$198)))),AZ184,)"),"")</f>
        <v/>
      </c>
      <c s="42"/>
      <c s="63"/>
      <c s="64" t="str">
        <f t="shared" si="19"/>
        <v/>
      </c>
      <c s="65" t="str">
        <f>IFERROR(__xludf.DUMMYFUNCTION("""COMPUTED_VALUE"""),"")</f>
        <v/>
      </c>
      <c s="66">
        <f ca="1"/>
        <v>45236</v>
      </c>
      <c s="93" t="str">
        <f t="shared" si="20"/>
        <v/>
      </c>
      <c s="94" t="str">
        <f t="shared" si="425"/>
        <v/>
      </c>
      <c s="95" t="str">
        <f t="shared" si="411"/>
        <v/>
      </c>
      <c s="98" t="str">
        <f t="shared" si="412"/>
        <v/>
      </c>
      <c s="97" t="str">
        <f t="array" ref="BM184">IFERROR(IF(BG184="ac"+ISNUMBER(SEARCH("'",BL184))+BK184="","",IF(ISNUMBER(SEARCH("lw",BL184)),AY184+SUBSTITUTE(BL184,"lw+",""),MROUND(_xlfn.SWITCH(BG184,"sq",BK$7,"bn",BL$7,"dl",BM$7,"")*IF(BL184&gt;10,BL184/100,VLOOKUP(BL184,_rpe,SUBSTITUTE(BK184,"+","")+1,0)),IF(_xlfn.SWITCH(BG184,"sq",BK$7,"bn",BL$7,"dl",BM$7,"")&lt;IF(_uom="lbs",175,80),1.25,IF(_uom="lbs",5,2.5))))),"")</f>
        <v/>
      </c>
      <c s="70"/>
      <c s="63"/>
      <c s="97"/>
      <c s="44" t="str">
        <f>IFERROR(__xludf.DUMMYFUNCTION("IF(BM184=MAX(FILTER(BM$10:BM$199,LOOKUP(ROW(BG$10:BG$199),FILTER(ROW(BG$10:BG$199),BG$10:BG$199&lt;&gt;BG$9:BG$198))=LOOKUP(ROW(BG184),FILTER(ROW(BG$10:BG$199),BG$10:BG$199&lt;&gt;BG$9:BG$198)))),BN184,)"),"")</f>
        <v/>
      </c>
      <c s="42"/>
      <c s="63"/>
      <c s="64" t="str">
        <f t="shared" si="21"/>
        <v/>
      </c>
      <c s="65" t="str">
        <f>IFERROR(__xludf.DUMMYFUNCTION("""COMPUTED_VALUE"""),"")</f>
        <v/>
      </c>
      <c s="66">
        <f ca="1"/>
        <v>45243</v>
      </c>
      <c s="93" t="str">
        <f t="shared" si="22"/>
        <v/>
      </c>
      <c s="94" t="str">
        <f t="shared" si="426"/>
        <v/>
      </c>
      <c s="95" t="str">
        <f t="shared" si="414"/>
        <v/>
      </c>
      <c s="98" t="str">
        <f t="shared" si="415"/>
        <v/>
      </c>
      <c s="97" t="str">
        <f t="array" ref="CA184">IFERROR(IF(BU184="ac"+ISNUMBER(SEARCH("'",BZ184))+BY184="","",IF(ISNUMBER(SEARCH("lw",BZ184)),BM184+SUBSTITUTE(BZ184,"lw+",""),MROUND(_xlfn.SWITCH(BU184,"sq",BY$7,"bn",BZ$7,"dl",CA$7,"")*IF(BZ184&gt;10,BZ184/100,VLOOKUP(BZ184,_rpe,SUBSTITUTE(BY184,"+","")+1,0)),IF(_xlfn.SWITCH(BU184,"sq",BY$7,"bn",BZ$7,"dl",CA$7,"")&lt;IF(_uom="lbs",175,80),1.25,IF(_uom="lbs",5,2.5))))),"")</f>
        <v/>
      </c>
      <c s="70"/>
      <c s="63"/>
      <c s="97"/>
      <c s="44" t="str">
        <f>IFERROR(__xludf.DUMMYFUNCTION("IF(CA184=MAX(FILTER(CA$10:CA$199,LOOKUP(ROW(BU$10:BU$199),FILTER(ROW(BU$10:BU$199),BU$10:BU$199&lt;&gt;BU$9:BU$198))=LOOKUP(ROW(BU184),FILTER(ROW(BU$10:BU$199),BU$10:BU$199&lt;&gt;BU$9:BU$198)))),CB184,)"),"")</f>
        <v/>
      </c>
      <c s="42"/>
      <c s="63"/>
      <c s="64" t="str">
        <f t="shared" si="24"/>
        <v/>
      </c>
      <c s="65" t="str">
        <f>IFERROR(__xludf.DUMMYFUNCTION("""COMPUTED_VALUE"""),"")</f>
        <v/>
      </c>
      <c s="66">
        <f ca="1"/>
        <v>45250</v>
      </c>
      <c s="93" t="str">
        <f t="shared" si="44"/>
        <v/>
      </c>
      <c s="94" t="str">
        <f t="shared" si="392"/>
        <v/>
      </c>
      <c s="95" t="str">
        <f t="shared" si="416"/>
        <v/>
      </c>
      <c s="98" t="str">
        <f t="shared" si="417"/>
        <v/>
      </c>
      <c s="97" t="str">
        <f t="array" ref="CO184">IFERROR(IF(CI184="ac"+ISNUMBER(SEARCH("'",CN184))+CM184="","",IF(ISNUMBER(SEARCH("lw",CN184)),CA184+SUBSTITUTE(CN184,"lw+",""),MROUND(_xlfn.SWITCH(CI184,"sq",CM$7,"bn",CN$7,"dl",CO$7,"")*IF(CN184&gt;10,CN184/100,VLOOKUP(CN184,_rpe,SUBSTITUTE(CM184,"+","")+1,0)),IF(_xlfn.SWITCH(CI184,"sq",CM$7,"bn",CN$7,"dl",CO$7,"")&lt;IF(_uom="lbs",175,80),1.25,IF(_uom="lbs",5,2.5))))),"")</f>
        <v/>
      </c>
      <c s="70"/>
      <c s="63"/>
      <c s="97"/>
      <c s="44" t="str">
        <f>IFERROR(__xludf.DUMMYFUNCTION("IF(CO184=MAX(FILTER(CO$10:CO$199,LOOKUP(ROW(CI$10:CI$199),FILTER(ROW(CI$10:CI$199),CI$10:CI$199&lt;&gt;CI$9:CI$198))=LOOKUP(ROW(CI184),FILTER(ROW(CI$10:CI$199),CI$10:CI$199&lt;&gt;CI$9:CI$198)))),CP184,)"),"")</f>
        <v/>
      </c>
      <c s="42"/>
      <c s="63"/>
      <c s="64" t="str">
        <f t="shared" si="27"/>
        <v/>
      </c>
      <c s="65" t="str">
        <f>IFERROR(__xludf.DUMMYFUNCTION("""COMPUTED_VALUE"""),"")</f>
        <v/>
      </c>
      <c s="66">
        <f ca="1"/>
        <v>45257</v>
      </c>
      <c s="93" t="str">
        <f t="shared" si="45"/>
        <v/>
      </c>
      <c s="94" t="str">
        <f t="shared" si="393"/>
        <v/>
      </c>
      <c s="95" t="str">
        <f t="shared" si="418"/>
        <v/>
      </c>
      <c s="98" t="str">
        <f t="shared" si="401"/>
        <v/>
      </c>
      <c s="97" t="str">
        <f t="array" ref="DC184">IFERROR(IF(CW184="ac"+ISNUMBER(SEARCH("'",DB184))+DA184="","",IF(ISNUMBER(SEARCH("lw",DB184)),CO184+SUBSTITUTE(DB184,"lw+",""),MROUND(_xlfn.SWITCH(CW184,"sq",DA$7,"bn",DB$7,"dl",DC$7,"")*IF(DB184&gt;10,DB184/100,VLOOKUP(DB184,_rpe,SUBSTITUTE(DA184,"+","")+1,0)),IF(_xlfn.SWITCH(CW184,"sq",DA$7,"bn",DB$7,"dl",DC$7,"")&lt;IF(_uom="lbs",175,80),1.25,IF(_uom="lbs",5,2.5))))),"")</f>
        <v/>
      </c>
      <c s="70"/>
      <c s="63"/>
      <c s="97"/>
      <c s="44" t="str">
        <f>IFERROR(__xludf.DUMMYFUNCTION("IF(DC184=MAX(FILTER(DC$10:DC$199,LOOKUP(ROW(CW$10:CW$199),FILTER(ROW(CW$10:CW$199),CW$10:CW$199&lt;&gt;CW$9:CW$198))=LOOKUP(ROW(CW184),FILTER(ROW(CW$10:CW$199),CW$10:CW$199&lt;&gt;CW$9:CW$198)))),DD184,)"),"")</f>
        <v/>
      </c>
      <c s="42"/>
      <c s="63"/>
      <c s="64" t="str">
        <f t="shared" si="30"/>
        <v/>
      </c>
      <c s="65" t="str">
        <f>IFERROR(__xludf.DUMMYFUNCTION("""COMPUTED_VALUE"""),"")</f>
        <v/>
      </c>
      <c s="66">
        <f ca="1"/>
        <v>45264</v>
      </c>
      <c s="93" t="str">
        <f t="shared" si="46"/>
        <v/>
      </c>
      <c s="94" t="str">
        <f t="shared" si="394"/>
        <v/>
      </c>
      <c s="95" t="str">
        <f t="shared" si="419"/>
        <v/>
      </c>
      <c s="98" t="str">
        <f t="shared" si="420"/>
        <v/>
      </c>
      <c s="97" t="str">
        <f t="array" ref="DQ184">IFERROR(IF(DK184="ac"+ISNUMBER(SEARCH("'",DP184))+DO184="","",IF(ISNUMBER(SEARCH("lw",DP184)),DC184+SUBSTITUTE(DP184,"lw+",""),MROUND(_xlfn.SWITCH(DK184,"sq",DO$7,"bn",DP$7,"dl",DQ$7,"")*IF(DP184&gt;10,DP184/100,VLOOKUP(DP184,_rpe,SUBSTITUTE(DO184,"+","")+1,0)),IF(_xlfn.SWITCH(DK184,"sq",DO$7,"bn",DP$7,"dl",DQ$7,"")&lt;IF(_uom="lbs",175,80),1.25,IF(_uom="lbs",5,2.5))))),"")</f>
        <v/>
      </c>
      <c s="70"/>
      <c s="63"/>
      <c s="97"/>
      <c s="44" t="str">
        <f>IFERROR(__xludf.DUMMYFUNCTION("IF(DQ184=MAX(FILTER(DQ$10:DQ$199,LOOKUP(ROW(DK$10:DK$199),FILTER(ROW(DK$10:DK$199),DK$10:DK$199&lt;&gt;DK$9:DK$198))=LOOKUP(ROW(DK184),FILTER(ROW(DK$10:DK$199),DK$10:DK$199&lt;&gt;DK$9:DK$198)))),DR184,)"),"")</f>
        <v/>
      </c>
      <c s="42"/>
      <c s="63"/>
      <c s="64" t="str">
        <f t="shared" si="32"/>
        <v/>
      </c>
      <c s="65" t="str">
        <f>IFERROR(__xludf.DUMMYFUNCTION("""COMPUTED_VALUE"""),"")</f>
        <v/>
      </c>
      <c s="66">
        <f ca="1"/>
        <v>45271</v>
      </c>
      <c s="93" t="str">
        <f t="shared" si="47"/>
        <v/>
      </c>
      <c s="94" t="str">
        <f t="shared" si="405"/>
        <v/>
      </c>
      <c s="95" t="str">
        <f t="shared" si="421"/>
        <v/>
      </c>
      <c s="98" t="str">
        <f t="shared" si="422"/>
        <v/>
      </c>
      <c s="97" t="str">
        <f t="array" ref="EE184">IFERROR(IF(DY184="ac"+ISNUMBER(SEARCH("'",ED184))+EC184="","",IF(ISNUMBER(SEARCH("lw",ED184)),DQ184+SUBSTITUTE(ED184,"lw+",""),MROUND(_xlfn.SWITCH(DY184,"sq",EC$7,"bn",ED$7,"dl",EE$7,"")*IF(ED184&gt;10,ED184/100,VLOOKUP(ED184,_rpe,SUBSTITUTE(EC184,"+","")+1,0)),IF(_xlfn.SWITCH(DY184,"sq",EC$7,"bn",ED$7,"dl",EE$7,"")&lt;IF(_uom="lbs",175,80),1.25,IF(_uom="lbs",5,2.5))))),"")</f>
        <v/>
      </c>
      <c s="70"/>
      <c s="63"/>
      <c s="97"/>
      <c s="44" t="str">
        <f>IFERROR(__xludf.DUMMYFUNCTION("IF(EE184=MAX(FILTER(EE$10:EE$199,LOOKUP(ROW(DY$10:DY$199),FILTER(ROW(DY$10:DY$199),DY$10:DY$199&lt;&gt;DY$9:DY$198))=LOOKUP(ROW(DY184),FILTER(ROW(DY$10:DY$199),DY$10:DY$199&lt;&gt;DY$9:DY$198)))),EF184,)"),"")</f>
        <v/>
      </c>
      <c s="42"/>
      <c s="63"/>
      <c s="64" t="str">
        <f t="shared" si="34"/>
        <v/>
      </c>
      <c s="65" t="str">
        <f>IFERROR(__xludf.DUMMYFUNCTION("""COMPUTED_VALUE"""),"")</f>
        <v/>
      </c>
      <c s="66">
        <f ca="1"/>
        <v>45278</v>
      </c>
      <c s="93" t="str">
        <f t="shared" si="48"/>
        <v/>
      </c>
      <c s="94" t="str">
        <f t="shared" si="395"/>
        <v/>
      </c>
      <c s="95" t="str">
        <f t="shared" si="423"/>
        <v/>
      </c>
      <c s="98" t="str">
        <f t="shared" si="402"/>
        <v/>
      </c>
      <c s="97" t="str">
        <f t="array" ref="ES184">IFERROR(IF(EM184="ac"+ISNUMBER(SEARCH("'",ER184))+EQ184="","",IF(ISNUMBER(SEARCH("lw",ER184)),EE184+SUBSTITUTE(ER184,"lw+",""),MROUND(_xlfn.SWITCH(EM184,"sq",EQ$7,"bn",ER$7,"dl",ES$7,"")*IF(ER184&gt;10,ER184/100,VLOOKUP(ER184,_rpe,SUBSTITUTE(EQ184,"+","")+1,0)),IF(_xlfn.SWITCH(EM184,"sq",EQ$7,"bn",ER$7,"dl",ES$7,"")&lt;IF(_uom="lbs",175,80),1.25,IF(_uom="lbs",5,2.5))))),"")</f>
        <v/>
      </c>
      <c s="70"/>
      <c s="63"/>
      <c s="97"/>
      <c s="44" t="str">
        <f>IFERROR(__xludf.DUMMYFUNCTION("IF(ES184=MAX(FILTER(ES$10:ES$199,LOOKUP(ROW(EM$10:EM$199),FILTER(ROW(EM$10:EM$199),EM$10:EM$199&lt;&gt;EM$9:EM$198))=LOOKUP(ROW(EM184),FILTER(ROW(EM$10:EM$199),EM$10:EM$199&lt;&gt;EM$9:EM$198)))),ET184,)"),"")</f>
        <v/>
      </c>
      <c s="42"/>
      <c s="63"/>
      <c s="64" t="str">
        <f t="shared" si="36"/>
        <v/>
      </c>
      <c s="65" t="str">
        <f>IFERROR(__xludf.DUMMYFUNCTION("""COMPUTED_VALUE"""),"")</f>
        <v/>
      </c>
      <c s="66">
        <f ca="1"/>
        <v>45285</v>
      </c>
      <c s="93" t="str">
        <f t="shared" si="49"/>
        <v/>
      </c>
      <c s="94" t="str">
        <f t="shared" si="396"/>
        <v/>
      </c>
      <c s="95" t="str">
        <f t="shared" si="424"/>
        <v/>
      </c>
      <c s="98" t="str">
        <f t="shared" si="403"/>
        <v/>
      </c>
      <c s="97" t="str">
        <f t="array" ref="FG184">IFERROR(IF(FA184="ac"+ISNUMBER(SEARCH("'",FF184))+FE184="","",IF(ISNUMBER(SEARCH("lw",FF184)),ES184+SUBSTITUTE(FF184,"lw+",""),MROUND(_xlfn.SWITCH(FA184,"sq",FE$7,"bn",FF$7,"dl",FG$7,"")*IF(FF184&gt;10,FF184/100,VLOOKUP(FF184,_rpe,SUBSTITUTE(FE184,"+","")+1,0)),IF(_xlfn.SWITCH(FA184,"sq",FE$7,"bn",FF$7,"dl",FG$7,"")&lt;IF(_uom="lbs",175,80),1.25,IF(_uom="lbs",5,2.5))))),"")</f>
        <v/>
      </c>
      <c s="70"/>
      <c s="63"/>
      <c s="97"/>
      <c s="44" t="str">
        <f>IFERROR(__xludf.DUMMYFUNCTION("IF(FG184=MAX(FILTER(FG$10:FG$199,LOOKUP(ROW(FA$10:FA$199),FILTER(ROW(FA$10:FA$199),FA$10:FA$199&lt;&gt;FA$9:FA$198))=LOOKUP(ROW(FA184),FILTER(ROW(FA$10:FA$199),FA$10:FA$199&lt;&gt;FA$9:FA$198)))),FH184,)"),"")</f>
        <v/>
      </c>
      <c s="42"/>
      <c s="63"/>
      <c s="64" t="str">
        <f t="shared" si="38"/>
        <v/>
      </c>
      <c s="65" t="str">
        <f>IFERROR(__xludf.DUMMYFUNCTION("""COMPUTED_VALUE"""),"")</f>
        <v/>
      </c>
      <c s="66">
        <f ca="1"/>
        <v>45292</v>
      </c>
      <c s="93" t="str">
        <f t="shared" si="528" ref="FQ184:FR184">IF(ISBLANK(FC184),"",FC184)</f>
        <v/>
      </c>
      <c s="94" t="str">
        <f t="shared" si="528"/>
        <v/>
      </c>
      <c s="95" t="str">
        <f t="shared" si="428"/>
        <v/>
      </c>
      <c s="98" t="str">
        <f t="shared" si="429"/>
        <v/>
      </c>
      <c s="97" t="str">
        <f t="array" ref="FU184">IFERROR(IF(FO184="ac"+ISNUMBER(SEARCH("'",FT184))+FS184="","",IF(ISNUMBER(SEARCH("lw",FT184)),FG184+SUBSTITUTE(FT184,"lw+",""),MROUND(_xlfn.SWITCH(FO184,"sq",FS$7,"bn",FT$7,"dl",FU$7,"")*IF(FT184&gt;10,FT184/100,VLOOKUP(FT184,_rpe,SUBSTITUTE(FS184,"+","")+1,0)),IF(_xlfn.SWITCH(FO184,"sq",FS$7,"bn",FT$7,"dl",FU$7,"")&lt;IF(_uom="lbs",175,80),1.25,IF(_uom="lbs",5,2.5))))),"")</f>
        <v/>
      </c>
      <c s="70"/>
      <c s="63"/>
      <c s="97"/>
      <c s="44" t="str">
        <f>IFERROR(__xludf.DUMMYFUNCTION("IF(FU184=MAX(FILTER(FU$10:FU$199,LOOKUP(ROW(FO$10:FO$199),FILTER(ROW(FO$10:FO$199),FO$10:FO$199&lt;&gt;FO$9:FO$198))=LOOKUP(ROW(FO184),FILTER(ROW(FO$10:FO$199),FO$10:FO$199&lt;&gt;FO$9:FO$198)))),FV184,)"),"")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85" spans="1:259" ht="15.75">
      <c r="A185" s="63"/>
      <c s="107"/>
      <c s="65" t="str">
        <f>IFERROR(__xludf.DUMMYFUNCTION("""COMPUTED_VALUE"""),"")</f>
        <v/>
      </c>
      <c s="66">
        <f ca="1"/>
        <v>45208</v>
      </c>
      <c s="108"/>
      <c s="94"/>
      <c s="95"/>
      <c s="96"/>
      <c s="97" t="str">
        <f t="array" ref="I185">IFERROR(IF(C185="ac"+ISNUMBER(SEARCH("'",H185))+G185="","",MROUND(_xlfn.SWITCH(C185,"sq",'Personal Info'!$O$15,"bn",'Personal Info'!$S$15,"dl",'Personal Info'!$W$15,"")*IF(H185&gt;10,H185/100,VLOOKUP(H185,_rpe,SUBSTITUTE(G185,"+","")+1,0)),IF(_xlfn.SWITCH(C185:C210,"sq",'Personal Info'!$O$15,"bn",'Personal Info'!$S$15,"dl",'Personal Info'!$W$15,"")&lt;IF(_uom="lbs",175,80),1.25,IF(_uom="lbs",5,2.5)))),"")</f>
        <v/>
      </c>
      <c s="70"/>
      <c s="63"/>
      <c s="97"/>
      <c s="44" t="str">
        <f>IFERROR(__xludf.DUMMYFUNCTION("IF(I185=MAX(FILTER(I$10:I$199,LOOKUP(ROW(C$10:C$199),FILTER(ROW(C$10:C$199),C$10:C$199&lt;&gt;C$9:C$198))=LOOKUP(ROW(C185),FILTER(ROW(C$10:C$199),C$10:C$199&lt;&gt;C$9:C$198)))),J185,)"),"")</f>
        <v/>
      </c>
      <c s="42"/>
      <c s="63"/>
      <c s="64" t="str">
        <f t="shared" si="11"/>
        <v/>
      </c>
      <c s="65" t="str">
        <f>IFERROR(__xludf.DUMMYFUNCTION("""COMPUTED_VALUE"""),"")</f>
        <v/>
      </c>
      <c s="66">
        <f ca="1"/>
        <v>45215</v>
      </c>
      <c s="93" t="str">
        <f t="shared" si="12"/>
        <v/>
      </c>
      <c s="94" t="str">
        <f t="shared" si="404"/>
        <v/>
      </c>
      <c s="95" t="str">
        <f t="shared" si="406"/>
        <v/>
      </c>
      <c s="98" t="str">
        <f t="shared" si="407"/>
        <v/>
      </c>
      <c s="97" t="str">
        <f t="array" ref="W185">IFERROR(IF(Q185="ac"+ISNUMBER(SEARCH("'",V185))+U185="","",IF(ISNUMBER(SEARCH("lw",V185)),I185+SUBSTITUTE(V185,"lw+",""),MROUND(_xlfn.SWITCH(Q185,"sq",U$7,"bn",V$7,"dl",W$7,"")*IF(V185&gt;10,V185/100,VLOOKUP(V185,_rpe,SUBSTITUTE(U185,"+","")+1,0)),IF(_xlfn.SWITCH(Q185,"sq",U$7,"bn",V$7,"dl",W$7,"")&lt;IF(_uom="lbs",175,80),1.25,IF(_uom="lbs",5,2.5))))),"")</f>
        <v/>
      </c>
      <c s="70"/>
      <c s="63"/>
      <c s="97"/>
      <c s="44" t="str">
        <f>IFERROR(__xludf.DUMMYFUNCTION("IF(W185=MAX(FILTER(W$10:W$199,LOOKUP(ROW(Q$10:Q$199),FILTER(ROW(Q$10:Q$199),Q$10:Q$199&lt;&gt;Q$9:Q$198))=LOOKUP(ROW(Q185),FILTER(ROW(Q$10:Q$199),Q$10:Q$199&lt;&gt;Q$9:Q$198)))),X185,)"),"")</f>
        <v/>
      </c>
      <c s="42"/>
      <c s="63"/>
      <c s="64" t="str">
        <f t="shared" si="14"/>
        <v/>
      </c>
      <c s="65" t="str">
        <f>IFERROR(__xludf.DUMMYFUNCTION("""COMPUTED_VALUE"""),"")</f>
        <v/>
      </c>
      <c s="66">
        <f ca="1"/>
        <v>45222</v>
      </c>
      <c s="93" t="str">
        <f t="shared" si="156"/>
        <v/>
      </c>
      <c s="94" t="str">
        <f t="shared" si="397"/>
        <v/>
      </c>
      <c s="95" t="str">
        <f t="shared" si="408"/>
        <v/>
      </c>
      <c s="98" t="str">
        <f t="shared" si="398"/>
        <v/>
      </c>
      <c s="97" t="str">
        <f t="array" ref="AK185">IFERROR(IF(AE185="ac"+ISNUMBER(SEARCH("'",AJ185))+AI185="","",IF(ISNUMBER(SEARCH("lw",AJ185)),W185+SUBSTITUTE(AJ185,"lw+",""),MROUND(_xlfn.SWITCH(AE185,"sq",AI$7,"bn",AJ$7,"dl",AK$7,"")*IF(AJ185&gt;10,AJ185/100,VLOOKUP(AJ185,_rpe,SUBSTITUTE(AI185,"+","")+1,0)),IF(_xlfn.SWITCH(AE185,"sq",AI$7,"bn",AJ$7,"dl",AK$7,"")&lt;IF(_uom="lbs",175,80),1.25,IF(_uom="lbs",5,2.5))))),"")</f>
        <v/>
      </c>
      <c s="70"/>
      <c s="63"/>
      <c s="97"/>
      <c s="44" t="str">
        <f>IFERROR(__xludf.DUMMYFUNCTION("IF(AK185=MAX(FILTER(AK$10:AK$199,LOOKUP(ROW(AE$10:AE$199),FILTER(ROW(AE$10:AE$199),AE$10:AE$199&lt;&gt;AE$9:AE$198))=LOOKUP(ROW(AE185),FILTER(ROW(AE$10:AE$199),AE$10:AE$199&lt;&gt;AE$9:AE$198)))),AL185,)"),"")</f>
        <v/>
      </c>
      <c s="42"/>
      <c s="63"/>
      <c s="64" t="str">
        <f t="shared" si="17"/>
        <v/>
      </c>
      <c s="65" t="str">
        <f>IFERROR(__xludf.DUMMYFUNCTION("""COMPUTED_VALUE"""),"")</f>
        <v/>
      </c>
      <c s="66">
        <f ca="1"/>
        <v>45229</v>
      </c>
      <c s="93" t="str">
        <f t="shared" si="157"/>
        <v/>
      </c>
      <c s="94" t="str">
        <f t="shared" si="399"/>
        <v/>
      </c>
      <c s="95" t="str">
        <f t="shared" si="409"/>
        <v/>
      </c>
      <c s="98" t="str">
        <f t="shared" si="400"/>
        <v/>
      </c>
      <c s="97" t="str">
        <f t="array" ref="AY185">IFERROR(IF(AS185="ac"+ISNUMBER(SEARCH("'",AX185))+AW185="","",IF(ISNUMBER(SEARCH("lw",AX185)),AK185+SUBSTITUTE(AX185,"lw+",""),MROUND(_xlfn.SWITCH(AS185,"sq",AW$7,"bn",AX$7,"dl",AY$7,"")*IF(AX185&gt;10,AX185/100,VLOOKUP(AX185,_rpe,SUBSTITUTE(AW185,"+","")+1,0)),IF(_xlfn.SWITCH(AS185,"sq",AW$7,"bn",AX$7,"dl",AY$7,"")&lt;IF(_uom="lbs",175,80),1.25,IF(_uom="lbs",5,2.5))))),"")</f>
        <v/>
      </c>
      <c s="70"/>
      <c s="63"/>
      <c s="97"/>
      <c s="44" t="str">
        <f>IFERROR(__xludf.DUMMYFUNCTION("IF(AY185=MAX(FILTER(AY$10:AY$199,LOOKUP(ROW(AS$10:AS$199),FILTER(ROW(AS$10:AS$199),AS$10:AS$199&lt;&gt;AS$9:AS$198))=LOOKUP(ROW(AS185),FILTER(ROW(AS$10:AS$199),AS$10:AS$199&lt;&gt;AS$9:AS$198)))),AZ185,)"),"")</f>
        <v/>
      </c>
      <c s="42"/>
      <c s="63"/>
      <c s="64" t="str">
        <f t="shared" si="19"/>
        <v/>
      </c>
      <c s="65" t="str">
        <f>IFERROR(__xludf.DUMMYFUNCTION("""COMPUTED_VALUE"""),"")</f>
        <v/>
      </c>
      <c s="66">
        <f ca="1"/>
        <v>45236</v>
      </c>
      <c s="93" t="str">
        <f t="shared" si="20"/>
        <v/>
      </c>
      <c s="94" t="str">
        <f t="shared" si="425"/>
        <v/>
      </c>
      <c s="95" t="str">
        <f t="shared" si="411"/>
        <v/>
      </c>
      <c s="98" t="str">
        <f t="shared" si="412"/>
        <v/>
      </c>
      <c s="97" t="str">
        <f t="array" ref="BM185">IFERROR(IF(BG185="ac"+ISNUMBER(SEARCH("'",BL185))+BK185="","",IF(ISNUMBER(SEARCH("lw",BL185)),AY185+SUBSTITUTE(BL185,"lw+",""),MROUND(_xlfn.SWITCH(BG185,"sq",BK$7,"bn",BL$7,"dl",BM$7,"")*IF(BL185&gt;10,BL185/100,VLOOKUP(BL185,_rpe,SUBSTITUTE(BK185,"+","")+1,0)),IF(_xlfn.SWITCH(BG185,"sq",BK$7,"bn",BL$7,"dl",BM$7,"")&lt;IF(_uom="lbs",175,80),1.25,IF(_uom="lbs",5,2.5))))),"")</f>
        <v/>
      </c>
      <c s="70"/>
      <c s="63"/>
      <c s="97"/>
      <c s="44" t="str">
        <f>IFERROR(__xludf.DUMMYFUNCTION("IF(BM185=MAX(FILTER(BM$10:BM$199,LOOKUP(ROW(BG$10:BG$199),FILTER(ROW(BG$10:BG$199),BG$10:BG$199&lt;&gt;BG$9:BG$198))=LOOKUP(ROW(BG185),FILTER(ROW(BG$10:BG$199),BG$10:BG$199&lt;&gt;BG$9:BG$198)))),BN185,)"),"")</f>
        <v/>
      </c>
      <c s="42"/>
      <c s="63"/>
      <c s="64" t="str">
        <f t="shared" si="21"/>
        <v/>
      </c>
      <c s="65" t="str">
        <f>IFERROR(__xludf.DUMMYFUNCTION("""COMPUTED_VALUE"""),"")</f>
        <v/>
      </c>
      <c s="66">
        <f ca="1"/>
        <v>45243</v>
      </c>
      <c s="93" t="str">
        <f t="shared" si="22"/>
        <v/>
      </c>
      <c s="94" t="str">
        <f t="shared" si="426"/>
        <v/>
      </c>
      <c s="95" t="str">
        <f t="shared" si="414"/>
        <v/>
      </c>
      <c s="98" t="str">
        <f t="shared" si="415"/>
        <v/>
      </c>
      <c s="97" t="str">
        <f t="array" ref="CA185">IFERROR(IF(BU185="ac"+ISNUMBER(SEARCH("'",BZ185))+BY185="","",IF(ISNUMBER(SEARCH("lw",BZ185)),BM185+SUBSTITUTE(BZ185,"lw+",""),MROUND(_xlfn.SWITCH(BU185,"sq",BY$7,"bn",BZ$7,"dl",CA$7,"")*IF(BZ185&gt;10,BZ185/100,VLOOKUP(BZ185,_rpe,SUBSTITUTE(BY185,"+","")+1,0)),IF(_xlfn.SWITCH(BU185,"sq",BY$7,"bn",BZ$7,"dl",CA$7,"")&lt;IF(_uom="lbs",175,80),1.25,IF(_uom="lbs",5,2.5))))),"")</f>
        <v/>
      </c>
      <c s="70"/>
      <c s="63"/>
      <c s="97"/>
      <c s="44" t="str">
        <f>IFERROR(__xludf.DUMMYFUNCTION("IF(CA185=MAX(FILTER(CA$10:CA$199,LOOKUP(ROW(BU$10:BU$199),FILTER(ROW(BU$10:BU$199),BU$10:BU$199&lt;&gt;BU$9:BU$198))=LOOKUP(ROW(BU185),FILTER(ROW(BU$10:BU$199),BU$10:BU$199&lt;&gt;BU$9:BU$198)))),CB185,)"),"")</f>
        <v/>
      </c>
      <c s="42"/>
      <c s="63"/>
      <c s="64" t="str">
        <f t="shared" si="24"/>
        <v/>
      </c>
      <c s="65" t="str">
        <f>IFERROR(__xludf.DUMMYFUNCTION("""COMPUTED_VALUE"""),"")</f>
        <v/>
      </c>
      <c s="66">
        <f ca="1"/>
        <v>45250</v>
      </c>
      <c s="93" t="str">
        <f t="shared" si="44"/>
        <v/>
      </c>
      <c s="94" t="str">
        <f t="shared" si="392"/>
        <v/>
      </c>
      <c s="95" t="str">
        <f t="shared" si="416"/>
        <v/>
      </c>
      <c s="98" t="str">
        <f t="shared" si="417"/>
        <v/>
      </c>
      <c s="97" t="str">
        <f t="array" ref="CO185">IFERROR(IF(CI185="ac"+ISNUMBER(SEARCH("'",CN185))+CM185="","",IF(ISNUMBER(SEARCH("lw",CN185)),CA185+SUBSTITUTE(CN185,"lw+",""),MROUND(_xlfn.SWITCH(CI185,"sq",CM$7,"bn",CN$7,"dl",CO$7,"")*IF(CN185&gt;10,CN185/100,VLOOKUP(CN185,_rpe,SUBSTITUTE(CM185,"+","")+1,0)),IF(_xlfn.SWITCH(CI185,"sq",CM$7,"bn",CN$7,"dl",CO$7,"")&lt;IF(_uom="lbs",175,80),1.25,IF(_uom="lbs",5,2.5))))),"")</f>
        <v/>
      </c>
      <c s="70"/>
      <c s="63"/>
      <c s="97"/>
      <c s="44" t="str">
        <f>IFERROR(__xludf.DUMMYFUNCTION("IF(CO185=MAX(FILTER(CO$10:CO$199,LOOKUP(ROW(CI$10:CI$199),FILTER(ROW(CI$10:CI$199),CI$10:CI$199&lt;&gt;CI$9:CI$198))=LOOKUP(ROW(CI185),FILTER(ROW(CI$10:CI$199),CI$10:CI$199&lt;&gt;CI$9:CI$198)))),CP185,)"),"")</f>
        <v/>
      </c>
      <c s="42"/>
      <c s="63"/>
      <c s="64" t="str">
        <f t="shared" si="27"/>
        <v/>
      </c>
      <c s="65" t="str">
        <f>IFERROR(__xludf.DUMMYFUNCTION("""COMPUTED_VALUE"""),"")</f>
        <v/>
      </c>
      <c s="66">
        <f ca="1"/>
        <v>45257</v>
      </c>
      <c s="93" t="str">
        <f t="shared" si="45"/>
        <v/>
      </c>
      <c s="94" t="str">
        <f t="shared" si="393"/>
        <v/>
      </c>
      <c s="95" t="str">
        <f t="shared" si="418"/>
        <v/>
      </c>
      <c s="98" t="str">
        <f t="shared" si="401"/>
        <v/>
      </c>
      <c s="97" t="str">
        <f t="array" ref="DC185">IFERROR(IF(CW185="ac"+ISNUMBER(SEARCH("'",DB185))+DA185="","",IF(ISNUMBER(SEARCH("lw",DB185)),CO185+SUBSTITUTE(DB185,"lw+",""),MROUND(_xlfn.SWITCH(CW185,"sq",DA$7,"bn",DB$7,"dl",DC$7,"")*IF(DB185&gt;10,DB185/100,VLOOKUP(DB185,_rpe,SUBSTITUTE(DA185,"+","")+1,0)),IF(_xlfn.SWITCH(CW185,"sq",DA$7,"bn",DB$7,"dl",DC$7,"")&lt;IF(_uom="lbs",175,80),1.25,IF(_uom="lbs",5,2.5))))),"")</f>
        <v/>
      </c>
      <c s="70"/>
      <c s="63"/>
      <c s="97"/>
      <c s="44" t="str">
        <f>IFERROR(__xludf.DUMMYFUNCTION("IF(DC185=MAX(FILTER(DC$10:DC$199,LOOKUP(ROW(CW$10:CW$199),FILTER(ROW(CW$10:CW$199),CW$10:CW$199&lt;&gt;CW$9:CW$198))=LOOKUP(ROW(CW185),FILTER(ROW(CW$10:CW$199),CW$10:CW$199&lt;&gt;CW$9:CW$198)))),DD185,)"),"")</f>
        <v/>
      </c>
      <c s="42"/>
      <c s="63"/>
      <c s="64" t="str">
        <f t="shared" si="30"/>
        <v/>
      </c>
      <c s="65" t="str">
        <f>IFERROR(__xludf.DUMMYFUNCTION("""COMPUTED_VALUE"""),"")</f>
        <v/>
      </c>
      <c s="66">
        <f ca="1"/>
        <v>45264</v>
      </c>
      <c s="93" t="str">
        <f t="shared" si="46"/>
        <v/>
      </c>
      <c s="94" t="str">
        <f t="shared" si="394"/>
        <v/>
      </c>
      <c s="95" t="str">
        <f t="shared" si="419"/>
        <v/>
      </c>
      <c s="98" t="str">
        <f t="shared" si="420"/>
        <v/>
      </c>
      <c s="97" t="str">
        <f t="array" ref="DQ185">IFERROR(IF(DK185="ac"+ISNUMBER(SEARCH("'",DP185))+DO185="","",IF(ISNUMBER(SEARCH("lw",DP185)),DC185+SUBSTITUTE(DP185,"lw+",""),MROUND(_xlfn.SWITCH(DK185,"sq",DO$7,"bn",DP$7,"dl",DQ$7,"")*IF(DP185&gt;10,DP185/100,VLOOKUP(DP185,_rpe,SUBSTITUTE(DO185,"+","")+1,0)),IF(_xlfn.SWITCH(DK185,"sq",DO$7,"bn",DP$7,"dl",DQ$7,"")&lt;IF(_uom="lbs",175,80),1.25,IF(_uom="lbs",5,2.5))))),"")</f>
        <v/>
      </c>
      <c s="70"/>
      <c s="63"/>
      <c s="97"/>
      <c s="44" t="str">
        <f>IFERROR(__xludf.DUMMYFUNCTION("IF(DQ185=MAX(FILTER(DQ$10:DQ$199,LOOKUP(ROW(DK$10:DK$199),FILTER(ROW(DK$10:DK$199),DK$10:DK$199&lt;&gt;DK$9:DK$198))=LOOKUP(ROW(DK185),FILTER(ROW(DK$10:DK$199),DK$10:DK$199&lt;&gt;DK$9:DK$198)))),DR185,)"),"")</f>
        <v/>
      </c>
      <c s="42"/>
      <c s="63"/>
      <c s="64" t="str">
        <f t="shared" si="32"/>
        <v/>
      </c>
      <c s="65" t="str">
        <f>IFERROR(__xludf.DUMMYFUNCTION("""COMPUTED_VALUE"""),"")</f>
        <v/>
      </c>
      <c s="66">
        <f ca="1"/>
        <v>45271</v>
      </c>
      <c s="93" t="str">
        <f t="shared" si="47"/>
        <v/>
      </c>
      <c s="94" t="str">
        <f t="shared" si="405"/>
        <v/>
      </c>
      <c s="95" t="str">
        <f t="shared" si="421"/>
        <v/>
      </c>
      <c s="98" t="str">
        <f t="shared" si="422"/>
        <v/>
      </c>
      <c s="97" t="str">
        <f t="array" ref="EE185">IFERROR(IF(DY185="ac"+ISNUMBER(SEARCH("'",ED185))+EC185="","",IF(ISNUMBER(SEARCH("lw",ED185)),DQ185+SUBSTITUTE(ED185,"lw+",""),MROUND(_xlfn.SWITCH(DY185,"sq",EC$7,"bn",ED$7,"dl",EE$7,"")*IF(ED185&gt;10,ED185/100,VLOOKUP(ED185,_rpe,SUBSTITUTE(EC185,"+","")+1,0)),IF(_xlfn.SWITCH(DY185,"sq",EC$7,"bn",ED$7,"dl",EE$7,"")&lt;IF(_uom="lbs",175,80),1.25,IF(_uom="lbs",5,2.5))))),"")</f>
        <v/>
      </c>
      <c s="70"/>
      <c s="63"/>
      <c s="97"/>
      <c s="44" t="str">
        <f>IFERROR(__xludf.DUMMYFUNCTION("IF(EE185=MAX(FILTER(EE$10:EE$199,LOOKUP(ROW(DY$10:DY$199),FILTER(ROW(DY$10:DY$199),DY$10:DY$199&lt;&gt;DY$9:DY$198))=LOOKUP(ROW(DY185),FILTER(ROW(DY$10:DY$199),DY$10:DY$199&lt;&gt;DY$9:DY$198)))),EF185,)"),"")</f>
        <v/>
      </c>
      <c s="42"/>
      <c s="63"/>
      <c s="64" t="str">
        <f t="shared" si="34"/>
        <v/>
      </c>
      <c s="65" t="str">
        <f>IFERROR(__xludf.DUMMYFUNCTION("""COMPUTED_VALUE"""),"")</f>
        <v/>
      </c>
      <c s="66">
        <f ca="1"/>
        <v>45278</v>
      </c>
      <c s="93" t="str">
        <f t="shared" si="48"/>
        <v/>
      </c>
      <c s="94" t="str">
        <f t="shared" si="395"/>
        <v/>
      </c>
      <c s="95" t="str">
        <f t="shared" si="423"/>
        <v/>
      </c>
      <c s="98" t="str">
        <f t="shared" si="402"/>
        <v/>
      </c>
      <c s="97" t="str">
        <f t="array" ref="ES185">IFERROR(IF(EM185="ac"+ISNUMBER(SEARCH("'",ER185))+EQ185="","",IF(ISNUMBER(SEARCH("lw",ER185)),EE185+SUBSTITUTE(ER185,"lw+",""),MROUND(_xlfn.SWITCH(EM185,"sq",EQ$7,"bn",ER$7,"dl",ES$7,"")*IF(ER185&gt;10,ER185/100,VLOOKUP(ER185,_rpe,SUBSTITUTE(EQ185,"+","")+1,0)),IF(_xlfn.SWITCH(EM185,"sq",EQ$7,"bn",ER$7,"dl",ES$7,"")&lt;IF(_uom="lbs",175,80),1.25,IF(_uom="lbs",5,2.5))))),"")</f>
        <v/>
      </c>
      <c s="70"/>
      <c s="63"/>
      <c s="97"/>
      <c s="44" t="str">
        <f>IFERROR(__xludf.DUMMYFUNCTION("IF(ES185=MAX(FILTER(ES$10:ES$199,LOOKUP(ROW(EM$10:EM$199),FILTER(ROW(EM$10:EM$199),EM$10:EM$199&lt;&gt;EM$9:EM$198))=LOOKUP(ROW(EM185),FILTER(ROW(EM$10:EM$199),EM$10:EM$199&lt;&gt;EM$9:EM$198)))),ET185,)"),"")</f>
        <v/>
      </c>
      <c s="42"/>
      <c s="63"/>
      <c s="64" t="str">
        <f t="shared" si="36"/>
        <v/>
      </c>
      <c s="65" t="str">
        <f>IFERROR(__xludf.DUMMYFUNCTION("""COMPUTED_VALUE"""),"")</f>
        <v/>
      </c>
      <c s="66">
        <f ca="1"/>
        <v>45285</v>
      </c>
      <c s="93" t="str">
        <f t="shared" si="49"/>
        <v/>
      </c>
      <c s="94" t="str">
        <f t="shared" si="396"/>
        <v/>
      </c>
      <c s="95" t="str">
        <f t="shared" si="424"/>
        <v/>
      </c>
      <c s="98" t="str">
        <f t="shared" si="403"/>
        <v/>
      </c>
      <c s="97" t="str">
        <f t="array" ref="FG185">IFERROR(IF(FA185="ac"+ISNUMBER(SEARCH("'",FF185))+FE185="","",IF(ISNUMBER(SEARCH("lw",FF185)),ES185+SUBSTITUTE(FF185,"lw+",""),MROUND(_xlfn.SWITCH(FA185,"sq",FE$7,"bn",FF$7,"dl",FG$7,"")*IF(FF185&gt;10,FF185/100,VLOOKUP(FF185,_rpe,SUBSTITUTE(FE185,"+","")+1,0)),IF(_xlfn.SWITCH(FA185,"sq",FE$7,"bn",FF$7,"dl",FG$7,"")&lt;IF(_uom="lbs",175,80),1.25,IF(_uom="lbs",5,2.5))))),"")</f>
        <v/>
      </c>
      <c s="70"/>
      <c s="63"/>
      <c s="97"/>
      <c s="44" t="str">
        <f>IFERROR(__xludf.DUMMYFUNCTION("IF(FG185=MAX(FILTER(FG$10:FG$199,LOOKUP(ROW(FA$10:FA$199),FILTER(ROW(FA$10:FA$199),FA$10:FA$199&lt;&gt;FA$9:FA$198))=LOOKUP(ROW(FA185),FILTER(ROW(FA$10:FA$199),FA$10:FA$199&lt;&gt;FA$9:FA$198)))),FH185,)"),"")</f>
        <v/>
      </c>
      <c s="42"/>
      <c s="63"/>
      <c s="64" t="str">
        <f t="shared" si="38"/>
        <v/>
      </c>
      <c s="65" t="str">
        <f>IFERROR(__xludf.DUMMYFUNCTION("""COMPUTED_VALUE"""),"")</f>
        <v/>
      </c>
      <c s="66">
        <f ca="1"/>
        <v>45292</v>
      </c>
      <c s="93" t="str">
        <f t="shared" si="529" ref="FQ185:FR185">IF(ISBLANK(FC185),"",FC185)</f>
        <v/>
      </c>
      <c s="94" t="str">
        <f t="shared" si="529"/>
        <v/>
      </c>
      <c s="95" t="str">
        <f t="shared" si="428"/>
        <v/>
      </c>
      <c s="98" t="str">
        <f t="shared" si="429"/>
        <v/>
      </c>
      <c s="97" t="str">
        <f t="array" ref="FU185">IFERROR(IF(FO185="ac"+ISNUMBER(SEARCH("'",FT185))+FS185="","",IF(ISNUMBER(SEARCH("lw",FT185)),FG185+SUBSTITUTE(FT185,"lw+",""),MROUND(_xlfn.SWITCH(FO185,"sq",FS$7,"bn",FT$7,"dl",FU$7,"")*IF(FT185&gt;10,FT185/100,VLOOKUP(FT185,_rpe,SUBSTITUTE(FS185,"+","")+1,0)),IF(_xlfn.SWITCH(FO185,"sq",FS$7,"bn",FT$7,"dl",FU$7,"")&lt;IF(_uom="lbs",175,80),1.25,IF(_uom="lbs",5,2.5))))),"")</f>
        <v/>
      </c>
      <c s="70"/>
      <c s="63"/>
      <c s="97"/>
      <c s="44" t="str">
        <f>IFERROR(__xludf.DUMMYFUNCTION("IF(FU185=MAX(FILTER(FU$10:FU$199,LOOKUP(ROW(FO$10:FO$199),FILTER(ROW(FO$10:FO$199),FO$10:FO$199&lt;&gt;FO$9:FO$198))=LOOKUP(ROW(FO185),FILTER(ROW(FO$10:FO$199),FO$10:FO$199&lt;&gt;FO$9:FO$198)))),FV185,)"),"")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86" spans="1:259" ht="15.75">
      <c r="A186" s="63"/>
      <c s="107"/>
      <c s="65" t="str">
        <f>IFERROR(__xludf.DUMMYFUNCTION("""COMPUTED_VALUE"""),"")</f>
        <v/>
      </c>
      <c s="66">
        <f ca="1"/>
        <v>45208</v>
      </c>
      <c s="108"/>
      <c s="94"/>
      <c s="95"/>
      <c s="96"/>
      <c s="97" t="str">
        <f t="array" ref="I186">IFERROR(IF(C186="ac"+ISNUMBER(SEARCH("'",H186))+G186="","",MROUND(_xlfn.SWITCH(C186,"sq",'Personal Info'!$O$15,"bn",'Personal Info'!$S$15,"dl",'Personal Info'!$W$15,"")*IF(H186&gt;10,H186/100,VLOOKUP(H186,_rpe,SUBSTITUTE(G186,"+","")+1,0)),IF(_xlfn.SWITCH(C186:C210,"sq",'Personal Info'!$O$15,"bn",'Personal Info'!$S$15,"dl",'Personal Info'!$W$15,"")&lt;IF(_uom="lbs",175,80),1.25,IF(_uom="lbs",5,2.5)))),"")</f>
        <v/>
      </c>
      <c s="70"/>
      <c s="63"/>
      <c s="97"/>
      <c s="44" t="str">
        <f>IFERROR(__xludf.DUMMYFUNCTION("IF(I186=MAX(FILTER(I$10:I$199,LOOKUP(ROW(C$10:C$199),FILTER(ROW(C$10:C$199),C$10:C$199&lt;&gt;C$9:C$198))=LOOKUP(ROW(C186),FILTER(ROW(C$10:C$199),C$10:C$199&lt;&gt;C$9:C$198)))),J186,)"),"")</f>
        <v/>
      </c>
      <c s="42"/>
      <c s="63"/>
      <c s="64" t="str">
        <f t="shared" si="11"/>
        <v/>
      </c>
      <c s="65" t="str">
        <f>IFERROR(__xludf.DUMMYFUNCTION("""COMPUTED_VALUE"""),"")</f>
        <v/>
      </c>
      <c s="66">
        <f ca="1"/>
        <v>45215</v>
      </c>
      <c s="93" t="str">
        <f t="shared" si="12"/>
        <v/>
      </c>
      <c s="94" t="str">
        <f t="shared" si="404"/>
        <v/>
      </c>
      <c s="95" t="str">
        <f t="shared" si="406"/>
        <v/>
      </c>
      <c s="98" t="str">
        <f t="shared" si="407"/>
        <v/>
      </c>
      <c s="97" t="str">
        <f t="array" ref="W186">IFERROR(IF(Q186="ac"+ISNUMBER(SEARCH("'",V186))+U186="","",IF(ISNUMBER(SEARCH("lw",V186)),I186+SUBSTITUTE(V186,"lw+",""),MROUND(_xlfn.SWITCH(Q186,"sq",U$7,"bn",V$7,"dl",W$7,"")*IF(V186&gt;10,V186/100,VLOOKUP(V186,_rpe,SUBSTITUTE(U186,"+","")+1,0)),IF(_xlfn.SWITCH(Q186,"sq",U$7,"bn",V$7,"dl",W$7,"")&lt;IF(_uom="lbs",175,80),1.25,IF(_uom="lbs",5,2.5))))),"")</f>
        <v/>
      </c>
      <c s="70"/>
      <c s="63"/>
      <c s="97"/>
      <c s="44" t="str">
        <f>IFERROR(__xludf.DUMMYFUNCTION("IF(W186=MAX(FILTER(W$10:W$199,LOOKUP(ROW(Q$10:Q$199),FILTER(ROW(Q$10:Q$199),Q$10:Q$199&lt;&gt;Q$9:Q$198))=LOOKUP(ROW(Q186),FILTER(ROW(Q$10:Q$199),Q$10:Q$199&lt;&gt;Q$9:Q$198)))),X186,)"),"")</f>
        <v/>
      </c>
      <c s="42"/>
      <c s="63"/>
      <c s="64" t="str">
        <f t="shared" si="14"/>
        <v/>
      </c>
      <c s="65" t="str">
        <f>IFERROR(__xludf.DUMMYFUNCTION("""COMPUTED_VALUE"""),"")</f>
        <v/>
      </c>
      <c s="66">
        <f ca="1"/>
        <v>45222</v>
      </c>
      <c s="93" t="str">
        <f t="shared" si="156"/>
        <v/>
      </c>
      <c s="94" t="str">
        <f t="shared" si="397"/>
        <v/>
      </c>
      <c s="95" t="str">
        <f t="shared" si="408"/>
        <v/>
      </c>
      <c s="98" t="str">
        <f t="shared" si="398"/>
        <v/>
      </c>
      <c s="97" t="str">
        <f t="array" ref="AK186">IFERROR(IF(AE186="ac"+ISNUMBER(SEARCH("'",AJ186))+AI186="","",IF(ISNUMBER(SEARCH("lw",AJ186)),W186+SUBSTITUTE(AJ186,"lw+",""),MROUND(_xlfn.SWITCH(AE186,"sq",AI$7,"bn",AJ$7,"dl",AK$7,"")*IF(AJ186&gt;10,AJ186/100,VLOOKUP(AJ186,_rpe,SUBSTITUTE(AI186,"+","")+1,0)),IF(_xlfn.SWITCH(AE186,"sq",AI$7,"bn",AJ$7,"dl",AK$7,"")&lt;IF(_uom="lbs",175,80),1.25,IF(_uom="lbs",5,2.5))))),"")</f>
        <v/>
      </c>
      <c s="70"/>
      <c s="63"/>
      <c s="97"/>
      <c s="44" t="str">
        <f>IFERROR(__xludf.DUMMYFUNCTION("IF(AK186=MAX(FILTER(AK$10:AK$199,LOOKUP(ROW(AE$10:AE$199),FILTER(ROW(AE$10:AE$199),AE$10:AE$199&lt;&gt;AE$9:AE$198))=LOOKUP(ROW(AE186),FILTER(ROW(AE$10:AE$199),AE$10:AE$199&lt;&gt;AE$9:AE$198)))),AL186,)"),"")</f>
        <v/>
      </c>
      <c s="42"/>
      <c s="63"/>
      <c s="64" t="str">
        <f t="shared" si="17"/>
        <v/>
      </c>
      <c s="65" t="str">
        <f>IFERROR(__xludf.DUMMYFUNCTION("""COMPUTED_VALUE"""),"")</f>
        <v/>
      </c>
      <c s="66">
        <f ca="1"/>
        <v>45229</v>
      </c>
      <c s="93" t="str">
        <f t="shared" si="157"/>
        <v/>
      </c>
      <c s="94" t="str">
        <f t="shared" si="399"/>
        <v/>
      </c>
      <c s="95" t="str">
        <f t="shared" si="409"/>
        <v/>
      </c>
      <c s="98" t="str">
        <f t="shared" si="400"/>
        <v/>
      </c>
      <c s="97" t="str">
        <f t="array" ref="AY186">IFERROR(IF(AS186="ac"+ISNUMBER(SEARCH("'",AX186))+AW186="","",IF(ISNUMBER(SEARCH("lw",AX186)),AK186+SUBSTITUTE(AX186,"lw+",""),MROUND(_xlfn.SWITCH(AS186,"sq",AW$7,"bn",AX$7,"dl",AY$7,"")*IF(AX186&gt;10,AX186/100,VLOOKUP(AX186,_rpe,SUBSTITUTE(AW186,"+","")+1,0)),IF(_xlfn.SWITCH(AS186,"sq",AW$7,"bn",AX$7,"dl",AY$7,"")&lt;IF(_uom="lbs",175,80),1.25,IF(_uom="lbs",5,2.5))))),"")</f>
        <v/>
      </c>
      <c s="70"/>
      <c s="63"/>
      <c s="97"/>
      <c s="44" t="str">
        <f>IFERROR(__xludf.DUMMYFUNCTION("IF(AY186=MAX(FILTER(AY$10:AY$199,LOOKUP(ROW(AS$10:AS$199),FILTER(ROW(AS$10:AS$199),AS$10:AS$199&lt;&gt;AS$9:AS$198))=LOOKUP(ROW(AS186),FILTER(ROW(AS$10:AS$199),AS$10:AS$199&lt;&gt;AS$9:AS$198)))),AZ186,)"),"")</f>
        <v/>
      </c>
      <c s="42"/>
      <c s="63"/>
      <c s="64" t="str">
        <f t="shared" si="19"/>
        <v/>
      </c>
      <c s="65" t="str">
        <f>IFERROR(__xludf.DUMMYFUNCTION("""COMPUTED_VALUE"""),"")</f>
        <v/>
      </c>
      <c s="66">
        <f ca="1"/>
        <v>45236</v>
      </c>
      <c s="93" t="str">
        <f t="shared" si="20"/>
        <v/>
      </c>
      <c s="94" t="str">
        <f t="shared" si="425"/>
        <v/>
      </c>
      <c s="95" t="str">
        <f t="shared" si="411"/>
        <v/>
      </c>
      <c s="98" t="str">
        <f t="shared" si="412"/>
        <v/>
      </c>
      <c s="97" t="str">
        <f t="array" ref="BM186">IFERROR(IF(BG186="ac"+ISNUMBER(SEARCH("'",BL186))+BK186="","",IF(ISNUMBER(SEARCH("lw",BL186)),AY186+SUBSTITUTE(BL186,"lw+",""),MROUND(_xlfn.SWITCH(BG186,"sq",BK$7,"bn",BL$7,"dl",BM$7,"")*IF(BL186&gt;10,BL186/100,VLOOKUP(BL186,_rpe,SUBSTITUTE(BK186,"+","")+1,0)),IF(_xlfn.SWITCH(BG186,"sq",BK$7,"bn",BL$7,"dl",BM$7,"")&lt;IF(_uom="lbs",175,80),1.25,IF(_uom="lbs",5,2.5))))),"")</f>
        <v/>
      </c>
      <c s="70"/>
      <c s="63"/>
      <c s="97"/>
      <c s="44" t="str">
        <f>IFERROR(__xludf.DUMMYFUNCTION("IF(BM186=MAX(FILTER(BM$10:BM$199,LOOKUP(ROW(BG$10:BG$199),FILTER(ROW(BG$10:BG$199),BG$10:BG$199&lt;&gt;BG$9:BG$198))=LOOKUP(ROW(BG186),FILTER(ROW(BG$10:BG$199),BG$10:BG$199&lt;&gt;BG$9:BG$198)))),BN186,)"),"")</f>
        <v/>
      </c>
      <c s="42"/>
      <c s="63"/>
      <c s="64" t="str">
        <f t="shared" si="21"/>
        <v/>
      </c>
      <c s="65" t="str">
        <f>IFERROR(__xludf.DUMMYFUNCTION("""COMPUTED_VALUE"""),"")</f>
        <v/>
      </c>
      <c s="66">
        <f ca="1"/>
        <v>45243</v>
      </c>
      <c s="93" t="str">
        <f t="shared" si="22"/>
        <v/>
      </c>
      <c s="94" t="str">
        <f t="shared" si="426"/>
        <v/>
      </c>
      <c s="95" t="str">
        <f t="shared" si="414"/>
        <v/>
      </c>
      <c s="98" t="str">
        <f t="shared" si="415"/>
        <v/>
      </c>
      <c s="97" t="str">
        <f t="array" ref="CA186">IFERROR(IF(BU186="ac"+ISNUMBER(SEARCH("'",BZ186))+BY186="","",IF(ISNUMBER(SEARCH("lw",BZ186)),BM186+SUBSTITUTE(BZ186,"lw+",""),MROUND(_xlfn.SWITCH(BU186,"sq",BY$7,"bn",BZ$7,"dl",CA$7,"")*IF(BZ186&gt;10,BZ186/100,VLOOKUP(BZ186,_rpe,SUBSTITUTE(BY186,"+","")+1,0)),IF(_xlfn.SWITCH(BU186,"sq",BY$7,"bn",BZ$7,"dl",CA$7,"")&lt;IF(_uom="lbs",175,80),1.25,IF(_uom="lbs",5,2.5))))),"")</f>
        <v/>
      </c>
      <c s="70"/>
      <c s="63"/>
      <c s="97"/>
      <c s="44" t="str">
        <f>IFERROR(__xludf.DUMMYFUNCTION("IF(CA186=MAX(FILTER(CA$10:CA$199,LOOKUP(ROW(BU$10:BU$199),FILTER(ROW(BU$10:BU$199),BU$10:BU$199&lt;&gt;BU$9:BU$198))=LOOKUP(ROW(BU186),FILTER(ROW(BU$10:BU$199),BU$10:BU$199&lt;&gt;BU$9:BU$198)))),CB186,)"),"")</f>
        <v/>
      </c>
      <c s="42"/>
      <c s="63"/>
      <c s="64" t="str">
        <f t="shared" si="24"/>
        <v/>
      </c>
      <c s="65" t="str">
        <f>IFERROR(__xludf.DUMMYFUNCTION("""COMPUTED_VALUE"""),"")</f>
        <v/>
      </c>
      <c s="66">
        <f ca="1"/>
        <v>45250</v>
      </c>
      <c s="93" t="str">
        <f t="shared" si="44"/>
        <v/>
      </c>
      <c s="94" t="str">
        <f t="shared" si="392"/>
        <v/>
      </c>
      <c s="95" t="str">
        <f t="shared" si="416"/>
        <v/>
      </c>
      <c s="98" t="str">
        <f t="shared" si="417"/>
        <v/>
      </c>
      <c s="97" t="str">
        <f t="array" ref="CO186">IFERROR(IF(CI186="ac"+ISNUMBER(SEARCH("'",CN186))+CM186="","",IF(ISNUMBER(SEARCH("lw",CN186)),CA186+SUBSTITUTE(CN186,"lw+",""),MROUND(_xlfn.SWITCH(CI186,"sq",CM$7,"bn",CN$7,"dl",CO$7,"")*IF(CN186&gt;10,CN186/100,VLOOKUP(CN186,_rpe,SUBSTITUTE(CM186,"+","")+1,0)),IF(_xlfn.SWITCH(CI186,"sq",CM$7,"bn",CN$7,"dl",CO$7,"")&lt;IF(_uom="lbs",175,80),1.25,IF(_uom="lbs",5,2.5))))),"")</f>
        <v/>
      </c>
      <c s="70"/>
      <c s="63"/>
      <c s="97"/>
      <c s="44" t="str">
        <f>IFERROR(__xludf.DUMMYFUNCTION("IF(CO186=MAX(FILTER(CO$10:CO$199,LOOKUP(ROW(CI$10:CI$199),FILTER(ROW(CI$10:CI$199),CI$10:CI$199&lt;&gt;CI$9:CI$198))=LOOKUP(ROW(CI186),FILTER(ROW(CI$10:CI$199),CI$10:CI$199&lt;&gt;CI$9:CI$198)))),CP186,)"),"")</f>
        <v/>
      </c>
      <c s="42"/>
      <c s="63"/>
      <c s="64" t="str">
        <f t="shared" si="27"/>
        <v/>
      </c>
      <c s="65" t="str">
        <f>IFERROR(__xludf.DUMMYFUNCTION("""COMPUTED_VALUE"""),"")</f>
        <v/>
      </c>
      <c s="66">
        <f ca="1"/>
        <v>45257</v>
      </c>
      <c s="93" t="str">
        <f t="shared" si="45"/>
        <v/>
      </c>
      <c s="94" t="str">
        <f t="shared" si="393"/>
        <v/>
      </c>
      <c s="95" t="str">
        <f t="shared" si="418"/>
        <v/>
      </c>
      <c s="98" t="str">
        <f t="shared" si="401"/>
        <v/>
      </c>
      <c s="97" t="str">
        <f t="array" ref="DC186">IFERROR(IF(CW186="ac"+ISNUMBER(SEARCH("'",DB186))+DA186="","",IF(ISNUMBER(SEARCH("lw",DB186)),CO186+SUBSTITUTE(DB186,"lw+",""),MROUND(_xlfn.SWITCH(CW186,"sq",DA$7,"bn",DB$7,"dl",DC$7,"")*IF(DB186&gt;10,DB186/100,VLOOKUP(DB186,_rpe,SUBSTITUTE(DA186,"+","")+1,0)),IF(_xlfn.SWITCH(CW186,"sq",DA$7,"bn",DB$7,"dl",DC$7,"")&lt;IF(_uom="lbs",175,80),1.25,IF(_uom="lbs",5,2.5))))),"")</f>
        <v/>
      </c>
      <c s="70"/>
      <c s="63"/>
      <c s="97"/>
      <c s="44" t="str">
        <f>IFERROR(__xludf.DUMMYFUNCTION("IF(DC186=MAX(FILTER(DC$10:DC$199,LOOKUP(ROW(CW$10:CW$199),FILTER(ROW(CW$10:CW$199),CW$10:CW$199&lt;&gt;CW$9:CW$198))=LOOKUP(ROW(CW186),FILTER(ROW(CW$10:CW$199),CW$10:CW$199&lt;&gt;CW$9:CW$198)))),DD186,)"),"")</f>
        <v/>
      </c>
      <c s="42"/>
      <c s="63"/>
      <c s="64" t="str">
        <f t="shared" si="30"/>
        <v/>
      </c>
      <c s="65" t="str">
        <f>IFERROR(__xludf.DUMMYFUNCTION("""COMPUTED_VALUE"""),"")</f>
        <v/>
      </c>
      <c s="66">
        <f ca="1"/>
        <v>45264</v>
      </c>
      <c s="93" t="str">
        <f t="shared" si="46"/>
        <v/>
      </c>
      <c s="94" t="str">
        <f t="shared" si="394"/>
        <v/>
      </c>
      <c s="95" t="str">
        <f t="shared" si="419"/>
        <v/>
      </c>
      <c s="98" t="str">
        <f t="shared" si="420"/>
        <v/>
      </c>
      <c s="97" t="str">
        <f t="array" ref="DQ186">IFERROR(IF(DK186="ac"+ISNUMBER(SEARCH("'",DP186))+DO186="","",IF(ISNUMBER(SEARCH("lw",DP186)),DC186+SUBSTITUTE(DP186,"lw+",""),MROUND(_xlfn.SWITCH(DK186,"sq",DO$7,"bn",DP$7,"dl",DQ$7,"")*IF(DP186&gt;10,DP186/100,VLOOKUP(DP186,_rpe,SUBSTITUTE(DO186,"+","")+1,0)),IF(_xlfn.SWITCH(DK186,"sq",DO$7,"bn",DP$7,"dl",DQ$7,"")&lt;IF(_uom="lbs",175,80),1.25,IF(_uom="lbs",5,2.5))))),"")</f>
        <v/>
      </c>
      <c s="70"/>
      <c s="63"/>
      <c s="97"/>
      <c s="44" t="str">
        <f>IFERROR(__xludf.DUMMYFUNCTION("IF(DQ186=MAX(FILTER(DQ$10:DQ$199,LOOKUP(ROW(DK$10:DK$199),FILTER(ROW(DK$10:DK$199),DK$10:DK$199&lt;&gt;DK$9:DK$198))=LOOKUP(ROW(DK186),FILTER(ROW(DK$10:DK$199),DK$10:DK$199&lt;&gt;DK$9:DK$198)))),DR186,)"),"")</f>
        <v/>
      </c>
      <c s="42"/>
      <c s="63"/>
      <c s="64" t="str">
        <f t="shared" si="32"/>
        <v/>
      </c>
      <c s="65" t="str">
        <f>IFERROR(__xludf.DUMMYFUNCTION("""COMPUTED_VALUE"""),"")</f>
        <v/>
      </c>
      <c s="66">
        <f ca="1"/>
        <v>45271</v>
      </c>
      <c s="93" t="str">
        <f t="shared" si="47"/>
        <v/>
      </c>
      <c s="94" t="str">
        <f t="shared" si="405"/>
        <v/>
      </c>
      <c s="95" t="str">
        <f t="shared" si="421"/>
        <v/>
      </c>
      <c s="98" t="str">
        <f t="shared" si="422"/>
        <v/>
      </c>
      <c s="97" t="str">
        <f t="array" ref="EE186">IFERROR(IF(DY186="ac"+ISNUMBER(SEARCH("'",ED186))+EC186="","",IF(ISNUMBER(SEARCH("lw",ED186)),DQ186+SUBSTITUTE(ED186,"lw+",""),MROUND(_xlfn.SWITCH(DY186,"sq",EC$7,"bn",ED$7,"dl",EE$7,"")*IF(ED186&gt;10,ED186/100,VLOOKUP(ED186,_rpe,SUBSTITUTE(EC186,"+","")+1,0)),IF(_xlfn.SWITCH(DY186,"sq",EC$7,"bn",ED$7,"dl",EE$7,"")&lt;IF(_uom="lbs",175,80),1.25,IF(_uom="lbs",5,2.5))))),"")</f>
        <v/>
      </c>
      <c s="70"/>
      <c s="63"/>
      <c s="97"/>
      <c s="44" t="str">
        <f>IFERROR(__xludf.DUMMYFUNCTION("IF(EE186=MAX(FILTER(EE$10:EE$199,LOOKUP(ROW(DY$10:DY$199),FILTER(ROW(DY$10:DY$199),DY$10:DY$199&lt;&gt;DY$9:DY$198))=LOOKUP(ROW(DY186),FILTER(ROW(DY$10:DY$199),DY$10:DY$199&lt;&gt;DY$9:DY$198)))),EF186,)"),"")</f>
        <v/>
      </c>
      <c s="42"/>
      <c s="63"/>
      <c s="64" t="str">
        <f t="shared" si="34"/>
        <v/>
      </c>
      <c s="65" t="str">
        <f>IFERROR(__xludf.DUMMYFUNCTION("""COMPUTED_VALUE"""),"")</f>
        <v/>
      </c>
      <c s="66">
        <f ca="1"/>
        <v>45278</v>
      </c>
      <c s="93" t="str">
        <f t="shared" si="48"/>
        <v/>
      </c>
      <c s="94" t="str">
        <f t="shared" si="395"/>
        <v/>
      </c>
      <c s="95" t="str">
        <f t="shared" si="423"/>
        <v/>
      </c>
      <c s="98" t="str">
        <f t="shared" si="402"/>
        <v/>
      </c>
      <c s="97" t="str">
        <f t="array" ref="ES186">IFERROR(IF(EM186="ac"+ISNUMBER(SEARCH("'",ER186))+EQ186="","",IF(ISNUMBER(SEARCH("lw",ER186)),EE186+SUBSTITUTE(ER186,"lw+",""),MROUND(_xlfn.SWITCH(EM186,"sq",EQ$7,"bn",ER$7,"dl",ES$7,"")*IF(ER186&gt;10,ER186/100,VLOOKUP(ER186,_rpe,SUBSTITUTE(EQ186,"+","")+1,0)),IF(_xlfn.SWITCH(EM186,"sq",EQ$7,"bn",ER$7,"dl",ES$7,"")&lt;IF(_uom="lbs",175,80),1.25,IF(_uom="lbs",5,2.5))))),"")</f>
        <v/>
      </c>
      <c s="70"/>
      <c s="63"/>
      <c s="97"/>
      <c s="44" t="str">
        <f>IFERROR(__xludf.DUMMYFUNCTION("IF(ES186=MAX(FILTER(ES$10:ES$199,LOOKUP(ROW(EM$10:EM$199),FILTER(ROW(EM$10:EM$199),EM$10:EM$199&lt;&gt;EM$9:EM$198))=LOOKUP(ROW(EM186),FILTER(ROW(EM$10:EM$199),EM$10:EM$199&lt;&gt;EM$9:EM$198)))),ET186,)"),"")</f>
        <v/>
      </c>
      <c s="42"/>
      <c s="63"/>
      <c s="64" t="str">
        <f t="shared" si="36"/>
        <v/>
      </c>
      <c s="65" t="str">
        <f>IFERROR(__xludf.DUMMYFUNCTION("""COMPUTED_VALUE"""),"")</f>
        <v/>
      </c>
      <c s="66">
        <f ca="1"/>
        <v>45285</v>
      </c>
      <c s="93" t="str">
        <f t="shared" si="49"/>
        <v/>
      </c>
      <c s="94" t="str">
        <f t="shared" si="396"/>
        <v/>
      </c>
      <c s="95" t="str">
        <f t="shared" si="424"/>
        <v/>
      </c>
      <c s="98" t="str">
        <f t="shared" si="403"/>
        <v/>
      </c>
      <c s="97" t="str">
        <f t="array" ref="FG186">IFERROR(IF(FA186="ac"+ISNUMBER(SEARCH("'",FF186))+FE186="","",IF(ISNUMBER(SEARCH("lw",FF186)),ES186+SUBSTITUTE(FF186,"lw+",""),MROUND(_xlfn.SWITCH(FA186,"sq",FE$7,"bn",FF$7,"dl",FG$7,"")*IF(FF186&gt;10,FF186/100,VLOOKUP(FF186,_rpe,SUBSTITUTE(FE186,"+","")+1,0)),IF(_xlfn.SWITCH(FA186,"sq",FE$7,"bn",FF$7,"dl",FG$7,"")&lt;IF(_uom="lbs",175,80),1.25,IF(_uom="lbs",5,2.5))))),"")</f>
        <v/>
      </c>
      <c s="70"/>
      <c s="63"/>
      <c s="97"/>
      <c s="44" t="str">
        <f>IFERROR(__xludf.DUMMYFUNCTION("IF(FG186=MAX(FILTER(FG$10:FG$199,LOOKUP(ROW(FA$10:FA$199),FILTER(ROW(FA$10:FA$199),FA$10:FA$199&lt;&gt;FA$9:FA$198))=LOOKUP(ROW(FA186),FILTER(ROW(FA$10:FA$199),FA$10:FA$199&lt;&gt;FA$9:FA$198)))),FH186,)"),"")</f>
        <v/>
      </c>
      <c s="42"/>
      <c s="63"/>
      <c s="64" t="str">
        <f t="shared" si="38"/>
        <v/>
      </c>
      <c s="65" t="str">
        <f>IFERROR(__xludf.DUMMYFUNCTION("""COMPUTED_VALUE"""),"")</f>
        <v/>
      </c>
      <c s="66">
        <f ca="1"/>
        <v>45292</v>
      </c>
      <c s="93" t="str">
        <f t="shared" si="530" ref="FQ186:FR186">IF(ISBLANK(FC186),"",FC186)</f>
        <v/>
      </c>
      <c s="94" t="str">
        <f t="shared" si="530"/>
        <v/>
      </c>
      <c s="95" t="str">
        <f t="shared" si="428"/>
        <v/>
      </c>
      <c s="98" t="str">
        <f t="shared" si="429"/>
        <v/>
      </c>
      <c s="97" t="str">
        <f t="array" ref="FU186">IFERROR(IF(FO186="ac"+ISNUMBER(SEARCH("'",FT186))+FS186="","",IF(ISNUMBER(SEARCH("lw",FT186)),FG186+SUBSTITUTE(FT186,"lw+",""),MROUND(_xlfn.SWITCH(FO186,"sq",FS$7,"bn",FT$7,"dl",FU$7,"")*IF(FT186&gt;10,FT186/100,VLOOKUP(FT186,_rpe,SUBSTITUTE(FS186,"+","")+1,0)),IF(_xlfn.SWITCH(FO186,"sq",FS$7,"bn",FT$7,"dl",FU$7,"")&lt;IF(_uom="lbs",175,80),1.25,IF(_uom="lbs",5,2.5))))),"")</f>
        <v/>
      </c>
      <c s="70"/>
      <c s="63"/>
      <c s="97"/>
      <c s="44" t="str">
        <f>IFERROR(__xludf.DUMMYFUNCTION("IF(FU186=MAX(FILTER(FU$10:FU$199,LOOKUP(ROW(FO$10:FO$199),FILTER(ROW(FO$10:FO$199),FO$10:FO$199&lt;&gt;FO$9:FO$198))=LOOKUP(ROW(FO186),FILTER(ROW(FO$10:FO$199),FO$10:FO$199&lt;&gt;FO$9:FO$198)))),FV186,)"),"")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87" spans="1:259" ht="15.75">
      <c r="A187" s="63"/>
      <c s="107"/>
      <c s="65" t="str">
        <f>IFERROR(__xludf.DUMMYFUNCTION("""COMPUTED_VALUE"""),"")</f>
        <v/>
      </c>
      <c s="66">
        <f ca="1"/>
        <v>45208</v>
      </c>
      <c s="108"/>
      <c s="94"/>
      <c s="95"/>
      <c s="96"/>
      <c s="97" t="str">
        <f t="array" ref="I187">IFERROR(IF(C187="ac"+ISNUMBER(SEARCH("'",H187))+G187="","",MROUND(_xlfn.SWITCH(C187,"sq",'Personal Info'!$O$15,"bn",'Personal Info'!$S$15,"dl",'Personal Info'!$W$15,"")*IF(H187&gt;10,H187/100,VLOOKUP(H187,_rpe,SUBSTITUTE(G187,"+","")+1,0)),IF(_xlfn.SWITCH(C187:C210,"sq",'Personal Info'!$O$15,"bn",'Personal Info'!$S$15,"dl",'Personal Info'!$W$15,"")&lt;IF(_uom="lbs",175,80),1.25,IF(_uom="lbs",5,2.5)))),"")</f>
        <v/>
      </c>
      <c s="70"/>
      <c s="63"/>
      <c s="97"/>
      <c s="44" t="str">
        <f>IFERROR(__xludf.DUMMYFUNCTION("IF(I187=MAX(FILTER(I$10:I$199,LOOKUP(ROW(C$10:C$199),FILTER(ROW(C$10:C$199),C$10:C$199&lt;&gt;C$9:C$198))=LOOKUP(ROW(C187),FILTER(ROW(C$10:C$199),C$10:C$199&lt;&gt;C$9:C$198)))),J187,)"),"")</f>
        <v/>
      </c>
      <c s="42"/>
      <c s="63"/>
      <c s="64" t="str">
        <f t="shared" si="11"/>
        <v/>
      </c>
      <c s="65" t="str">
        <f>IFERROR(__xludf.DUMMYFUNCTION("""COMPUTED_VALUE"""),"")</f>
        <v/>
      </c>
      <c s="66">
        <f ca="1"/>
        <v>45215</v>
      </c>
      <c s="93" t="str">
        <f t="shared" si="12"/>
        <v/>
      </c>
      <c s="94" t="str">
        <f t="shared" si="404"/>
        <v/>
      </c>
      <c s="95" t="str">
        <f t="shared" si="406"/>
        <v/>
      </c>
      <c s="98" t="str">
        <f t="shared" si="407"/>
        <v/>
      </c>
      <c s="97" t="str">
        <f t="array" ref="W187">IFERROR(IF(Q187="ac"+ISNUMBER(SEARCH("'",V187))+U187="","",IF(ISNUMBER(SEARCH("lw",V187)),I187+SUBSTITUTE(V187,"lw+",""),MROUND(_xlfn.SWITCH(Q187,"sq",U$7,"bn",V$7,"dl",W$7,"")*IF(V187&gt;10,V187/100,VLOOKUP(V187,_rpe,SUBSTITUTE(U187,"+","")+1,0)),IF(_xlfn.SWITCH(Q187,"sq",U$7,"bn",V$7,"dl",W$7,"")&lt;IF(_uom="lbs",175,80),1.25,IF(_uom="lbs",5,2.5))))),"")</f>
        <v/>
      </c>
      <c s="70"/>
      <c s="63"/>
      <c s="97"/>
      <c s="44" t="str">
        <f>IFERROR(__xludf.DUMMYFUNCTION("IF(W187=MAX(FILTER(W$10:W$199,LOOKUP(ROW(Q$10:Q$199),FILTER(ROW(Q$10:Q$199),Q$10:Q$199&lt;&gt;Q$9:Q$198))=LOOKUP(ROW(Q187),FILTER(ROW(Q$10:Q$199),Q$10:Q$199&lt;&gt;Q$9:Q$198)))),X187,)"),"")</f>
        <v/>
      </c>
      <c s="42"/>
      <c s="63"/>
      <c s="64" t="str">
        <f t="shared" si="14"/>
        <v/>
      </c>
      <c s="65" t="str">
        <f>IFERROR(__xludf.DUMMYFUNCTION("""COMPUTED_VALUE"""),"")</f>
        <v/>
      </c>
      <c s="66">
        <f ca="1"/>
        <v>45222</v>
      </c>
      <c s="93" t="str">
        <f t="shared" si="156"/>
        <v/>
      </c>
      <c s="94" t="str">
        <f t="shared" si="397"/>
        <v/>
      </c>
      <c s="95" t="str">
        <f t="shared" si="408"/>
        <v/>
      </c>
      <c s="98" t="str">
        <f t="shared" si="398"/>
        <v/>
      </c>
      <c s="97" t="str">
        <f t="array" ref="AK187">IFERROR(IF(AE187="ac"+ISNUMBER(SEARCH("'",AJ187))+AI187="","",IF(ISNUMBER(SEARCH("lw",AJ187)),W187+SUBSTITUTE(AJ187,"lw+",""),MROUND(_xlfn.SWITCH(AE187,"sq",AI$7,"bn",AJ$7,"dl",AK$7,"")*IF(AJ187&gt;10,AJ187/100,VLOOKUP(AJ187,_rpe,SUBSTITUTE(AI187,"+","")+1,0)),IF(_xlfn.SWITCH(AE187,"sq",AI$7,"bn",AJ$7,"dl",AK$7,"")&lt;IF(_uom="lbs",175,80),1.25,IF(_uom="lbs",5,2.5))))),"")</f>
        <v/>
      </c>
      <c s="70"/>
      <c s="63"/>
      <c s="97"/>
      <c s="44" t="str">
        <f>IFERROR(__xludf.DUMMYFUNCTION("IF(AK187=MAX(FILTER(AK$10:AK$199,LOOKUP(ROW(AE$10:AE$199),FILTER(ROW(AE$10:AE$199),AE$10:AE$199&lt;&gt;AE$9:AE$198))=LOOKUP(ROW(AE187),FILTER(ROW(AE$10:AE$199),AE$10:AE$199&lt;&gt;AE$9:AE$198)))),AL187,)"),"")</f>
        <v/>
      </c>
      <c s="42"/>
      <c s="63"/>
      <c s="64" t="str">
        <f t="shared" si="17"/>
        <v/>
      </c>
      <c s="65" t="str">
        <f>IFERROR(__xludf.DUMMYFUNCTION("""COMPUTED_VALUE"""),"")</f>
        <v/>
      </c>
      <c s="66">
        <f ca="1"/>
        <v>45229</v>
      </c>
      <c s="93" t="str">
        <f t="shared" si="157"/>
        <v/>
      </c>
      <c s="94" t="str">
        <f t="shared" si="399"/>
        <v/>
      </c>
      <c s="95" t="str">
        <f t="shared" si="409"/>
        <v/>
      </c>
      <c s="98" t="str">
        <f t="shared" si="400"/>
        <v/>
      </c>
      <c s="97" t="str">
        <f t="array" ref="AY187">IFERROR(IF(AS187="ac"+ISNUMBER(SEARCH("'",AX187))+AW187="","",IF(ISNUMBER(SEARCH("lw",AX187)),AK187+SUBSTITUTE(AX187,"lw+",""),MROUND(_xlfn.SWITCH(AS187,"sq",AW$7,"bn",AX$7,"dl",AY$7,"")*IF(AX187&gt;10,AX187/100,VLOOKUP(AX187,_rpe,SUBSTITUTE(AW187,"+","")+1,0)),IF(_xlfn.SWITCH(AS187,"sq",AW$7,"bn",AX$7,"dl",AY$7,"")&lt;IF(_uom="lbs",175,80),1.25,IF(_uom="lbs",5,2.5))))),"")</f>
        <v/>
      </c>
      <c s="70"/>
      <c s="63"/>
      <c s="97"/>
      <c s="44" t="str">
        <f>IFERROR(__xludf.DUMMYFUNCTION("IF(AY187=MAX(FILTER(AY$10:AY$199,LOOKUP(ROW(AS$10:AS$199),FILTER(ROW(AS$10:AS$199),AS$10:AS$199&lt;&gt;AS$9:AS$198))=LOOKUP(ROW(AS187),FILTER(ROW(AS$10:AS$199),AS$10:AS$199&lt;&gt;AS$9:AS$198)))),AZ187,)"),"")</f>
        <v/>
      </c>
      <c s="42"/>
      <c s="63"/>
      <c s="64" t="str">
        <f t="shared" si="19"/>
        <v/>
      </c>
      <c s="65" t="str">
        <f>IFERROR(__xludf.DUMMYFUNCTION("""COMPUTED_VALUE"""),"")</f>
        <v/>
      </c>
      <c s="66">
        <f ca="1"/>
        <v>45236</v>
      </c>
      <c s="93" t="str">
        <f t="shared" si="20"/>
        <v/>
      </c>
      <c s="94" t="str">
        <f t="shared" si="425"/>
        <v/>
      </c>
      <c s="95" t="str">
        <f t="shared" si="411"/>
        <v/>
      </c>
      <c s="98" t="str">
        <f t="shared" si="412"/>
        <v/>
      </c>
      <c s="97" t="str">
        <f t="array" ref="BM187">IFERROR(IF(BG187="ac"+ISNUMBER(SEARCH("'",BL187))+BK187="","",IF(ISNUMBER(SEARCH("lw",BL187)),AY187+SUBSTITUTE(BL187,"lw+",""),MROUND(_xlfn.SWITCH(BG187,"sq",BK$7,"bn",BL$7,"dl",BM$7,"")*IF(BL187&gt;10,BL187/100,VLOOKUP(BL187,_rpe,SUBSTITUTE(BK187,"+","")+1,0)),IF(_xlfn.SWITCH(BG187,"sq",BK$7,"bn",BL$7,"dl",BM$7,"")&lt;IF(_uom="lbs",175,80),1.25,IF(_uom="lbs",5,2.5))))),"")</f>
        <v/>
      </c>
      <c s="70"/>
      <c s="63"/>
      <c s="97"/>
      <c s="44" t="str">
        <f>IFERROR(__xludf.DUMMYFUNCTION("IF(BM187=MAX(FILTER(BM$10:BM$199,LOOKUP(ROW(BG$10:BG$199),FILTER(ROW(BG$10:BG$199),BG$10:BG$199&lt;&gt;BG$9:BG$198))=LOOKUP(ROW(BG187),FILTER(ROW(BG$10:BG$199),BG$10:BG$199&lt;&gt;BG$9:BG$198)))),BN187,)"),"")</f>
        <v/>
      </c>
      <c s="42"/>
      <c s="63"/>
      <c s="64" t="str">
        <f t="shared" si="21"/>
        <v/>
      </c>
      <c s="65" t="str">
        <f>IFERROR(__xludf.DUMMYFUNCTION("""COMPUTED_VALUE"""),"")</f>
        <v/>
      </c>
      <c s="66">
        <f ca="1"/>
        <v>45243</v>
      </c>
      <c s="93" t="str">
        <f t="shared" si="22"/>
        <v/>
      </c>
      <c s="94" t="str">
        <f t="shared" si="426"/>
        <v/>
      </c>
      <c s="95" t="str">
        <f t="shared" si="414"/>
        <v/>
      </c>
      <c s="98" t="str">
        <f t="shared" si="415"/>
        <v/>
      </c>
      <c s="97" t="str">
        <f t="array" ref="CA187">IFERROR(IF(BU187="ac"+ISNUMBER(SEARCH("'",BZ187))+BY187="","",IF(ISNUMBER(SEARCH("lw",BZ187)),BM187+SUBSTITUTE(BZ187,"lw+",""),MROUND(_xlfn.SWITCH(BU187,"sq",BY$7,"bn",BZ$7,"dl",CA$7,"")*IF(BZ187&gt;10,BZ187/100,VLOOKUP(BZ187,_rpe,SUBSTITUTE(BY187,"+","")+1,0)),IF(_xlfn.SWITCH(BU187,"sq",BY$7,"bn",BZ$7,"dl",CA$7,"")&lt;IF(_uom="lbs",175,80),1.25,IF(_uom="lbs",5,2.5))))),"")</f>
        <v/>
      </c>
      <c s="70"/>
      <c s="63"/>
      <c s="97"/>
      <c s="44" t="str">
        <f>IFERROR(__xludf.DUMMYFUNCTION("IF(CA187=MAX(FILTER(CA$10:CA$199,LOOKUP(ROW(BU$10:BU$199),FILTER(ROW(BU$10:BU$199),BU$10:BU$199&lt;&gt;BU$9:BU$198))=LOOKUP(ROW(BU187),FILTER(ROW(BU$10:BU$199),BU$10:BU$199&lt;&gt;BU$9:BU$198)))),CB187,)"),"")</f>
        <v/>
      </c>
      <c s="42"/>
      <c s="63"/>
      <c s="64" t="str">
        <f t="shared" si="24"/>
        <v/>
      </c>
      <c s="65" t="str">
        <f>IFERROR(__xludf.DUMMYFUNCTION("""COMPUTED_VALUE"""),"")</f>
        <v/>
      </c>
      <c s="66">
        <f ca="1"/>
        <v>45250</v>
      </c>
      <c s="93" t="str">
        <f t="shared" si="44"/>
        <v/>
      </c>
      <c s="94" t="str">
        <f t="shared" si="392"/>
        <v/>
      </c>
      <c s="95" t="str">
        <f t="shared" si="416"/>
        <v/>
      </c>
      <c s="98" t="str">
        <f t="shared" si="417"/>
        <v/>
      </c>
      <c s="97" t="str">
        <f t="array" ref="CO187">IFERROR(IF(CI187="ac"+ISNUMBER(SEARCH("'",CN187))+CM187="","",IF(ISNUMBER(SEARCH("lw",CN187)),CA187+SUBSTITUTE(CN187,"lw+",""),MROUND(_xlfn.SWITCH(CI187,"sq",CM$7,"bn",CN$7,"dl",CO$7,"")*IF(CN187&gt;10,CN187/100,VLOOKUP(CN187,_rpe,SUBSTITUTE(CM187,"+","")+1,0)),IF(_xlfn.SWITCH(CI187,"sq",CM$7,"bn",CN$7,"dl",CO$7,"")&lt;IF(_uom="lbs",175,80),1.25,IF(_uom="lbs",5,2.5))))),"")</f>
        <v/>
      </c>
      <c s="70"/>
      <c s="63"/>
      <c s="97"/>
      <c s="44" t="str">
        <f>IFERROR(__xludf.DUMMYFUNCTION("IF(CO187=MAX(FILTER(CO$10:CO$199,LOOKUP(ROW(CI$10:CI$199),FILTER(ROW(CI$10:CI$199),CI$10:CI$199&lt;&gt;CI$9:CI$198))=LOOKUP(ROW(CI187),FILTER(ROW(CI$10:CI$199),CI$10:CI$199&lt;&gt;CI$9:CI$198)))),CP187,)"),"")</f>
        <v/>
      </c>
      <c s="42"/>
      <c s="63"/>
      <c s="64" t="str">
        <f t="shared" si="27"/>
        <v/>
      </c>
      <c s="65" t="str">
        <f>IFERROR(__xludf.DUMMYFUNCTION("""COMPUTED_VALUE"""),"")</f>
        <v/>
      </c>
      <c s="66">
        <f ca="1"/>
        <v>45257</v>
      </c>
      <c s="93" t="str">
        <f t="shared" si="45"/>
        <v/>
      </c>
      <c s="94" t="str">
        <f t="shared" si="393"/>
        <v/>
      </c>
      <c s="95" t="str">
        <f t="shared" si="418"/>
        <v/>
      </c>
      <c s="98" t="str">
        <f t="shared" si="401"/>
        <v/>
      </c>
      <c s="97" t="str">
        <f t="array" ref="DC187">IFERROR(IF(CW187="ac"+ISNUMBER(SEARCH("'",DB187))+DA187="","",IF(ISNUMBER(SEARCH("lw",DB187)),CO187+SUBSTITUTE(DB187,"lw+",""),MROUND(_xlfn.SWITCH(CW187,"sq",DA$7,"bn",DB$7,"dl",DC$7,"")*IF(DB187&gt;10,DB187/100,VLOOKUP(DB187,_rpe,SUBSTITUTE(DA187,"+","")+1,0)),IF(_xlfn.SWITCH(CW187,"sq",DA$7,"bn",DB$7,"dl",DC$7,"")&lt;IF(_uom="lbs",175,80),1.25,IF(_uom="lbs",5,2.5))))),"")</f>
        <v/>
      </c>
      <c s="70"/>
      <c s="63"/>
      <c s="97"/>
      <c s="44" t="str">
        <f>IFERROR(__xludf.DUMMYFUNCTION("IF(DC187=MAX(FILTER(DC$10:DC$199,LOOKUP(ROW(CW$10:CW$199),FILTER(ROW(CW$10:CW$199),CW$10:CW$199&lt;&gt;CW$9:CW$198))=LOOKUP(ROW(CW187),FILTER(ROW(CW$10:CW$199),CW$10:CW$199&lt;&gt;CW$9:CW$198)))),DD187,)"),"")</f>
        <v/>
      </c>
      <c s="42"/>
      <c s="63"/>
      <c s="64" t="str">
        <f t="shared" si="30"/>
        <v/>
      </c>
      <c s="65" t="str">
        <f>IFERROR(__xludf.DUMMYFUNCTION("""COMPUTED_VALUE"""),"")</f>
        <v/>
      </c>
      <c s="66">
        <f ca="1"/>
        <v>45264</v>
      </c>
      <c s="93" t="str">
        <f t="shared" si="46"/>
        <v/>
      </c>
      <c s="94" t="str">
        <f t="shared" si="394"/>
        <v/>
      </c>
      <c s="95" t="str">
        <f t="shared" si="419"/>
        <v/>
      </c>
      <c s="98" t="str">
        <f t="shared" si="420"/>
        <v/>
      </c>
      <c s="97" t="str">
        <f t="array" ref="DQ187">IFERROR(IF(DK187="ac"+ISNUMBER(SEARCH("'",DP187))+DO187="","",IF(ISNUMBER(SEARCH("lw",DP187)),DC187+SUBSTITUTE(DP187,"lw+",""),MROUND(_xlfn.SWITCH(DK187,"sq",DO$7,"bn",DP$7,"dl",DQ$7,"")*IF(DP187&gt;10,DP187/100,VLOOKUP(DP187,_rpe,SUBSTITUTE(DO187,"+","")+1,0)),IF(_xlfn.SWITCH(DK187,"sq",DO$7,"bn",DP$7,"dl",DQ$7,"")&lt;IF(_uom="lbs",175,80),1.25,IF(_uom="lbs",5,2.5))))),"")</f>
        <v/>
      </c>
      <c s="70"/>
      <c s="63"/>
      <c s="97"/>
      <c s="44" t="str">
        <f>IFERROR(__xludf.DUMMYFUNCTION("IF(DQ187=MAX(FILTER(DQ$10:DQ$199,LOOKUP(ROW(DK$10:DK$199),FILTER(ROW(DK$10:DK$199),DK$10:DK$199&lt;&gt;DK$9:DK$198))=LOOKUP(ROW(DK187),FILTER(ROW(DK$10:DK$199),DK$10:DK$199&lt;&gt;DK$9:DK$198)))),DR187,)"),"")</f>
        <v/>
      </c>
      <c s="42"/>
      <c s="63"/>
      <c s="64" t="str">
        <f t="shared" si="32"/>
        <v/>
      </c>
      <c s="65" t="str">
        <f>IFERROR(__xludf.DUMMYFUNCTION("""COMPUTED_VALUE"""),"")</f>
        <v/>
      </c>
      <c s="66">
        <f ca="1"/>
        <v>45271</v>
      </c>
      <c s="93" t="str">
        <f t="shared" si="47"/>
        <v/>
      </c>
      <c s="94" t="str">
        <f t="shared" si="405"/>
        <v/>
      </c>
      <c s="95" t="str">
        <f t="shared" si="421"/>
        <v/>
      </c>
      <c s="98" t="str">
        <f t="shared" si="422"/>
        <v/>
      </c>
      <c s="97" t="str">
        <f t="array" ref="EE187">IFERROR(IF(DY187="ac"+ISNUMBER(SEARCH("'",ED187))+EC187="","",IF(ISNUMBER(SEARCH("lw",ED187)),DQ187+SUBSTITUTE(ED187,"lw+",""),MROUND(_xlfn.SWITCH(DY187,"sq",EC$7,"bn",ED$7,"dl",EE$7,"")*IF(ED187&gt;10,ED187/100,VLOOKUP(ED187,_rpe,SUBSTITUTE(EC187,"+","")+1,0)),IF(_xlfn.SWITCH(DY187,"sq",EC$7,"bn",ED$7,"dl",EE$7,"")&lt;IF(_uom="lbs",175,80),1.25,IF(_uom="lbs",5,2.5))))),"")</f>
        <v/>
      </c>
      <c s="70"/>
      <c s="63"/>
      <c s="97"/>
      <c s="44" t="str">
        <f>IFERROR(__xludf.DUMMYFUNCTION("IF(EE187=MAX(FILTER(EE$10:EE$199,LOOKUP(ROW(DY$10:DY$199),FILTER(ROW(DY$10:DY$199),DY$10:DY$199&lt;&gt;DY$9:DY$198))=LOOKUP(ROW(DY187),FILTER(ROW(DY$10:DY$199),DY$10:DY$199&lt;&gt;DY$9:DY$198)))),EF187,)"),"")</f>
        <v/>
      </c>
      <c s="42"/>
      <c s="63"/>
      <c s="64" t="str">
        <f t="shared" si="34"/>
        <v/>
      </c>
      <c s="65" t="str">
        <f>IFERROR(__xludf.DUMMYFUNCTION("""COMPUTED_VALUE"""),"")</f>
        <v/>
      </c>
      <c s="66">
        <f ca="1"/>
        <v>45278</v>
      </c>
      <c s="93" t="str">
        <f t="shared" si="48"/>
        <v/>
      </c>
      <c s="94" t="str">
        <f t="shared" si="395"/>
        <v/>
      </c>
      <c s="95" t="str">
        <f t="shared" si="423"/>
        <v/>
      </c>
      <c s="98" t="str">
        <f t="shared" si="402"/>
        <v/>
      </c>
      <c s="97" t="str">
        <f t="array" ref="ES187">IFERROR(IF(EM187="ac"+ISNUMBER(SEARCH("'",ER187))+EQ187="","",IF(ISNUMBER(SEARCH("lw",ER187)),EE187+SUBSTITUTE(ER187,"lw+",""),MROUND(_xlfn.SWITCH(EM187,"sq",EQ$7,"bn",ER$7,"dl",ES$7,"")*IF(ER187&gt;10,ER187/100,VLOOKUP(ER187,_rpe,SUBSTITUTE(EQ187,"+","")+1,0)),IF(_xlfn.SWITCH(EM187,"sq",EQ$7,"bn",ER$7,"dl",ES$7,"")&lt;IF(_uom="lbs",175,80),1.25,IF(_uom="lbs",5,2.5))))),"")</f>
        <v/>
      </c>
      <c s="70"/>
      <c s="63"/>
      <c s="97"/>
      <c s="44" t="str">
        <f>IFERROR(__xludf.DUMMYFUNCTION("IF(ES187=MAX(FILTER(ES$10:ES$199,LOOKUP(ROW(EM$10:EM$199),FILTER(ROW(EM$10:EM$199),EM$10:EM$199&lt;&gt;EM$9:EM$198))=LOOKUP(ROW(EM187),FILTER(ROW(EM$10:EM$199),EM$10:EM$199&lt;&gt;EM$9:EM$198)))),ET187,)"),"")</f>
        <v/>
      </c>
      <c s="42"/>
      <c s="63"/>
      <c s="64" t="str">
        <f t="shared" si="36"/>
        <v/>
      </c>
      <c s="65" t="str">
        <f>IFERROR(__xludf.DUMMYFUNCTION("""COMPUTED_VALUE"""),"")</f>
        <v/>
      </c>
      <c s="66">
        <f ca="1"/>
        <v>45285</v>
      </c>
      <c s="93" t="str">
        <f t="shared" si="49"/>
        <v/>
      </c>
      <c s="94" t="str">
        <f t="shared" si="396"/>
        <v/>
      </c>
      <c s="95" t="str">
        <f t="shared" si="424"/>
        <v/>
      </c>
      <c s="98" t="str">
        <f t="shared" si="403"/>
        <v/>
      </c>
      <c s="97" t="str">
        <f t="array" ref="FG187">IFERROR(IF(FA187="ac"+ISNUMBER(SEARCH("'",FF187))+FE187="","",IF(ISNUMBER(SEARCH("lw",FF187)),ES187+SUBSTITUTE(FF187,"lw+",""),MROUND(_xlfn.SWITCH(FA187,"sq",FE$7,"bn",FF$7,"dl",FG$7,"")*IF(FF187&gt;10,FF187/100,VLOOKUP(FF187,_rpe,SUBSTITUTE(FE187,"+","")+1,0)),IF(_xlfn.SWITCH(FA187,"sq",FE$7,"bn",FF$7,"dl",FG$7,"")&lt;IF(_uom="lbs",175,80),1.25,IF(_uom="lbs",5,2.5))))),"")</f>
        <v/>
      </c>
      <c s="70"/>
      <c s="63"/>
      <c s="97"/>
      <c s="44" t="str">
        <f>IFERROR(__xludf.DUMMYFUNCTION("IF(FG187=MAX(FILTER(FG$10:FG$199,LOOKUP(ROW(FA$10:FA$199),FILTER(ROW(FA$10:FA$199),FA$10:FA$199&lt;&gt;FA$9:FA$198))=LOOKUP(ROW(FA187),FILTER(ROW(FA$10:FA$199),FA$10:FA$199&lt;&gt;FA$9:FA$198)))),FH187,)"),"")</f>
        <v/>
      </c>
      <c s="42"/>
      <c s="63"/>
      <c s="64" t="str">
        <f t="shared" si="38"/>
        <v/>
      </c>
      <c s="65" t="str">
        <f>IFERROR(__xludf.DUMMYFUNCTION("""COMPUTED_VALUE"""),"")</f>
        <v/>
      </c>
      <c s="66">
        <f ca="1"/>
        <v>45292</v>
      </c>
      <c s="93" t="str">
        <f t="shared" si="531" ref="FQ187:FR187">IF(ISBLANK(FC187),"",FC187)</f>
        <v/>
      </c>
      <c s="94" t="str">
        <f t="shared" si="531"/>
        <v/>
      </c>
      <c s="95" t="str">
        <f t="shared" si="428"/>
        <v/>
      </c>
      <c s="98" t="str">
        <f t="shared" si="429"/>
        <v/>
      </c>
      <c s="97" t="str">
        <f t="array" ref="FU187">IFERROR(IF(FO187="ac"+ISNUMBER(SEARCH("'",FT187))+FS187="","",IF(ISNUMBER(SEARCH("lw",FT187)),FG187+SUBSTITUTE(FT187,"lw+",""),MROUND(_xlfn.SWITCH(FO187,"sq",FS$7,"bn",FT$7,"dl",FU$7,"")*IF(FT187&gt;10,FT187/100,VLOOKUP(FT187,_rpe,SUBSTITUTE(FS187,"+","")+1,0)),IF(_xlfn.SWITCH(FO187,"sq",FS$7,"bn",FT$7,"dl",FU$7,"")&lt;IF(_uom="lbs",175,80),1.25,IF(_uom="lbs",5,2.5))))),"")</f>
        <v/>
      </c>
      <c s="70"/>
      <c s="63"/>
      <c s="97"/>
      <c s="44" t="str">
        <f>IFERROR(__xludf.DUMMYFUNCTION("IF(FU187=MAX(FILTER(FU$10:FU$199,LOOKUP(ROW(FO$10:FO$199),FILTER(ROW(FO$10:FO$199),FO$10:FO$199&lt;&gt;FO$9:FO$198))=LOOKUP(ROW(FO187),FILTER(ROW(FO$10:FO$199),FO$10:FO$199&lt;&gt;FO$9:FO$198)))),FV187,)"),"")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88" spans="1:259" ht="15.75">
      <c r="A188" s="63"/>
      <c s="107"/>
      <c s="65" t="str">
        <f>IFERROR(__xludf.DUMMYFUNCTION("""COMPUTED_VALUE"""),"")</f>
        <v/>
      </c>
      <c s="66">
        <f ca="1"/>
        <v>45208</v>
      </c>
      <c s="108"/>
      <c s="94"/>
      <c s="95"/>
      <c s="96"/>
      <c s="97" t="str">
        <f t="array" ref="I188">IFERROR(IF(C188="ac"+ISNUMBER(SEARCH("'",H188))+G188="","",MROUND(_xlfn.SWITCH(C188,"sq",'Personal Info'!$O$15,"bn",'Personal Info'!$S$15,"dl",'Personal Info'!$W$15,"")*IF(H188&gt;10,H188/100,VLOOKUP(H188,_rpe,SUBSTITUTE(G188,"+","")+1,0)),IF(_xlfn.SWITCH(C188:C210,"sq",'Personal Info'!$O$15,"bn",'Personal Info'!$S$15,"dl",'Personal Info'!$W$15,"")&lt;IF(_uom="lbs",175,80),1.25,IF(_uom="lbs",5,2.5)))),"")</f>
        <v/>
      </c>
      <c s="70"/>
      <c s="63"/>
      <c s="97"/>
      <c s="44" t="str">
        <f>IFERROR(__xludf.DUMMYFUNCTION("IF(I188=MAX(FILTER(I$10:I$199,LOOKUP(ROW(C$10:C$199),FILTER(ROW(C$10:C$199),C$10:C$199&lt;&gt;C$9:C$198))=LOOKUP(ROW(C188),FILTER(ROW(C$10:C$199),C$10:C$199&lt;&gt;C$9:C$198)))),J188,)"),"")</f>
        <v/>
      </c>
      <c s="42"/>
      <c s="63"/>
      <c s="64" t="str">
        <f t="shared" si="11"/>
        <v/>
      </c>
      <c s="65" t="str">
        <f>IFERROR(__xludf.DUMMYFUNCTION("""COMPUTED_VALUE"""),"")</f>
        <v/>
      </c>
      <c s="66">
        <f ca="1"/>
        <v>45215</v>
      </c>
      <c s="93" t="str">
        <f t="shared" si="12"/>
        <v/>
      </c>
      <c s="94" t="str">
        <f t="shared" si="404"/>
        <v/>
      </c>
      <c s="95" t="str">
        <f t="shared" si="406"/>
        <v/>
      </c>
      <c s="98" t="str">
        <f t="shared" si="407"/>
        <v/>
      </c>
      <c s="97" t="str">
        <f t="array" ref="W188">IFERROR(IF(Q188="ac"+ISNUMBER(SEARCH("'",V188))+U188="","",IF(ISNUMBER(SEARCH("lw",V188)),I188+SUBSTITUTE(V188,"lw+",""),MROUND(_xlfn.SWITCH(Q188,"sq",U$7,"bn",V$7,"dl",W$7,"")*IF(V188&gt;10,V188/100,VLOOKUP(V188,_rpe,SUBSTITUTE(U188,"+","")+1,0)),IF(_xlfn.SWITCH(Q188,"sq",U$7,"bn",V$7,"dl",W$7,"")&lt;IF(_uom="lbs",175,80),1.25,IF(_uom="lbs",5,2.5))))),"")</f>
        <v/>
      </c>
      <c s="70"/>
      <c s="63"/>
      <c s="97"/>
      <c s="44" t="str">
        <f>IFERROR(__xludf.DUMMYFUNCTION("IF(W188=MAX(FILTER(W$10:W$199,LOOKUP(ROW(Q$10:Q$199),FILTER(ROW(Q$10:Q$199),Q$10:Q$199&lt;&gt;Q$9:Q$198))=LOOKUP(ROW(Q188),FILTER(ROW(Q$10:Q$199),Q$10:Q$199&lt;&gt;Q$9:Q$198)))),X188,)"),"")</f>
        <v/>
      </c>
      <c s="42"/>
      <c s="63"/>
      <c s="64" t="str">
        <f t="shared" si="14"/>
        <v/>
      </c>
      <c s="65" t="str">
        <f>IFERROR(__xludf.DUMMYFUNCTION("""COMPUTED_VALUE"""),"")</f>
        <v/>
      </c>
      <c s="66">
        <f ca="1"/>
        <v>45222</v>
      </c>
      <c s="93" t="str">
        <f t="shared" si="156"/>
        <v/>
      </c>
      <c s="94" t="str">
        <f t="shared" si="397"/>
        <v/>
      </c>
      <c s="95" t="str">
        <f t="shared" si="408"/>
        <v/>
      </c>
      <c s="98" t="str">
        <f t="shared" si="398"/>
        <v/>
      </c>
      <c s="97" t="str">
        <f t="array" ref="AK188">IFERROR(IF(AE188="ac"+ISNUMBER(SEARCH("'",AJ188))+AI188="","",IF(ISNUMBER(SEARCH("lw",AJ188)),W188+SUBSTITUTE(AJ188,"lw+",""),MROUND(_xlfn.SWITCH(AE188,"sq",AI$7,"bn",AJ$7,"dl",AK$7,"")*IF(AJ188&gt;10,AJ188/100,VLOOKUP(AJ188,_rpe,SUBSTITUTE(AI188,"+","")+1,0)),IF(_xlfn.SWITCH(AE188,"sq",AI$7,"bn",AJ$7,"dl",AK$7,"")&lt;IF(_uom="lbs",175,80),1.25,IF(_uom="lbs",5,2.5))))),"")</f>
        <v/>
      </c>
      <c s="70"/>
      <c s="63"/>
      <c s="97"/>
      <c s="44" t="str">
        <f>IFERROR(__xludf.DUMMYFUNCTION("IF(AK188=MAX(FILTER(AK$10:AK$199,LOOKUP(ROW(AE$10:AE$199),FILTER(ROW(AE$10:AE$199),AE$10:AE$199&lt;&gt;AE$9:AE$198))=LOOKUP(ROW(AE188),FILTER(ROW(AE$10:AE$199),AE$10:AE$199&lt;&gt;AE$9:AE$198)))),AL188,)"),"")</f>
        <v/>
      </c>
      <c s="42"/>
      <c s="63"/>
      <c s="64" t="str">
        <f t="shared" si="17"/>
        <v/>
      </c>
      <c s="65" t="str">
        <f>IFERROR(__xludf.DUMMYFUNCTION("""COMPUTED_VALUE"""),"")</f>
        <v/>
      </c>
      <c s="66">
        <f ca="1"/>
        <v>45229</v>
      </c>
      <c s="93" t="str">
        <f t="shared" si="157"/>
        <v/>
      </c>
      <c s="94" t="str">
        <f t="shared" si="399"/>
        <v/>
      </c>
      <c s="95" t="str">
        <f t="shared" si="409"/>
        <v/>
      </c>
      <c s="98" t="str">
        <f t="shared" si="400"/>
        <v/>
      </c>
      <c s="97" t="str">
        <f t="array" ref="AY188">IFERROR(IF(AS188="ac"+ISNUMBER(SEARCH("'",AX188))+AW188="","",IF(ISNUMBER(SEARCH("lw",AX188)),AK188+SUBSTITUTE(AX188,"lw+",""),MROUND(_xlfn.SWITCH(AS188,"sq",AW$7,"bn",AX$7,"dl",AY$7,"")*IF(AX188&gt;10,AX188/100,VLOOKUP(AX188,_rpe,SUBSTITUTE(AW188,"+","")+1,0)),IF(_xlfn.SWITCH(AS188,"sq",AW$7,"bn",AX$7,"dl",AY$7,"")&lt;IF(_uom="lbs",175,80),1.25,IF(_uom="lbs",5,2.5))))),"")</f>
        <v/>
      </c>
      <c s="70"/>
      <c s="63"/>
      <c s="97"/>
      <c s="44" t="str">
        <f>IFERROR(__xludf.DUMMYFUNCTION("IF(AY188=MAX(FILTER(AY$10:AY$199,LOOKUP(ROW(AS$10:AS$199),FILTER(ROW(AS$10:AS$199),AS$10:AS$199&lt;&gt;AS$9:AS$198))=LOOKUP(ROW(AS188),FILTER(ROW(AS$10:AS$199),AS$10:AS$199&lt;&gt;AS$9:AS$198)))),AZ188,)"),"")</f>
        <v/>
      </c>
      <c s="42"/>
      <c s="63"/>
      <c s="64" t="str">
        <f t="shared" si="19"/>
        <v/>
      </c>
      <c s="65" t="str">
        <f>IFERROR(__xludf.DUMMYFUNCTION("""COMPUTED_VALUE"""),"")</f>
        <v/>
      </c>
      <c s="66">
        <f ca="1"/>
        <v>45236</v>
      </c>
      <c s="93" t="str">
        <f t="shared" si="20"/>
        <v/>
      </c>
      <c s="94" t="str">
        <f t="shared" si="425"/>
        <v/>
      </c>
      <c s="95" t="str">
        <f t="shared" si="411"/>
        <v/>
      </c>
      <c s="98" t="str">
        <f t="shared" si="412"/>
        <v/>
      </c>
      <c s="97" t="str">
        <f t="array" ref="BM188">IFERROR(IF(BG188="ac"+ISNUMBER(SEARCH("'",BL188))+BK188="","",IF(ISNUMBER(SEARCH("lw",BL188)),AY188+SUBSTITUTE(BL188,"lw+",""),MROUND(_xlfn.SWITCH(BG188,"sq",BK$7,"bn",BL$7,"dl",BM$7,"")*IF(BL188&gt;10,BL188/100,VLOOKUP(BL188,_rpe,SUBSTITUTE(BK188,"+","")+1,0)),IF(_xlfn.SWITCH(BG188,"sq",BK$7,"bn",BL$7,"dl",BM$7,"")&lt;IF(_uom="lbs",175,80),1.25,IF(_uom="lbs",5,2.5))))),"")</f>
        <v/>
      </c>
      <c s="70"/>
      <c s="63"/>
      <c s="97"/>
      <c s="44" t="str">
        <f>IFERROR(__xludf.DUMMYFUNCTION("IF(BM188=MAX(FILTER(BM$10:BM$199,LOOKUP(ROW(BG$10:BG$199),FILTER(ROW(BG$10:BG$199),BG$10:BG$199&lt;&gt;BG$9:BG$198))=LOOKUP(ROW(BG188),FILTER(ROW(BG$10:BG$199),BG$10:BG$199&lt;&gt;BG$9:BG$198)))),BN188,)"),"")</f>
        <v/>
      </c>
      <c s="42"/>
      <c s="63"/>
      <c s="64" t="str">
        <f t="shared" si="21"/>
        <v/>
      </c>
      <c s="65" t="str">
        <f>IFERROR(__xludf.DUMMYFUNCTION("""COMPUTED_VALUE"""),"")</f>
        <v/>
      </c>
      <c s="66">
        <f ca="1"/>
        <v>45243</v>
      </c>
      <c s="93" t="str">
        <f t="shared" si="22"/>
        <v/>
      </c>
      <c s="94" t="str">
        <f t="shared" si="426"/>
        <v/>
      </c>
      <c s="95" t="str">
        <f t="shared" si="414"/>
        <v/>
      </c>
      <c s="98" t="str">
        <f t="shared" si="415"/>
        <v/>
      </c>
      <c s="97" t="str">
        <f t="array" ref="CA188">IFERROR(IF(BU188="ac"+ISNUMBER(SEARCH("'",BZ188))+BY188="","",IF(ISNUMBER(SEARCH("lw",BZ188)),BM188+SUBSTITUTE(BZ188,"lw+",""),MROUND(_xlfn.SWITCH(BU188,"sq",BY$7,"bn",BZ$7,"dl",CA$7,"")*IF(BZ188&gt;10,BZ188/100,VLOOKUP(BZ188,_rpe,SUBSTITUTE(BY188,"+","")+1,0)),IF(_xlfn.SWITCH(BU188,"sq",BY$7,"bn",BZ$7,"dl",CA$7,"")&lt;IF(_uom="lbs",175,80),1.25,IF(_uom="lbs",5,2.5))))),"")</f>
        <v/>
      </c>
      <c s="70"/>
      <c s="63"/>
      <c s="97"/>
      <c s="44" t="str">
        <f>IFERROR(__xludf.DUMMYFUNCTION("IF(CA188=MAX(FILTER(CA$10:CA$199,LOOKUP(ROW(BU$10:BU$199),FILTER(ROW(BU$10:BU$199),BU$10:BU$199&lt;&gt;BU$9:BU$198))=LOOKUP(ROW(BU188),FILTER(ROW(BU$10:BU$199),BU$10:BU$199&lt;&gt;BU$9:BU$198)))),CB188,)"),"")</f>
        <v/>
      </c>
      <c s="42"/>
      <c s="63"/>
      <c s="64" t="str">
        <f t="shared" si="24"/>
        <v/>
      </c>
      <c s="65" t="str">
        <f>IFERROR(__xludf.DUMMYFUNCTION("""COMPUTED_VALUE"""),"")</f>
        <v/>
      </c>
      <c s="66">
        <f ca="1"/>
        <v>45250</v>
      </c>
      <c s="93" t="str">
        <f t="shared" si="44"/>
        <v/>
      </c>
      <c s="94" t="str">
        <f t="shared" si="392"/>
        <v/>
      </c>
      <c s="95" t="str">
        <f t="shared" si="416"/>
        <v/>
      </c>
      <c s="98" t="str">
        <f t="shared" si="417"/>
        <v/>
      </c>
      <c s="97" t="str">
        <f t="array" ref="CO188">IFERROR(IF(CI188="ac"+ISNUMBER(SEARCH("'",CN188))+CM188="","",IF(ISNUMBER(SEARCH("lw",CN188)),CA188+SUBSTITUTE(CN188,"lw+",""),MROUND(_xlfn.SWITCH(CI188,"sq",CM$7,"bn",CN$7,"dl",CO$7,"")*IF(CN188&gt;10,CN188/100,VLOOKUP(CN188,_rpe,SUBSTITUTE(CM188,"+","")+1,0)),IF(_xlfn.SWITCH(CI188,"sq",CM$7,"bn",CN$7,"dl",CO$7,"")&lt;IF(_uom="lbs",175,80),1.25,IF(_uom="lbs",5,2.5))))),"")</f>
        <v/>
      </c>
      <c s="70"/>
      <c s="63"/>
      <c s="97"/>
      <c s="44" t="str">
        <f>IFERROR(__xludf.DUMMYFUNCTION("IF(CO188=MAX(FILTER(CO$10:CO$199,LOOKUP(ROW(CI$10:CI$199),FILTER(ROW(CI$10:CI$199),CI$10:CI$199&lt;&gt;CI$9:CI$198))=LOOKUP(ROW(CI188),FILTER(ROW(CI$10:CI$199),CI$10:CI$199&lt;&gt;CI$9:CI$198)))),CP188,)"),"")</f>
        <v/>
      </c>
      <c s="42"/>
      <c s="63"/>
      <c s="64" t="str">
        <f t="shared" si="27"/>
        <v/>
      </c>
      <c s="65" t="str">
        <f>IFERROR(__xludf.DUMMYFUNCTION("""COMPUTED_VALUE"""),"")</f>
        <v/>
      </c>
      <c s="66">
        <f ca="1"/>
        <v>45257</v>
      </c>
      <c s="93" t="str">
        <f t="shared" si="45"/>
        <v/>
      </c>
      <c s="94" t="str">
        <f t="shared" si="393"/>
        <v/>
      </c>
      <c s="95" t="str">
        <f t="shared" si="418"/>
        <v/>
      </c>
      <c s="98" t="str">
        <f t="shared" si="401"/>
        <v/>
      </c>
      <c s="97" t="str">
        <f t="array" ref="DC188">IFERROR(IF(CW188="ac"+ISNUMBER(SEARCH("'",DB188))+DA188="","",IF(ISNUMBER(SEARCH("lw",DB188)),CO188+SUBSTITUTE(DB188,"lw+",""),MROUND(_xlfn.SWITCH(CW188,"sq",DA$7,"bn",DB$7,"dl",DC$7,"")*IF(DB188&gt;10,DB188/100,VLOOKUP(DB188,_rpe,SUBSTITUTE(DA188,"+","")+1,0)),IF(_xlfn.SWITCH(CW188,"sq",DA$7,"bn",DB$7,"dl",DC$7,"")&lt;IF(_uom="lbs",175,80),1.25,IF(_uom="lbs",5,2.5))))),"")</f>
        <v/>
      </c>
      <c s="70"/>
      <c s="63"/>
      <c s="97"/>
      <c s="44" t="str">
        <f>IFERROR(__xludf.DUMMYFUNCTION("IF(DC188=MAX(FILTER(DC$10:DC$199,LOOKUP(ROW(CW$10:CW$199),FILTER(ROW(CW$10:CW$199),CW$10:CW$199&lt;&gt;CW$9:CW$198))=LOOKUP(ROW(CW188),FILTER(ROW(CW$10:CW$199),CW$10:CW$199&lt;&gt;CW$9:CW$198)))),DD188,)"),"")</f>
        <v/>
      </c>
      <c s="42"/>
      <c s="63"/>
      <c s="64" t="str">
        <f t="shared" si="30"/>
        <v/>
      </c>
      <c s="65" t="str">
        <f>IFERROR(__xludf.DUMMYFUNCTION("""COMPUTED_VALUE"""),"")</f>
        <v/>
      </c>
      <c s="66">
        <f ca="1"/>
        <v>45264</v>
      </c>
      <c s="93" t="str">
        <f t="shared" si="46"/>
        <v/>
      </c>
      <c s="94" t="str">
        <f t="shared" si="394"/>
        <v/>
      </c>
      <c s="95" t="str">
        <f t="shared" si="419"/>
        <v/>
      </c>
      <c s="98" t="str">
        <f t="shared" si="420"/>
        <v/>
      </c>
      <c s="97" t="str">
        <f t="array" ref="DQ188">IFERROR(IF(DK188="ac"+ISNUMBER(SEARCH("'",DP188))+DO188="","",IF(ISNUMBER(SEARCH("lw",DP188)),DC188+SUBSTITUTE(DP188,"lw+",""),MROUND(_xlfn.SWITCH(DK188,"sq",DO$7,"bn",DP$7,"dl",DQ$7,"")*IF(DP188&gt;10,DP188/100,VLOOKUP(DP188,_rpe,SUBSTITUTE(DO188,"+","")+1,0)),IF(_xlfn.SWITCH(DK188,"sq",DO$7,"bn",DP$7,"dl",DQ$7,"")&lt;IF(_uom="lbs",175,80),1.25,IF(_uom="lbs",5,2.5))))),"")</f>
        <v/>
      </c>
      <c s="70"/>
      <c s="63"/>
      <c s="97"/>
      <c s="44" t="str">
        <f>IFERROR(__xludf.DUMMYFUNCTION("IF(DQ188=MAX(FILTER(DQ$10:DQ$199,LOOKUP(ROW(DK$10:DK$199),FILTER(ROW(DK$10:DK$199),DK$10:DK$199&lt;&gt;DK$9:DK$198))=LOOKUP(ROW(DK188),FILTER(ROW(DK$10:DK$199),DK$10:DK$199&lt;&gt;DK$9:DK$198)))),DR188,)"),"")</f>
        <v/>
      </c>
      <c s="42"/>
      <c s="63"/>
      <c s="64" t="str">
        <f t="shared" si="32"/>
        <v/>
      </c>
      <c s="65" t="str">
        <f>IFERROR(__xludf.DUMMYFUNCTION("""COMPUTED_VALUE"""),"")</f>
        <v/>
      </c>
      <c s="66">
        <f ca="1"/>
        <v>45271</v>
      </c>
      <c s="93" t="str">
        <f t="shared" si="47"/>
        <v/>
      </c>
      <c s="94" t="str">
        <f t="shared" si="405"/>
        <v/>
      </c>
      <c s="95" t="str">
        <f t="shared" si="421"/>
        <v/>
      </c>
      <c s="98" t="str">
        <f t="shared" si="422"/>
        <v/>
      </c>
      <c s="97" t="str">
        <f t="array" ref="EE188">IFERROR(IF(DY188="ac"+ISNUMBER(SEARCH("'",ED188))+EC188="","",IF(ISNUMBER(SEARCH("lw",ED188)),DQ188+SUBSTITUTE(ED188,"lw+",""),MROUND(_xlfn.SWITCH(DY188,"sq",EC$7,"bn",ED$7,"dl",EE$7,"")*IF(ED188&gt;10,ED188/100,VLOOKUP(ED188,_rpe,SUBSTITUTE(EC188,"+","")+1,0)),IF(_xlfn.SWITCH(DY188,"sq",EC$7,"bn",ED$7,"dl",EE$7,"")&lt;IF(_uom="lbs",175,80),1.25,IF(_uom="lbs",5,2.5))))),"")</f>
        <v/>
      </c>
      <c s="70"/>
      <c s="63"/>
      <c s="97"/>
      <c s="44" t="str">
        <f>IFERROR(__xludf.DUMMYFUNCTION("IF(EE188=MAX(FILTER(EE$10:EE$199,LOOKUP(ROW(DY$10:DY$199),FILTER(ROW(DY$10:DY$199),DY$10:DY$199&lt;&gt;DY$9:DY$198))=LOOKUP(ROW(DY188),FILTER(ROW(DY$10:DY$199),DY$10:DY$199&lt;&gt;DY$9:DY$198)))),EF188,)"),"")</f>
        <v/>
      </c>
      <c s="42"/>
      <c s="63"/>
      <c s="64" t="str">
        <f t="shared" si="34"/>
        <v/>
      </c>
      <c s="65" t="str">
        <f>IFERROR(__xludf.DUMMYFUNCTION("""COMPUTED_VALUE"""),"")</f>
        <v/>
      </c>
      <c s="66">
        <f ca="1"/>
        <v>45278</v>
      </c>
      <c s="93" t="str">
        <f t="shared" si="48"/>
        <v/>
      </c>
      <c s="94" t="str">
        <f t="shared" si="395"/>
        <v/>
      </c>
      <c s="95" t="str">
        <f t="shared" si="423"/>
        <v/>
      </c>
      <c s="98" t="str">
        <f t="shared" si="402"/>
        <v/>
      </c>
      <c s="97" t="str">
        <f t="array" ref="ES188">IFERROR(IF(EM188="ac"+ISNUMBER(SEARCH("'",ER188))+EQ188="","",IF(ISNUMBER(SEARCH("lw",ER188)),EE188+SUBSTITUTE(ER188,"lw+",""),MROUND(_xlfn.SWITCH(EM188,"sq",EQ$7,"bn",ER$7,"dl",ES$7,"")*IF(ER188&gt;10,ER188/100,VLOOKUP(ER188,_rpe,SUBSTITUTE(EQ188,"+","")+1,0)),IF(_xlfn.SWITCH(EM188,"sq",EQ$7,"bn",ER$7,"dl",ES$7,"")&lt;IF(_uom="lbs",175,80),1.25,IF(_uom="lbs",5,2.5))))),"")</f>
        <v/>
      </c>
      <c s="70"/>
      <c s="63"/>
      <c s="97"/>
      <c s="44" t="str">
        <f>IFERROR(__xludf.DUMMYFUNCTION("IF(ES188=MAX(FILTER(ES$10:ES$199,LOOKUP(ROW(EM$10:EM$199),FILTER(ROW(EM$10:EM$199),EM$10:EM$199&lt;&gt;EM$9:EM$198))=LOOKUP(ROW(EM188),FILTER(ROW(EM$10:EM$199),EM$10:EM$199&lt;&gt;EM$9:EM$198)))),ET188,)"),"")</f>
        <v/>
      </c>
      <c s="42"/>
      <c s="63"/>
      <c s="64" t="str">
        <f t="shared" si="36"/>
        <v/>
      </c>
      <c s="65" t="str">
        <f>IFERROR(__xludf.DUMMYFUNCTION("""COMPUTED_VALUE"""),"")</f>
        <v/>
      </c>
      <c s="66">
        <f ca="1"/>
        <v>45285</v>
      </c>
      <c s="93" t="str">
        <f t="shared" si="49"/>
        <v/>
      </c>
      <c s="94" t="str">
        <f t="shared" si="396"/>
        <v/>
      </c>
      <c s="95" t="str">
        <f t="shared" si="424"/>
        <v/>
      </c>
      <c s="98" t="str">
        <f t="shared" si="403"/>
        <v/>
      </c>
      <c s="97" t="str">
        <f t="array" ref="FG188">IFERROR(IF(FA188="ac"+ISNUMBER(SEARCH("'",FF188))+FE188="","",IF(ISNUMBER(SEARCH("lw",FF188)),ES188+SUBSTITUTE(FF188,"lw+",""),MROUND(_xlfn.SWITCH(FA188,"sq",FE$7,"bn",FF$7,"dl",FG$7,"")*IF(FF188&gt;10,FF188/100,VLOOKUP(FF188,_rpe,SUBSTITUTE(FE188,"+","")+1,0)),IF(_xlfn.SWITCH(FA188,"sq",FE$7,"bn",FF$7,"dl",FG$7,"")&lt;IF(_uom="lbs",175,80),1.25,IF(_uom="lbs",5,2.5))))),"")</f>
        <v/>
      </c>
      <c s="70"/>
      <c s="63"/>
      <c s="97"/>
      <c s="44" t="str">
        <f>IFERROR(__xludf.DUMMYFUNCTION("IF(FG188=MAX(FILTER(FG$10:FG$199,LOOKUP(ROW(FA$10:FA$199),FILTER(ROW(FA$10:FA$199),FA$10:FA$199&lt;&gt;FA$9:FA$198))=LOOKUP(ROW(FA188),FILTER(ROW(FA$10:FA$199),FA$10:FA$199&lt;&gt;FA$9:FA$198)))),FH188,)"),"")</f>
        <v/>
      </c>
      <c s="42"/>
      <c s="63"/>
      <c s="64" t="str">
        <f t="shared" si="38"/>
        <v/>
      </c>
      <c s="65" t="str">
        <f>IFERROR(__xludf.DUMMYFUNCTION("""COMPUTED_VALUE"""),"")</f>
        <v/>
      </c>
      <c s="66">
        <f ca="1"/>
        <v>45292</v>
      </c>
      <c s="93" t="str">
        <f t="shared" si="532" ref="FQ188:FR188">IF(ISBLANK(FC188),"",FC188)</f>
        <v/>
      </c>
      <c s="94" t="str">
        <f t="shared" si="532"/>
        <v/>
      </c>
      <c s="95" t="str">
        <f t="shared" si="428"/>
        <v/>
      </c>
      <c s="98" t="str">
        <f t="shared" si="429"/>
        <v/>
      </c>
      <c s="97" t="str">
        <f t="array" ref="FU188">IFERROR(IF(FO188="ac"+ISNUMBER(SEARCH("'",FT188))+FS188="","",IF(ISNUMBER(SEARCH("lw",FT188)),FG188+SUBSTITUTE(FT188,"lw+",""),MROUND(_xlfn.SWITCH(FO188,"sq",FS$7,"bn",FT$7,"dl",FU$7,"")*IF(FT188&gt;10,FT188/100,VLOOKUP(FT188,_rpe,SUBSTITUTE(FS188,"+","")+1,0)),IF(_xlfn.SWITCH(FO188,"sq",FS$7,"bn",FT$7,"dl",FU$7,"")&lt;IF(_uom="lbs",175,80),1.25,IF(_uom="lbs",5,2.5))))),"")</f>
        <v/>
      </c>
      <c s="70"/>
      <c s="63"/>
      <c s="97"/>
      <c s="44" t="str">
        <f>IFERROR(__xludf.DUMMYFUNCTION("IF(FU188=MAX(FILTER(FU$10:FU$199,LOOKUP(ROW(FO$10:FO$199),FILTER(ROW(FO$10:FO$199),FO$10:FO$199&lt;&gt;FO$9:FO$198))=LOOKUP(ROW(FO188),FILTER(ROW(FO$10:FO$199),FO$10:FO$199&lt;&gt;FO$9:FO$198)))),FV188,)"),"")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89" spans="1:259" ht="15.75">
      <c r="A189" s="63"/>
      <c s="107"/>
      <c s="65" t="str">
        <f>IFERROR(__xludf.DUMMYFUNCTION("""COMPUTED_VALUE"""),"")</f>
        <v/>
      </c>
      <c s="66">
        <f ca="1"/>
        <v>45208</v>
      </c>
      <c s="108"/>
      <c s="94"/>
      <c s="95"/>
      <c s="96"/>
      <c s="97" t="str">
        <f t="array" ref="I189">IFERROR(IF(C189="ac"+ISNUMBER(SEARCH("'",H189))+G189="","",MROUND(_xlfn.SWITCH(C189,"sq",'Personal Info'!$O$15,"bn",'Personal Info'!$S$15,"dl",'Personal Info'!$W$15,"")*IF(H189&gt;10,H189/100,VLOOKUP(H189,_rpe,SUBSTITUTE(G189,"+","")+1,0)),IF(_xlfn.SWITCH(C189:C210,"sq",'Personal Info'!$O$15,"bn",'Personal Info'!$S$15,"dl",'Personal Info'!$W$15,"")&lt;IF(_uom="lbs",175,80),1.25,IF(_uom="lbs",5,2.5)))),"")</f>
        <v/>
      </c>
      <c s="70"/>
      <c s="63"/>
      <c s="97"/>
      <c s="44" t="str">
        <f>IFERROR(__xludf.DUMMYFUNCTION("IF(I189=MAX(FILTER(I$10:I$199,LOOKUP(ROW(C$10:C$199),FILTER(ROW(C$10:C$199),C$10:C$199&lt;&gt;C$9:C$198))=LOOKUP(ROW(C189),FILTER(ROW(C$10:C$199),C$10:C$199&lt;&gt;C$9:C$198)))),J189,)"),"")</f>
        <v/>
      </c>
      <c s="42"/>
      <c s="63"/>
      <c s="64" t="str">
        <f t="shared" si="11"/>
        <v/>
      </c>
      <c s="65" t="str">
        <f>IFERROR(__xludf.DUMMYFUNCTION("""COMPUTED_VALUE"""),"")</f>
        <v/>
      </c>
      <c s="66">
        <f ca="1"/>
        <v>45215</v>
      </c>
      <c s="93" t="str">
        <f t="shared" si="12"/>
        <v/>
      </c>
      <c s="94" t="str">
        <f t="shared" si="404"/>
        <v/>
      </c>
      <c s="95" t="str">
        <f t="shared" si="406"/>
        <v/>
      </c>
      <c s="98" t="str">
        <f t="shared" si="407"/>
        <v/>
      </c>
      <c s="97" t="str">
        <f t="array" ref="W189">IFERROR(IF(Q189="ac"+ISNUMBER(SEARCH("'",V189))+U189="","",IF(ISNUMBER(SEARCH("lw",V189)),I189+SUBSTITUTE(V189,"lw+",""),MROUND(_xlfn.SWITCH(Q189,"sq",U$7,"bn",V$7,"dl",W$7,"")*IF(V189&gt;10,V189/100,VLOOKUP(V189,_rpe,SUBSTITUTE(U189,"+","")+1,0)),IF(_xlfn.SWITCH(Q189,"sq",U$7,"bn",V$7,"dl",W$7,"")&lt;IF(_uom="lbs",175,80),1.25,IF(_uom="lbs",5,2.5))))),"")</f>
        <v/>
      </c>
      <c s="70"/>
      <c s="63"/>
      <c s="97"/>
      <c s="44" t="str">
        <f>IFERROR(__xludf.DUMMYFUNCTION("IF(W189=MAX(FILTER(W$10:W$199,LOOKUP(ROW(Q$10:Q$199),FILTER(ROW(Q$10:Q$199),Q$10:Q$199&lt;&gt;Q$9:Q$198))=LOOKUP(ROW(Q189),FILTER(ROW(Q$10:Q$199),Q$10:Q$199&lt;&gt;Q$9:Q$198)))),X189,)"),"")</f>
        <v/>
      </c>
      <c s="42"/>
      <c s="63"/>
      <c s="64" t="str">
        <f t="shared" si="14"/>
        <v/>
      </c>
      <c s="65" t="str">
        <f>IFERROR(__xludf.DUMMYFUNCTION("""COMPUTED_VALUE"""),"")</f>
        <v/>
      </c>
      <c s="66">
        <f ca="1"/>
        <v>45222</v>
      </c>
      <c s="93" t="str">
        <f t="shared" si="156"/>
        <v/>
      </c>
      <c s="94" t="str">
        <f t="shared" si="397"/>
        <v/>
      </c>
      <c s="95" t="str">
        <f t="shared" si="408"/>
        <v/>
      </c>
      <c s="98" t="str">
        <f t="shared" si="398"/>
        <v/>
      </c>
      <c s="97" t="str">
        <f t="array" ref="AK189">IFERROR(IF(AE189="ac"+ISNUMBER(SEARCH("'",AJ189))+AI189="","",IF(ISNUMBER(SEARCH("lw",AJ189)),W189+SUBSTITUTE(AJ189,"lw+",""),MROUND(_xlfn.SWITCH(AE189,"sq",AI$7,"bn",AJ$7,"dl",AK$7,"")*IF(AJ189&gt;10,AJ189/100,VLOOKUP(AJ189,_rpe,SUBSTITUTE(AI189,"+","")+1,0)),IF(_xlfn.SWITCH(AE189,"sq",AI$7,"bn",AJ$7,"dl",AK$7,"")&lt;IF(_uom="lbs",175,80),1.25,IF(_uom="lbs",5,2.5))))),"")</f>
        <v/>
      </c>
      <c s="70"/>
      <c s="63"/>
      <c s="97"/>
      <c s="44" t="str">
        <f>IFERROR(__xludf.DUMMYFUNCTION("IF(AK189=MAX(FILTER(AK$10:AK$199,LOOKUP(ROW(AE$10:AE$199),FILTER(ROW(AE$10:AE$199),AE$10:AE$199&lt;&gt;AE$9:AE$198))=LOOKUP(ROW(AE189),FILTER(ROW(AE$10:AE$199),AE$10:AE$199&lt;&gt;AE$9:AE$198)))),AL189,)"),"")</f>
        <v/>
      </c>
      <c s="42"/>
      <c s="63"/>
      <c s="64" t="str">
        <f t="shared" si="17"/>
        <v/>
      </c>
      <c s="65" t="str">
        <f>IFERROR(__xludf.DUMMYFUNCTION("""COMPUTED_VALUE"""),"")</f>
        <v/>
      </c>
      <c s="66">
        <f ca="1"/>
        <v>45229</v>
      </c>
      <c s="93" t="str">
        <f t="shared" si="157"/>
        <v/>
      </c>
      <c s="94" t="str">
        <f t="shared" si="399"/>
        <v/>
      </c>
      <c s="95" t="str">
        <f t="shared" si="409"/>
        <v/>
      </c>
      <c s="98" t="str">
        <f t="shared" si="400"/>
        <v/>
      </c>
      <c s="97" t="str">
        <f t="array" ref="AY189">IFERROR(IF(AS189="ac"+ISNUMBER(SEARCH("'",AX189))+AW189="","",IF(ISNUMBER(SEARCH("lw",AX189)),AK189+SUBSTITUTE(AX189,"lw+",""),MROUND(_xlfn.SWITCH(AS189,"sq",AW$7,"bn",AX$7,"dl",AY$7,"")*IF(AX189&gt;10,AX189/100,VLOOKUP(AX189,_rpe,SUBSTITUTE(AW189,"+","")+1,0)),IF(_xlfn.SWITCH(AS189,"sq",AW$7,"bn",AX$7,"dl",AY$7,"")&lt;IF(_uom="lbs",175,80),1.25,IF(_uom="lbs",5,2.5))))),"")</f>
        <v/>
      </c>
      <c s="70"/>
      <c s="63"/>
      <c s="97"/>
      <c s="44" t="str">
        <f>IFERROR(__xludf.DUMMYFUNCTION("IF(AY189=MAX(FILTER(AY$10:AY$199,LOOKUP(ROW(AS$10:AS$199),FILTER(ROW(AS$10:AS$199),AS$10:AS$199&lt;&gt;AS$9:AS$198))=LOOKUP(ROW(AS189),FILTER(ROW(AS$10:AS$199),AS$10:AS$199&lt;&gt;AS$9:AS$198)))),AZ189,)"),"")</f>
        <v/>
      </c>
      <c s="42"/>
      <c s="63"/>
      <c s="64" t="str">
        <f t="shared" si="19"/>
        <v/>
      </c>
      <c s="65" t="str">
        <f>IFERROR(__xludf.DUMMYFUNCTION("""COMPUTED_VALUE"""),"")</f>
        <v/>
      </c>
      <c s="66">
        <f ca="1"/>
        <v>45236</v>
      </c>
      <c s="93" t="str">
        <f t="shared" si="20"/>
        <v/>
      </c>
      <c s="94" t="str">
        <f t="shared" si="425"/>
        <v/>
      </c>
      <c s="95" t="str">
        <f t="shared" si="411"/>
        <v/>
      </c>
      <c s="98" t="str">
        <f t="shared" si="412"/>
        <v/>
      </c>
      <c s="97" t="str">
        <f t="array" ref="BM189">IFERROR(IF(BG189="ac"+ISNUMBER(SEARCH("'",BL189))+BK189="","",IF(ISNUMBER(SEARCH("lw",BL189)),AY189+SUBSTITUTE(BL189,"lw+",""),MROUND(_xlfn.SWITCH(BG189,"sq",BK$7,"bn",BL$7,"dl",BM$7,"")*IF(BL189&gt;10,BL189/100,VLOOKUP(BL189,_rpe,SUBSTITUTE(BK189,"+","")+1,0)),IF(_xlfn.SWITCH(BG189,"sq",BK$7,"bn",BL$7,"dl",BM$7,"")&lt;IF(_uom="lbs",175,80),1.25,IF(_uom="lbs",5,2.5))))),"")</f>
        <v/>
      </c>
      <c s="70"/>
      <c s="63"/>
      <c s="97"/>
      <c s="44" t="str">
        <f>IFERROR(__xludf.DUMMYFUNCTION("IF(BM189=MAX(FILTER(BM$10:BM$199,LOOKUP(ROW(BG$10:BG$199),FILTER(ROW(BG$10:BG$199),BG$10:BG$199&lt;&gt;BG$9:BG$198))=LOOKUP(ROW(BG189),FILTER(ROW(BG$10:BG$199),BG$10:BG$199&lt;&gt;BG$9:BG$198)))),BN189,)"),"")</f>
        <v/>
      </c>
      <c s="42"/>
      <c s="63"/>
      <c s="64" t="str">
        <f t="shared" si="21"/>
        <v/>
      </c>
      <c s="65" t="str">
        <f>IFERROR(__xludf.DUMMYFUNCTION("""COMPUTED_VALUE"""),"")</f>
        <v/>
      </c>
      <c s="66">
        <f ca="1"/>
        <v>45243</v>
      </c>
      <c s="93" t="str">
        <f t="shared" si="22"/>
        <v/>
      </c>
      <c s="94" t="str">
        <f t="shared" si="426"/>
        <v/>
      </c>
      <c s="95" t="str">
        <f t="shared" si="414"/>
        <v/>
      </c>
      <c s="98" t="str">
        <f t="shared" si="415"/>
        <v/>
      </c>
      <c s="97" t="str">
        <f t="array" ref="CA189">IFERROR(IF(BU189="ac"+ISNUMBER(SEARCH("'",BZ189))+BY189="","",IF(ISNUMBER(SEARCH("lw",BZ189)),BM189+SUBSTITUTE(BZ189,"lw+",""),MROUND(_xlfn.SWITCH(BU189,"sq",BY$7,"bn",BZ$7,"dl",CA$7,"")*IF(BZ189&gt;10,BZ189/100,VLOOKUP(BZ189,_rpe,SUBSTITUTE(BY189,"+","")+1,0)),IF(_xlfn.SWITCH(BU189,"sq",BY$7,"bn",BZ$7,"dl",CA$7,"")&lt;IF(_uom="lbs",175,80),1.25,IF(_uom="lbs",5,2.5))))),"")</f>
        <v/>
      </c>
      <c s="70"/>
      <c s="63"/>
      <c s="97"/>
      <c s="44" t="str">
        <f>IFERROR(__xludf.DUMMYFUNCTION("IF(CA189=MAX(FILTER(CA$10:CA$199,LOOKUP(ROW(BU$10:BU$199),FILTER(ROW(BU$10:BU$199),BU$10:BU$199&lt;&gt;BU$9:BU$198))=LOOKUP(ROW(BU189),FILTER(ROW(BU$10:BU$199),BU$10:BU$199&lt;&gt;BU$9:BU$198)))),CB189,)"),"")</f>
        <v/>
      </c>
      <c s="42"/>
      <c s="63"/>
      <c s="64" t="str">
        <f t="shared" si="24"/>
        <v/>
      </c>
      <c s="65" t="str">
        <f>IFERROR(__xludf.DUMMYFUNCTION("""COMPUTED_VALUE"""),"")</f>
        <v/>
      </c>
      <c s="66">
        <f ca="1"/>
        <v>45250</v>
      </c>
      <c s="93" t="str">
        <f t="shared" si="44"/>
        <v/>
      </c>
      <c s="94" t="str">
        <f t="shared" si="392"/>
        <v/>
      </c>
      <c s="95" t="str">
        <f t="shared" si="416"/>
        <v/>
      </c>
      <c s="98" t="str">
        <f t="shared" si="417"/>
        <v/>
      </c>
      <c s="97" t="str">
        <f t="array" ref="CO189">IFERROR(IF(CI189="ac"+ISNUMBER(SEARCH("'",CN189))+CM189="","",IF(ISNUMBER(SEARCH("lw",CN189)),CA189+SUBSTITUTE(CN189,"lw+",""),MROUND(_xlfn.SWITCH(CI189,"sq",CM$7,"bn",CN$7,"dl",CO$7,"")*IF(CN189&gt;10,CN189/100,VLOOKUP(CN189,_rpe,SUBSTITUTE(CM189,"+","")+1,0)),IF(_xlfn.SWITCH(CI189,"sq",CM$7,"bn",CN$7,"dl",CO$7,"")&lt;IF(_uom="lbs",175,80),1.25,IF(_uom="lbs",5,2.5))))),"")</f>
        <v/>
      </c>
      <c s="70"/>
      <c s="63"/>
      <c s="97"/>
      <c s="44" t="str">
        <f>IFERROR(__xludf.DUMMYFUNCTION("IF(CO189=MAX(FILTER(CO$10:CO$199,LOOKUP(ROW(CI$10:CI$199),FILTER(ROW(CI$10:CI$199),CI$10:CI$199&lt;&gt;CI$9:CI$198))=LOOKUP(ROW(CI189),FILTER(ROW(CI$10:CI$199),CI$10:CI$199&lt;&gt;CI$9:CI$198)))),CP189,)"),"")</f>
        <v/>
      </c>
      <c s="42"/>
      <c s="63"/>
      <c s="64" t="str">
        <f t="shared" si="27"/>
        <v/>
      </c>
      <c s="65" t="str">
        <f>IFERROR(__xludf.DUMMYFUNCTION("""COMPUTED_VALUE"""),"")</f>
        <v/>
      </c>
      <c s="66">
        <f ca="1"/>
        <v>45257</v>
      </c>
      <c s="93" t="str">
        <f t="shared" si="45"/>
        <v/>
      </c>
      <c s="94" t="str">
        <f t="shared" si="393"/>
        <v/>
      </c>
      <c s="95" t="str">
        <f t="shared" si="418"/>
        <v/>
      </c>
      <c s="98" t="str">
        <f t="shared" si="401"/>
        <v/>
      </c>
      <c s="97" t="str">
        <f t="array" ref="DC189">IFERROR(IF(CW189="ac"+ISNUMBER(SEARCH("'",DB189))+DA189="","",IF(ISNUMBER(SEARCH("lw",DB189)),CO189+SUBSTITUTE(DB189,"lw+",""),MROUND(_xlfn.SWITCH(CW189,"sq",DA$7,"bn",DB$7,"dl",DC$7,"")*IF(DB189&gt;10,DB189/100,VLOOKUP(DB189,_rpe,SUBSTITUTE(DA189,"+","")+1,0)),IF(_xlfn.SWITCH(CW189,"sq",DA$7,"bn",DB$7,"dl",DC$7,"")&lt;IF(_uom="lbs",175,80),1.25,IF(_uom="lbs",5,2.5))))),"")</f>
        <v/>
      </c>
      <c s="70"/>
      <c s="63"/>
      <c s="97"/>
      <c s="44" t="str">
        <f>IFERROR(__xludf.DUMMYFUNCTION("IF(DC189=MAX(FILTER(DC$10:DC$199,LOOKUP(ROW(CW$10:CW$199),FILTER(ROW(CW$10:CW$199),CW$10:CW$199&lt;&gt;CW$9:CW$198))=LOOKUP(ROW(CW189),FILTER(ROW(CW$10:CW$199),CW$10:CW$199&lt;&gt;CW$9:CW$198)))),DD189,)"),"")</f>
        <v/>
      </c>
      <c s="42"/>
      <c s="63"/>
      <c s="64" t="str">
        <f t="shared" si="30"/>
        <v/>
      </c>
      <c s="65" t="str">
        <f>IFERROR(__xludf.DUMMYFUNCTION("""COMPUTED_VALUE"""),"")</f>
        <v/>
      </c>
      <c s="66">
        <f ca="1"/>
        <v>45264</v>
      </c>
      <c s="93" t="str">
        <f t="shared" si="46"/>
        <v/>
      </c>
      <c s="94" t="str">
        <f t="shared" si="394"/>
        <v/>
      </c>
      <c s="95" t="str">
        <f t="shared" si="419"/>
        <v/>
      </c>
      <c s="98" t="str">
        <f t="shared" si="420"/>
        <v/>
      </c>
      <c s="97" t="str">
        <f t="array" ref="DQ189">IFERROR(IF(DK189="ac"+ISNUMBER(SEARCH("'",DP189))+DO189="","",IF(ISNUMBER(SEARCH("lw",DP189)),DC189+SUBSTITUTE(DP189,"lw+",""),MROUND(_xlfn.SWITCH(DK189,"sq",DO$7,"bn",DP$7,"dl",DQ$7,"")*IF(DP189&gt;10,DP189/100,VLOOKUP(DP189,_rpe,SUBSTITUTE(DO189,"+","")+1,0)),IF(_xlfn.SWITCH(DK189,"sq",DO$7,"bn",DP$7,"dl",DQ$7,"")&lt;IF(_uom="lbs",175,80),1.25,IF(_uom="lbs",5,2.5))))),"")</f>
        <v/>
      </c>
      <c s="70"/>
      <c s="63"/>
      <c s="97"/>
      <c s="44" t="str">
        <f>IFERROR(__xludf.DUMMYFUNCTION("IF(DQ189=MAX(FILTER(DQ$10:DQ$199,LOOKUP(ROW(DK$10:DK$199),FILTER(ROW(DK$10:DK$199),DK$10:DK$199&lt;&gt;DK$9:DK$198))=LOOKUP(ROW(DK189),FILTER(ROW(DK$10:DK$199),DK$10:DK$199&lt;&gt;DK$9:DK$198)))),DR189,)"),"")</f>
        <v/>
      </c>
      <c s="42"/>
      <c s="63"/>
      <c s="64" t="str">
        <f t="shared" si="32"/>
        <v/>
      </c>
      <c s="65" t="str">
        <f>IFERROR(__xludf.DUMMYFUNCTION("""COMPUTED_VALUE"""),"")</f>
        <v/>
      </c>
      <c s="66">
        <f ca="1"/>
        <v>45271</v>
      </c>
      <c s="93" t="str">
        <f t="shared" si="47"/>
        <v/>
      </c>
      <c s="94" t="str">
        <f t="shared" si="405"/>
        <v/>
      </c>
      <c s="95" t="str">
        <f t="shared" si="421"/>
        <v/>
      </c>
      <c s="98" t="str">
        <f t="shared" si="422"/>
        <v/>
      </c>
      <c s="97" t="str">
        <f t="array" ref="EE189">IFERROR(IF(DY189="ac"+ISNUMBER(SEARCH("'",ED189))+EC189="","",IF(ISNUMBER(SEARCH("lw",ED189)),DQ189+SUBSTITUTE(ED189,"lw+",""),MROUND(_xlfn.SWITCH(DY189,"sq",EC$7,"bn",ED$7,"dl",EE$7,"")*IF(ED189&gt;10,ED189/100,VLOOKUP(ED189,_rpe,SUBSTITUTE(EC189,"+","")+1,0)),IF(_xlfn.SWITCH(DY189,"sq",EC$7,"bn",ED$7,"dl",EE$7,"")&lt;IF(_uom="lbs",175,80),1.25,IF(_uom="lbs",5,2.5))))),"")</f>
        <v/>
      </c>
      <c s="70"/>
      <c s="63"/>
      <c s="97"/>
      <c s="44" t="str">
        <f>IFERROR(__xludf.DUMMYFUNCTION("IF(EE189=MAX(FILTER(EE$10:EE$199,LOOKUP(ROW(DY$10:DY$199),FILTER(ROW(DY$10:DY$199),DY$10:DY$199&lt;&gt;DY$9:DY$198))=LOOKUP(ROW(DY189),FILTER(ROW(DY$10:DY$199),DY$10:DY$199&lt;&gt;DY$9:DY$198)))),EF189,)"),"")</f>
        <v/>
      </c>
      <c s="42"/>
      <c s="63"/>
      <c s="64" t="str">
        <f t="shared" si="34"/>
        <v/>
      </c>
      <c s="65" t="str">
        <f>IFERROR(__xludf.DUMMYFUNCTION("""COMPUTED_VALUE"""),"")</f>
        <v/>
      </c>
      <c s="66">
        <f ca="1"/>
        <v>45278</v>
      </c>
      <c s="93" t="str">
        <f t="shared" si="48"/>
        <v/>
      </c>
      <c s="94" t="str">
        <f t="shared" si="395"/>
        <v/>
      </c>
      <c s="95" t="str">
        <f t="shared" si="423"/>
        <v/>
      </c>
      <c s="98" t="str">
        <f t="shared" si="402"/>
        <v/>
      </c>
      <c s="97" t="str">
        <f t="array" ref="ES189">IFERROR(IF(EM189="ac"+ISNUMBER(SEARCH("'",ER189))+EQ189="","",IF(ISNUMBER(SEARCH("lw",ER189)),EE189+SUBSTITUTE(ER189,"lw+",""),MROUND(_xlfn.SWITCH(EM189,"sq",EQ$7,"bn",ER$7,"dl",ES$7,"")*IF(ER189&gt;10,ER189/100,VLOOKUP(ER189,_rpe,SUBSTITUTE(EQ189,"+","")+1,0)),IF(_xlfn.SWITCH(EM189,"sq",EQ$7,"bn",ER$7,"dl",ES$7,"")&lt;IF(_uom="lbs",175,80),1.25,IF(_uom="lbs",5,2.5))))),"")</f>
        <v/>
      </c>
      <c s="70"/>
      <c s="63"/>
      <c s="97"/>
      <c s="44" t="str">
        <f>IFERROR(__xludf.DUMMYFUNCTION("IF(ES189=MAX(FILTER(ES$10:ES$199,LOOKUP(ROW(EM$10:EM$199),FILTER(ROW(EM$10:EM$199),EM$10:EM$199&lt;&gt;EM$9:EM$198))=LOOKUP(ROW(EM189),FILTER(ROW(EM$10:EM$199),EM$10:EM$199&lt;&gt;EM$9:EM$198)))),ET189,)"),"")</f>
        <v/>
      </c>
      <c s="42"/>
      <c s="63"/>
      <c s="64" t="str">
        <f t="shared" si="36"/>
        <v/>
      </c>
      <c s="65" t="str">
        <f>IFERROR(__xludf.DUMMYFUNCTION("""COMPUTED_VALUE"""),"")</f>
        <v/>
      </c>
      <c s="66">
        <f ca="1"/>
        <v>45285</v>
      </c>
      <c s="93" t="str">
        <f t="shared" si="49"/>
        <v/>
      </c>
      <c s="94" t="str">
        <f t="shared" si="396"/>
        <v/>
      </c>
      <c s="95" t="str">
        <f t="shared" si="424"/>
        <v/>
      </c>
      <c s="98" t="str">
        <f t="shared" si="403"/>
        <v/>
      </c>
      <c s="97" t="str">
        <f t="array" ref="FG189">IFERROR(IF(FA189="ac"+ISNUMBER(SEARCH("'",FF189))+FE189="","",IF(ISNUMBER(SEARCH("lw",FF189)),ES189+SUBSTITUTE(FF189,"lw+",""),MROUND(_xlfn.SWITCH(FA189,"sq",FE$7,"bn",FF$7,"dl",FG$7,"")*IF(FF189&gt;10,FF189/100,VLOOKUP(FF189,_rpe,SUBSTITUTE(FE189,"+","")+1,0)),IF(_xlfn.SWITCH(FA189,"sq",FE$7,"bn",FF$7,"dl",FG$7,"")&lt;IF(_uom="lbs",175,80),1.25,IF(_uom="lbs",5,2.5))))),"")</f>
        <v/>
      </c>
      <c s="70"/>
      <c s="63"/>
      <c s="97"/>
      <c s="44" t="str">
        <f>IFERROR(__xludf.DUMMYFUNCTION("IF(FG189=MAX(FILTER(FG$10:FG$199,LOOKUP(ROW(FA$10:FA$199),FILTER(ROW(FA$10:FA$199),FA$10:FA$199&lt;&gt;FA$9:FA$198))=LOOKUP(ROW(FA189),FILTER(ROW(FA$10:FA$199),FA$10:FA$199&lt;&gt;FA$9:FA$198)))),FH189,)"),"")</f>
        <v/>
      </c>
      <c s="42"/>
      <c s="63"/>
      <c s="64" t="str">
        <f t="shared" si="38"/>
        <v/>
      </c>
      <c s="65" t="str">
        <f>IFERROR(__xludf.DUMMYFUNCTION("""COMPUTED_VALUE"""),"")</f>
        <v/>
      </c>
      <c s="66">
        <f ca="1"/>
        <v>45292</v>
      </c>
      <c s="93" t="str">
        <f t="shared" si="533" ref="FQ189:FR189">IF(ISBLANK(FC189),"",FC189)</f>
        <v/>
      </c>
      <c s="94" t="str">
        <f t="shared" si="533"/>
        <v/>
      </c>
      <c s="95" t="str">
        <f t="shared" si="428"/>
        <v/>
      </c>
      <c s="98" t="str">
        <f t="shared" si="429"/>
        <v/>
      </c>
      <c s="97" t="str">
        <f t="array" ref="FU189">IFERROR(IF(FO189="ac"+ISNUMBER(SEARCH("'",FT189))+FS189="","",IF(ISNUMBER(SEARCH("lw",FT189)),FG189+SUBSTITUTE(FT189,"lw+",""),MROUND(_xlfn.SWITCH(FO189,"sq",FS$7,"bn",FT$7,"dl",FU$7,"")*IF(FT189&gt;10,FT189/100,VLOOKUP(FT189,_rpe,SUBSTITUTE(FS189,"+","")+1,0)),IF(_xlfn.SWITCH(FO189,"sq",FS$7,"bn",FT$7,"dl",FU$7,"")&lt;IF(_uom="lbs",175,80),1.25,IF(_uom="lbs",5,2.5))))),"")</f>
        <v/>
      </c>
      <c s="70"/>
      <c s="63"/>
      <c s="97"/>
      <c s="44" t="str">
        <f>IFERROR(__xludf.DUMMYFUNCTION("IF(FU189=MAX(FILTER(FU$10:FU$199,LOOKUP(ROW(FO$10:FO$199),FILTER(ROW(FO$10:FO$199),FO$10:FO$199&lt;&gt;FO$9:FO$198))=LOOKUP(ROW(FO189),FILTER(ROW(FO$10:FO$199),FO$10:FO$199&lt;&gt;FO$9:FO$198)))),FV189,)"),"")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90" spans="1:259" ht="15.75">
      <c r="A190" s="63"/>
      <c s="107"/>
      <c s="65" t="str">
        <f>IFERROR(__xludf.DUMMYFUNCTION("""COMPUTED_VALUE"""),"")</f>
        <v/>
      </c>
      <c s="66">
        <f ca="1"/>
        <v>45208</v>
      </c>
      <c s="108"/>
      <c s="94"/>
      <c s="95"/>
      <c s="96"/>
      <c s="97" t="str">
        <f t="array" ref="I190">IFERROR(IF(C190="ac"+ISNUMBER(SEARCH("'",H190))+G190="","",MROUND(_xlfn.SWITCH(C190,"sq",'Personal Info'!$O$15,"bn",'Personal Info'!$S$15,"dl",'Personal Info'!$W$15,"")*IF(H190&gt;10,H190/100,VLOOKUP(H190,_rpe,SUBSTITUTE(G190,"+","")+1,0)),IF(_xlfn.SWITCH(C190:C210,"sq",'Personal Info'!$O$15,"bn",'Personal Info'!$S$15,"dl",'Personal Info'!$W$15,"")&lt;IF(_uom="lbs",175,80),1.25,IF(_uom="lbs",5,2.5)))),"")</f>
        <v/>
      </c>
      <c s="70"/>
      <c s="63"/>
      <c s="97"/>
      <c s="44" t="str">
        <f>IFERROR(__xludf.DUMMYFUNCTION("IF(I190=MAX(FILTER(I$10:I$199,LOOKUP(ROW(C$10:C$199),FILTER(ROW(C$10:C$199),C$10:C$199&lt;&gt;C$9:C$198))=LOOKUP(ROW(C190),FILTER(ROW(C$10:C$199),C$10:C$199&lt;&gt;C$9:C$198)))),J190,)"),"")</f>
        <v/>
      </c>
      <c s="42"/>
      <c s="63"/>
      <c s="64" t="str">
        <f t="shared" si="11"/>
        <v/>
      </c>
      <c s="65" t="str">
        <f>IFERROR(__xludf.DUMMYFUNCTION("""COMPUTED_VALUE"""),"")</f>
        <v/>
      </c>
      <c s="66">
        <f ca="1"/>
        <v>45215</v>
      </c>
      <c s="93" t="str">
        <f t="shared" si="12"/>
        <v/>
      </c>
      <c s="94" t="str">
        <f t="shared" si="404"/>
        <v/>
      </c>
      <c s="95" t="str">
        <f t="shared" si="406"/>
        <v/>
      </c>
      <c s="98" t="str">
        <f t="shared" si="407"/>
        <v/>
      </c>
      <c s="97" t="str">
        <f t="array" ref="W190">IFERROR(IF(Q190="ac"+ISNUMBER(SEARCH("'",V190))+U190="","",IF(ISNUMBER(SEARCH("lw",V190)),I190+SUBSTITUTE(V190,"lw+",""),MROUND(_xlfn.SWITCH(Q190,"sq",U$7,"bn",V$7,"dl",W$7,"")*IF(V190&gt;10,V190/100,VLOOKUP(V190,_rpe,SUBSTITUTE(U190,"+","")+1,0)),IF(_xlfn.SWITCH(Q190,"sq",U$7,"bn",V$7,"dl",W$7,"")&lt;IF(_uom="lbs",175,80),1.25,IF(_uom="lbs",5,2.5))))),"")</f>
        <v/>
      </c>
      <c s="70"/>
      <c s="63"/>
      <c s="97"/>
      <c s="44" t="str">
        <f>IFERROR(__xludf.DUMMYFUNCTION("IF(W190=MAX(FILTER(W$10:W$199,LOOKUP(ROW(Q$10:Q$199),FILTER(ROW(Q$10:Q$199),Q$10:Q$199&lt;&gt;Q$9:Q$198))=LOOKUP(ROW(Q190),FILTER(ROW(Q$10:Q$199),Q$10:Q$199&lt;&gt;Q$9:Q$198)))),X190,)"),"")</f>
        <v/>
      </c>
      <c s="42"/>
      <c s="63"/>
      <c s="64" t="str">
        <f t="shared" si="14"/>
        <v/>
      </c>
      <c s="65" t="str">
        <f>IFERROR(__xludf.DUMMYFUNCTION("""COMPUTED_VALUE"""),"")</f>
        <v/>
      </c>
      <c s="66">
        <f ca="1"/>
        <v>45222</v>
      </c>
      <c s="93" t="str">
        <f t="shared" si="156"/>
        <v/>
      </c>
      <c s="94" t="str">
        <f t="shared" si="397"/>
        <v/>
      </c>
      <c s="95" t="str">
        <f t="shared" si="408"/>
        <v/>
      </c>
      <c s="98" t="str">
        <f t="shared" si="398"/>
        <v/>
      </c>
      <c s="97" t="str">
        <f t="array" ref="AK190">IFERROR(IF(AE190="ac"+ISNUMBER(SEARCH("'",AJ190))+AI190="","",IF(ISNUMBER(SEARCH("lw",AJ190)),W190+SUBSTITUTE(AJ190,"lw+",""),MROUND(_xlfn.SWITCH(AE190,"sq",AI$7,"bn",AJ$7,"dl",AK$7,"")*IF(AJ190&gt;10,AJ190/100,VLOOKUP(AJ190,_rpe,SUBSTITUTE(AI190,"+","")+1,0)),IF(_xlfn.SWITCH(AE190,"sq",AI$7,"bn",AJ$7,"dl",AK$7,"")&lt;IF(_uom="lbs",175,80),1.25,IF(_uom="lbs",5,2.5))))),"")</f>
        <v/>
      </c>
      <c s="70"/>
      <c s="63"/>
      <c s="97"/>
      <c s="44" t="str">
        <f>IFERROR(__xludf.DUMMYFUNCTION("IF(AK190=MAX(FILTER(AK$10:AK$199,LOOKUP(ROW(AE$10:AE$199),FILTER(ROW(AE$10:AE$199),AE$10:AE$199&lt;&gt;AE$9:AE$198))=LOOKUP(ROW(AE190),FILTER(ROW(AE$10:AE$199),AE$10:AE$199&lt;&gt;AE$9:AE$198)))),AL190,)"),"")</f>
        <v/>
      </c>
      <c s="42"/>
      <c s="63"/>
      <c s="64" t="str">
        <f t="shared" si="17"/>
        <v/>
      </c>
      <c s="65" t="str">
        <f>IFERROR(__xludf.DUMMYFUNCTION("""COMPUTED_VALUE"""),"")</f>
        <v/>
      </c>
      <c s="66">
        <f ca="1"/>
        <v>45229</v>
      </c>
      <c s="93" t="str">
        <f t="shared" si="157"/>
        <v/>
      </c>
      <c s="94" t="str">
        <f t="shared" si="399"/>
        <v/>
      </c>
      <c s="95" t="str">
        <f t="shared" si="409"/>
        <v/>
      </c>
      <c s="98" t="str">
        <f t="shared" si="400"/>
        <v/>
      </c>
      <c s="97" t="str">
        <f t="array" ref="AY190">IFERROR(IF(AS190="ac"+ISNUMBER(SEARCH("'",AX190))+AW190="","",IF(ISNUMBER(SEARCH("lw",AX190)),AK190+SUBSTITUTE(AX190,"lw+",""),MROUND(_xlfn.SWITCH(AS190,"sq",AW$7,"bn",AX$7,"dl",AY$7,"")*IF(AX190&gt;10,AX190/100,VLOOKUP(AX190,_rpe,SUBSTITUTE(AW190,"+","")+1,0)),IF(_xlfn.SWITCH(AS190,"sq",AW$7,"bn",AX$7,"dl",AY$7,"")&lt;IF(_uom="lbs",175,80),1.25,IF(_uom="lbs",5,2.5))))),"")</f>
        <v/>
      </c>
      <c s="70"/>
      <c s="63"/>
      <c s="97"/>
      <c s="44" t="str">
        <f>IFERROR(__xludf.DUMMYFUNCTION("IF(AY190=MAX(FILTER(AY$10:AY$199,LOOKUP(ROW(AS$10:AS$199),FILTER(ROW(AS$10:AS$199),AS$10:AS$199&lt;&gt;AS$9:AS$198))=LOOKUP(ROW(AS190),FILTER(ROW(AS$10:AS$199),AS$10:AS$199&lt;&gt;AS$9:AS$198)))),AZ190,)"),"")</f>
        <v/>
      </c>
      <c s="42"/>
      <c s="63"/>
      <c s="64" t="str">
        <f t="shared" si="19"/>
        <v/>
      </c>
      <c s="65" t="str">
        <f>IFERROR(__xludf.DUMMYFUNCTION("""COMPUTED_VALUE"""),"")</f>
        <v/>
      </c>
      <c s="66">
        <f ca="1"/>
        <v>45236</v>
      </c>
      <c s="93" t="str">
        <f t="shared" si="20"/>
        <v/>
      </c>
      <c s="94" t="str">
        <f t="shared" si="425"/>
        <v/>
      </c>
      <c s="95" t="str">
        <f t="shared" si="411"/>
        <v/>
      </c>
      <c s="98" t="str">
        <f t="shared" si="412"/>
        <v/>
      </c>
      <c s="97" t="str">
        <f t="array" ref="BM190">IFERROR(IF(BG190="ac"+ISNUMBER(SEARCH("'",BL190))+BK190="","",IF(ISNUMBER(SEARCH("lw",BL190)),AY190+SUBSTITUTE(BL190,"lw+",""),MROUND(_xlfn.SWITCH(BG190,"sq",BK$7,"bn",BL$7,"dl",BM$7,"")*IF(BL190&gt;10,BL190/100,VLOOKUP(BL190,_rpe,SUBSTITUTE(BK190,"+","")+1,0)),IF(_xlfn.SWITCH(BG190,"sq",BK$7,"bn",BL$7,"dl",BM$7,"")&lt;IF(_uom="lbs",175,80),1.25,IF(_uom="lbs",5,2.5))))),"")</f>
        <v/>
      </c>
      <c s="70"/>
      <c s="63"/>
      <c s="97"/>
      <c s="44" t="str">
        <f>IFERROR(__xludf.DUMMYFUNCTION("IF(BM190=MAX(FILTER(BM$10:BM$199,LOOKUP(ROW(BG$10:BG$199),FILTER(ROW(BG$10:BG$199),BG$10:BG$199&lt;&gt;BG$9:BG$198))=LOOKUP(ROW(BG190),FILTER(ROW(BG$10:BG$199),BG$10:BG$199&lt;&gt;BG$9:BG$198)))),BN190,)"),"")</f>
        <v/>
      </c>
      <c s="42"/>
      <c s="63"/>
      <c s="64" t="str">
        <f t="shared" si="21"/>
        <v/>
      </c>
      <c s="65" t="str">
        <f>IFERROR(__xludf.DUMMYFUNCTION("""COMPUTED_VALUE"""),"")</f>
        <v/>
      </c>
      <c s="66">
        <f ca="1"/>
        <v>45243</v>
      </c>
      <c s="93" t="str">
        <f t="shared" si="22"/>
        <v/>
      </c>
      <c s="94" t="str">
        <f t="shared" si="426"/>
        <v/>
      </c>
      <c s="95" t="str">
        <f t="shared" si="414"/>
        <v/>
      </c>
      <c s="98" t="str">
        <f t="shared" si="415"/>
        <v/>
      </c>
      <c s="97" t="str">
        <f t="array" ref="CA190">IFERROR(IF(BU190="ac"+ISNUMBER(SEARCH("'",BZ190))+BY190="","",IF(ISNUMBER(SEARCH("lw",BZ190)),BM190+SUBSTITUTE(BZ190,"lw+",""),MROUND(_xlfn.SWITCH(BU190,"sq",BY$7,"bn",BZ$7,"dl",CA$7,"")*IF(BZ190&gt;10,BZ190/100,VLOOKUP(BZ190,_rpe,SUBSTITUTE(BY190,"+","")+1,0)),IF(_xlfn.SWITCH(BU190,"sq",BY$7,"bn",BZ$7,"dl",CA$7,"")&lt;IF(_uom="lbs",175,80),1.25,IF(_uom="lbs",5,2.5))))),"")</f>
        <v/>
      </c>
      <c s="70"/>
      <c s="63"/>
      <c s="97"/>
      <c s="44" t="str">
        <f>IFERROR(__xludf.DUMMYFUNCTION("IF(CA190=MAX(FILTER(CA$10:CA$199,LOOKUP(ROW(BU$10:BU$199),FILTER(ROW(BU$10:BU$199),BU$10:BU$199&lt;&gt;BU$9:BU$198))=LOOKUP(ROW(BU190),FILTER(ROW(BU$10:BU$199),BU$10:BU$199&lt;&gt;BU$9:BU$198)))),CB190,)"),"")</f>
        <v/>
      </c>
      <c s="42"/>
      <c s="63"/>
      <c s="64" t="str">
        <f t="shared" si="24"/>
        <v/>
      </c>
      <c s="65" t="str">
        <f>IFERROR(__xludf.DUMMYFUNCTION("""COMPUTED_VALUE"""),"")</f>
        <v/>
      </c>
      <c s="66">
        <f ca="1"/>
        <v>45250</v>
      </c>
      <c s="93" t="str">
        <f t="shared" si="44"/>
        <v/>
      </c>
      <c s="94" t="str">
        <f t="shared" si="392"/>
        <v/>
      </c>
      <c s="95" t="str">
        <f t="shared" si="416"/>
        <v/>
      </c>
      <c s="98" t="str">
        <f t="shared" si="417"/>
        <v/>
      </c>
      <c s="97" t="str">
        <f t="array" ref="CO190">IFERROR(IF(CI190="ac"+ISNUMBER(SEARCH("'",CN190))+CM190="","",IF(ISNUMBER(SEARCH("lw",CN190)),CA190+SUBSTITUTE(CN190,"lw+",""),MROUND(_xlfn.SWITCH(CI190,"sq",CM$7,"bn",CN$7,"dl",CO$7,"")*IF(CN190&gt;10,CN190/100,VLOOKUP(CN190,_rpe,SUBSTITUTE(CM190,"+","")+1,0)),IF(_xlfn.SWITCH(CI190,"sq",CM$7,"bn",CN$7,"dl",CO$7,"")&lt;IF(_uom="lbs",175,80),1.25,IF(_uom="lbs",5,2.5))))),"")</f>
        <v/>
      </c>
      <c s="70"/>
      <c s="63"/>
      <c s="97"/>
      <c s="44" t="str">
        <f>IFERROR(__xludf.DUMMYFUNCTION("IF(CO190=MAX(FILTER(CO$10:CO$199,LOOKUP(ROW(CI$10:CI$199),FILTER(ROW(CI$10:CI$199),CI$10:CI$199&lt;&gt;CI$9:CI$198))=LOOKUP(ROW(CI190),FILTER(ROW(CI$10:CI$199),CI$10:CI$199&lt;&gt;CI$9:CI$198)))),CP190,)"),"")</f>
        <v/>
      </c>
      <c s="42"/>
      <c s="63"/>
      <c s="64" t="str">
        <f t="shared" si="27"/>
        <v/>
      </c>
      <c s="65" t="str">
        <f>IFERROR(__xludf.DUMMYFUNCTION("""COMPUTED_VALUE"""),"")</f>
        <v/>
      </c>
      <c s="66">
        <f ca="1"/>
        <v>45257</v>
      </c>
      <c s="93" t="str">
        <f t="shared" si="45"/>
        <v/>
      </c>
      <c s="94" t="str">
        <f t="shared" si="393"/>
        <v/>
      </c>
      <c s="95" t="str">
        <f t="shared" si="418"/>
        <v/>
      </c>
      <c s="98" t="str">
        <f t="shared" si="401"/>
        <v/>
      </c>
      <c s="97" t="str">
        <f t="array" ref="DC190">IFERROR(IF(CW190="ac"+ISNUMBER(SEARCH("'",DB190))+DA190="","",IF(ISNUMBER(SEARCH("lw",DB190)),CO190+SUBSTITUTE(DB190,"lw+",""),MROUND(_xlfn.SWITCH(CW190,"sq",DA$7,"bn",DB$7,"dl",DC$7,"")*IF(DB190&gt;10,DB190/100,VLOOKUP(DB190,_rpe,SUBSTITUTE(DA190,"+","")+1,0)),IF(_xlfn.SWITCH(CW190,"sq",DA$7,"bn",DB$7,"dl",DC$7,"")&lt;IF(_uom="lbs",175,80),1.25,IF(_uom="lbs",5,2.5))))),"")</f>
        <v/>
      </c>
      <c s="70"/>
      <c s="63"/>
      <c s="97"/>
      <c s="44" t="str">
        <f>IFERROR(__xludf.DUMMYFUNCTION("IF(DC190=MAX(FILTER(DC$10:DC$199,LOOKUP(ROW(CW$10:CW$199),FILTER(ROW(CW$10:CW$199),CW$10:CW$199&lt;&gt;CW$9:CW$198))=LOOKUP(ROW(CW190),FILTER(ROW(CW$10:CW$199),CW$10:CW$199&lt;&gt;CW$9:CW$198)))),DD190,)"),"")</f>
        <v/>
      </c>
      <c s="42"/>
      <c s="63"/>
      <c s="64" t="str">
        <f t="shared" si="30"/>
        <v/>
      </c>
      <c s="65" t="str">
        <f>IFERROR(__xludf.DUMMYFUNCTION("""COMPUTED_VALUE"""),"")</f>
        <v/>
      </c>
      <c s="66">
        <f ca="1"/>
        <v>45264</v>
      </c>
      <c s="93" t="str">
        <f t="shared" si="46"/>
        <v/>
      </c>
      <c s="94" t="str">
        <f t="shared" si="394"/>
        <v/>
      </c>
      <c s="95" t="str">
        <f t="shared" si="419"/>
        <v/>
      </c>
      <c s="98" t="str">
        <f t="shared" si="420"/>
        <v/>
      </c>
      <c s="97" t="str">
        <f t="array" ref="DQ190">IFERROR(IF(DK190="ac"+ISNUMBER(SEARCH("'",DP190))+DO190="","",IF(ISNUMBER(SEARCH("lw",DP190)),DC190+SUBSTITUTE(DP190,"lw+",""),MROUND(_xlfn.SWITCH(DK190,"sq",DO$7,"bn",DP$7,"dl",DQ$7,"")*IF(DP190&gt;10,DP190/100,VLOOKUP(DP190,_rpe,SUBSTITUTE(DO190,"+","")+1,0)),IF(_xlfn.SWITCH(DK190,"sq",DO$7,"bn",DP$7,"dl",DQ$7,"")&lt;IF(_uom="lbs",175,80),1.25,IF(_uom="lbs",5,2.5))))),"")</f>
        <v/>
      </c>
      <c s="70"/>
      <c s="63"/>
      <c s="97"/>
      <c s="44" t="str">
        <f>IFERROR(__xludf.DUMMYFUNCTION("IF(DQ190=MAX(FILTER(DQ$10:DQ$199,LOOKUP(ROW(DK$10:DK$199),FILTER(ROW(DK$10:DK$199),DK$10:DK$199&lt;&gt;DK$9:DK$198))=LOOKUP(ROW(DK190),FILTER(ROW(DK$10:DK$199),DK$10:DK$199&lt;&gt;DK$9:DK$198)))),DR190,)"),"")</f>
        <v/>
      </c>
      <c s="42"/>
      <c s="63"/>
      <c s="64" t="str">
        <f t="shared" si="32"/>
        <v/>
      </c>
      <c s="65" t="str">
        <f>IFERROR(__xludf.DUMMYFUNCTION("""COMPUTED_VALUE"""),"")</f>
        <v/>
      </c>
      <c s="66">
        <f ca="1"/>
        <v>45271</v>
      </c>
      <c s="93" t="str">
        <f t="shared" si="47"/>
        <v/>
      </c>
      <c s="94" t="str">
        <f t="shared" si="405"/>
        <v/>
      </c>
      <c s="95" t="str">
        <f t="shared" si="421"/>
        <v/>
      </c>
      <c s="98" t="str">
        <f t="shared" si="422"/>
        <v/>
      </c>
      <c s="97" t="str">
        <f t="array" ref="EE190">IFERROR(IF(DY190="ac"+ISNUMBER(SEARCH("'",ED190))+EC190="","",IF(ISNUMBER(SEARCH("lw",ED190)),DQ190+SUBSTITUTE(ED190,"lw+",""),MROUND(_xlfn.SWITCH(DY190,"sq",EC$7,"bn",ED$7,"dl",EE$7,"")*IF(ED190&gt;10,ED190/100,VLOOKUP(ED190,_rpe,SUBSTITUTE(EC190,"+","")+1,0)),IF(_xlfn.SWITCH(DY190,"sq",EC$7,"bn",ED$7,"dl",EE$7,"")&lt;IF(_uom="lbs",175,80),1.25,IF(_uom="lbs",5,2.5))))),"")</f>
        <v/>
      </c>
      <c s="70"/>
      <c s="63"/>
      <c s="97"/>
      <c s="44" t="str">
        <f>IFERROR(__xludf.DUMMYFUNCTION("IF(EE190=MAX(FILTER(EE$10:EE$199,LOOKUP(ROW(DY$10:DY$199),FILTER(ROW(DY$10:DY$199),DY$10:DY$199&lt;&gt;DY$9:DY$198))=LOOKUP(ROW(DY190),FILTER(ROW(DY$10:DY$199),DY$10:DY$199&lt;&gt;DY$9:DY$198)))),EF190,)"),"")</f>
        <v/>
      </c>
      <c s="42"/>
      <c s="63"/>
      <c s="64" t="str">
        <f t="shared" si="34"/>
        <v/>
      </c>
      <c s="65" t="str">
        <f>IFERROR(__xludf.DUMMYFUNCTION("""COMPUTED_VALUE"""),"")</f>
        <v/>
      </c>
      <c s="66">
        <f ca="1"/>
        <v>45278</v>
      </c>
      <c s="93" t="str">
        <f t="shared" si="48"/>
        <v/>
      </c>
      <c s="94" t="str">
        <f t="shared" si="395"/>
        <v/>
      </c>
      <c s="95" t="str">
        <f t="shared" si="423"/>
        <v/>
      </c>
      <c s="98" t="str">
        <f t="shared" si="402"/>
        <v/>
      </c>
      <c s="97" t="str">
        <f t="array" ref="ES190">IFERROR(IF(EM190="ac"+ISNUMBER(SEARCH("'",ER190))+EQ190="","",IF(ISNUMBER(SEARCH("lw",ER190)),EE190+SUBSTITUTE(ER190,"lw+",""),MROUND(_xlfn.SWITCH(EM190,"sq",EQ$7,"bn",ER$7,"dl",ES$7,"")*IF(ER190&gt;10,ER190/100,VLOOKUP(ER190,_rpe,SUBSTITUTE(EQ190,"+","")+1,0)),IF(_xlfn.SWITCH(EM190,"sq",EQ$7,"bn",ER$7,"dl",ES$7,"")&lt;IF(_uom="lbs",175,80),1.25,IF(_uom="lbs",5,2.5))))),"")</f>
        <v/>
      </c>
      <c s="70"/>
      <c s="63"/>
      <c s="97"/>
      <c s="44" t="str">
        <f>IFERROR(__xludf.DUMMYFUNCTION("IF(ES190=MAX(FILTER(ES$10:ES$199,LOOKUP(ROW(EM$10:EM$199),FILTER(ROW(EM$10:EM$199),EM$10:EM$199&lt;&gt;EM$9:EM$198))=LOOKUP(ROW(EM190),FILTER(ROW(EM$10:EM$199),EM$10:EM$199&lt;&gt;EM$9:EM$198)))),ET190,)"),"")</f>
        <v/>
      </c>
      <c s="42"/>
      <c s="63"/>
      <c s="64" t="str">
        <f t="shared" si="36"/>
        <v/>
      </c>
      <c s="65" t="str">
        <f>IFERROR(__xludf.DUMMYFUNCTION("""COMPUTED_VALUE"""),"")</f>
        <v/>
      </c>
      <c s="66">
        <f ca="1"/>
        <v>45285</v>
      </c>
      <c s="93" t="str">
        <f t="shared" si="49"/>
        <v/>
      </c>
      <c s="94" t="str">
        <f t="shared" si="396"/>
        <v/>
      </c>
      <c s="95" t="str">
        <f t="shared" si="424"/>
        <v/>
      </c>
      <c s="98" t="str">
        <f t="shared" si="403"/>
        <v/>
      </c>
      <c s="97" t="str">
        <f t="array" ref="FG190">IFERROR(IF(FA190="ac"+ISNUMBER(SEARCH("'",FF190))+FE190="","",IF(ISNUMBER(SEARCH("lw",FF190)),ES190+SUBSTITUTE(FF190,"lw+",""),MROUND(_xlfn.SWITCH(FA190,"sq",FE$7,"bn",FF$7,"dl",FG$7,"")*IF(FF190&gt;10,FF190/100,VLOOKUP(FF190,_rpe,SUBSTITUTE(FE190,"+","")+1,0)),IF(_xlfn.SWITCH(FA190,"sq",FE$7,"bn",FF$7,"dl",FG$7,"")&lt;IF(_uom="lbs",175,80),1.25,IF(_uom="lbs",5,2.5))))),"")</f>
        <v/>
      </c>
      <c s="70"/>
      <c s="63"/>
      <c s="97"/>
      <c s="44" t="str">
        <f>IFERROR(__xludf.DUMMYFUNCTION("IF(FG190=MAX(FILTER(FG$10:FG$199,LOOKUP(ROW(FA$10:FA$199),FILTER(ROW(FA$10:FA$199),FA$10:FA$199&lt;&gt;FA$9:FA$198))=LOOKUP(ROW(FA190),FILTER(ROW(FA$10:FA$199),FA$10:FA$199&lt;&gt;FA$9:FA$198)))),FH190,)"),"")</f>
        <v/>
      </c>
      <c s="42"/>
      <c s="63"/>
      <c s="64" t="str">
        <f t="shared" si="38"/>
        <v/>
      </c>
      <c s="65" t="str">
        <f>IFERROR(__xludf.DUMMYFUNCTION("""COMPUTED_VALUE"""),"")</f>
        <v/>
      </c>
      <c s="66">
        <f ca="1"/>
        <v>45292</v>
      </c>
      <c s="93" t="str">
        <f t="shared" si="534" ref="FQ190:FR190">IF(ISBLANK(FC190),"",FC190)</f>
        <v/>
      </c>
      <c s="94" t="str">
        <f t="shared" si="534"/>
        <v/>
      </c>
      <c s="95" t="str">
        <f t="shared" si="428"/>
        <v/>
      </c>
      <c s="98" t="str">
        <f t="shared" si="429"/>
        <v/>
      </c>
      <c s="97" t="str">
        <f t="array" ref="FU190">IFERROR(IF(FO190="ac"+ISNUMBER(SEARCH("'",FT190))+FS190="","",IF(ISNUMBER(SEARCH("lw",FT190)),FG190+SUBSTITUTE(FT190,"lw+",""),MROUND(_xlfn.SWITCH(FO190,"sq",FS$7,"bn",FT$7,"dl",FU$7,"")*IF(FT190&gt;10,FT190/100,VLOOKUP(FT190,_rpe,SUBSTITUTE(FS190,"+","")+1,0)),IF(_xlfn.SWITCH(FO190,"sq",FS$7,"bn",FT$7,"dl",FU$7,"")&lt;IF(_uom="lbs",175,80),1.25,IF(_uom="lbs",5,2.5))))),"")</f>
        <v/>
      </c>
      <c s="70"/>
      <c s="63"/>
      <c s="97"/>
      <c s="44" t="str">
        <f>IFERROR(__xludf.DUMMYFUNCTION("IF(FU190=MAX(FILTER(FU$10:FU$199,LOOKUP(ROW(FO$10:FO$199),FILTER(ROW(FO$10:FO$199),FO$10:FO$199&lt;&gt;FO$9:FO$198))=LOOKUP(ROW(FO190),FILTER(ROW(FO$10:FO$199),FO$10:FO$199&lt;&gt;FO$9:FO$198)))),FV190,)"),"")</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91" spans="1:259" ht="15.75">
      <c r="A191" s="63"/>
      <c s="107"/>
      <c s="65" t="str">
        <f>IFERROR(__xludf.DUMMYFUNCTION("""COMPUTED_VALUE"""),"")</f>
        <v/>
      </c>
      <c s="66">
        <f ca="1"/>
        <v>45208</v>
      </c>
      <c s="108"/>
      <c s="94"/>
      <c s="95"/>
      <c s="96"/>
      <c s="97" t="str">
        <f t="array" ref="I191">IFERROR(IF(C191="ac"+ISNUMBER(SEARCH("'",H191))+G191="","",MROUND(_xlfn.SWITCH(C191,"sq",'Personal Info'!$O$15,"bn",'Personal Info'!$S$15,"dl",'Personal Info'!$W$15,"")*IF(H191&gt;10,H191/100,VLOOKUP(H191,_rpe,SUBSTITUTE(G191,"+","")+1,0)),IF(_xlfn.SWITCH(C191:C210,"sq",'Personal Info'!$O$15,"bn",'Personal Info'!$S$15,"dl",'Personal Info'!$W$15,"")&lt;IF(_uom="lbs",175,80),1.25,IF(_uom="lbs",5,2.5)))),"")</f>
        <v/>
      </c>
      <c s="70"/>
      <c s="63"/>
      <c s="97"/>
      <c s="44" t="str">
        <f>IFERROR(__xludf.DUMMYFUNCTION("IF(I191=MAX(FILTER(I$10:I$199,LOOKUP(ROW(C$10:C$199),FILTER(ROW(C$10:C$199),C$10:C$199&lt;&gt;C$9:C$198))=LOOKUP(ROW(C191),FILTER(ROW(C$10:C$199),C$10:C$199&lt;&gt;C$9:C$198)))),J191,)"),"")</f>
        <v/>
      </c>
      <c s="42"/>
      <c s="63"/>
      <c s="64" t="str">
        <f t="shared" si="11"/>
        <v/>
      </c>
      <c s="65" t="str">
        <f>IFERROR(__xludf.DUMMYFUNCTION("""COMPUTED_VALUE"""),"")</f>
        <v/>
      </c>
      <c s="66">
        <f ca="1"/>
        <v>45215</v>
      </c>
      <c s="93" t="str">
        <f t="shared" si="12"/>
        <v/>
      </c>
      <c s="94" t="str">
        <f t="shared" si="404"/>
        <v/>
      </c>
      <c s="95" t="str">
        <f t="shared" si="406"/>
        <v/>
      </c>
      <c s="98" t="str">
        <f t="shared" si="407"/>
        <v/>
      </c>
      <c s="97" t="str">
        <f t="array" ref="W191">IFERROR(IF(Q191="ac"+ISNUMBER(SEARCH("'",V191))+U191="","",IF(ISNUMBER(SEARCH("lw",V191)),I191+SUBSTITUTE(V191,"lw+",""),MROUND(_xlfn.SWITCH(Q191,"sq",U$7,"bn",V$7,"dl",W$7,"")*IF(V191&gt;10,V191/100,VLOOKUP(V191,_rpe,SUBSTITUTE(U191,"+","")+1,0)),IF(_xlfn.SWITCH(Q191,"sq",U$7,"bn",V$7,"dl",W$7,"")&lt;IF(_uom="lbs",175,80),1.25,IF(_uom="lbs",5,2.5))))),"")</f>
        <v/>
      </c>
      <c s="70"/>
      <c s="63"/>
      <c s="97"/>
      <c s="44" t="str">
        <f>IFERROR(__xludf.DUMMYFUNCTION("IF(W191=MAX(FILTER(W$10:W$199,LOOKUP(ROW(Q$10:Q$199),FILTER(ROW(Q$10:Q$199),Q$10:Q$199&lt;&gt;Q$9:Q$198))=LOOKUP(ROW(Q191),FILTER(ROW(Q$10:Q$199),Q$10:Q$199&lt;&gt;Q$9:Q$198)))),X191,)"),"")</f>
        <v/>
      </c>
      <c s="42"/>
      <c s="63"/>
      <c s="64" t="str">
        <f t="shared" si="14"/>
        <v/>
      </c>
      <c s="65" t="str">
        <f>IFERROR(__xludf.DUMMYFUNCTION("""COMPUTED_VALUE"""),"")</f>
        <v/>
      </c>
      <c s="66">
        <f ca="1"/>
        <v>45222</v>
      </c>
      <c s="93" t="str">
        <f t="shared" si="156"/>
        <v/>
      </c>
      <c s="94" t="str">
        <f t="shared" si="397"/>
        <v/>
      </c>
      <c s="95" t="str">
        <f t="shared" si="408"/>
        <v/>
      </c>
      <c s="98" t="str">
        <f t="shared" si="398"/>
        <v/>
      </c>
      <c s="97" t="str">
        <f t="array" ref="AK191">IFERROR(IF(AE191="ac"+ISNUMBER(SEARCH("'",AJ191))+AI191="","",IF(ISNUMBER(SEARCH("lw",AJ191)),W191+SUBSTITUTE(AJ191,"lw+",""),MROUND(_xlfn.SWITCH(AE191,"sq",AI$7,"bn",AJ$7,"dl",AK$7,"")*IF(AJ191&gt;10,AJ191/100,VLOOKUP(AJ191,_rpe,SUBSTITUTE(AI191,"+","")+1,0)),IF(_xlfn.SWITCH(AE191,"sq",AI$7,"bn",AJ$7,"dl",AK$7,"")&lt;IF(_uom="lbs",175,80),1.25,IF(_uom="lbs",5,2.5))))),"")</f>
        <v/>
      </c>
      <c s="70"/>
      <c s="63"/>
      <c s="97"/>
      <c s="44" t="str">
        <f>IFERROR(__xludf.DUMMYFUNCTION("IF(AK191=MAX(FILTER(AK$10:AK$199,LOOKUP(ROW(AE$10:AE$199),FILTER(ROW(AE$10:AE$199),AE$10:AE$199&lt;&gt;AE$9:AE$198))=LOOKUP(ROW(AE191),FILTER(ROW(AE$10:AE$199),AE$10:AE$199&lt;&gt;AE$9:AE$198)))),AL191,)"),"")</f>
        <v/>
      </c>
      <c s="42"/>
      <c s="63"/>
      <c s="64" t="str">
        <f t="shared" si="17"/>
        <v/>
      </c>
      <c s="65" t="str">
        <f>IFERROR(__xludf.DUMMYFUNCTION("""COMPUTED_VALUE"""),"")</f>
        <v/>
      </c>
      <c s="66">
        <f ca="1"/>
        <v>45229</v>
      </c>
      <c s="93" t="str">
        <f t="shared" si="157"/>
        <v/>
      </c>
      <c s="94" t="str">
        <f t="shared" si="399"/>
        <v/>
      </c>
      <c s="95" t="str">
        <f t="shared" si="409"/>
        <v/>
      </c>
      <c s="98" t="str">
        <f t="shared" si="400"/>
        <v/>
      </c>
      <c s="97" t="str">
        <f t="array" ref="AY191">IFERROR(IF(AS191="ac"+ISNUMBER(SEARCH("'",AX191))+AW191="","",IF(ISNUMBER(SEARCH("lw",AX191)),AK191+SUBSTITUTE(AX191,"lw+",""),MROUND(_xlfn.SWITCH(AS191,"sq",AW$7,"bn",AX$7,"dl",AY$7,"")*IF(AX191&gt;10,AX191/100,VLOOKUP(AX191,_rpe,SUBSTITUTE(AW191,"+","")+1,0)),IF(_xlfn.SWITCH(AS191,"sq",AW$7,"bn",AX$7,"dl",AY$7,"")&lt;IF(_uom="lbs",175,80),1.25,IF(_uom="lbs",5,2.5))))),"")</f>
        <v/>
      </c>
      <c s="70"/>
      <c s="63"/>
      <c s="97"/>
      <c s="44" t="str">
        <f>IFERROR(__xludf.DUMMYFUNCTION("IF(AY191=MAX(FILTER(AY$10:AY$199,LOOKUP(ROW(AS$10:AS$199),FILTER(ROW(AS$10:AS$199),AS$10:AS$199&lt;&gt;AS$9:AS$198))=LOOKUP(ROW(AS191),FILTER(ROW(AS$10:AS$199),AS$10:AS$199&lt;&gt;AS$9:AS$198)))),AZ191,)"),"")</f>
        <v/>
      </c>
      <c s="42"/>
      <c s="63"/>
      <c s="64" t="str">
        <f t="shared" si="19"/>
        <v/>
      </c>
      <c s="65" t="str">
        <f>IFERROR(__xludf.DUMMYFUNCTION("""COMPUTED_VALUE"""),"")</f>
        <v/>
      </c>
      <c s="66">
        <f ca="1"/>
        <v>45236</v>
      </c>
      <c s="93" t="str">
        <f t="shared" si="20"/>
        <v/>
      </c>
      <c s="94" t="str">
        <f t="shared" si="425"/>
        <v/>
      </c>
      <c s="95" t="str">
        <f t="shared" si="411"/>
        <v/>
      </c>
      <c s="98" t="str">
        <f t="shared" si="412"/>
        <v/>
      </c>
      <c s="97" t="str">
        <f t="array" ref="BM191">IFERROR(IF(BG191="ac"+ISNUMBER(SEARCH("'",BL191))+BK191="","",IF(ISNUMBER(SEARCH("lw",BL191)),AY191+SUBSTITUTE(BL191,"lw+",""),MROUND(_xlfn.SWITCH(BG191,"sq",BK$7,"bn",BL$7,"dl",BM$7,"")*IF(BL191&gt;10,BL191/100,VLOOKUP(BL191,_rpe,SUBSTITUTE(BK191,"+","")+1,0)),IF(_xlfn.SWITCH(BG191,"sq",BK$7,"bn",BL$7,"dl",BM$7,"")&lt;IF(_uom="lbs",175,80),1.25,IF(_uom="lbs",5,2.5))))),"")</f>
        <v/>
      </c>
      <c s="70"/>
      <c s="63"/>
      <c s="97"/>
      <c s="44" t="str">
        <f>IFERROR(__xludf.DUMMYFUNCTION("IF(BM191=MAX(FILTER(BM$10:BM$199,LOOKUP(ROW(BG$10:BG$199),FILTER(ROW(BG$10:BG$199),BG$10:BG$199&lt;&gt;BG$9:BG$198))=LOOKUP(ROW(BG191),FILTER(ROW(BG$10:BG$199),BG$10:BG$199&lt;&gt;BG$9:BG$198)))),BN191,)"),"")</f>
        <v/>
      </c>
      <c s="42"/>
      <c s="63"/>
      <c s="64" t="str">
        <f t="shared" si="21"/>
        <v/>
      </c>
      <c s="65" t="str">
        <f>IFERROR(__xludf.DUMMYFUNCTION("""COMPUTED_VALUE"""),"")</f>
        <v/>
      </c>
      <c s="66">
        <f ca="1"/>
        <v>45243</v>
      </c>
      <c s="93" t="str">
        <f t="shared" si="22"/>
        <v/>
      </c>
      <c s="94" t="str">
        <f t="shared" si="426"/>
        <v/>
      </c>
      <c s="95" t="str">
        <f t="shared" si="414"/>
        <v/>
      </c>
      <c s="98" t="str">
        <f t="shared" si="415"/>
        <v/>
      </c>
      <c s="97" t="str">
        <f t="array" ref="CA191">IFERROR(IF(BU191="ac"+ISNUMBER(SEARCH("'",BZ191))+BY191="","",IF(ISNUMBER(SEARCH("lw",BZ191)),BM191+SUBSTITUTE(BZ191,"lw+",""),MROUND(_xlfn.SWITCH(BU191,"sq",BY$7,"bn",BZ$7,"dl",CA$7,"")*IF(BZ191&gt;10,BZ191/100,VLOOKUP(BZ191,_rpe,SUBSTITUTE(BY191,"+","")+1,0)),IF(_xlfn.SWITCH(BU191,"sq",BY$7,"bn",BZ$7,"dl",CA$7,"")&lt;IF(_uom="lbs",175,80),1.25,IF(_uom="lbs",5,2.5))))),"")</f>
        <v/>
      </c>
      <c s="70"/>
      <c s="63"/>
      <c s="97"/>
      <c s="44" t="str">
        <f>IFERROR(__xludf.DUMMYFUNCTION("IF(CA191=MAX(FILTER(CA$10:CA$199,LOOKUP(ROW(BU$10:BU$199),FILTER(ROW(BU$10:BU$199),BU$10:BU$199&lt;&gt;BU$9:BU$198))=LOOKUP(ROW(BU191),FILTER(ROW(BU$10:BU$199),BU$10:BU$199&lt;&gt;BU$9:BU$198)))),CB191,)"),"")</f>
        <v/>
      </c>
      <c s="42"/>
      <c s="63"/>
      <c s="64" t="str">
        <f t="shared" si="24"/>
        <v/>
      </c>
      <c s="65" t="str">
        <f>IFERROR(__xludf.DUMMYFUNCTION("""COMPUTED_VALUE"""),"")</f>
        <v/>
      </c>
      <c s="66">
        <f ca="1"/>
        <v>45250</v>
      </c>
      <c s="93" t="str">
        <f t="shared" si="44"/>
        <v/>
      </c>
      <c s="94" t="str">
        <f t="shared" si="392"/>
        <v/>
      </c>
      <c s="95" t="str">
        <f t="shared" si="416"/>
        <v/>
      </c>
      <c s="98" t="str">
        <f t="shared" si="417"/>
        <v/>
      </c>
      <c s="97" t="str">
        <f t="array" ref="CO191">IFERROR(IF(CI191="ac"+ISNUMBER(SEARCH("'",CN191))+CM191="","",IF(ISNUMBER(SEARCH("lw",CN191)),CA191+SUBSTITUTE(CN191,"lw+",""),MROUND(_xlfn.SWITCH(CI191,"sq",CM$7,"bn",CN$7,"dl",CO$7,"")*IF(CN191&gt;10,CN191/100,VLOOKUP(CN191,_rpe,SUBSTITUTE(CM191,"+","")+1,0)),IF(_xlfn.SWITCH(CI191,"sq",CM$7,"bn",CN$7,"dl",CO$7,"")&lt;IF(_uom="lbs",175,80),1.25,IF(_uom="lbs",5,2.5))))),"")</f>
        <v/>
      </c>
      <c s="70"/>
      <c s="63"/>
      <c s="97"/>
      <c s="44" t="str">
        <f>IFERROR(__xludf.DUMMYFUNCTION("IF(CO191=MAX(FILTER(CO$10:CO$199,LOOKUP(ROW(CI$10:CI$199),FILTER(ROW(CI$10:CI$199),CI$10:CI$199&lt;&gt;CI$9:CI$198))=LOOKUP(ROW(CI191),FILTER(ROW(CI$10:CI$199),CI$10:CI$199&lt;&gt;CI$9:CI$198)))),CP191,)"),"")</f>
        <v/>
      </c>
      <c s="42"/>
      <c s="63"/>
      <c s="64" t="str">
        <f t="shared" si="27"/>
        <v/>
      </c>
      <c s="65" t="str">
        <f>IFERROR(__xludf.DUMMYFUNCTION("""COMPUTED_VALUE"""),"")</f>
        <v/>
      </c>
      <c s="66">
        <f ca="1"/>
        <v>45257</v>
      </c>
      <c s="93" t="str">
        <f t="shared" si="45"/>
        <v/>
      </c>
      <c s="94" t="str">
        <f t="shared" si="393"/>
        <v/>
      </c>
      <c s="95" t="str">
        <f t="shared" si="418"/>
        <v/>
      </c>
      <c s="98" t="str">
        <f t="shared" si="401"/>
        <v/>
      </c>
      <c s="97" t="str">
        <f t="array" ref="DC191">IFERROR(IF(CW191="ac"+ISNUMBER(SEARCH("'",DB191))+DA191="","",IF(ISNUMBER(SEARCH("lw",DB191)),CO191+SUBSTITUTE(DB191,"lw+",""),MROUND(_xlfn.SWITCH(CW191,"sq",DA$7,"bn",DB$7,"dl",DC$7,"")*IF(DB191&gt;10,DB191/100,VLOOKUP(DB191,_rpe,SUBSTITUTE(DA191,"+","")+1,0)),IF(_xlfn.SWITCH(CW191,"sq",DA$7,"bn",DB$7,"dl",DC$7,"")&lt;IF(_uom="lbs",175,80),1.25,IF(_uom="lbs",5,2.5))))),"")</f>
        <v/>
      </c>
      <c s="70"/>
      <c s="63"/>
      <c s="97"/>
      <c s="44" t="str">
        <f>IFERROR(__xludf.DUMMYFUNCTION("IF(DC191=MAX(FILTER(DC$10:DC$199,LOOKUP(ROW(CW$10:CW$199),FILTER(ROW(CW$10:CW$199),CW$10:CW$199&lt;&gt;CW$9:CW$198))=LOOKUP(ROW(CW191),FILTER(ROW(CW$10:CW$199),CW$10:CW$199&lt;&gt;CW$9:CW$198)))),DD191,)"),"")</f>
        <v/>
      </c>
      <c s="42"/>
      <c s="63"/>
      <c s="64" t="str">
        <f t="shared" si="30"/>
        <v/>
      </c>
      <c s="65" t="str">
        <f>IFERROR(__xludf.DUMMYFUNCTION("""COMPUTED_VALUE"""),"")</f>
        <v/>
      </c>
      <c s="66">
        <f ca="1"/>
        <v>45264</v>
      </c>
      <c s="93" t="str">
        <f t="shared" si="46"/>
        <v/>
      </c>
      <c s="94" t="str">
        <f t="shared" si="394"/>
        <v/>
      </c>
      <c s="95" t="str">
        <f t="shared" si="419"/>
        <v/>
      </c>
      <c s="98" t="str">
        <f t="shared" si="420"/>
        <v/>
      </c>
      <c s="97" t="str">
        <f t="array" ref="DQ191">IFERROR(IF(DK191="ac"+ISNUMBER(SEARCH("'",DP191))+DO191="","",IF(ISNUMBER(SEARCH("lw",DP191)),DC191+SUBSTITUTE(DP191,"lw+",""),MROUND(_xlfn.SWITCH(DK191,"sq",DO$7,"bn",DP$7,"dl",DQ$7,"")*IF(DP191&gt;10,DP191/100,VLOOKUP(DP191,_rpe,SUBSTITUTE(DO191,"+","")+1,0)),IF(_xlfn.SWITCH(DK191,"sq",DO$7,"bn",DP$7,"dl",DQ$7,"")&lt;IF(_uom="lbs",175,80),1.25,IF(_uom="lbs",5,2.5))))),"")</f>
        <v/>
      </c>
      <c s="70"/>
      <c s="63"/>
      <c s="97"/>
      <c s="44" t="str">
        <f>IFERROR(__xludf.DUMMYFUNCTION("IF(DQ191=MAX(FILTER(DQ$10:DQ$199,LOOKUP(ROW(DK$10:DK$199),FILTER(ROW(DK$10:DK$199),DK$10:DK$199&lt;&gt;DK$9:DK$198))=LOOKUP(ROW(DK191),FILTER(ROW(DK$10:DK$199),DK$10:DK$199&lt;&gt;DK$9:DK$198)))),DR191,)"),"")</f>
        <v/>
      </c>
      <c s="42"/>
      <c s="63"/>
      <c s="64" t="str">
        <f t="shared" si="32"/>
        <v/>
      </c>
      <c s="65" t="str">
        <f>IFERROR(__xludf.DUMMYFUNCTION("""COMPUTED_VALUE"""),"")</f>
        <v/>
      </c>
      <c s="66">
        <f ca="1"/>
        <v>45271</v>
      </c>
      <c s="93" t="str">
        <f t="shared" si="47"/>
        <v/>
      </c>
      <c s="94" t="str">
        <f t="shared" si="405"/>
        <v/>
      </c>
      <c s="95" t="str">
        <f t="shared" si="421"/>
        <v/>
      </c>
      <c s="98" t="str">
        <f t="shared" si="422"/>
        <v/>
      </c>
      <c s="97" t="str">
        <f t="array" ref="EE191">IFERROR(IF(DY191="ac"+ISNUMBER(SEARCH("'",ED191))+EC191="","",IF(ISNUMBER(SEARCH("lw",ED191)),DQ191+SUBSTITUTE(ED191,"lw+",""),MROUND(_xlfn.SWITCH(DY191,"sq",EC$7,"bn",ED$7,"dl",EE$7,"")*IF(ED191&gt;10,ED191/100,VLOOKUP(ED191,_rpe,SUBSTITUTE(EC191,"+","")+1,0)),IF(_xlfn.SWITCH(DY191,"sq",EC$7,"bn",ED$7,"dl",EE$7,"")&lt;IF(_uom="lbs",175,80),1.25,IF(_uom="lbs",5,2.5))))),"")</f>
        <v/>
      </c>
      <c s="70"/>
      <c s="63"/>
      <c s="97"/>
      <c s="44" t="str">
        <f>IFERROR(__xludf.DUMMYFUNCTION("IF(EE191=MAX(FILTER(EE$10:EE$199,LOOKUP(ROW(DY$10:DY$199),FILTER(ROW(DY$10:DY$199),DY$10:DY$199&lt;&gt;DY$9:DY$198))=LOOKUP(ROW(DY191),FILTER(ROW(DY$10:DY$199),DY$10:DY$199&lt;&gt;DY$9:DY$198)))),EF191,)"),"")</f>
        <v/>
      </c>
      <c s="42"/>
      <c s="63"/>
      <c s="64" t="str">
        <f t="shared" si="34"/>
        <v/>
      </c>
      <c s="65" t="str">
        <f>IFERROR(__xludf.DUMMYFUNCTION("""COMPUTED_VALUE"""),"")</f>
        <v/>
      </c>
      <c s="66">
        <f ca="1"/>
        <v>45278</v>
      </c>
      <c s="93" t="str">
        <f t="shared" si="48"/>
        <v/>
      </c>
      <c s="94" t="str">
        <f t="shared" si="395"/>
        <v/>
      </c>
      <c s="95" t="str">
        <f t="shared" si="423"/>
        <v/>
      </c>
      <c s="98" t="str">
        <f t="shared" si="402"/>
        <v/>
      </c>
      <c s="97" t="str">
        <f t="array" ref="ES191">IFERROR(IF(EM191="ac"+ISNUMBER(SEARCH("'",ER191))+EQ191="","",IF(ISNUMBER(SEARCH("lw",ER191)),EE191+SUBSTITUTE(ER191,"lw+",""),MROUND(_xlfn.SWITCH(EM191,"sq",EQ$7,"bn",ER$7,"dl",ES$7,"")*IF(ER191&gt;10,ER191/100,VLOOKUP(ER191,_rpe,SUBSTITUTE(EQ191,"+","")+1,0)),IF(_xlfn.SWITCH(EM191,"sq",EQ$7,"bn",ER$7,"dl",ES$7,"")&lt;IF(_uom="lbs",175,80),1.25,IF(_uom="lbs",5,2.5))))),"")</f>
        <v/>
      </c>
      <c s="70"/>
      <c s="63"/>
      <c s="97"/>
      <c s="44" t="str">
        <f>IFERROR(__xludf.DUMMYFUNCTION("IF(ES191=MAX(FILTER(ES$10:ES$199,LOOKUP(ROW(EM$10:EM$199),FILTER(ROW(EM$10:EM$199),EM$10:EM$199&lt;&gt;EM$9:EM$198))=LOOKUP(ROW(EM191),FILTER(ROW(EM$10:EM$199),EM$10:EM$199&lt;&gt;EM$9:EM$198)))),ET191,)"),"")</f>
        <v/>
      </c>
      <c s="42"/>
      <c s="63"/>
      <c s="64" t="str">
        <f t="shared" si="36"/>
        <v/>
      </c>
      <c s="65" t="str">
        <f>IFERROR(__xludf.DUMMYFUNCTION("""COMPUTED_VALUE"""),"")</f>
        <v/>
      </c>
      <c s="66">
        <f ca="1"/>
        <v>45285</v>
      </c>
      <c s="93" t="str">
        <f t="shared" si="49"/>
        <v/>
      </c>
      <c s="94" t="str">
        <f t="shared" si="396"/>
        <v/>
      </c>
      <c s="95" t="str">
        <f t="shared" si="424"/>
        <v/>
      </c>
      <c s="98" t="str">
        <f t="shared" si="403"/>
        <v/>
      </c>
      <c s="97" t="str">
        <f t="array" ref="FG191">IFERROR(IF(FA191="ac"+ISNUMBER(SEARCH("'",FF191))+FE191="","",IF(ISNUMBER(SEARCH("lw",FF191)),ES191+SUBSTITUTE(FF191,"lw+",""),MROUND(_xlfn.SWITCH(FA191,"sq",FE$7,"bn",FF$7,"dl",FG$7,"")*IF(FF191&gt;10,FF191/100,VLOOKUP(FF191,_rpe,SUBSTITUTE(FE191,"+","")+1,0)),IF(_xlfn.SWITCH(FA191,"sq",FE$7,"bn",FF$7,"dl",FG$7,"")&lt;IF(_uom="lbs",175,80),1.25,IF(_uom="lbs",5,2.5))))),"")</f>
        <v/>
      </c>
      <c s="70"/>
      <c s="63"/>
      <c s="97"/>
      <c s="44" t="str">
        <f>IFERROR(__xludf.DUMMYFUNCTION("IF(FG191=MAX(FILTER(FG$10:FG$199,LOOKUP(ROW(FA$10:FA$199),FILTER(ROW(FA$10:FA$199),FA$10:FA$199&lt;&gt;FA$9:FA$198))=LOOKUP(ROW(FA191),FILTER(ROW(FA$10:FA$199),FA$10:FA$199&lt;&gt;FA$9:FA$198)))),FH191,)"),"")</f>
        <v/>
      </c>
      <c s="42"/>
      <c s="63"/>
      <c s="64" t="str">
        <f t="shared" si="38"/>
        <v/>
      </c>
      <c s="65" t="str">
        <f>IFERROR(__xludf.DUMMYFUNCTION("""COMPUTED_VALUE"""),"")</f>
        <v/>
      </c>
      <c s="66">
        <f ca="1"/>
        <v>45292</v>
      </c>
      <c s="93" t="str">
        <f t="shared" si="535" ref="FQ191:FR191">IF(ISBLANK(FC191),"",FC191)</f>
        <v/>
      </c>
      <c s="94" t="str">
        <f t="shared" si="535"/>
        <v/>
      </c>
      <c s="95" t="str">
        <f t="shared" si="428"/>
        <v/>
      </c>
      <c s="98" t="str">
        <f t="shared" si="429"/>
        <v/>
      </c>
      <c s="97" t="str">
        <f t="array" ref="FU191">IFERROR(IF(FO191="ac"+ISNUMBER(SEARCH("'",FT191))+FS191="","",IF(ISNUMBER(SEARCH("lw",FT191)),FG191+SUBSTITUTE(FT191,"lw+",""),MROUND(_xlfn.SWITCH(FO191,"sq",FS$7,"bn",FT$7,"dl",FU$7,"")*IF(FT191&gt;10,FT191/100,VLOOKUP(FT191,_rpe,SUBSTITUTE(FS191,"+","")+1,0)),IF(_xlfn.SWITCH(FO191,"sq",FS$7,"bn",FT$7,"dl",FU$7,"")&lt;IF(_uom="lbs",175,80),1.25,IF(_uom="lbs",5,2.5))))),"")</f>
        <v/>
      </c>
      <c s="70"/>
      <c s="63"/>
      <c s="97"/>
      <c s="44" t="str">
        <f>IFERROR(__xludf.DUMMYFUNCTION("IF(FU191=MAX(FILTER(FU$10:FU$199,LOOKUP(ROW(FO$10:FO$199),FILTER(ROW(FO$10:FO$199),FO$10:FO$199&lt;&gt;FO$9:FO$198))=LOOKUP(ROW(FO191),FILTER(ROW(FO$10:FO$199),FO$10:FO$199&lt;&gt;FO$9:FO$198)))),FV191,)"),"")</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92" spans="1:259" ht="15.75">
      <c r="A192" s="63"/>
      <c s="107"/>
      <c s="65" t="str">
        <f>IFERROR(__xludf.DUMMYFUNCTION("""COMPUTED_VALUE"""),"")</f>
        <v/>
      </c>
      <c s="66">
        <f ca="1"/>
        <v>45208</v>
      </c>
      <c s="108"/>
      <c s="94"/>
      <c s="95"/>
      <c s="96"/>
      <c s="97" t="str">
        <f t="array" ref="I192">IFERROR(IF(C192="ac"+ISNUMBER(SEARCH("'",H192))+G192="","",MROUND(_xlfn.SWITCH(C192,"sq",'Personal Info'!$O$15,"bn",'Personal Info'!$S$15,"dl",'Personal Info'!$W$15,"")*IF(H192&gt;10,H192/100,VLOOKUP(H192,_rpe,SUBSTITUTE(G192,"+","")+1,0)),IF(_xlfn.SWITCH(C192:C210,"sq",'Personal Info'!$O$15,"bn",'Personal Info'!$S$15,"dl",'Personal Info'!$W$15,"")&lt;IF(_uom="lbs",175,80),1.25,IF(_uom="lbs",5,2.5)))),"")</f>
        <v/>
      </c>
      <c s="70"/>
      <c s="63"/>
      <c s="97"/>
      <c s="44" t="str">
        <f>IFERROR(__xludf.DUMMYFUNCTION("IF(I192=MAX(FILTER(I$10:I$199,LOOKUP(ROW(C$10:C$199),FILTER(ROW(C$10:C$199),C$10:C$199&lt;&gt;C$9:C$198))=LOOKUP(ROW(C192),FILTER(ROW(C$10:C$199),C$10:C$199&lt;&gt;C$9:C$198)))),J192,)"),"")</f>
        <v/>
      </c>
      <c s="42"/>
      <c s="63"/>
      <c s="64" t="str">
        <f t="shared" si="11"/>
        <v/>
      </c>
      <c s="65" t="str">
        <f>IFERROR(__xludf.DUMMYFUNCTION("""COMPUTED_VALUE"""),"")</f>
        <v/>
      </c>
      <c s="66">
        <f ca="1"/>
        <v>45215</v>
      </c>
      <c s="93" t="str">
        <f t="shared" si="12"/>
        <v/>
      </c>
      <c s="94" t="str">
        <f t="shared" si="404"/>
        <v/>
      </c>
      <c s="95" t="str">
        <f t="shared" si="406"/>
        <v/>
      </c>
      <c s="98" t="str">
        <f t="shared" si="407"/>
        <v/>
      </c>
      <c s="97" t="str">
        <f t="array" ref="W192">IFERROR(IF(Q192="ac"+ISNUMBER(SEARCH("'",V192))+U192="","",IF(ISNUMBER(SEARCH("lw",V192)),I192+SUBSTITUTE(V192,"lw+",""),MROUND(_xlfn.SWITCH(Q192,"sq",U$7,"bn",V$7,"dl",W$7,"")*IF(V192&gt;10,V192/100,VLOOKUP(V192,_rpe,SUBSTITUTE(U192,"+","")+1,0)),IF(_xlfn.SWITCH(Q192,"sq",U$7,"bn",V$7,"dl",W$7,"")&lt;IF(_uom="lbs",175,80),1.25,IF(_uom="lbs",5,2.5))))),"")</f>
        <v/>
      </c>
      <c s="70"/>
      <c s="63"/>
      <c s="97"/>
      <c s="44" t="str">
        <f>IFERROR(__xludf.DUMMYFUNCTION("IF(W192=MAX(FILTER(W$10:W$199,LOOKUP(ROW(Q$10:Q$199),FILTER(ROW(Q$10:Q$199),Q$10:Q$199&lt;&gt;Q$9:Q$198))=LOOKUP(ROW(Q192),FILTER(ROW(Q$10:Q$199),Q$10:Q$199&lt;&gt;Q$9:Q$198)))),X192,)"),"")</f>
        <v/>
      </c>
      <c s="42"/>
      <c s="63"/>
      <c s="64" t="str">
        <f t="shared" si="14"/>
        <v/>
      </c>
      <c s="65" t="str">
        <f>IFERROR(__xludf.DUMMYFUNCTION("""COMPUTED_VALUE"""),"")</f>
        <v/>
      </c>
      <c s="66">
        <f ca="1"/>
        <v>45222</v>
      </c>
      <c s="93" t="str">
        <f t="shared" si="156"/>
        <v/>
      </c>
      <c s="94" t="str">
        <f t="shared" si="397"/>
        <v/>
      </c>
      <c s="95" t="str">
        <f t="shared" si="408"/>
        <v/>
      </c>
      <c s="98" t="str">
        <f t="shared" si="398"/>
        <v/>
      </c>
      <c s="97" t="str">
        <f t="array" ref="AK192">IFERROR(IF(AE192="ac"+ISNUMBER(SEARCH("'",AJ192))+AI192="","",IF(ISNUMBER(SEARCH("lw",AJ192)),W192+SUBSTITUTE(AJ192,"lw+",""),MROUND(_xlfn.SWITCH(AE192,"sq",AI$7,"bn",AJ$7,"dl",AK$7,"")*IF(AJ192&gt;10,AJ192/100,VLOOKUP(AJ192,_rpe,SUBSTITUTE(AI192,"+","")+1,0)),IF(_xlfn.SWITCH(AE192,"sq",AI$7,"bn",AJ$7,"dl",AK$7,"")&lt;IF(_uom="lbs",175,80),1.25,IF(_uom="lbs",5,2.5))))),"")</f>
        <v/>
      </c>
      <c s="70"/>
      <c s="63"/>
      <c s="97"/>
      <c s="44" t="str">
        <f>IFERROR(__xludf.DUMMYFUNCTION("IF(AK192=MAX(FILTER(AK$10:AK$199,LOOKUP(ROW(AE$10:AE$199),FILTER(ROW(AE$10:AE$199),AE$10:AE$199&lt;&gt;AE$9:AE$198))=LOOKUP(ROW(AE192),FILTER(ROW(AE$10:AE$199),AE$10:AE$199&lt;&gt;AE$9:AE$198)))),AL192,)"),"")</f>
        <v/>
      </c>
      <c s="42"/>
      <c s="63"/>
      <c s="64" t="str">
        <f t="shared" si="17"/>
        <v/>
      </c>
      <c s="65" t="str">
        <f>IFERROR(__xludf.DUMMYFUNCTION("""COMPUTED_VALUE"""),"")</f>
        <v/>
      </c>
      <c s="66">
        <f ca="1"/>
        <v>45229</v>
      </c>
      <c s="93" t="str">
        <f t="shared" si="157"/>
        <v/>
      </c>
      <c s="94" t="str">
        <f t="shared" si="399"/>
        <v/>
      </c>
      <c s="95" t="str">
        <f t="shared" si="409"/>
        <v/>
      </c>
      <c s="98" t="str">
        <f t="shared" si="400"/>
        <v/>
      </c>
      <c s="97" t="str">
        <f t="array" ref="AY192">IFERROR(IF(AS192="ac"+ISNUMBER(SEARCH("'",AX192))+AW192="","",IF(ISNUMBER(SEARCH("lw",AX192)),AK192+SUBSTITUTE(AX192,"lw+",""),MROUND(_xlfn.SWITCH(AS192,"sq",AW$7,"bn",AX$7,"dl",AY$7,"")*IF(AX192&gt;10,AX192/100,VLOOKUP(AX192,_rpe,SUBSTITUTE(AW192,"+","")+1,0)),IF(_xlfn.SWITCH(AS192,"sq",AW$7,"bn",AX$7,"dl",AY$7,"")&lt;IF(_uom="lbs",175,80),1.25,IF(_uom="lbs",5,2.5))))),"")</f>
        <v/>
      </c>
      <c s="70"/>
      <c s="63"/>
      <c s="97"/>
      <c s="44" t="str">
        <f>IFERROR(__xludf.DUMMYFUNCTION("IF(AY192=MAX(FILTER(AY$10:AY$199,LOOKUP(ROW(AS$10:AS$199),FILTER(ROW(AS$10:AS$199),AS$10:AS$199&lt;&gt;AS$9:AS$198))=LOOKUP(ROW(AS192),FILTER(ROW(AS$10:AS$199),AS$10:AS$199&lt;&gt;AS$9:AS$198)))),AZ192,)"),"")</f>
        <v/>
      </c>
      <c s="42"/>
      <c s="63"/>
      <c s="64" t="str">
        <f t="shared" si="19"/>
        <v/>
      </c>
      <c s="65" t="str">
        <f>IFERROR(__xludf.DUMMYFUNCTION("""COMPUTED_VALUE"""),"")</f>
        <v/>
      </c>
      <c s="66">
        <f ca="1"/>
        <v>45236</v>
      </c>
      <c s="93" t="str">
        <f t="shared" si="20"/>
        <v/>
      </c>
      <c s="94" t="str">
        <f t="shared" si="425"/>
        <v/>
      </c>
      <c s="95" t="str">
        <f t="shared" si="411"/>
        <v/>
      </c>
      <c s="98" t="str">
        <f t="shared" si="412"/>
        <v/>
      </c>
      <c s="97" t="str">
        <f t="array" ref="BM192">IFERROR(IF(BG192="ac"+ISNUMBER(SEARCH("'",BL192))+BK192="","",IF(ISNUMBER(SEARCH("lw",BL192)),AY192+SUBSTITUTE(BL192,"lw+",""),MROUND(_xlfn.SWITCH(BG192,"sq",BK$7,"bn",BL$7,"dl",BM$7,"")*IF(BL192&gt;10,BL192/100,VLOOKUP(BL192,_rpe,SUBSTITUTE(BK192,"+","")+1,0)),IF(_xlfn.SWITCH(BG192,"sq",BK$7,"bn",BL$7,"dl",BM$7,"")&lt;IF(_uom="lbs",175,80),1.25,IF(_uom="lbs",5,2.5))))),"")</f>
        <v/>
      </c>
      <c s="70"/>
      <c s="63"/>
      <c s="97"/>
      <c s="44" t="str">
        <f>IFERROR(__xludf.DUMMYFUNCTION("IF(BM192=MAX(FILTER(BM$10:BM$199,LOOKUP(ROW(BG$10:BG$199),FILTER(ROW(BG$10:BG$199),BG$10:BG$199&lt;&gt;BG$9:BG$198))=LOOKUP(ROW(BG192),FILTER(ROW(BG$10:BG$199),BG$10:BG$199&lt;&gt;BG$9:BG$198)))),BN192,)"),"")</f>
        <v/>
      </c>
      <c s="42"/>
      <c s="63"/>
      <c s="64" t="str">
        <f t="shared" si="21"/>
        <v/>
      </c>
      <c s="65" t="str">
        <f>IFERROR(__xludf.DUMMYFUNCTION("""COMPUTED_VALUE"""),"")</f>
        <v/>
      </c>
      <c s="66">
        <f ca="1"/>
        <v>45243</v>
      </c>
      <c s="93" t="str">
        <f t="shared" si="22"/>
        <v/>
      </c>
      <c s="94" t="str">
        <f t="shared" si="426"/>
        <v/>
      </c>
      <c s="95" t="str">
        <f t="shared" si="414"/>
        <v/>
      </c>
      <c s="98" t="str">
        <f t="shared" si="415"/>
        <v/>
      </c>
      <c s="97" t="str">
        <f t="array" ref="CA192">IFERROR(IF(BU192="ac"+ISNUMBER(SEARCH("'",BZ192))+BY192="","",IF(ISNUMBER(SEARCH("lw",BZ192)),BM192+SUBSTITUTE(BZ192,"lw+",""),MROUND(_xlfn.SWITCH(BU192,"sq",BY$7,"bn",BZ$7,"dl",CA$7,"")*IF(BZ192&gt;10,BZ192/100,VLOOKUP(BZ192,_rpe,SUBSTITUTE(BY192,"+","")+1,0)),IF(_xlfn.SWITCH(BU192,"sq",BY$7,"bn",BZ$7,"dl",CA$7,"")&lt;IF(_uom="lbs",175,80),1.25,IF(_uom="lbs",5,2.5))))),"")</f>
        <v/>
      </c>
      <c s="70"/>
      <c s="63"/>
      <c s="97"/>
      <c s="44" t="str">
        <f>IFERROR(__xludf.DUMMYFUNCTION("IF(CA192=MAX(FILTER(CA$10:CA$199,LOOKUP(ROW(BU$10:BU$199),FILTER(ROW(BU$10:BU$199),BU$10:BU$199&lt;&gt;BU$9:BU$198))=LOOKUP(ROW(BU192),FILTER(ROW(BU$10:BU$199),BU$10:BU$199&lt;&gt;BU$9:BU$198)))),CB192,)"),"")</f>
        <v/>
      </c>
      <c s="42"/>
      <c s="63"/>
      <c s="64" t="str">
        <f t="shared" si="24"/>
        <v/>
      </c>
      <c s="65" t="str">
        <f>IFERROR(__xludf.DUMMYFUNCTION("""COMPUTED_VALUE"""),"")</f>
        <v/>
      </c>
      <c s="66">
        <f ca="1"/>
        <v>45250</v>
      </c>
      <c s="93" t="str">
        <f t="shared" si="44"/>
        <v/>
      </c>
      <c s="94" t="str">
        <f t="shared" si="392"/>
        <v/>
      </c>
      <c s="95" t="str">
        <f t="shared" si="416"/>
        <v/>
      </c>
      <c s="98" t="str">
        <f t="shared" si="417"/>
        <v/>
      </c>
      <c s="97" t="str">
        <f t="array" ref="CO192">IFERROR(IF(CI192="ac"+ISNUMBER(SEARCH("'",CN192))+CM192="","",IF(ISNUMBER(SEARCH("lw",CN192)),CA192+SUBSTITUTE(CN192,"lw+",""),MROUND(_xlfn.SWITCH(CI192,"sq",CM$7,"bn",CN$7,"dl",CO$7,"")*IF(CN192&gt;10,CN192/100,VLOOKUP(CN192,_rpe,SUBSTITUTE(CM192,"+","")+1,0)),IF(_xlfn.SWITCH(CI192,"sq",CM$7,"bn",CN$7,"dl",CO$7,"")&lt;IF(_uom="lbs",175,80),1.25,IF(_uom="lbs",5,2.5))))),"")</f>
        <v/>
      </c>
      <c s="70"/>
      <c s="63"/>
      <c s="97"/>
      <c s="44" t="str">
        <f>IFERROR(__xludf.DUMMYFUNCTION("IF(CO192=MAX(FILTER(CO$10:CO$199,LOOKUP(ROW(CI$10:CI$199),FILTER(ROW(CI$10:CI$199),CI$10:CI$199&lt;&gt;CI$9:CI$198))=LOOKUP(ROW(CI192),FILTER(ROW(CI$10:CI$199),CI$10:CI$199&lt;&gt;CI$9:CI$198)))),CP192,)"),"")</f>
        <v/>
      </c>
      <c s="42"/>
      <c s="63"/>
      <c s="64" t="str">
        <f t="shared" si="27"/>
        <v/>
      </c>
      <c s="65" t="str">
        <f>IFERROR(__xludf.DUMMYFUNCTION("""COMPUTED_VALUE"""),"")</f>
        <v/>
      </c>
      <c s="66">
        <f ca="1"/>
        <v>45257</v>
      </c>
      <c s="93" t="str">
        <f t="shared" si="45"/>
        <v/>
      </c>
      <c s="94" t="str">
        <f t="shared" si="393"/>
        <v/>
      </c>
      <c s="95" t="str">
        <f t="shared" si="418"/>
        <v/>
      </c>
      <c s="98" t="str">
        <f t="shared" si="401"/>
        <v/>
      </c>
      <c s="97" t="str">
        <f t="array" ref="DC192">IFERROR(IF(CW192="ac"+ISNUMBER(SEARCH("'",DB192))+DA192="","",IF(ISNUMBER(SEARCH("lw",DB192)),CO192+SUBSTITUTE(DB192,"lw+",""),MROUND(_xlfn.SWITCH(CW192,"sq",DA$7,"bn",DB$7,"dl",DC$7,"")*IF(DB192&gt;10,DB192/100,VLOOKUP(DB192,_rpe,SUBSTITUTE(DA192,"+","")+1,0)),IF(_xlfn.SWITCH(CW192,"sq",DA$7,"bn",DB$7,"dl",DC$7,"")&lt;IF(_uom="lbs",175,80),1.25,IF(_uom="lbs",5,2.5))))),"")</f>
        <v/>
      </c>
      <c s="70"/>
      <c s="63"/>
      <c s="97"/>
      <c s="44" t="str">
        <f>IFERROR(__xludf.DUMMYFUNCTION("IF(DC192=MAX(FILTER(DC$10:DC$199,LOOKUP(ROW(CW$10:CW$199),FILTER(ROW(CW$10:CW$199),CW$10:CW$199&lt;&gt;CW$9:CW$198))=LOOKUP(ROW(CW192),FILTER(ROW(CW$10:CW$199),CW$10:CW$199&lt;&gt;CW$9:CW$198)))),DD192,)"),"")</f>
        <v/>
      </c>
      <c s="42"/>
      <c s="63"/>
      <c s="64" t="str">
        <f t="shared" si="30"/>
        <v/>
      </c>
      <c s="65" t="str">
        <f>IFERROR(__xludf.DUMMYFUNCTION("""COMPUTED_VALUE"""),"")</f>
        <v/>
      </c>
      <c s="66">
        <f ca="1"/>
        <v>45264</v>
      </c>
      <c s="93" t="str">
        <f t="shared" si="46"/>
        <v/>
      </c>
      <c s="94" t="str">
        <f t="shared" si="394"/>
        <v/>
      </c>
      <c s="95" t="str">
        <f t="shared" si="419"/>
        <v/>
      </c>
      <c s="98" t="str">
        <f t="shared" si="420"/>
        <v/>
      </c>
      <c s="97" t="str">
        <f t="array" ref="DQ192">IFERROR(IF(DK192="ac"+ISNUMBER(SEARCH("'",DP192))+DO192="","",IF(ISNUMBER(SEARCH("lw",DP192)),DC192+SUBSTITUTE(DP192,"lw+",""),MROUND(_xlfn.SWITCH(DK192,"sq",DO$7,"bn",DP$7,"dl",DQ$7,"")*IF(DP192&gt;10,DP192/100,VLOOKUP(DP192,_rpe,SUBSTITUTE(DO192,"+","")+1,0)),IF(_xlfn.SWITCH(DK192,"sq",DO$7,"bn",DP$7,"dl",DQ$7,"")&lt;IF(_uom="lbs",175,80),1.25,IF(_uom="lbs",5,2.5))))),"")</f>
        <v/>
      </c>
      <c s="70"/>
      <c s="63"/>
      <c s="97"/>
      <c s="44" t="str">
        <f>IFERROR(__xludf.DUMMYFUNCTION("IF(DQ192=MAX(FILTER(DQ$10:DQ$199,LOOKUP(ROW(DK$10:DK$199),FILTER(ROW(DK$10:DK$199),DK$10:DK$199&lt;&gt;DK$9:DK$198))=LOOKUP(ROW(DK192),FILTER(ROW(DK$10:DK$199),DK$10:DK$199&lt;&gt;DK$9:DK$198)))),DR192,)"),"")</f>
        <v/>
      </c>
      <c s="42"/>
      <c s="63"/>
      <c s="64" t="str">
        <f t="shared" si="32"/>
        <v/>
      </c>
      <c s="65" t="str">
        <f>IFERROR(__xludf.DUMMYFUNCTION("""COMPUTED_VALUE"""),"")</f>
        <v/>
      </c>
      <c s="66">
        <f ca="1"/>
        <v>45271</v>
      </c>
      <c s="93" t="str">
        <f t="shared" si="47"/>
        <v/>
      </c>
      <c s="94" t="str">
        <f t="shared" si="405"/>
        <v/>
      </c>
      <c s="95" t="str">
        <f t="shared" si="421"/>
        <v/>
      </c>
      <c s="98" t="str">
        <f t="shared" si="422"/>
        <v/>
      </c>
      <c s="97" t="str">
        <f t="array" ref="EE192">IFERROR(IF(DY192="ac"+ISNUMBER(SEARCH("'",ED192))+EC192="","",IF(ISNUMBER(SEARCH("lw",ED192)),DQ192+SUBSTITUTE(ED192,"lw+",""),MROUND(_xlfn.SWITCH(DY192,"sq",EC$7,"bn",ED$7,"dl",EE$7,"")*IF(ED192&gt;10,ED192/100,VLOOKUP(ED192,_rpe,SUBSTITUTE(EC192,"+","")+1,0)),IF(_xlfn.SWITCH(DY192,"sq",EC$7,"bn",ED$7,"dl",EE$7,"")&lt;IF(_uom="lbs",175,80),1.25,IF(_uom="lbs",5,2.5))))),"")</f>
        <v/>
      </c>
      <c s="70"/>
      <c s="63"/>
      <c s="97"/>
      <c s="44" t="str">
        <f>IFERROR(__xludf.DUMMYFUNCTION("IF(EE192=MAX(FILTER(EE$10:EE$199,LOOKUP(ROW(DY$10:DY$199),FILTER(ROW(DY$10:DY$199),DY$10:DY$199&lt;&gt;DY$9:DY$198))=LOOKUP(ROW(DY192),FILTER(ROW(DY$10:DY$199),DY$10:DY$199&lt;&gt;DY$9:DY$198)))),EF192,)"),"")</f>
        <v/>
      </c>
      <c s="42"/>
      <c s="63"/>
      <c s="64" t="str">
        <f t="shared" si="34"/>
        <v/>
      </c>
      <c s="65" t="str">
        <f>IFERROR(__xludf.DUMMYFUNCTION("""COMPUTED_VALUE"""),"")</f>
        <v/>
      </c>
      <c s="66">
        <f ca="1"/>
        <v>45278</v>
      </c>
      <c s="93" t="str">
        <f t="shared" si="48"/>
        <v/>
      </c>
      <c s="94" t="str">
        <f t="shared" si="395"/>
        <v/>
      </c>
      <c s="95" t="str">
        <f t="shared" si="423"/>
        <v/>
      </c>
      <c s="98" t="str">
        <f t="shared" si="402"/>
        <v/>
      </c>
      <c s="97" t="str">
        <f t="array" ref="ES192">IFERROR(IF(EM192="ac"+ISNUMBER(SEARCH("'",ER192))+EQ192="","",IF(ISNUMBER(SEARCH("lw",ER192)),EE192+SUBSTITUTE(ER192,"lw+",""),MROUND(_xlfn.SWITCH(EM192,"sq",EQ$7,"bn",ER$7,"dl",ES$7,"")*IF(ER192&gt;10,ER192/100,VLOOKUP(ER192,_rpe,SUBSTITUTE(EQ192,"+","")+1,0)),IF(_xlfn.SWITCH(EM192,"sq",EQ$7,"bn",ER$7,"dl",ES$7,"")&lt;IF(_uom="lbs",175,80),1.25,IF(_uom="lbs",5,2.5))))),"")</f>
        <v/>
      </c>
      <c s="70"/>
      <c s="63"/>
      <c s="97"/>
      <c s="44" t="str">
        <f>IFERROR(__xludf.DUMMYFUNCTION("IF(ES192=MAX(FILTER(ES$10:ES$199,LOOKUP(ROW(EM$10:EM$199),FILTER(ROW(EM$10:EM$199),EM$10:EM$199&lt;&gt;EM$9:EM$198))=LOOKUP(ROW(EM192),FILTER(ROW(EM$10:EM$199),EM$10:EM$199&lt;&gt;EM$9:EM$198)))),ET192,)"),"")</f>
        <v/>
      </c>
      <c s="42"/>
      <c s="63"/>
      <c s="64" t="str">
        <f t="shared" si="36"/>
        <v/>
      </c>
      <c s="65" t="str">
        <f>IFERROR(__xludf.DUMMYFUNCTION("""COMPUTED_VALUE"""),"")</f>
        <v/>
      </c>
      <c s="66">
        <f ca="1"/>
        <v>45285</v>
      </c>
      <c s="93" t="str">
        <f t="shared" si="49"/>
        <v/>
      </c>
      <c s="94" t="str">
        <f t="shared" si="396"/>
        <v/>
      </c>
      <c s="95" t="str">
        <f t="shared" si="424"/>
        <v/>
      </c>
      <c s="98" t="str">
        <f t="shared" si="403"/>
        <v/>
      </c>
      <c s="97" t="str">
        <f t="array" ref="FG192">IFERROR(IF(FA192="ac"+ISNUMBER(SEARCH("'",FF192))+FE192="","",IF(ISNUMBER(SEARCH("lw",FF192)),ES192+SUBSTITUTE(FF192,"lw+",""),MROUND(_xlfn.SWITCH(FA192,"sq",FE$7,"bn",FF$7,"dl",FG$7,"")*IF(FF192&gt;10,FF192/100,VLOOKUP(FF192,_rpe,SUBSTITUTE(FE192,"+","")+1,0)),IF(_xlfn.SWITCH(FA192,"sq",FE$7,"bn",FF$7,"dl",FG$7,"")&lt;IF(_uom="lbs",175,80),1.25,IF(_uom="lbs",5,2.5))))),"")</f>
        <v/>
      </c>
      <c s="70"/>
      <c s="63"/>
      <c s="97"/>
      <c s="44" t="str">
        <f>IFERROR(__xludf.DUMMYFUNCTION("IF(FG192=MAX(FILTER(FG$10:FG$199,LOOKUP(ROW(FA$10:FA$199),FILTER(ROW(FA$10:FA$199),FA$10:FA$199&lt;&gt;FA$9:FA$198))=LOOKUP(ROW(FA192),FILTER(ROW(FA$10:FA$199),FA$10:FA$199&lt;&gt;FA$9:FA$198)))),FH192,)"),"")</f>
        <v/>
      </c>
      <c s="42"/>
      <c s="63"/>
      <c s="64" t="str">
        <f t="shared" si="38"/>
        <v/>
      </c>
      <c s="65" t="str">
        <f>IFERROR(__xludf.DUMMYFUNCTION("""COMPUTED_VALUE"""),"")</f>
        <v/>
      </c>
      <c s="66">
        <f ca="1"/>
        <v>45292</v>
      </c>
      <c s="93" t="str">
        <f t="shared" si="536" ref="FQ192:FR192">IF(ISBLANK(FC192),"",FC192)</f>
        <v/>
      </c>
      <c s="94" t="str">
        <f t="shared" si="536"/>
        <v/>
      </c>
      <c s="95" t="str">
        <f t="shared" si="428"/>
        <v/>
      </c>
      <c s="98" t="str">
        <f t="shared" si="429"/>
        <v/>
      </c>
      <c s="97" t="str">
        <f t="array" ref="FU192">IFERROR(IF(FO192="ac"+ISNUMBER(SEARCH("'",FT192))+FS192="","",IF(ISNUMBER(SEARCH("lw",FT192)),FG192+SUBSTITUTE(FT192,"lw+",""),MROUND(_xlfn.SWITCH(FO192,"sq",FS$7,"bn",FT$7,"dl",FU$7,"")*IF(FT192&gt;10,FT192/100,VLOOKUP(FT192,_rpe,SUBSTITUTE(FS192,"+","")+1,0)),IF(_xlfn.SWITCH(FO192,"sq",FS$7,"bn",FT$7,"dl",FU$7,"")&lt;IF(_uom="lbs",175,80),1.25,IF(_uom="lbs",5,2.5))))),"")</f>
        <v/>
      </c>
      <c s="70"/>
      <c s="63"/>
      <c s="97"/>
      <c s="44" t="str">
        <f>IFERROR(__xludf.DUMMYFUNCTION("IF(FU192=MAX(FILTER(FU$10:FU$199,LOOKUP(ROW(FO$10:FO$199),FILTER(ROW(FO$10:FO$199),FO$10:FO$199&lt;&gt;FO$9:FO$198))=LOOKUP(ROW(FO192),FILTER(ROW(FO$10:FO$199),FO$10:FO$199&lt;&gt;FO$9:FO$198)))),FV192,)"),"")</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93" spans="1:259" ht="15.75">
      <c r="A193" s="63"/>
      <c s="107"/>
      <c s="65" t="str">
        <f>IFERROR(__xludf.DUMMYFUNCTION("""COMPUTED_VALUE"""),"")</f>
        <v/>
      </c>
      <c s="66">
        <f ca="1"/>
        <v>45208</v>
      </c>
      <c s="108"/>
      <c s="94"/>
      <c s="95"/>
      <c s="96"/>
      <c s="97" t="str">
        <f t="array" ref="I193">IFERROR(IF(C193="ac"+ISNUMBER(SEARCH("'",H193))+G193="","",MROUND(_xlfn.SWITCH(C193,"sq",'Personal Info'!$O$15,"bn",'Personal Info'!$S$15,"dl",'Personal Info'!$W$15,"")*IF(H193&gt;10,H193/100,VLOOKUP(H193,_rpe,SUBSTITUTE(G193,"+","")+1,0)),IF(_xlfn.SWITCH(C193:C210,"sq",'Personal Info'!$O$15,"bn",'Personal Info'!$S$15,"dl",'Personal Info'!$W$15,"")&lt;IF(_uom="lbs",175,80),1.25,IF(_uom="lbs",5,2.5)))),"")</f>
        <v/>
      </c>
      <c s="70"/>
      <c s="63"/>
      <c s="97"/>
      <c s="44" t="str">
        <f>IFERROR(__xludf.DUMMYFUNCTION("IF(I193=MAX(FILTER(I$10:I$199,LOOKUP(ROW(C$10:C$199),FILTER(ROW(C$10:C$199),C$10:C$199&lt;&gt;C$9:C$198))=LOOKUP(ROW(C193),FILTER(ROW(C$10:C$199),C$10:C$199&lt;&gt;C$9:C$198)))),J193,)"),"")</f>
        <v/>
      </c>
      <c s="42"/>
      <c s="63"/>
      <c s="64" t="str">
        <f t="shared" si="11"/>
        <v/>
      </c>
      <c s="65" t="str">
        <f>IFERROR(__xludf.DUMMYFUNCTION("""COMPUTED_VALUE"""),"")</f>
        <v/>
      </c>
      <c s="66">
        <f ca="1"/>
        <v>45215</v>
      </c>
      <c s="93" t="str">
        <f t="shared" si="12"/>
        <v/>
      </c>
      <c s="94" t="str">
        <f t="shared" si="404"/>
        <v/>
      </c>
      <c s="95" t="str">
        <f t="shared" si="406"/>
        <v/>
      </c>
      <c s="98" t="str">
        <f t="shared" si="407"/>
        <v/>
      </c>
      <c s="97" t="str">
        <f t="array" ref="W193">IFERROR(IF(Q193="ac"+ISNUMBER(SEARCH("'",V193))+U193="","",IF(ISNUMBER(SEARCH("lw",V193)),I193+SUBSTITUTE(V193,"lw+",""),MROUND(_xlfn.SWITCH(Q193,"sq",U$7,"bn",V$7,"dl",W$7,"")*IF(V193&gt;10,V193/100,VLOOKUP(V193,_rpe,SUBSTITUTE(U193,"+","")+1,0)),IF(_xlfn.SWITCH(Q193,"sq",U$7,"bn",V$7,"dl",W$7,"")&lt;IF(_uom="lbs",175,80),1.25,IF(_uom="lbs",5,2.5))))),"")</f>
        <v/>
      </c>
      <c s="70"/>
      <c s="63"/>
      <c s="97"/>
      <c s="44" t="str">
        <f>IFERROR(__xludf.DUMMYFUNCTION("IF(W193=MAX(FILTER(W$10:W$199,LOOKUP(ROW(Q$10:Q$199),FILTER(ROW(Q$10:Q$199),Q$10:Q$199&lt;&gt;Q$9:Q$198))=LOOKUP(ROW(Q193),FILTER(ROW(Q$10:Q$199),Q$10:Q$199&lt;&gt;Q$9:Q$198)))),X193,)"),"")</f>
        <v/>
      </c>
      <c s="42"/>
      <c s="63"/>
      <c s="64" t="str">
        <f t="shared" si="14"/>
        <v/>
      </c>
      <c s="65" t="str">
        <f>IFERROR(__xludf.DUMMYFUNCTION("""COMPUTED_VALUE"""),"")</f>
        <v/>
      </c>
      <c s="66">
        <f ca="1"/>
        <v>45222</v>
      </c>
      <c s="93" t="str">
        <f t="shared" si="156"/>
        <v/>
      </c>
      <c s="94" t="str">
        <f t="shared" si="397"/>
        <v/>
      </c>
      <c s="95" t="str">
        <f t="shared" si="408"/>
        <v/>
      </c>
      <c s="98" t="str">
        <f t="shared" si="398"/>
        <v/>
      </c>
      <c s="97" t="str">
        <f t="array" ref="AK193">IFERROR(IF(AE193="ac"+ISNUMBER(SEARCH("'",AJ193))+AI193="","",IF(ISNUMBER(SEARCH("lw",AJ193)),W193+SUBSTITUTE(AJ193,"lw+",""),MROUND(_xlfn.SWITCH(AE193,"sq",AI$7,"bn",AJ$7,"dl",AK$7,"")*IF(AJ193&gt;10,AJ193/100,VLOOKUP(AJ193,_rpe,SUBSTITUTE(AI193,"+","")+1,0)),IF(_xlfn.SWITCH(AE193,"sq",AI$7,"bn",AJ$7,"dl",AK$7,"")&lt;IF(_uom="lbs",175,80),1.25,IF(_uom="lbs",5,2.5))))),"")</f>
        <v/>
      </c>
      <c s="70"/>
      <c s="63"/>
      <c s="97"/>
      <c s="44" t="str">
        <f>IFERROR(__xludf.DUMMYFUNCTION("IF(AK193=MAX(FILTER(AK$10:AK$199,LOOKUP(ROW(AE$10:AE$199),FILTER(ROW(AE$10:AE$199),AE$10:AE$199&lt;&gt;AE$9:AE$198))=LOOKUP(ROW(AE193),FILTER(ROW(AE$10:AE$199),AE$10:AE$199&lt;&gt;AE$9:AE$198)))),AL193,)"),"")</f>
        <v/>
      </c>
      <c s="42"/>
      <c s="63"/>
      <c s="64" t="str">
        <f t="shared" si="17"/>
        <v/>
      </c>
      <c s="65" t="str">
        <f>IFERROR(__xludf.DUMMYFUNCTION("""COMPUTED_VALUE"""),"")</f>
        <v/>
      </c>
      <c s="66">
        <f ca="1"/>
        <v>45229</v>
      </c>
      <c s="93" t="str">
        <f t="shared" si="157"/>
        <v/>
      </c>
      <c s="94" t="str">
        <f t="shared" si="399"/>
        <v/>
      </c>
      <c s="95" t="str">
        <f t="shared" si="409"/>
        <v/>
      </c>
      <c s="98" t="str">
        <f t="shared" si="400"/>
        <v/>
      </c>
      <c s="97" t="str">
        <f t="array" ref="AY193">IFERROR(IF(AS193="ac"+ISNUMBER(SEARCH("'",AX193))+AW193="","",IF(ISNUMBER(SEARCH("lw",AX193)),AK193+SUBSTITUTE(AX193,"lw+",""),MROUND(_xlfn.SWITCH(AS193,"sq",AW$7,"bn",AX$7,"dl",AY$7,"")*IF(AX193&gt;10,AX193/100,VLOOKUP(AX193,_rpe,SUBSTITUTE(AW193,"+","")+1,0)),IF(_xlfn.SWITCH(AS193,"sq",AW$7,"bn",AX$7,"dl",AY$7,"")&lt;IF(_uom="lbs",175,80),1.25,IF(_uom="lbs",5,2.5))))),"")</f>
        <v/>
      </c>
      <c s="70"/>
      <c s="63"/>
      <c s="97"/>
      <c s="44" t="str">
        <f>IFERROR(__xludf.DUMMYFUNCTION("IF(AY193=MAX(FILTER(AY$10:AY$199,LOOKUP(ROW(AS$10:AS$199),FILTER(ROW(AS$10:AS$199),AS$10:AS$199&lt;&gt;AS$9:AS$198))=LOOKUP(ROW(AS193),FILTER(ROW(AS$10:AS$199),AS$10:AS$199&lt;&gt;AS$9:AS$198)))),AZ193,)"),"")</f>
        <v/>
      </c>
      <c s="42"/>
      <c s="63"/>
      <c s="64" t="str">
        <f t="shared" si="19"/>
        <v/>
      </c>
      <c s="65" t="str">
        <f>IFERROR(__xludf.DUMMYFUNCTION("""COMPUTED_VALUE"""),"")</f>
        <v/>
      </c>
      <c s="66">
        <f ca="1"/>
        <v>45236</v>
      </c>
      <c s="93" t="str">
        <f t="shared" si="20"/>
        <v/>
      </c>
      <c s="94" t="str">
        <f t="shared" si="425"/>
        <v/>
      </c>
      <c s="95" t="str">
        <f t="shared" si="411"/>
        <v/>
      </c>
      <c s="98" t="str">
        <f t="shared" si="412"/>
        <v/>
      </c>
      <c s="97" t="str">
        <f t="array" ref="BM193">IFERROR(IF(BG193="ac"+ISNUMBER(SEARCH("'",BL193))+BK193="","",IF(ISNUMBER(SEARCH("lw",BL193)),AY193+SUBSTITUTE(BL193,"lw+",""),MROUND(_xlfn.SWITCH(BG193,"sq",BK$7,"bn",BL$7,"dl",BM$7,"")*IF(BL193&gt;10,BL193/100,VLOOKUP(BL193,_rpe,SUBSTITUTE(BK193,"+","")+1,0)),IF(_xlfn.SWITCH(BG193,"sq",BK$7,"bn",BL$7,"dl",BM$7,"")&lt;IF(_uom="lbs",175,80),1.25,IF(_uom="lbs",5,2.5))))),"")</f>
        <v/>
      </c>
      <c s="70"/>
      <c s="63"/>
      <c s="97"/>
      <c s="44" t="str">
        <f>IFERROR(__xludf.DUMMYFUNCTION("IF(BM193=MAX(FILTER(BM$10:BM$199,LOOKUP(ROW(BG$10:BG$199),FILTER(ROW(BG$10:BG$199),BG$10:BG$199&lt;&gt;BG$9:BG$198))=LOOKUP(ROW(BG193),FILTER(ROW(BG$10:BG$199),BG$10:BG$199&lt;&gt;BG$9:BG$198)))),BN193,)"),"")</f>
        <v/>
      </c>
      <c s="42"/>
      <c s="63"/>
      <c s="64" t="str">
        <f t="shared" si="21"/>
        <v/>
      </c>
      <c s="65" t="str">
        <f>IFERROR(__xludf.DUMMYFUNCTION("""COMPUTED_VALUE"""),"")</f>
        <v/>
      </c>
      <c s="66">
        <f ca="1"/>
        <v>45243</v>
      </c>
      <c s="93" t="str">
        <f t="shared" si="22"/>
        <v/>
      </c>
      <c s="94" t="str">
        <f t="shared" si="426"/>
        <v/>
      </c>
      <c s="95" t="str">
        <f t="shared" si="414"/>
        <v/>
      </c>
      <c s="98" t="str">
        <f t="shared" si="415"/>
        <v/>
      </c>
      <c s="97" t="str">
        <f t="array" ref="CA193">IFERROR(IF(BU193="ac"+ISNUMBER(SEARCH("'",BZ193))+BY193="","",IF(ISNUMBER(SEARCH("lw",BZ193)),BM193+SUBSTITUTE(BZ193,"lw+",""),MROUND(_xlfn.SWITCH(BU193,"sq",BY$7,"bn",BZ$7,"dl",CA$7,"")*IF(BZ193&gt;10,BZ193/100,VLOOKUP(BZ193,_rpe,SUBSTITUTE(BY193,"+","")+1,0)),IF(_xlfn.SWITCH(BU193,"sq",BY$7,"bn",BZ$7,"dl",CA$7,"")&lt;IF(_uom="lbs",175,80),1.25,IF(_uom="lbs",5,2.5))))),"")</f>
        <v/>
      </c>
      <c s="70"/>
      <c s="63"/>
      <c s="97"/>
      <c s="44" t="str">
        <f>IFERROR(__xludf.DUMMYFUNCTION("IF(CA193=MAX(FILTER(CA$10:CA$199,LOOKUP(ROW(BU$10:BU$199),FILTER(ROW(BU$10:BU$199),BU$10:BU$199&lt;&gt;BU$9:BU$198))=LOOKUP(ROW(BU193),FILTER(ROW(BU$10:BU$199),BU$10:BU$199&lt;&gt;BU$9:BU$198)))),CB193,)"),"")</f>
        <v/>
      </c>
      <c s="42"/>
      <c s="63"/>
      <c s="64" t="str">
        <f t="shared" si="24"/>
        <v/>
      </c>
      <c s="65" t="str">
        <f>IFERROR(__xludf.DUMMYFUNCTION("""COMPUTED_VALUE"""),"")</f>
        <v/>
      </c>
      <c s="66">
        <f ca="1"/>
        <v>45250</v>
      </c>
      <c s="93" t="str">
        <f t="shared" si="44"/>
        <v/>
      </c>
      <c s="94" t="str">
        <f t="shared" si="392"/>
        <v/>
      </c>
      <c s="95" t="str">
        <f t="shared" si="416"/>
        <v/>
      </c>
      <c s="98" t="str">
        <f t="shared" si="417"/>
        <v/>
      </c>
      <c s="97" t="str">
        <f t="array" ref="CO193">IFERROR(IF(CI193="ac"+ISNUMBER(SEARCH("'",CN193))+CM193="","",IF(ISNUMBER(SEARCH("lw",CN193)),CA193+SUBSTITUTE(CN193,"lw+",""),MROUND(_xlfn.SWITCH(CI193,"sq",CM$7,"bn",CN$7,"dl",CO$7,"")*IF(CN193&gt;10,CN193/100,VLOOKUP(CN193,_rpe,SUBSTITUTE(CM193,"+","")+1,0)),IF(_xlfn.SWITCH(CI193,"sq",CM$7,"bn",CN$7,"dl",CO$7,"")&lt;IF(_uom="lbs",175,80),1.25,IF(_uom="lbs",5,2.5))))),"")</f>
        <v/>
      </c>
      <c s="70"/>
      <c s="63"/>
      <c s="97"/>
      <c s="44" t="str">
        <f>IFERROR(__xludf.DUMMYFUNCTION("IF(CO193=MAX(FILTER(CO$10:CO$199,LOOKUP(ROW(CI$10:CI$199),FILTER(ROW(CI$10:CI$199),CI$10:CI$199&lt;&gt;CI$9:CI$198))=LOOKUP(ROW(CI193),FILTER(ROW(CI$10:CI$199),CI$10:CI$199&lt;&gt;CI$9:CI$198)))),CP193,)"),"")</f>
        <v/>
      </c>
      <c s="42"/>
      <c s="63"/>
      <c s="64" t="str">
        <f t="shared" si="27"/>
        <v/>
      </c>
      <c s="65" t="str">
        <f>IFERROR(__xludf.DUMMYFUNCTION("""COMPUTED_VALUE"""),"")</f>
        <v/>
      </c>
      <c s="66">
        <f ca="1"/>
        <v>45257</v>
      </c>
      <c s="93" t="str">
        <f t="shared" si="45"/>
        <v/>
      </c>
      <c s="94" t="str">
        <f t="shared" si="393"/>
        <v/>
      </c>
      <c s="95" t="str">
        <f t="shared" si="418"/>
        <v/>
      </c>
      <c s="98" t="str">
        <f t="shared" si="401"/>
        <v/>
      </c>
      <c s="97" t="str">
        <f t="array" ref="DC193">IFERROR(IF(CW193="ac"+ISNUMBER(SEARCH("'",DB193))+DA193="","",IF(ISNUMBER(SEARCH("lw",DB193)),CO193+SUBSTITUTE(DB193,"lw+",""),MROUND(_xlfn.SWITCH(CW193,"sq",DA$7,"bn",DB$7,"dl",DC$7,"")*IF(DB193&gt;10,DB193/100,VLOOKUP(DB193,_rpe,SUBSTITUTE(DA193,"+","")+1,0)),IF(_xlfn.SWITCH(CW193,"sq",DA$7,"bn",DB$7,"dl",DC$7,"")&lt;IF(_uom="lbs",175,80),1.25,IF(_uom="lbs",5,2.5))))),"")</f>
        <v/>
      </c>
      <c s="70"/>
      <c s="63"/>
      <c s="97"/>
      <c s="44" t="str">
        <f>IFERROR(__xludf.DUMMYFUNCTION("IF(DC193=MAX(FILTER(DC$10:DC$199,LOOKUP(ROW(CW$10:CW$199),FILTER(ROW(CW$10:CW$199),CW$10:CW$199&lt;&gt;CW$9:CW$198))=LOOKUP(ROW(CW193),FILTER(ROW(CW$10:CW$199),CW$10:CW$199&lt;&gt;CW$9:CW$198)))),DD193,)"),"")</f>
        <v/>
      </c>
      <c s="42"/>
      <c s="63"/>
      <c s="64" t="str">
        <f t="shared" si="30"/>
        <v/>
      </c>
      <c s="65" t="str">
        <f>IFERROR(__xludf.DUMMYFUNCTION("""COMPUTED_VALUE"""),"")</f>
        <v/>
      </c>
      <c s="66">
        <f ca="1"/>
        <v>45264</v>
      </c>
      <c s="93" t="str">
        <f t="shared" si="46"/>
        <v/>
      </c>
      <c s="94" t="str">
        <f t="shared" si="394"/>
        <v/>
      </c>
      <c s="95" t="str">
        <f t="shared" si="419"/>
        <v/>
      </c>
      <c s="98" t="str">
        <f t="shared" si="420"/>
        <v/>
      </c>
      <c s="97" t="str">
        <f t="array" ref="DQ193">IFERROR(IF(DK193="ac"+ISNUMBER(SEARCH("'",DP193))+DO193="","",IF(ISNUMBER(SEARCH("lw",DP193)),DC193+SUBSTITUTE(DP193,"lw+",""),MROUND(_xlfn.SWITCH(DK193,"sq",DO$7,"bn",DP$7,"dl",DQ$7,"")*IF(DP193&gt;10,DP193/100,VLOOKUP(DP193,_rpe,SUBSTITUTE(DO193,"+","")+1,0)),IF(_xlfn.SWITCH(DK193,"sq",DO$7,"bn",DP$7,"dl",DQ$7,"")&lt;IF(_uom="lbs",175,80),1.25,IF(_uom="lbs",5,2.5))))),"")</f>
        <v/>
      </c>
      <c s="70"/>
      <c s="63"/>
      <c s="97"/>
      <c s="44" t="str">
        <f>IFERROR(__xludf.DUMMYFUNCTION("IF(DQ193=MAX(FILTER(DQ$10:DQ$199,LOOKUP(ROW(DK$10:DK$199),FILTER(ROW(DK$10:DK$199),DK$10:DK$199&lt;&gt;DK$9:DK$198))=LOOKUP(ROW(DK193),FILTER(ROW(DK$10:DK$199),DK$10:DK$199&lt;&gt;DK$9:DK$198)))),DR193,)"),"")</f>
        <v/>
      </c>
      <c s="42"/>
      <c s="63"/>
      <c s="64" t="str">
        <f t="shared" si="32"/>
        <v/>
      </c>
      <c s="65" t="str">
        <f>IFERROR(__xludf.DUMMYFUNCTION("""COMPUTED_VALUE"""),"")</f>
        <v/>
      </c>
      <c s="66">
        <f ca="1"/>
        <v>45271</v>
      </c>
      <c s="93" t="str">
        <f t="shared" si="47"/>
        <v/>
      </c>
      <c s="94" t="str">
        <f t="shared" si="405"/>
        <v/>
      </c>
      <c s="95" t="str">
        <f t="shared" si="421"/>
        <v/>
      </c>
      <c s="98" t="str">
        <f t="shared" si="422"/>
        <v/>
      </c>
      <c s="97" t="str">
        <f t="array" ref="EE193">IFERROR(IF(DY193="ac"+ISNUMBER(SEARCH("'",ED193))+EC193="","",IF(ISNUMBER(SEARCH("lw",ED193)),DQ193+SUBSTITUTE(ED193,"lw+",""),MROUND(_xlfn.SWITCH(DY193,"sq",EC$7,"bn",ED$7,"dl",EE$7,"")*IF(ED193&gt;10,ED193/100,VLOOKUP(ED193,_rpe,SUBSTITUTE(EC193,"+","")+1,0)),IF(_xlfn.SWITCH(DY193,"sq",EC$7,"bn",ED$7,"dl",EE$7,"")&lt;IF(_uom="lbs",175,80),1.25,IF(_uom="lbs",5,2.5))))),"")</f>
        <v/>
      </c>
      <c s="70"/>
      <c s="63"/>
      <c s="97"/>
      <c s="44" t="str">
        <f>IFERROR(__xludf.DUMMYFUNCTION("IF(EE193=MAX(FILTER(EE$10:EE$199,LOOKUP(ROW(DY$10:DY$199),FILTER(ROW(DY$10:DY$199),DY$10:DY$199&lt;&gt;DY$9:DY$198))=LOOKUP(ROW(DY193),FILTER(ROW(DY$10:DY$199),DY$10:DY$199&lt;&gt;DY$9:DY$198)))),EF193,)"),"")</f>
        <v/>
      </c>
      <c s="42"/>
      <c s="63"/>
      <c s="64" t="str">
        <f t="shared" si="34"/>
        <v/>
      </c>
      <c s="65" t="str">
        <f>IFERROR(__xludf.DUMMYFUNCTION("""COMPUTED_VALUE"""),"")</f>
        <v/>
      </c>
      <c s="66">
        <f ca="1"/>
        <v>45278</v>
      </c>
      <c s="93" t="str">
        <f t="shared" si="48"/>
        <v/>
      </c>
      <c s="94" t="str">
        <f t="shared" si="395"/>
        <v/>
      </c>
      <c s="95" t="str">
        <f t="shared" si="423"/>
        <v/>
      </c>
      <c s="98" t="str">
        <f t="shared" si="402"/>
        <v/>
      </c>
      <c s="97" t="str">
        <f t="array" ref="ES193">IFERROR(IF(EM193="ac"+ISNUMBER(SEARCH("'",ER193))+EQ193="","",IF(ISNUMBER(SEARCH("lw",ER193)),EE193+SUBSTITUTE(ER193,"lw+",""),MROUND(_xlfn.SWITCH(EM193,"sq",EQ$7,"bn",ER$7,"dl",ES$7,"")*IF(ER193&gt;10,ER193/100,VLOOKUP(ER193,_rpe,SUBSTITUTE(EQ193,"+","")+1,0)),IF(_xlfn.SWITCH(EM193,"sq",EQ$7,"bn",ER$7,"dl",ES$7,"")&lt;IF(_uom="lbs",175,80),1.25,IF(_uom="lbs",5,2.5))))),"")</f>
        <v/>
      </c>
      <c s="70"/>
      <c s="63"/>
      <c s="97"/>
      <c s="44" t="str">
        <f>IFERROR(__xludf.DUMMYFUNCTION("IF(ES193=MAX(FILTER(ES$10:ES$199,LOOKUP(ROW(EM$10:EM$199),FILTER(ROW(EM$10:EM$199),EM$10:EM$199&lt;&gt;EM$9:EM$198))=LOOKUP(ROW(EM193),FILTER(ROW(EM$10:EM$199),EM$10:EM$199&lt;&gt;EM$9:EM$198)))),ET193,)"),"")</f>
        <v/>
      </c>
      <c s="42"/>
      <c s="63"/>
      <c s="64" t="str">
        <f t="shared" si="36"/>
        <v/>
      </c>
      <c s="65" t="str">
        <f>IFERROR(__xludf.DUMMYFUNCTION("""COMPUTED_VALUE"""),"")</f>
        <v/>
      </c>
      <c s="66">
        <f ca="1"/>
        <v>45285</v>
      </c>
      <c s="93" t="str">
        <f t="shared" si="49"/>
        <v/>
      </c>
      <c s="94" t="str">
        <f t="shared" si="396"/>
        <v/>
      </c>
      <c s="95" t="str">
        <f t="shared" si="424"/>
        <v/>
      </c>
      <c s="98" t="str">
        <f t="shared" si="403"/>
        <v/>
      </c>
      <c s="97" t="str">
        <f t="array" ref="FG193">IFERROR(IF(FA193="ac"+ISNUMBER(SEARCH("'",FF193))+FE193="","",IF(ISNUMBER(SEARCH("lw",FF193)),ES193+SUBSTITUTE(FF193,"lw+",""),MROUND(_xlfn.SWITCH(FA193,"sq",FE$7,"bn",FF$7,"dl",FG$7,"")*IF(FF193&gt;10,FF193/100,VLOOKUP(FF193,_rpe,SUBSTITUTE(FE193,"+","")+1,0)),IF(_xlfn.SWITCH(FA193,"sq",FE$7,"bn",FF$7,"dl",FG$7,"")&lt;IF(_uom="lbs",175,80),1.25,IF(_uom="lbs",5,2.5))))),"")</f>
        <v/>
      </c>
      <c s="70"/>
      <c s="63"/>
      <c s="97"/>
      <c s="44" t="str">
        <f>IFERROR(__xludf.DUMMYFUNCTION("IF(FG193=MAX(FILTER(FG$10:FG$199,LOOKUP(ROW(FA$10:FA$199),FILTER(ROW(FA$10:FA$199),FA$10:FA$199&lt;&gt;FA$9:FA$198))=LOOKUP(ROW(FA193),FILTER(ROW(FA$10:FA$199),FA$10:FA$199&lt;&gt;FA$9:FA$198)))),FH193,)"),"")</f>
        <v/>
      </c>
      <c s="42"/>
      <c s="63"/>
      <c s="64" t="str">
        <f t="shared" si="38"/>
        <v/>
      </c>
      <c s="65" t="str">
        <f>IFERROR(__xludf.DUMMYFUNCTION("""COMPUTED_VALUE"""),"")</f>
        <v/>
      </c>
      <c s="66">
        <f ca="1"/>
        <v>45292</v>
      </c>
      <c s="93" t="str">
        <f t="shared" si="537" ref="FQ193:FR193">IF(ISBLANK(FC193),"",FC193)</f>
        <v/>
      </c>
      <c s="94" t="str">
        <f t="shared" si="537"/>
        <v/>
      </c>
      <c s="95" t="str">
        <f t="shared" si="428"/>
        <v/>
      </c>
      <c s="98" t="str">
        <f t="shared" si="429"/>
        <v/>
      </c>
      <c s="97" t="str">
        <f t="array" ref="FU193">IFERROR(IF(FO193="ac"+ISNUMBER(SEARCH("'",FT193))+FS193="","",IF(ISNUMBER(SEARCH("lw",FT193)),FG193+SUBSTITUTE(FT193,"lw+",""),MROUND(_xlfn.SWITCH(FO193,"sq",FS$7,"bn",FT$7,"dl",FU$7,"")*IF(FT193&gt;10,FT193/100,VLOOKUP(FT193,_rpe,SUBSTITUTE(FS193,"+","")+1,0)),IF(_xlfn.SWITCH(FO193,"sq",FS$7,"bn",FT$7,"dl",FU$7,"")&lt;IF(_uom="lbs",175,80),1.25,IF(_uom="lbs",5,2.5))))),"")</f>
        <v/>
      </c>
      <c s="70"/>
      <c s="63"/>
      <c s="97"/>
      <c s="44" t="str">
        <f>IFERROR(__xludf.DUMMYFUNCTION("IF(FU193=MAX(FILTER(FU$10:FU$199,LOOKUP(ROW(FO$10:FO$199),FILTER(ROW(FO$10:FO$199),FO$10:FO$199&lt;&gt;FO$9:FO$198))=LOOKUP(ROW(FO193),FILTER(ROW(FO$10:FO$199),FO$10:FO$199&lt;&gt;FO$9:FO$198)))),FV193,)"),"")</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94" spans="1:259" ht="15.75">
      <c r="A194" s="63"/>
      <c s="107"/>
      <c s="65" t="str">
        <f>IFERROR(__xludf.DUMMYFUNCTION("""COMPUTED_VALUE"""),"")</f>
        <v/>
      </c>
      <c s="66">
        <f ca="1"/>
        <v>45208</v>
      </c>
      <c s="108"/>
      <c s="94"/>
      <c s="95"/>
      <c s="96"/>
      <c s="97" t="str">
        <f t="array" ref="I194">IFERROR(IF(C194="ac"+ISNUMBER(SEARCH("'",H194))+G194="","",MROUND(_xlfn.SWITCH(C194,"sq",'Personal Info'!$O$15,"bn",'Personal Info'!$S$15,"dl",'Personal Info'!$W$15,"")*IF(H194&gt;10,H194/100,VLOOKUP(H194,_rpe,SUBSTITUTE(G194,"+","")+1,0)),IF(_xlfn.SWITCH(C194:C210,"sq",'Personal Info'!$O$15,"bn",'Personal Info'!$S$15,"dl",'Personal Info'!$W$15,"")&lt;IF(_uom="lbs",175,80),1.25,IF(_uom="lbs",5,2.5)))),"")</f>
        <v/>
      </c>
      <c s="70"/>
      <c s="63"/>
      <c s="97"/>
      <c s="44" t="str">
        <f>IFERROR(__xludf.DUMMYFUNCTION("IF(I194=MAX(FILTER(I$10:I$199,LOOKUP(ROW(C$10:C$199),FILTER(ROW(C$10:C$199),C$10:C$199&lt;&gt;C$9:C$198))=LOOKUP(ROW(C194),FILTER(ROW(C$10:C$199),C$10:C$199&lt;&gt;C$9:C$198)))),J194,)"),"")</f>
        <v/>
      </c>
      <c s="42"/>
      <c s="63"/>
      <c s="64" t="str">
        <f t="shared" si="11"/>
        <v/>
      </c>
      <c s="65" t="str">
        <f>IFERROR(__xludf.DUMMYFUNCTION("""COMPUTED_VALUE"""),"")</f>
        <v/>
      </c>
      <c s="66">
        <f ca="1"/>
        <v>45215</v>
      </c>
      <c s="93" t="str">
        <f t="shared" si="12"/>
        <v/>
      </c>
      <c s="94" t="str">
        <f t="shared" si="404"/>
        <v/>
      </c>
      <c s="95" t="str">
        <f t="shared" si="406"/>
        <v/>
      </c>
      <c s="98" t="str">
        <f t="shared" si="407"/>
        <v/>
      </c>
      <c s="97" t="str">
        <f t="array" ref="W194">IFERROR(IF(Q194="ac"+ISNUMBER(SEARCH("'",V194))+U194="","",IF(ISNUMBER(SEARCH("lw",V194)),I194+SUBSTITUTE(V194,"lw+",""),MROUND(_xlfn.SWITCH(Q194,"sq",U$7,"bn",V$7,"dl",W$7,"")*IF(V194&gt;10,V194/100,VLOOKUP(V194,_rpe,SUBSTITUTE(U194,"+","")+1,0)),IF(_xlfn.SWITCH(Q194,"sq",U$7,"bn",V$7,"dl",W$7,"")&lt;IF(_uom="lbs",175,80),1.25,IF(_uom="lbs",5,2.5))))),"")</f>
        <v/>
      </c>
      <c s="70"/>
      <c s="63"/>
      <c s="97"/>
      <c s="44" t="str">
        <f>IFERROR(__xludf.DUMMYFUNCTION("IF(W194=MAX(FILTER(W$10:W$199,LOOKUP(ROW(Q$10:Q$199),FILTER(ROW(Q$10:Q$199),Q$10:Q$199&lt;&gt;Q$9:Q$198))=LOOKUP(ROW(Q194),FILTER(ROW(Q$10:Q$199),Q$10:Q$199&lt;&gt;Q$9:Q$198)))),X194,)"),"")</f>
        <v/>
      </c>
      <c s="42"/>
      <c s="63"/>
      <c s="64" t="str">
        <f t="shared" si="14"/>
        <v/>
      </c>
      <c s="65" t="str">
        <f>IFERROR(__xludf.DUMMYFUNCTION("""COMPUTED_VALUE"""),"")</f>
        <v/>
      </c>
      <c s="66">
        <f ca="1"/>
        <v>45222</v>
      </c>
      <c s="93" t="str">
        <f t="shared" si="156"/>
        <v/>
      </c>
      <c s="94" t="str">
        <f t="shared" si="397"/>
        <v/>
      </c>
      <c s="95" t="str">
        <f t="shared" si="408"/>
        <v/>
      </c>
      <c s="98" t="str">
        <f t="shared" si="398"/>
        <v/>
      </c>
      <c s="97" t="str">
        <f t="array" ref="AK194">IFERROR(IF(AE194="ac"+ISNUMBER(SEARCH("'",AJ194))+AI194="","",IF(ISNUMBER(SEARCH("lw",AJ194)),W194+SUBSTITUTE(AJ194,"lw+",""),MROUND(_xlfn.SWITCH(AE194,"sq",AI$7,"bn",AJ$7,"dl",AK$7,"")*IF(AJ194&gt;10,AJ194/100,VLOOKUP(AJ194,_rpe,SUBSTITUTE(AI194,"+","")+1,0)),IF(_xlfn.SWITCH(AE194,"sq",AI$7,"bn",AJ$7,"dl",AK$7,"")&lt;IF(_uom="lbs",175,80),1.25,IF(_uom="lbs",5,2.5))))),"")</f>
        <v/>
      </c>
      <c s="70"/>
      <c s="63"/>
      <c s="97"/>
      <c s="44" t="str">
        <f>IFERROR(__xludf.DUMMYFUNCTION("IF(AK194=MAX(FILTER(AK$10:AK$199,LOOKUP(ROW(AE$10:AE$199),FILTER(ROW(AE$10:AE$199),AE$10:AE$199&lt;&gt;AE$9:AE$198))=LOOKUP(ROW(AE194),FILTER(ROW(AE$10:AE$199),AE$10:AE$199&lt;&gt;AE$9:AE$198)))),AL194,)"),"")</f>
        <v/>
      </c>
      <c s="42"/>
      <c s="63"/>
      <c s="64" t="str">
        <f t="shared" si="17"/>
        <v/>
      </c>
      <c s="65" t="str">
        <f>IFERROR(__xludf.DUMMYFUNCTION("""COMPUTED_VALUE"""),"")</f>
        <v/>
      </c>
      <c s="66">
        <f ca="1"/>
        <v>45229</v>
      </c>
      <c s="93" t="str">
        <f t="shared" si="157"/>
        <v/>
      </c>
      <c s="94" t="str">
        <f t="shared" si="399"/>
        <v/>
      </c>
      <c s="95" t="str">
        <f t="shared" si="409"/>
        <v/>
      </c>
      <c s="98" t="str">
        <f t="shared" si="400"/>
        <v/>
      </c>
      <c s="97" t="str">
        <f t="array" ref="AY194">IFERROR(IF(AS194="ac"+ISNUMBER(SEARCH("'",AX194))+AW194="","",IF(ISNUMBER(SEARCH("lw",AX194)),AK194+SUBSTITUTE(AX194,"lw+",""),MROUND(_xlfn.SWITCH(AS194,"sq",AW$7,"bn",AX$7,"dl",AY$7,"")*IF(AX194&gt;10,AX194/100,VLOOKUP(AX194,_rpe,SUBSTITUTE(AW194,"+","")+1,0)),IF(_xlfn.SWITCH(AS194,"sq",AW$7,"bn",AX$7,"dl",AY$7,"")&lt;IF(_uom="lbs",175,80),1.25,IF(_uom="lbs",5,2.5))))),"")</f>
        <v/>
      </c>
      <c s="70"/>
      <c s="63"/>
      <c s="97"/>
      <c s="44" t="str">
        <f>IFERROR(__xludf.DUMMYFUNCTION("IF(AY194=MAX(FILTER(AY$10:AY$199,LOOKUP(ROW(AS$10:AS$199),FILTER(ROW(AS$10:AS$199),AS$10:AS$199&lt;&gt;AS$9:AS$198))=LOOKUP(ROW(AS194),FILTER(ROW(AS$10:AS$199),AS$10:AS$199&lt;&gt;AS$9:AS$198)))),AZ194,)"),"")</f>
        <v/>
      </c>
      <c s="42"/>
      <c s="63"/>
      <c s="64" t="str">
        <f t="shared" si="19"/>
        <v/>
      </c>
      <c s="65" t="str">
        <f>IFERROR(__xludf.DUMMYFUNCTION("""COMPUTED_VALUE"""),"")</f>
        <v/>
      </c>
      <c s="66">
        <f ca="1"/>
        <v>45236</v>
      </c>
      <c s="93" t="str">
        <f t="shared" si="20"/>
        <v/>
      </c>
      <c s="94" t="str">
        <f t="shared" si="425"/>
        <v/>
      </c>
      <c s="95" t="str">
        <f t="shared" si="411"/>
        <v/>
      </c>
      <c s="98" t="str">
        <f t="shared" si="412"/>
        <v/>
      </c>
      <c s="97" t="str">
        <f t="array" ref="BM194">IFERROR(IF(BG194="ac"+ISNUMBER(SEARCH("'",BL194))+BK194="","",IF(ISNUMBER(SEARCH("lw",BL194)),AY194+SUBSTITUTE(BL194,"lw+",""),MROUND(_xlfn.SWITCH(BG194,"sq",BK$7,"bn",BL$7,"dl",BM$7,"")*IF(BL194&gt;10,BL194/100,VLOOKUP(BL194,_rpe,SUBSTITUTE(BK194,"+","")+1,0)),IF(_xlfn.SWITCH(BG194,"sq",BK$7,"bn",BL$7,"dl",BM$7,"")&lt;IF(_uom="lbs",175,80),1.25,IF(_uom="lbs",5,2.5))))),"")</f>
        <v/>
      </c>
      <c s="70"/>
      <c s="63"/>
      <c s="97"/>
      <c s="44" t="str">
        <f>IFERROR(__xludf.DUMMYFUNCTION("IF(BM194=MAX(FILTER(BM$10:BM$199,LOOKUP(ROW(BG$10:BG$199),FILTER(ROW(BG$10:BG$199),BG$10:BG$199&lt;&gt;BG$9:BG$198))=LOOKUP(ROW(BG194),FILTER(ROW(BG$10:BG$199),BG$10:BG$199&lt;&gt;BG$9:BG$198)))),BN194,)"),"")</f>
        <v/>
      </c>
      <c s="42"/>
      <c s="63"/>
      <c s="64" t="str">
        <f t="shared" si="21"/>
        <v/>
      </c>
      <c s="65" t="str">
        <f>IFERROR(__xludf.DUMMYFUNCTION("""COMPUTED_VALUE"""),"")</f>
        <v/>
      </c>
      <c s="66">
        <f ca="1"/>
        <v>45243</v>
      </c>
      <c s="93" t="str">
        <f t="shared" si="22"/>
        <v/>
      </c>
      <c s="94" t="str">
        <f t="shared" si="426"/>
        <v/>
      </c>
      <c s="95" t="str">
        <f t="shared" si="414"/>
        <v/>
      </c>
      <c s="98" t="str">
        <f t="shared" si="415"/>
        <v/>
      </c>
      <c s="97" t="str">
        <f t="array" ref="CA194">IFERROR(IF(BU194="ac"+ISNUMBER(SEARCH("'",BZ194))+BY194="","",IF(ISNUMBER(SEARCH("lw",BZ194)),BM194+SUBSTITUTE(BZ194,"lw+",""),MROUND(_xlfn.SWITCH(BU194,"sq",BY$7,"bn",BZ$7,"dl",CA$7,"")*IF(BZ194&gt;10,BZ194/100,VLOOKUP(BZ194,_rpe,SUBSTITUTE(BY194,"+","")+1,0)),IF(_xlfn.SWITCH(BU194,"sq",BY$7,"bn",BZ$7,"dl",CA$7,"")&lt;IF(_uom="lbs",175,80),1.25,IF(_uom="lbs",5,2.5))))),"")</f>
        <v/>
      </c>
      <c s="70"/>
      <c s="63"/>
      <c s="97"/>
      <c s="44" t="str">
        <f>IFERROR(__xludf.DUMMYFUNCTION("IF(CA194=MAX(FILTER(CA$10:CA$199,LOOKUP(ROW(BU$10:BU$199),FILTER(ROW(BU$10:BU$199),BU$10:BU$199&lt;&gt;BU$9:BU$198))=LOOKUP(ROW(BU194),FILTER(ROW(BU$10:BU$199),BU$10:BU$199&lt;&gt;BU$9:BU$198)))),CB194,)"),"")</f>
        <v/>
      </c>
      <c s="42"/>
      <c s="63"/>
      <c s="64" t="str">
        <f t="shared" si="24"/>
        <v/>
      </c>
      <c s="65" t="str">
        <f>IFERROR(__xludf.DUMMYFUNCTION("""COMPUTED_VALUE"""),"")</f>
        <v/>
      </c>
      <c s="66">
        <f ca="1"/>
        <v>45250</v>
      </c>
      <c s="93" t="str">
        <f t="shared" si="44"/>
        <v/>
      </c>
      <c s="94" t="str">
        <f t="shared" si="392"/>
        <v/>
      </c>
      <c s="95" t="str">
        <f t="shared" si="416"/>
        <v/>
      </c>
      <c s="98" t="str">
        <f t="shared" si="417"/>
        <v/>
      </c>
      <c s="97" t="str">
        <f t="array" ref="CO194">IFERROR(IF(CI194="ac"+ISNUMBER(SEARCH("'",CN194))+CM194="","",IF(ISNUMBER(SEARCH("lw",CN194)),CA194+SUBSTITUTE(CN194,"lw+",""),MROUND(_xlfn.SWITCH(CI194,"sq",CM$7,"bn",CN$7,"dl",CO$7,"")*IF(CN194&gt;10,CN194/100,VLOOKUP(CN194,_rpe,SUBSTITUTE(CM194,"+","")+1,0)),IF(_xlfn.SWITCH(CI194,"sq",CM$7,"bn",CN$7,"dl",CO$7,"")&lt;IF(_uom="lbs",175,80),1.25,IF(_uom="lbs",5,2.5))))),"")</f>
        <v/>
      </c>
      <c s="70"/>
      <c s="63"/>
      <c s="97"/>
      <c s="44" t="str">
        <f>IFERROR(__xludf.DUMMYFUNCTION("IF(CO194=MAX(FILTER(CO$10:CO$199,LOOKUP(ROW(CI$10:CI$199),FILTER(ROW(CI$10:CI$199),CI$10:CI$199&lt;&gt;CI$9:CI$198))=LOOKUP(ROW(CI194),FILTER(ROW(CI$10:CI$199),CI$10:CI$199&lt;&gt;CI$9:CI$198)))),CP194,)"),"")</f>
        <v/>
      </c>
      <c s="42"/>
      <c s="63"/>
      <c s="64" t="str">
        <f t="shared" si="27"/>
        <v/>
      </c>
      <c s="65" t="str">
        <f>IFERROR(__xludf.DUMMYFUNCTION("""COMPUTED_VALUE"""),"")</f>
        <v/>
      </c>
      <c s="66">
        <f ca="1"/>
        <v>45257</v>
      </c>
      <c s="93" t="str">
        <f t="shared" si="45"/>
        <v/>
      </c>
      <c s="94" t="str">
        <f t="shared" si="393"/>
        <v/>
      </c>
      <c s="95" t="str">
        <f t="shared" si="418"/>
        <v/>
      </c>
      <c s="98" t="str">
        <f t="shared" si="401"/>
        <v/>
      </c>
      <c s="97" t="str">
        <f t="array" ref="DC194">IFERROR(IF(CW194="ac"+ISNUMBER(SEARCH("'",DB194))+DA194="","",IF(ISNUMBER(SEARCH("lw",DB194)),CO194+SUBSTITUTE(DB194,"lw+",""),MROUND(_xlfn.SWITCH(CW194,"sq",DA$7,"bn",DB$7,"dl",DC$7,"")*IF(DB194&gt;10,DB194/100,VLOOKUP(DB194,_rpe,SUBSTITUTE(DA194,"+","")+1,0)),IF(_xlfn.SWITCH(CW194,"sq",DA$7,"bn",DB$7,"dl",DC$7,"")&lt;IF(_uom="lbs",175,80),1.25,IF(_uom="lbs",5,2.5))))),"")</f>
        <v/>
      </c>
      <c s="70"/>
      <c s="63"/>
      <c s="97"/>
      <c s="44" t="str">
        <f>IFERROR(__xludf.DUMMYFUNCTION("IF(DC194=MAX(FILTER(DC$10:DC$199,LOOKUP(ROW(CW$10:CW$199),FILTER(ROW(CW$10:CW$199),CW$10:CW$199&lt;&gt;CW$9:CW$198))=LOOKUP(ROW(CW194),FILTER(ROW(CW$10:CW$199),CW$10:CW$199&lt;&gt;CW$9:CW$198)))),DD194,)"),"")</f>
        <v/>
      </c>
      <c s="42"/>
      <c s="63"/>
      <c s="64" t="str">
        <f t="shared" si="30"/>
        <v/>
      </c>
      <c s="65" t="str">
        <f>IFERROR(__xludf.DUMMYFUNCTION("""COMPUTED_VALUE"""),"")</f>
        <v/>
      </c>
      <c s="66">
        <f ca="1"/>
        <v>45264</v>
      </c>
      <c s="93" t="str">
        <f t="shared" si="46"/>
        <v/>
      </c>
      <c s="94" t="str">
        <f t="shared" si="394"/>
        <v/>
      </c>
      <c s="95" t="str">
        <f t="shared" si="419"/>
        <v/>
      </c>
      <c s="98" t="str">
        <f t="shared" si="420"/>
        <v/>
      </c>
      <c s="97" t="str">
        <f t="array" ref="DQ194">IFERROR(IF(DK194="ac"+ISNUMBER(SEARCH("'",DP194))+DO194="","",IF(ISNUMBER(SEARCH("lw",DP194)),DC194+SUBSTITUTE(DP194,"lw+",""),MROUND(_xlfn.SWITCH(DK194,"sq",DO$7,"bn",DP$7,"dl",DQ$7,"")*IF(DP194&gt;10,DP194/100,VLOOKUP(DP194,_rpe,SUBSTITUTE(DO194,"+","")+1,0)),IF(_xlfn.SWITCH(DK194,"sq",DO$7,"bn",DP$7,"dl",DQ$7,"")&lt;IF(_uom="lbs",175,80),1.25,IF(_uom="lbs",5,2.5))))),"")</f>
        <v/>
      </c>
      <c s="70"/>
      <c s="63"/>
      <c s="97"/>
      <c s="44" t="str">
        <f>IFERROR(__xludf.DUMMYFUNCTION("IF(DQ194=MAX(FILTER(DQ$10:DQ$199,LOOKUP(ROW(DK$10:DK$199),FILTER(ROW(DK$10:DK$199),DK$10:DK$199&lt;&gt;DK$9:DK$198))=LOOKUP(ROW(DK194),FILTER(ROW(DK$10:DK$199),DK$10:DK$199&lt;&gt;DK$9:DK$198)))),DR194,)"),"")</f>
        <v/>
      </c>
      <c s="42"/>
      <c s="63"/>
      <c s="64" t="str">
        <f t="shared" si="32"/>
        <v/>
      </c>
      <c s="65" t="str">
        <f>IFERROR(__xludf.DUMMYFUNCTION("""COMPUTED_VALUE"""),"")</f>
        <v/>
      </c>
      <c s="66">
        <f ca="1"/>
        <v>45271</v>
      </c>
      <c s="93" t="str">
        <f t="shared" si="47"/>
        <v/>
      </c>
      <c s="94" t="str">
        <f t="shared" si="405"/>
        <v/>
      </c>
      <c s="95" t="str">
        <f t="shared" si="421"/>
        <v/>
      </c>
      <c s="98" t="str">
        <f t="shared" si="422"/>
        <v/>
      </c>
      <c s="97" t="str">
        <f t="array" ref="EE194">IFERROR(IF(DY194="ac"+ISNUMBER(SEARCH("'",ED194))+EC194="","",IF(ISNUMBER(SEARCH("lw",ED194)),DQ194+SUBSTITUTE(ED194,"lw+",""),MROUND(_xlfn.SWITCH(DY194,"sq",EC$7,"bn",ED$7,"dl",EE$7,"")*IF(ED194&gt;10,ED194/100,VLOOKUP(ED194,_rpe,SUBSTITUTE(EC194,"+","")+1,0)),IF(_xlfn.SWITCH(DY194,"sq",EC$7,"bn",ED$7,"dl",EE$7,"")&lt;IF(_uom="lbs",175,80),1.25,IF(_uom="lbs",5,2.5))))),"")</f>
        <v/>
      </c>
      <c s="70"/>
      <c s="63"/>
      <c s="97"/>
      <c s="44" t="str">
        <f>IFERROR(__xludf.DUMMYFUNCTION("IF(EE194=MAX(FILTER(EE$10:EE$199,LOOKUP(ROW(DY$10:DY$199),FILTER(ROW(DY$10:DY$199),DY$10:DY$199&lt;&gt;DY$9:DY$198))=LOOKUP(ROW(DY194),FILTER(ROW(DY$10:DY$199),DY$10:DY$199&lt;&gt;DY$9:DY$198)))),EF194,)"),"")</f>
        <v/>
      </c>
      <c s="42"/>
      <c s="63"/>
      <c s="64" t="str">
        <f t="shared" si="34"/>
        <v/>
      </c>
      <c s="65" t="str">
        <f>IFERROR(__xludf.DUMMYFUNCTION("""COMPUTED_VALUE"""),"")</f>
        <v/>
      </c>
      <c s="66">
        <f ca="1"/>
        <v>45278</v>
      </c>
      <c s="93" t="str">
        <f t="shared" si="48"/>
        <v/>
      </c>
      <c s="94" t="str">
        <f t="shared" si="395"/>
        <v/>
      </c>
      <c s="95" t="str">
        <f t="shared" si="423"/>
        <v/>
      </c>
      <c s="98" t="str">
        <f t="shared" si="402"/>
        <v/>
      </c>
      <c s="97" t="str">
        <f t="array" ref="ES194">IFERROR(IF(EM194="ac"+ISNUMBER(SEARCH("'",ER194))+EQ194="","",IF(ISNUMBER(SEARCH("lw",ER194)),EE194+SUBSTITUTE(ER194,"lw+",""),MROUND(_xlfn.SWITCH(EM194,"sq",EQ$7,"bn",ER$7,"dl",ES$7,"")*IF(ER194&gt;10,ER194/100,VLOOKUP(ER194,_rpe,SUBSTITUTE(EQ194,"+","")+1,0)),IF(_xlfn.SWITCH(EM194,"sq",EQ$7,"bn",ER$7,"dl",ES$7,"")&lt;IF(_uom="lbs",175,80),1.25,IF(_uom="lbs",5,2.5))))),"")</f>
        <v/>
      </c>
      <c s="70"/>
      <c s="63"/>
      <c s="97"/>
      <c s="44" t="str">
        <f>IFERROR(__xludf.DUMMYFUNCTION("IF(ES194=MAX(FILTER(ES$10:ES$199,LOOKUP(ROW(EM$10:EM$199),FILTER(ROW(EM$10:EM$199),EM$10:EM$199&lt;&gt;EM$9:EM$198))=LOOKUP(ROW(EM194),FILTER(ROW(EM$10:EM$199),EM$10:EM$199&lt;&gt;EM$9:EM$198)))),ET194,)"),"")</f>
        <v/>
      </c>
      <c s="42"/>
      <c s="63"/>
      <c s="64" t="str">
        <f t="shared" si="36"/>
        <v/>
      </c>
      <c s="65" t="str">
        <f>IFERROR(__xludf.DUMMYFUNCTION("""COMPUTED_VALUE"""),"")</f>
        <v/>
      </c>
      <c s="66">
        <f ca="1"/>
        <v>45285</v>
      </c>
      <c s="93" t="str">
        <f t="shared" si="49"/>
        <v/>
      </c>
      <c s="94" t="str">
        <f t="shared" si="396"/>
        <v/>
      </c>
      <c s="95" t="str">
        <f t="shared" si="424"/>
        <v/>
      </c>
      <c s="98" t="str">
        <f t="shared" si="403"/>
        <v/>
      </c>
      <c s="97" t="str">
        <f t="array" ref="FG194">IFERROR(IF(FA194="ac"+ISNUMBER(SEARCH("'",FF194))+FE194="","",IF(ISNUMBER(SEARCH("lw",FF194)),ES194+SUBSTITUTE(FF194,"lw+",""),MROUND(_xlfn.SWITCH(FA194,"sq",FE$7,"bn",FF$7,"dl",FG$7,"")*IF(FF194&gt;10,FF194/100,VLOOKUP(FF194,_rpe,SUBSTITUTE(FE194,"+","")+1,0)),IF(_xlfn.SWITCH(FA194,"sq",FE$7,"bn",FF$7,"dl",FG$7,"")&lt;IF(_uom="lbs",175,80),1.25,IF(_uom="lbs",5,2.5))))),"")</f>
        <v/>
      </c>
      <c s="70"/>
      <c s="63"/>
      <c s="97"/>
      <c s="44" t="str">
        <f>IFERROR(__xludf.DUMMYFUNCTION("IF(FG194=MAX(FILTER(FG$10:FG$199,LOOKUP(ROW(FA$10:FA$199),FILTER(ROW(FA$10:FA$199),FA$10:FA$199&lt;&gt;FA$9:FA$198))=LOOKUP(ROW(FA194),FILTER(ROW(FA$10:FA$199),FA$10:FA$199&lt;&gt;FA$9:FA$198)))),FH194,)"),"")</f>
        <v/>
      </c>
      <c s="42"/>
      <c s="63"/>
      <c s="64" t="str">
        <f t="shared" si="38"/>
        <v/>
      </c>
      <c s="65" t="str">
        <f>IFERROR(__xludf.DUMMYFUNCTION("""COMPUTED_VALUE"""),"")</f>
        <v/>
      </c>
      <c s="66">
        <f ca="1"/>
        <v>45292</v>
      </c>
      <c s="93" t="str">
        <f t="shared" si="538" ref="FQ194:FR194">IF(ISBLANK(FC194),"",FC194)</f>
        <v/>
      </c>
      <c s="94" t="str">
        <f t="shared" si="538"/>
        <v/>
      </c>
      <c s="95" t="str">
        <f t="shared" si="428"/>
        <v/>
      </c>
      <c s="98" t="str">
        <f t="shared" si="429"/>
        <v/>
      </c>
      <c s="97" t="str">
        <f t="array" ref="FU194">IFERROR(IF(FO194="ac"+ISNUMBER(SEARCH("'",FT194))+FS194="","",IF(ISNUMBER(SEARCH("lw",FT194)),FG194+SUBSTITUTE(FT194,"lw+",""),MROUND(_xlfn.SWITCH(FO194,"sq",FS$7,"bn",FT$7,"dl",FU$7,"")*IF(FT194&gt;10,FT194/100,VLOOKUP(FT194,_rpe,SUBSTITUTE(FS194,"+","")+1,0)),IF(_xlfn.SWITCH(FO194,"sq",FS$7,"bn",FT$7,"dl",FU$7,"")&lt;IF(_uom="lbs",175,80),1.25,IF(_uom="lbs",5,2.5))))),"")</f>
        <v/>
      </c>
      <c s="70"/>
      <c s="63"/>
      <c s="97"/>
      <c s="44" t="str">
        <f>IFERROR(__xludf.DUMMYFUNCTION("IF(FU194=MAX(FILTER(FU$10:FU$199,LOOKUP(ROW(FO$10:FO$199),FILTER(ROW(FO$10:FO$199),FO$10:FO$199&lt;&gt;FO$9:FO$198))=LOOKUP(ROW(FO194),FILTER(ROW(FO$10:FO$199),FO$10:FO$199&lt;&gt;FO$9:FO$198)))),FV194,)"),"")</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95" spans="1:259" ht="15.75">
      <c r="A195" s="63"/>
      <c s="107"/>
      <c s="65" t="str">
        <f>IFERROR(__xludf.DUMMYFUNCTION("""COMPUTED_VALUE"""),"")</f>
        <v/>
      </c>
      <c s="66">
        <f ca="1"/>
        <v>45208</v>
      </c>
      <c s="108"/>
      <c s="94"/>
      <c s="95"/>
      <c s="96"/>
      <c s="97" t="str">
        <f t="array" ref="I195">IFERROR(IF(C195="ac"+ISNUMBER(SEARCH("'",H195))+G195="","",MROUND(_xlfn.SWITCH(C195,"sq",'Personal Info'!$O$15,"bn",'Personal Info'!$S$15,"dl",'Personal Info'!$W$15,"")*IF(H195&gt;10,H195/100,VLOOKUP(H195,_rpe,SUBSTITUTE(G195,"+","")+1,0)),IF(_xlfn.SWITCH(C195:C210,"sq",'Personal Info'!$O$15,"bn",'Personal Info'!$S$15,"dl",'Personal Info'!$W$15,"")&lt;IF(_uom="lbs",175,80),1.25,IF(_uom="lbs",5,2.5)))),"")</f>
        <v/>
      </c>
      <c s="70"/>
      <c s="63"/>
      <c s="97"/>
      <c s="44" t="str">
        <f>IFERROR(__xludf.DUMMYFUNCTION("IF(I195=MAX(FILTER(I$10:I$199,LOOKUP(ROW(C$10:C$199),FILTER(ROW(C$10:C$199),C$10:C$199&lt;&gt;C$9:C$198))=LOOKUP(ROW(C195),FILTER(ROW(C$10:C$199),C$10:C$199&lt;&gt;C$9:C$198)))),J195,)"),"")</f>
        <v/>
      </c>
      <c s="42"/>
      <c s="63"/>
      <c s="64" t="str">
        <f t="shared" si="11"/>
        <v/>
      </c>
      <c s="65" t="str">
        <f>IFERROR(__xludf.DUMMYFUNCTION("""COMPUTED_VALUE"""),"")</f>
        <v/>
      </c>
      <c s="66">
        <f ca="1"/>
        <v>45215</v>
      </c>
      <c s="93" t="str">
        <f t="shared" si="12"/>
        <v/>
      </c>
      <c s="94" t="str">
        <f t="shared" si="404"/>
        <v/>
      </c>
      <c s="95" t="str">
        <f t="shared" si="406"/>
        <v/>
      </c>
      <c s="98" t="str">
        <f t="shared" si="407"/>
        <v/>
      </c>
      <c s="97" t="str">
        <f t="array" ref="W195">IFERROR(IF(Q195="ac"+ISNUMBER(SEARCH("'",V195))+U195="","",IF(ISNUMBER(SEARCH("lw",V195)),I195+SUBSTITUTE(V195,"lw+",""),MROUND(_xlfn.SWITCH(Q195,"sq",U$7,"bn",V$7,"dl",W$7,"")*IF(V195&gt;10,V195/100,VLOOKUP(V195,_rpe,SUBSTITUTE(U195,"+","")+1,0)),IF(_xlfn.SWITCH(Q195,"sq",U$7,"bn",V$7,"dl",W$7,"")&lt;IF(_uom="lbs",175,80),1.25,IF(_uom="lbs",5,2.5))))),"")</f>
        <v/>
      </c>
      <c s="70"/>
      <c s="63"/>
      <c s="97"/>
      <c s="44" t="str">
        <f>IFERROR(__xludf.DUMMYFUNCTION("IF(W195=MAX(FILTER(W$10:W$199,LOOKUP(ROW(Q$10:Q$199),FILTER(ROW(Q$10:Q$199),Q$10:Q$199&lt;&gt;Q$9:Q$198))=LOOKUP(ROW(Q195),FILTER(ROW(Q$10:Q$199),Q$10:Q$199&lt;&gt;Q$9:Q$198)))),X195,)"),"")</f>
        <v/>
      </c>
      <c s="42"/>
      <c s="63"/>
      <c s="64" t="str">
        <f t="shared" si="14"/>
        <v/>
      </c>
      <c s="65" t="str">
        <f>IFERROR(__xludf.DUMMYFUNCTION("""COMPUTED_VALUE"""),"")</f>
        <v/>
      </c>
      <c s="66">
        <f ca="1"/>
        <v>45222</v>
      </c>
      <c s="93" t="str">
        <f t="shared" si="156"/>
        <v/>
      </c>
      <c s="94" t="str">
        <f t="shared" si="397"/>
        <v/>
      </c>
      <c s="95" t="str">
        <f t="shared" si="408"/>
        <v/>
      </c>
      <c s="98" t="str">
        <f t="shared" si="398"/>
        <v/>
      </c>
      <c s="97" t="str">
        <f t="array" ref="AK195">IFERROR(IF(AE195="ac"+ISNUMBER(SEARCH("'",AJ195))+AI195="","",IF(ISNUMBER(SEARCH("lw",AJ195)),W195+SUBSTITUTE(AJ195,"lw+",""),MROUND(_xlfn.SWITCH(AE195,"sq",AI$7,"bn",AJ$7,"dl",AK$7,"")*IF(AJ195&gt;10,AJ195/100,VLOOKUP(AJ195,_rpe,SUBSTITUTE(AI195,"+","")+1,0)),IF(_xlfn.SWITCH(AE195,"sq",AI$7,"bn",AJ$7,"dl",AK$7,"")&lt;IF(_uom="lbs",175,80),1.25,IF(_uom="lbs",5,2.5))))),"")</f>
        <v/>
      </c>
      <c s="70"/>
      <c s="63"/>
      <c s="97"/>
      <c s="44" t="str">
        <f>IFERROR(__xludf.DUMMYFUNCTION("IF(AK195=MAX(FILTER(AK$10:AK$199,LOOKUP(ROW(AE$10:AE$199),FILTER(ROW(AE$10:AE$199),AE$10:AE$199&lt;&gt;AE$9:AE$198))=LOOKUP(ROW(AE195),FILTER(ROW(AE$10:AE$199),AE$10:AE$199&lt;&gt;AE$9:AE$198)))),AL195,)"),"")</f>
        <v/>
      </c>
      <c s="42"/>
      <c s="63"/>
      <c s="64" t="str">
        <f t="shared" si="17"/>
        <v/>
      </c>
      <c s="65" t="str">
        <f>IFERROR(__xludf.DUMMYFUNCTION("""COMPUTED_VALUE"""),"")</f>
        <v/>
      </c>
      <c s="66">
        <f ca="1"/>
        <v>45229</v>
      </c>
      <c s="93" t="str">
        <f t="shared" si="157"/>
        <v/>
      </c>
      <c s="94" t="str">
        <f t="shared" si="399"/>
        <v/>
      </c>
      <c s="95" t="str">
        <f t="shared" si="409"/>
        <v/>
      </c>
      <c s="98" t="str">
        <f t="shared" si="400"/>
        <v/>
      </c>
      <c s="97" t="str">
        <f t="array" ref="AY195">IFERROR(IF(AS195="ac"+ISNUMBER(SEARCH("'",AX195))+AW195="","",IF(ISNUMBER(SEARCH("lw",AX195)),AK195+SUBSTITUTE(AX195,"lw+",""),MROUND(_xlfn.SWITCH(AS195,"sq",AW$7,"bn",AX$7,"dl",AY$7,"")*IF(AX195&gt;10,AX195/100,VLOOKUP(AX195,_rpe,SUBSTITUTE(AW195,"+","")+1,0)),IF(_xlfn.SWITCH(AS195,"sq",AW$7,"bn",AX$7,"dl",AY$7,"")&lt;IF(_uom="lbs",175,80),1.25,IF(_uom="lbs",5,2.5))))),"")</f>
        <v/>
      </c>
      <c s="70"/>
      <c s="63"/>
      <c s="97"/>
      <c s="44" t="str">
        <f>IFERROR(__xludf.DUMMYFUNCTION("IF(AY195=MAX(FILTER(AY$10:AY$199,LOOKUP(ROW(AS$10:AS$199),FILTER(ROW(AS$10:AS$199),AS$10:AS$199&lt;&gt;AS$9:AS$198))=LOOKUP(ROW(AS195),FILTER(ROW(AS$10:AS$199),AS$10:AS$199&lt;&gt;AS$9:AS$198)))),AZ195,)"),"")</f>
        <v/>
      </c>
      <c s="42"/>
      <c s="63"/>
      <c s="64" t="str">
        <f t="shared" si="19"/>
        <v/>
      </c>
      <c s="65" t="str">
        <f>IFERROR(__xludf.DUMMYFUNCTION("""COMPUTED_VALUE"""),"")</f>
        <v/>
      </c>
      <c s="66">
        <f ca="1"/>
        <v>45236</v>
      </c>
      <c s="93" t="str">
        <f t="shared" si="20"/>
        <v/>
      </c>
      <c s="94" t="str">
        <f t="shared" si="425"/>
        <v/>
      </c>
      <c s="95" t="str">
        <f t="shared" si="411"/>
        <v/>
      </c>
      <c s="98" t="str">
        <f t="shared" si="412"/>
        <v/>
      </c>
      <c s="97" t="str">
        <f t="array" ref="BM195">IFERROR(IF(BG195="ac"+ISNUMBER(SEARCH("'",BL195))+BK195="","",IF(ISNUMBER(SEARCH("lw",BL195)),AY195+SUBSTITUTE(BL195,"lw+",""),MROUND(_xlfn.SWITCH(BG195,"sq",BK$7,"bn",BL$7,"dl",BM$7,"")*IF(BL195&gt;10,BL195/100,VLOOKUP(BL195,_rpe,SUBSTITUTE(BK195,"+","")+1,0)),IF(_xlfn.SWITCH(BG195,"sq",BK$7,"bn",BL$7,"dl",BM$7,"")&lt;IF(_uom="lbs",175,80),1.25,IF(_uom="lbs",5,2.5))))),"")</f>
        <v/>
      </c>
      <c s="70"/>
      <c s="63"/>
      <c s="97"/>
      <c s="44" t="str">
        <f>IFERROR(__xludf.DUMMYFUNCTION("IF(BM195=MAX(FILTER(BM$10:BM$199,LOOKUP(ROW(BG$10:BG$199),FILTER(ROW(BG$10:BG$199),BG$10:BG$199&lt;&gt;BG$9:BG$198))=LOOKUP(ROW(BG195),FILTER(ROW(BG$10:BG$199),BG$10:BG$199&lt;&gt;BG$9:BG$198)))),BN195,)"),"")</f>
        <v/>
      </c>
      <c s="42"/>
      <c s="63"/>
      <c s="64" t="str">
        <f t="shared" si="21"/>
        <v/>
      </c>
      <c s="65" t="str">
        <f>IFERROR(__xludf.DUMMYFUNCTION("""COMPUTED_VALUE"""),"")</f>
        <v/>
      </c>
      <c s="66">
        <f ca="1"/>
        <v>45243</v>
      </c>
      <c s="93" t="str">
        <f t="shared" si="22"/>
        <v/>
      </c>
      <c s="94" t="str">
        <f t="shared" si="426"/>
        <v/>
      </c>
      <c s="95" t="str">
        <f t="shared" si="414"/>
        <v/>
      </c>
      <c s="98" t="str">
        <f t="shared" si="415"/>
        <v/>
      </c>
      <c s="97" t="str">
        <f t="array" ref="CA195">IFERROR(IF(BU195="ac"+ISNUMBER(SEARCH("'",BZ195))+BY195="","",IF(ISNUMBER(SEARCH("lw",BZ195)),BM195+SUBSTITUTE(BZ195,"lw+",""),MROUND(_xlfn.SWITCH(BU195,"sq",BY$7,"bn",BZ$7,"dl",CA$7,"")*IF(BZ195&gt;10,BZ195/100,VLOOKUP(BZ195,_rpe,SUBSTITUTE(BY195,"+","")+1,0)),IF(_xlfn.SWITCH(BU195,"sq",BY$7,"bn",BZ$7,"dl",CA$7,"")&lt;IF(_uom="lbs",175,80),1.25,IF(_uom="lbs",5,2.5))))),"")</f>
        <v/>
      </c>
      <c s="70"/>
      <c s="63"/>
      <c s="97"/>
      <c s="44" t="str">
        <f>IFERROR(__xludf.DUMMYFUNCTION("IF(CA195=MAX(FILTER(CA$10:CA$199,LOOKUP(ROW(BU$10:BU$199),FILTER(ROW(BU$10:BU$199),BU$10:BU$199&lt;&gt;BU$9:BU$198))=LOOKUP(ROW(BU195),FILTER(ROW(BU$10:BU$199),BU$10:BU$199&lt;&gt;BU$9:BU$198)))),CB195,)"),"")</f>
        <v/>
      </c>
      <c s="42"/>
      <c s="63"/>
      <c s="64" t="str">
        <f t="shared" si="24"/>
        <v/>
      </c>
      <c s="65" t="str">
        <f>IFERROR(__xludf.DUMMYFUNCTION("""COMPUTED_VALUE"""),"")</f>
        <v/>
      </c>
      <c s="66">
        <f ca="1"/>
        <v>45250</v>
      </c>
      <c s="93" t="str">
        <f t="shared" si="44"/>
        <v/>
      </c>
      <c s="94" t="str">
        <f t="shared" si="392"/>
        <v/>
      </c>
      <c s="95" t="str">
        <f t="shared" si="416"/>
        <v/>
      </c>
      <c s="98" t="str">
        <f t="shared" si="417"/>
        <v/>
      </c>
      <c s="97" t="str">
        <f t="array" ref="CO195">IFERROR(IF(CI195="ac"+ISNUMBER(SEARCH("'",CN195))+CM195="","",IF(ISNUMBER(SEARCH("lw",CN195)),CA195+SUBSTITUTE(CN195,"lw+",""),MROUND(_xlfn.SWITCH(CI195,"sq",CM$7,"bn",CN$7,"dl",CO$7,"")*IF(CN195&gt;10,CN195/100,VLOOKUP(CN195,_rpe,SUBSTITUTE(CM195,"+","")+1,0)),IF(_xlfn.SWITCH(CI195,"sq",CM$7,"bn",CN$7,"dl",CO$7,"")&lt;IF(_uom="lbs",175,80),1.25,IF(_uom="lbs",5,2.5))))),"")</f>
        <v/>
      </c>
      <c s="70"/>
      <c s="63"/>
      <c s="97"/>
      <c s="44" t="str">
        <f>IFERROR(__xludf.DUMMYFUNCTION("IF(CO195=MAX(FILTER(CO$10:CO$199,LOOKUP(ROW(CI$10:CI$199),FILTER(ROW(CI$10:CI$199),CI$10:CI$199&lt;&gt;CI$9:CI$198))=LOOKUP(ROW(CI195),FILTER(ROW(CI$10:CI$199),CI$10:CI$199&lt;&gt;CI$9:CI$198)))),CP195,)"),"")</f>
        <v/>
      </c>
      <c s="42"/>
      <c s="63"/>
      <c s="64" t="str">
        <f t="shared" si="27"/>
        <v/>
      </c>
      <c s="65" t="str">
        <f>IFERROR(__xludf.DUMMYFUNCTION("""COMPUTED_VALUE"""),"")</f>
        <v/>
      </c>
      <c s="66">
        <f ca="1"/>
        <v>45257</v>
      </c>
      <c s="93" t="str">
        <f t="shared" si="45"/>
        <v/>
      </c>
      <c s="94" t="str">
        <f t="shared" si="393"/>
        <v/>
      </c>
      <c s="95" t="str">
        <f t="shared" si="418"/>
        <v/>
      </c>
      <c s="98" t="str">
        <f t="shared" si="401"/>
        <v/>
      </c>
      <c s="97" t="str">
        <f t="array" ref="DC195">IFERROR(IF(CW195="ac"+ISNUMBER(SEARCH("'",DB195))+DA195="","",IF(ISNUMBER(SEARCH("lw",DB195)),CO195+SUBSTITUTE(DB195,"lw+",""),MROUND(_xlfn.SWITCH(CW195,"sq",DA$7,"bn",DB$7,"dl",DC$7,"")*IF(DB195&gt;10,DB195/100,VLOOKUP(DB195,_rpe,SUBSTITUTE(DA195,"+","")+1,0)),IF(_xlfn.SWITCH(CW195,"sq",DA$7,"bn",DB$7,"dl",DC$7,"")&lt;IF(_uom="lbs",175,80),1.25,IF(_uom="lbs",5,2.5))))),"")</f>
        <v/>
      </c>
      <c s="70"/>
      <c s="63"/>
      <c s="97"/>
      <c s="44" t="str">
        <f>IFERROR(__xludf.DUMMYFUNCTION("IF(DC195=MAX(FILTER(DC$10:DC$199,LOOKUP(ROW(CW$10:CW$199),FILTER(ROW(CW$10:CW$199),CW$10:CW$199&lt;&gt;CW$9:CW$198))=LOOKUP(ROW(CW195),FILTER(ROW(CW$10:CW$199),CW$10:CW$199&lt;&gt;CW$9:CW$198)))),DD195,)"),"")</f>
        <v/>
      </c>
      <c s="42"/>
      <c s="63"/>
      <c s="64" t="str">
        <f t="shared" si="30"/>
        <v/>
      </c>
      <c s="65" t="str">
        <f>IFERROR(__xludf.DUMMYFUNCTION("""COMPUTED_VALUE"""),"")</f>
        <v/>
      </c>
      <c s="66">
        <f ca="1"/>
        <v>45264</v>
      </c>
      <c s="93" t="str">
        <f t="shared" si="46"/>
        <v/>
      </c>
      <c s="94" t="str">
        <f t="shared" si="394"/>
        <v/>
      </c>
      <c s="95" t="str">
        <f t="shared" si="419"/>
        <v/>
      </c>
      <c s="98" t="str">
        <f t="shared" si="420"/>
        <v/>
      </c>
      <c s="97" t="str">
        <f t="array" ref="DQ195">IFERROR(IF(DK195="ac"+ISNUMBER(SEARCH("'",DP195))+DO195="","",IF(ISNUMBER(SEARCH("lw",DP195)),DC195+SUBSTITUTE(DP195,"lw+",""),MROUND(_xlfn.SWITCH(DK195,"sq",DO$7,"bn",DP$7,"dl",DQ$7,"")*IF(DP195&gt;10,DP195/100,VLOOKUP(DP195,_rpe,SUBSTITUTE(DO195,"+","")+1,0)),IF(_xlfn.SWITCH(DK195,"sq",DO$7,"bn",DP$7,"dl",DQ$7,"")&lt;IF(_uom="lbs",175,80),1.25,IF(_uom="lbs",5,2.5))))),"")</f>
        <v/>
      </c>
      <c s="70"/>
      <c s="63"/>
      <c s="97"/>
      <c s="44" t="str">
        <f>IFERROR(__xludf.DUMMYFUNCTION("IF(DQ195=MAX(FILTER(DQ$10:DQ$199,LOOKUP(ROW(DK$10:DK$199),FILTER(ROW(DK$10:DK$199),DK$10:DK$199&lt;&gt;DK$9:DK$198))=LOOKUP(ROW(DK195),FILTER(ROW(DK$10:DK$199),DK$10:DK$199&lt;&gt;DK$9:DK$198)))),DR195,)"),"")</f>
        <v/>
      </c>
      <c s="42"/>
      <c s="63"/>
      <c s="64" t="str">
        <f t="shared" si="32"/>
        <v/>
      </c>
      <c s="65" t="str">
        <f>IFERROR(__xludf.DUMMYFUNCTION("""COMPUTED_VALUE"""),"")</f>
        <v/>
      </c>
      <c s="66">
        <f ca="1"/>
        <v>45271</v>
      </c>
      <c s="93" t="str">
        <f t="shared" si="47"/>
        <v/>
      </c>
      <c s="94" t="str">
        <f t="shared" si="405"/>
        <v/>
      </c>
      <c s="95" t="str">
        <f t="shared" si="421"/>
        <v/>
      </c>
      <c s="98" t="str">
        <f t="shared" si="422"/>
        <v/>
      </c>
      <c s="97" t="str">
        <f t="array" ref="EE195">IFERROR(IF(DY195="ac"+ISNUMBER(SEARCH("'",ED195))+EC195="","",IF(ISNUMBER(SEARCH("lw",ED195)),DQ195+SUBSTITUTE(ED195,"lw+",""),MROUND(_xlfn.SWITCH(DY195,"sq",EC$7,"bn",ED$7,"dl",EE$7,"")*IF(ED195&gt;10,ED195/100,VLOOKUP(ED195,_rpe,SUBSTITUTE(EC195,"+","")+1,0)),IF(_xlfn.SWITCH(DY195,"sq",EC$7,"bn",ED$7,"dl",EE$7,"")&lt;IF(_uom="lbs",175,80),1.25,IF(_uom="lbs",5,2.5))))),"")</f>
        <v/>
      </c>
      <c s="70"/>
      <c s="63"/>
      <c s="97"/>
      <c s="44" t="str">
        <f>IFERROR(__xludf.DUMMYFUNCTION("IF(EE195=MAX(FILTER(EE$10:EE$199,LOOKUP(ROW(DY$10:DY$199),FILTER(ROW(DY$10:DY$199),DY$10:DY$199&lt;&gt;DY$9:DY$198))=LOOKUP(ROW(DY195),FILTER(ROW(DY$10:DY$199),DY$10:DY$199&lt;&gt;DY$9:DY$198)))),EF195,)"),"")</f>
        <v/>
      </c>
      <c s="42"/>
      <c s="63"/>
      <c s="64" t="str">
        <f t="shared" si="34"/>
        <v/>
      </c>
      <c s="65" t="str">
        <f>IFERROR(__xludf.DUMMYFUNCTION("""COMPUTED_VALUE"""),"")</f>
        <v/>
      </c>
      <c s="66">
        <f ca="1"/>
        <v>45278</v>
      </c>
      <c s="93" t="str">
        <f t="shared" si="48"/>
        <v/>
      </c>
      <c s="94" t="str">
        <f t="shared" si="395"/>
        <v/>
      </c>
      <c s="95" t="str">
        <f t="shared" si="423"/>
        <v/>
      </c>
      <c s="98" t="str">
        <f t="shared" si="402"/>
        <v/>
      </c>
      <c s="97" t="str">
        <f t="array" ref="ES195">IFERROR(IF(EM195="ac"+ISNUMBER(SEARCH("'",ER195))+EQ195="","",IF(ISNUMBER(SEARCH("lw",ER195)),EE195+SUBSTITUTE(ER195,"lw+",""),MROUND(_xlfn.SWITCH(EM195,"sq",EQ$7,"bn",ER$7,"dl",ES$7,"")*IF(ER195&gt;10,ER195/100,VLOOKUP(ER195,_rpe,SUBSTITUTE(EQ195,"+","")+1,0)),IF(_xlfn.SWITCH(EM195,"sq",EQ$7,"bn",ER$7,"dl",ES$7,"")&lt;IF(_uom="lbs",175,80),1.25,IF(_uom="lbs",5,2.5))))),"")</f>
        <v/>
      </c>
      <c s="70"/>
      <c s="63"/>
      <c s="97"/>
      <c s="44" t="str">
        <f>IFERROR(__xludf.DUMMYFUNCTION("IF(ES195=MAX(FILTER(ES$10:ES$199,LOOKUP(ROW(EM$10:EM$199),FILTER(ROW(EM$10:EM$199),EM$10:EM$199&lt;&gt;EM$9:EM$198))=LOOKUP(ROW(EM195),FILTER(ROW(EM$10:EM$199),EM$10:EM$199&lt;&gt;EM$9:EM$198)))),ET195,)"),"")</f>
        <v/>
      </c>
      <c s="42"/>
      <c s="63"/>
      <c s="64" t="str">
        <f t="shared" si="36"/>
        <v/>
      </c>
      <c s="65" t="str">
        <f>IFERROR(__xludf.DUMMYFUNCTION("""COMPUTED_VALUE"""),"")</f>
        <v/>
      </c>
      <c s="66">
        <f ca="1"/>
        <v>45285</v>
      </c>
      <c s="93" t="str">
        <f t="shared" si="49"/>
        <v/>
      </c>
      <c s="94" t="str">
        <f t="shared" si="396"/>
        <v/>
      </c>
      <c s="95" t="str">
        <f t="shared" si="424"/>
        <v/>
      </c>
      <c s="98" t="str">
        <f t="shared" si="403"/>
        <v/>
      </c>
      <c s="97" t="str">
        <f t="array" ref="FG195">IFERROR(IF(FA195="ac"+ISNUMBER(SEARCH("'",FF195))+FE195="","",IF(ISNUMBER(SEARCH("lw",FF195)),ES195+SUBSTITUTE(FF195,"lw+",""),MROUND(_xlfn.SWITCH(FA195,"sq",FE$7,"bn",FF$7,"dl",FG$7,"")*IF(FF195&gt;10,FF195/100,VLOOKUP(FF195,_rpe,SUBSTITUTE(FE195,"+","")+1,0)),IF(_xlfn.SWITCH(FA195,"sq",FE$7,"bn",FF$7,"dl",FG$7,"")&lt;IF(_uom="lbs",175,80),1.25,IF(_uom="lbs",5,2.5))))),"")</f>
        <v/>
      </c>
      <c s="70"/>
      <c s="63"/>
      <c s="97"/>
      <c s="44" t="str">
        <f>IFERROR(__xludf.DUMMYFUNCTION("IF(FG195=MAX(FILTER(FG$10:FG$199,LOOKUP(ROW(FA$10:FA$199),FILTER(ROW(FA$10:FA$199),FA$10:FA$199&lt;&gt;FA$9:FA$198))=LOOKUP(ROW(FA195),FILTER(ROW(FA$10:FA$199),FA$10:FA$199&lt;&gt;FA$9:FA$198)))),FH195,)"),"")</f>
        <v/>
      </c>
      <c s="42"/>
      <c s="63"/>
      <c s="64" t="str">
        <f t="shared" si="38"/>
        <v/>
      </c>
      <c s="65" t="str">
        <f>IFERROR(__xludf.DUMMYFUNCTION("""COMPUTED_VALUE"""),"")</f>
        <v/>
      </c>
      <c s="66">
        <f ca="1"/>
        <v>45292</v>
      </c>
      <c s="93" t="str">
        <f t="shared" si="539" ref="FQ195:FR195">IF(ISBLANK(FC195),"",FC195)</f>
        <v/>
      </c>
      <c s="94" t="str">
        <f t="shared" si="539"/>
        <v/>
      </c>
      <c s="95" t="str">
        <f t="shared" si="428"/>
        <v/>
      </c>
      <c s="98" t="str">
        <f t="shared" si="429"/>
        <v/>
      </c>
      <c s="97" t="str">
        <f t="array" ref="FU195">IFERROR(IF(FO195="ac"+ISNUMBER(SEARCH("'",FT195))+FS195="","",IF(ISNUMBER(SEARCH("lw",FT195)),FG195+SUBSTITUTE(FT195,"lw+",""),MROUND(_xlfn.SWITCH(FO195,"sq",FS$7,"bn",FT$7,"dl",FU$7,"")*IF(FT195&gt;10,FT195/100,VLOOKUP(FT195,_rpe,SUBSTITUTE(FS195,"+","")+1,0)),IF(_xlfn.SWITCH(FO195,"sq",FS$7,"bn",FT$7,"dl",FU$7,"")&lt;IF(_uom="lbs",175,80),1.25,IF(_uom="lbs",5,2.5))))),"")</f>
        <v/>
      </c>
      <c s="70"/>
      <c s="63"/>
      <c s="97"/>
      <c s="44" t="str">
        <f>IFERROR(__xludf.DUMMYFUNCTION("IF(FU195=MAX(FILTER(FU$10:FU$199,LOOKUP(ROW(FO$10:FO$199),FILTER(ROW(FO$10:FO$199),FO$10:FO$199&lt;&gt;FO$9:FO$198))=LOOKUP(ROW(FO195),FILTER(ROW(FO$10:FO$199),FO$10:FO$199&lt;&gt;FO$9:FO$198)))),FV195,)"),"")</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96" spans="1:259" ht="15.75">
      <c r="A196" s="63"/>
      <c s="107"/>
      <c s="65" t="str">
        <f>IFERROR(__xludf.DUMMYFUNCTION("""COMPUTED_VALUE"""),"")</f>
        <v/>
      </c>
      <c s="66">
        <f ca="1"/>
        <v>45208</v>
      </c>
      <c s="108"/>
      <c s="94"/>
      <c s="95"/>
      <c s="96"/>
      <c s="97" t="str">
        <f t="array" ref="I196">IFERROR(IF(C196="ac"+ISNUMBER(SEARCH("'",H196))+G196="","",MROUND(_xlfn.SWITCH(C196,"sq",'Personal Info'!$O$15,"bn",'Personal Info'!$S$15,"dl",'Personal Info'!$W$15,"")*IF(H196&gt;10,H196/100,VLOOKUP(H196,_rpe,SUBSTITUTE(G196,"+","")+1,0)),IF(_xlfn.SWITCH(C196:C210,"sq",'Personal Info'!$O$15,"bn",'Personal Info'!$S$15,"dl",'Personal Info'!$W$15,"")&lt;IF(_uom="lbs",175,80),1.25,IF(_uom="lbs",5,2.5)))),"")</f>
        <v/>
      </c>
      <c s="70"/>
      <c s="63"/>
      <c s="97"/>
      <c s="44" t="str">
        <f>IFERROR(__xludf.DUMMYFUNCTION("IF(I196=MAX(FILTER(I$10:I$199,LOOKUP(ROW(C$10:C$199),FILTER(ROW(C$10:C$199),C$10:C$199&lt;&gt;C$9:C$198))=LOOKUP(ROW(C196),FILTER(ROW(C$10:C$199),C$10:C$199&lt;&gt;C$9:C$198)))),J196,)"),"")</f>
        <v/>
      </c>
      <c s="42"/>
      <c s="63"/>
      <c s="64" t="str">
        <f t="shared" si="11"/>
        <v/>
      </c>
      <c s="65" t="str">
        <f>IFERROR(__xludf.DUMMYFUNCTION("""COMPUTED_VALUE"""),"")</f>
        <v/>
      </c>
      <c s="66">
        <f ca="1"/>
        <v>45215</v>
      </c>
      <c s="93" t="str">
        <f t="shared" si="12"/>
        <v/>
      </c>
      <c s="94" t="str">
        <f t="shared" si="404"/>
        <v/>
      </c>
      <c s="95" t="str">
        <f t="shared" si="406"/>
        <v/>
      </c>
      <c s="98" t="str">
        <f t="shared" si="407"/>
        <v/>
      </c>
      <c s="97" t="str">
        <f t="array" ref="W196">IFERROR(IF(Q196="ac"+ISNUMBER(SEARCH("'",V196))+U196="","",IF(ISNUMBER(SEARCH("lw",V196)),I196+SUBSTITUTE(V196,"lw+",""),MROUND(_xlfn.SWITCH(Q196,"sq",U$7,"bn",V$7,"dl",W$7,"")*IF(V196&gt;10,V196/100,VLOOKUP(V196,_rpe,SUBSTITUTE(U196,"+","")+1,0)),IF(_xlfn.SWITCH(Q196,"sq",U$7,"bn",V$7,"dl",W$7,"")&lt;IF(_uom="lbs",175,80),1.25,IF(_uom="lbs",5,2.5))))),"")</f>
        <v/>
      </c>
      <c s="70"/>
      <c s="63"/>
      <c s="97"/>
      <c s="44" t="str">
        <f>IFERROR(__xludf.DUMMYFUNCTION("IF(W196=MAX(FILTER(W$10:W$199,LOOKUP(ROW(Q$10:Q$199),FILTER(ROW(Q$10:Q$199),Q$10:Q$199&lt;&gt;Q$9:Q$198))=LOOKUP(ROW(Q196),FILTER(ROW(Q$10:Q$199),Q$10:Q$199&lt;&gt;Q$9:Q$198)))),X196,)"),"")</f>
        <v/>
      </c>
      <c s="42"/>
      <c s="63"/>
      <c s="64" t="str">
        <f t="shared" si="14"/>
        <v/>
      </c>
      <c s="65" t="str">
        <f>IFERROR(__xludf.DUMMYFUNCTION("""COMPUTED_VALUE"""),"")</f>
        <v/>
      </c>
      <c s="66">
        <f ca="1"/>
        <v>45222</v>
      </c>
      <c s="93" t="str">
        <f t="shared" si="156"/>
        <v/>
      </c>
      <c s="94" t="str">
        <f t="shared" si="397"/>
        <v/>
      </c>
      <c s="95" t="str">
        <f t="shared" si="408"/>
        <v/>
      </c>
      <c s="98" t="str">
        <f t="shared" si="398"/>
        <v/>
      </c>
      <c s="97" t="str">
        <f t="array" ref="AK196">IFERROR(IF(AE196="ac"+ISNUMBER(SEARCH("'",AJ196))+AI196="","",IF(ISNUMBER(SEARCH("lw",AJ196)),W196+SUBSTITUTE(AJ196,"lw+",""),MROUND(_xlfn.SWITCH(AE196,"sq",AI$7,"bn",AJ$7,"dl",AK$7,"")*IF(AJ196&gt;10,AJ196/100,VLOOKUP(AJ196,_rpe,SUBSTITUTE(AI196,"+","")+1,0)),IF(_xlfn.SWITCH(AE196,"sq",AI$7,"bn",AJ$7,"dl",AK$7,"")&lt;IF(_uom="lbs",175,80),1.25,IF(_uom="lbs",5,2.5))))),"")</f>
        <v/>
      </c>
      <c s="70"/>
      <c s="63"/>
      <c s="97"/>
      <c s="44" t="str">
        <f>IFERROR(__xludf.DUMMYFUNCTION("IF(AK196=MAX(FILTER(AK$10:AK$199,LOOKUP(ROW(AE$10:AE$199),FILTER(ROW(AE$10:AE$199),AE$10:AE$199&lt;&gt;AE$9:AE$198))=LOOKUP(ROW(AE196),FILTER(ROW(AE$10:AE$199),AE$10:AE$199&lt;&gt;AE$9:AE$198)))),AL196,)"),"")</f>
        <v/>
      </c>
      <c s="42"/>
      <c s="63"/>
      <c s="64" t="str">
        <f t="shared" si="17"/>
        <v/>
      </c>
      <c s="65" t="str">
        <f>IFERROR(__xludf.DUMMYFUNCTION("""COMPUTED_VALUE"""),"")</f>
        <v/>
      </c>
      <c s="66">
        <f ca="1"/>
        <v>45229</v>
      </c>
      <c s="93" t="str">
        <f t="shared" si="157"/>
        <v/>
      </c>
      <c s="94" t="str">
        <f t="shared" si="399"/>
        <v/>
      </c>
      <c s="95" t="str">
        <f t="shared" si="409"/>
        <v/>
      </c>
      <c s="98" t="str">
        <f t="shared" si="400"/>
        <v/>
      </c>
      <c s="97" t="str">
        <f t="array" ref="AY196">IFERROR(IF(AS196="ac"+ISNUMBER(SEARCH("'",AX196))+AW196="","",IF(ISNUMBER(SEARCH("lw",AX196)),AK196+SUBSTITUTE(AX196,"lw+",""),MROUND(_xlfn.SWITCH(AS196,"sq",AW$7,"bn",AX$7,"dl",AY$7,"")*IF(AX196&gt;10,AX196/100,VLOOKUP(AX196,_rpe,SUBSTITUTE(AW196,"+","")+1,0)),IF(_xlfn.SWITCH(AS196,"sq",AW$7,"bn",AX$7,"dl",AY$7,"")&lt;IF(_uom="lbs",175,80),1.25,IF(_uom="lbs",5,2.5))))),"")</f>
        <v/>
      </c>
      <c s="70"/>
      <c s="63"/>
      <c s="97"/>
      <c s="44" t="str">
        <f>IFERROR(__xludf.DUMMYFUNCTION("IF(AY196=MAX(FILTER(AY$10:AY$199,LOOKUP(ROW(AS$10:AS$199),FILTER(ROW(AS$10:AS$199),AS$10:AS$199&lt;&gt;AS$9:AS$198))=LOOKUP(ROW(AS196),FILTER(ROW(AS$10:AS$199),AS$10:AS$199&lt;&gt;AS$9:AS$198)))),AZ196,)"),"")</f>
        <v/>
      </c>
      <c s="42"/>
      <c s="63"/>
      <c s="64" t="str">
        <f t="shared" si="19"/>
        <v/>
      </c>
      <c s="65" t="str">
        <f>IFERROR(__xludf.DUMMYFUNCTION("""COMPUTED_VALUE"""),"")</f>
        <v/>
      </c>
      <c s="66">
        <f ca="1"/>
        <v>45236</v>
      </c>
      <c s="93" t="str">
        <f t="shared" si="20"/>
        <v/>
      </c>
      <c s="94" t="str">
        <f t="shared" si="425"/>
        <v/>
      </c>
      <c s="95" t="str">
        <f t="shared" si="411"/>
        <v/>
      </c>
      <c s="98" t="str">
        <f t="shared" si="412"/>
        <v/>
      </c>
      <c s="97" t="str">
        <f t="array" ref="BM196">IFERROR(IF(BG196="ac"+ISNUMBER(SEARCH("'",BL196))+BK196="","",IF(ISNUMBER(SEARCH("lw",BL196)),AY196+SUBSTITUTE(BL196,"lw+",""),MROUND(_xlfn.SWITCH(BG196,"sq",BK$7,"bn",BL$7,"dl",BM$7,"")*IF(BL196&gt;10,BL196/100,VLOOKUP(BL196,_rpe,SUBSTITUTE(BK196,"+","")+1,0)),IF(_xlfn.SWITCH(BG196,"sq",BK$7,"bn",BL$7,"dl",BM$7,"")&lt;IF(_uom="lbs",175,80),1.25,IF(_uom="lbs",5,2.5))))),"")</f>
        <v/>
      </c>
      <c s="70"/>
      <c s="63"/>
      <c s="97"/>
      <c s="44" t="str">
        <f>IFERROR(__xludf.DUMMYFUNCTION("IF(BM196=MAX(FILTER(BM$10:BM$199,LOOKUP(ROW(BG$10:BG$199),FILTER(ROW(BG$10:BG$199),BG$10:BG$199&lt;&gt;BG$9:BG$198))=LOOKUP(ROW(BG196),FILTER(ROW(BG$10:BG$199),BG$10:BG$199&lt;&gt;BG$9:BG$198)))),BN196,)"),"")</f>
        <v/>
      </c>
      <c s="42"/>
      <c s="63"/>
      <c s="64" t="str">
        <f t="shared" si="21"/>
        <v/>
      </c>
      <c s="65" t="str">
        <f>IFERROR(__xludf.DUMMYFUNCTION("""COMPUTED_VALUE"""),"")</f>
        <v/>
      </c>
      <c s="66">
        <f ca="1"/>
        <v>45243</v>
      </c>
      <c s="93" t="str">
        <f t="shared" si="22"/>
        <v/>
      </c>
      <c s="94" t="str">
        <f t="shared" si="426"/>
        <v/>
      </c>
      <c s="95" t="str">
        <f t="shared" si="414"/>
        <v/>
      </c>
      <c s="98" t="str">
        <f t="shared" si="415"/>
        <v/>
      </c>
      <c s="97" t="str">
        <f t="array" ref="CA196">IFERROR(IF(BU196="ac"+ISNUMBER(SEARCH("'",BZ196))+BY196="","",IF(ISNUMBER(SEARCH("lw",BZ196)),BM196+SUBSTITUTE(BZ196,"lw+",""),MROUND(_xlfn.SWITCH(BU196,"sq",BY$7,"bn",BZ$7,"dl",CA$7,"")*IF(BZ196&gt;10,BZ196/100,VLOOKUP(BZ196,_rpe,SUBSTITUTE(BY196,"+","")+1,0)),IF(_xlfn.SWITCH(BU196,"sq",BY$7,"bn",BZ$7,"dl",CA$7,"")&lt;IF(_uom="lbs",175,80),1.25,IF(_uom="lbs",5,2.5))))),"")</f>
        <v/>
      </c>
      <c s="70"/>
      <c s="63"/>
      <c s="97"/>
      <c s="44" t="str">
        <f>IFERROR(__xludf.DUMMYFUNCTION("IF(CA196=MAX(FILTER(CA$10:CA$199,LOOKUP(ROW(BU$10:BU$199),FILTER(ROW(BU$10:BU$199),BU$10:BU$199&lt;&gt;BU$9:BU$198))=LOOKUP(ROW(BU196),FILTER(ROW(BU$10:BU$199),BU$10:BU$199&lt;&gt;BU$9:BU$198)))),CB196,)"),"")</f>
        <v/>
      </c>
      <c s="42"/>
      <c s="63"/>
      <c s="64" t="str">
        <f t="shared" si="24"/>
        <v/>
      </c>
      <c s="65" t="str">
        <f>IFERROR(__xludf.DUMMYFUNCTION("""COMPUTED_VALUE"""),"")</f>
        <v/>
      </c>
      <c s="66">
        <f ca="1"/>
        <v>45250</v>
      </c>
      <c s="93" t="str">
        <f t="shared" si="44"/>
        <v/>
      </c>
      <c s="94" t="str">
        <f t="shared" si="392"/>
        <v/>
      </c>
      <c s="95" t="str">
        <f t="shared" si="416"/>
        <v/>
      </c>
      <c s="98" t="str">
        <f t="shared" si="417"/>
        <v/>
      </c>
      <c s="97" t="str">
        <f t="array" ref="CO196">IFERROR(IF(CI196="ac"+ISNUMBER(SEARCH("'",CN196))+CM196="","",IF(ISNUMBER(SEARCH("lw",CN196)),CA196+SUBSTITUTE(CN196,"lw+",""),MROUND(_xlfn.SWITCH(CI196,"sq",CM$7,"bn",CN$7,"dl",CO$7,"")*IF(CN196&gt;10,CN196/100,VLOOKUP(CN196,_rpe,SUBSTITUTE(CM196,"+","")+1,0)),IF(_xlfn.SWITCH(CI196,"sq",CM$7,"bn",CN$7,"dl",CO$7,"")&lt;IF(_uom="lbs",175,80),1.25,IF(_uom="lbs",5,2.5))))),"")</f>
        <v/>
      </c>
      <c s="70"/>
      <c s="63"/>
      <c s="97"/>
      <c s="44" t="str">
        <f>IFERROR(__xludf.DUMMYFUNCTION("IF(CO196=MAX(FILTER(CO$10:CO$199,LOOKUP(ROW(CI$10:CI$199),FILTER(ROW(CI$10:CI$199),CI$10:CI$199&lt;&gt;CI$9:CI$198))=LOOKUP(ROW(CI196),FILTER(ROW(CI$10:CI$199),CI$10:CI$199&lt;&gt;CI$9:CI$198)))),CP196,)"),"")</f>
        <v/>
      </c>
      <c s="42"/>
      <c s="63"/>
      <c s="64" t="str">
        <f t="shared" si="27"/>
        <v/>
      </c>
      <c s="65" t="str">
        <f>IFERROR(__xludf.DUMMYFUNCTION("""COMPUTED_VALUE"""),"")</f>
        <v/>
      </c>
      <c s="66">
        <f ca="1"/>
        <v>45257</v>
      </c>
      <c s="93" t="str">
        <f t="shared" si="45"/>
        <v/>
      </c>
      <c s="94" t="str">
        <f t="shared" si="393"/>
        <v/>
      </c>
      <c s="95" t="str">
        <f t="shared" si="418"/>
        <v/>
      </c>
      <c s="98" t="str">
        <f t="shared" si="401"/>
        <v/>
      </c>
      <c s="97" t="str">
        <f t="array" ref="DC196">IFERROR(IF(CW196="ac"+ISNUMBER(SEARCH("'",DB196))+DA196="","",IF(ISNUMBER(SEARCH("lw",DB196)),CO196+SUBSTITUTE(DB196,"lw+",""),MROUND(_xlfn.SWITCH(CW196,"sq",DA$7,"bn",DB$7,"dl",DC$7,"")*IF(DB196&gt;10,DB196/100,VLOOKUP(DB196,_rpe,SUBSTITUTE(DA196,"+","")+1,0)),IF(_xlfn.SWITCH(CW196,"sq",DA$7,"bn",DB$7,"dl",DC$7,"")&lt;IF(_uom="lbs",175,80),1.25,IF(_uom="lbs",5,2.5))))),"")</f>
        <v/>
      </c>
      <c s="70"/>
      <c s="63"/>
      <c s="97"/>
      <c s="44" t="str">
        <f>IFERROR(__xludf.DUMMYFUNCTION("IF(DC196=MAX(FILTER(DC$10:DC$199,LOOKUP(ROW(CW$10:CW$199),FILTER(ROW(CW$10:CW$199),CW$10:CW$199&lt;&gt;CW$9:CW$198))=LOOKUP(ROW(CW196),FILTER(ROW(CW$10:CW$199),CW$10:CW$199&lt;&gt;CW$9:CW$198)))),DD196,)"),"")</f>
        <v/>
      </c>
      <c s="42"/>
      <c s="63"/>
      <c s="64" t="str">
        <f t="shared" si="30"/>
        <v/>
      </c>
      <c s="65" t="str">
        <f>IFERROR(__xludf.DUMMYFUNCTION("""COMPUTED_VALUE"""),"")</f>
        <v/>
      </c>
      <c s="66">
        <f ca="1"/>
        <v>45264</v>
      </c>
      <c s="93" t="str">
        <f t="shared" si="46"/>
        <v/>
      </c>
      <c s="94" t="str">
        <f t="shared" si="394"/>
        <v/>
      </c>
      <c s="95" t="str">
        <f t="shared" si="419"/>
        <v/>
      </c>
      <c s="98" t="str">
        <f t="shared" si="420"/>
        <v/>
      </c>
      <c s="97" t="str">
        <f t="array" ref="DQ196">IFERROR(IF(DK196="ac"+ISNUMBER(SEARCH("'",DP196))+DO196="","",IF(ISNUMBER(SEARCH("lw",DP196)),DC196+SUBSTITUTE(DP196,"lw+",""),MROUND(_xlfn.SWITCH(DK196,"sq",DO$7,"bn",DP$7,"dl",DQ$7,"")*IF(DP196&gt;10,DP196/100,VLOOKUP(DP196,_rpe,SUBSTITUTE(DO196,"+","")+1,0)),IF(_xlfn.SWITCH(DK196,"sq",DO$7,"bn",DP$7,"dl",DQ$7,"")&lt;IF(_uom="lbs",175,80),1.25,IF(_uom="lbs",5,2.5))))),"")</f>
        <v/>
      </c>
      <c s="70"/>
      <c s="63"/>
      <c s="97"/>
      <c s="44" t="str">
        <f>IFERROR(__xludf.DUMMYFUNCTION("IF(DQ196=MAX(FILTER(DQ$10:DQ$199,LOOKUP(ROW(DK$10:DK$199),FILTER(ROW(DK$10:DK$199),DK$10:DK$199&lt;&gt;DK$9:DK$198))=LOOKUP(ROW(DK196),FILTER(ROW(DK$10:DK$199),DK$10:DK$199&lt;&gt;DK$9:DK$198)))),DR196,)"),"")</f>
        <v/>
      </c>
      <c s="42"/>
      <c s="63"/>
      <c s="64" t="str">
        <f t="shared" si="32"/>
        <v/>
      </c>
      <c s="65" t="str">
        <f>IFERROR(__xludf.DUMMYFUNCTION("""COMPUTED_VALUE"""),"")</f>
        <v/>
      </c>
      <c s="66">
        <f ca="1"/>
        <v>45271</v>
      </c>
      <c s="93" t="str">
        <f t="shared" si="47"/>
        <v/>
      </c>
      <c s="94" t="str">
        <f t="shared" si="405"/>
        <v/>
      </c>
      <c s="95" t="str">
        <f t="shared" si="421"/>
        <v/>
      </c>
      <c s="98" t="str">
        <f t="shared" si="422"/>
        <v/>
      </c>
      <c s="97" t="str">
        <f t="array" ref="EE196">IFERROR(IF(DY196="ac"+ISNUMBER(SEARCH("'",ED196))+EC196="","",IF(ISNUMBER(SEARCH("lw",ED196)),DQ196+SUBSTITUTE(ED196,"lw+",""),MROUND(_xlfn.SWITCH(DY196,"sq",EC$7,"bn",ED$7,"dl",EE$7,"")*IF(ED196&gt;10,ED196/100,VLOOKUP(ED196,_rpe,SUBSTITUTE(EC196,"+","")+1,0)),IF(_xlfn.SWITCH(DY196,"sq",EC$7,"bn",ED$7,"dl",EE$7,"")&lt;IF(_uom="lbs",175,80),1.25,IF(_uom="lbs",5,2.5))))),"")</f>
        <v/>
      </c>
      <c s="70"/>
      <c s="63"/>
      <c s="97"/>
      <c s="44" t="str">
        <f>IFERROR(__xludf.DUMMYFUNCTION("IF(EE196=MAX(FILTER(EE$10:EE$199,LOOKUP(ROW(DY$10:DY$199),FILTER(ROW(DY$10:DY$199),DY$10:DY$199&lt;&gt;DY$9:DY$198))=LOOKUP(ROW(DY196),FILTER(ROW(DY$10:DY$199),DY$10:DY$199&lt;&gt;DY$9:DY$198)))),EF196,)"),"")</f>
        <v/>
      </c>
      <c s="42"/>
      <c s="63"/>
      <c s="64" t="str">
        <f t="shared" si="34"/>
        <v/>
      </c>
      <c s="65" t="str">
        <f>IFERROR(__xludf.DUMMYFUNCTION("""COMPUTED_VALUE"""),"")</f>
        <v/>
      </c>
      <c s="66">
        <f ca="1"/>
        <v>45278</v>
      </c>
      <c s="93" t="str">
        <f t="shared" si="48"/>
        <v/>
      </c>
      <c s="94" t="str">
        <f t="shared" si="395"/>
        <v/>
      </c>
      <c s="95" t="str">
        <f t="shared" si="423"/>
        <v/>
      </c>
      <c s="98" t="str">
        <f t="shared" si="402"/>
        <v/>
      </c>
      <c s="97" t="str">
        <f t="array" ref="ES196">IFERROR(IF(EM196="ac"+ISNUMBER(SEARCH("'",ER196))+EQ196="","",IF(ISNUMBER(SEARCH("lw",ER196)),EE196+SUBSTITUTE(ER196,"lw+",""),MROUND(_xlfn.SWITCH(EM196,"sq",EQ$7,"bn",ER$7,"dl",ES$7,"")*IF(ER196&gt;10,ER196/100,VLOOKUP(ER196,_rpe,SUBSTITUTE(EQ196,"+","")+1,0)),IF(_xlfn.SWITCH(EM196,"sq",EQ$7,"bn",ER$7,"dl",ES$7,"")&lt;IF(_uom="lbs",175,80),1.25,IF(_uom="lbs",5,2.5))))),"")</f>
        <v/>
      </c>
      <c s="70"/>
      <c s="63"/>
      <c s="97"/>
      <c s="44" t="str">
        <f>IFERROR(__xludf.DUMMYFUNCTION("IF(ES196=MAX(FILTER(ES$10:ES$199,LOOKUP(ROW(EM$10:EM$199),FILTER(ROW(EM$10:EM$199),EM$10:EM$199&lt;&gt;EM$9:EM$198))=LOOKUP(ROW(EM196),FILTER(ROW(EM$10:EM$199),EM$10:EM$199&lt;&gt;EM$9:EM$198)))),ET196,)"),"")</f>
        <v/>
      </c>
      <c s="42"/>
      <c s="63"/>
      <c s="64" t="str">
        <f t="shared" si="36"/>
        <v/>
      </c>
      <c s="65" t="str">
        <f>IFERROR(__xludf.DUMMYFUNCTION("""COMPUTED_VALUE"""),"")</f>
        <v/>
      </c>
      <c s="66">
        <f ca="1"/>
        <v>45285</v>
      </c>
      <c s="93" t="str">
        <f t="shared" si="49"/>
        <v/>
      </c>
      <c s="94" t="str">
        <f t="shared" si="396"/>
        <v/>
      </c>
      <c s="95" t="str">
        <f t="shared" si="424"/>
        <v/>
      </c>
      <c s="98" t="str">
        <f t="shared" si="403"/>
        <v/>
      </c>
      <c s="97" t="str">
        <f t="array" ref="FG196">IFERROR(IF(FA196="ac"+ISNUMBER(SEARCH("'",FF196))+FE196="","",IF(ISNUMBER(SEARCH("lw",FF196)),ES196+SUBSTITUTE(FF196,"lw+",""),MROUND(_xlfn.SWITCH(FA196,"sq",FE$7,"bn",FF$7,"dl",FG$7,"")*IF(FF196&gt;10,FF196/100,VLOOKUP(FF196,_rpe,SUBSTITUTE(FE196,"+","")+1,0)),IF(_xlfn.SWITCH(FA196,"sq",FE$7,"bn",FF$7,"dl",FG$7,"")&lt;IF(_uom="lbs",175,80),1.25,IF(_uom="lbs",5,2.5))))),"")</f>
        <v/>
      </c>
      <c s="70"/>
      <c s="63"/>
      <c s="97"/>
      <c s="44" t="str">
        <f>IFERROR(__xludf.DUMMYFUNCTION("IF(FG196=MAX(FILTER(FG$10:FG$199,LOOKUP(ROW(FA$10:FA$199),FILTER(ROW(FA$10:FA$199),FA$10:FA$199&lt;&gt;FA$9:FA$198))=LOOKUP(ROW(FA196),FILTER(ROW(FA$10:FA$199),FA$10:FA$199&lt;&gt;FA$9:FA$198)))),FH196,)"),"")</f>
        <v/>
      </c>
      <c s="42"/>
      <c s="63"/>
      <c s="64" t="str">
        <f t="shared" si="38"/>
        <v/>
      </c>
      <c s="65" t="str">
        <f>IFERROR(__xludf.DUMMYFUNCTION("""COMPUTED_VALUE"""),"")</f>
        <v/>
      </c>
      <c s="66">
        <f ca="1"/>
        <v>45292</v>
      </c>
      <c s="93" t="str">
        <f t="shared" si="540" ref="FQ196:FR196">IF(ISBLANK(FC196),"",FC196)</f>
        <v/>
      </c>
      <c s="94" t="str">
        <f t="shared" si="540"/>
        <v/>
      </c>
      <c s="95" t="str">
        <f t="shared" si="428"/>
        <v/>
      </c>
      <c s="98" t="str">
        <f t="shared" si="429"/>
        <v/>
      </c>
      <c s="97" t="str">
        <f t="array" ref="FU196">IFERROR(IF(FO196="ac"+ISNUMBER(SEARCH("'",FT196))+FS196="","",IF(ISNUMBER(SEARCH("lw",FT196)),FG196+SUBSTITUTE(FT196,"lw+",""),MROUND(_xlfn.SWITCH(FO196,"sq",FS$7,"bn",FT$7,"dl",FU$7,"")*IF(FT196&gt;10,FT196/100,VLOOKUP(FT196,_rpe,SUBSTITUTE(FS196,"+","")+1,0)),IF(_xlfn.SWITCH(FO196,"sq",FS$7,"bn",FT$7,"dl",FU$7,"")&lt;IF(_uom="lbs",175,80),1.25,IF(_uom="lbs",5,2.5))))),"")</f>
        <v/>
      </c>
      <c s="70"/>
      <c s="63"/>
      <c s="97"/>
      <c s="44" t="str">
        <f>IFERROR(__xludf.DUMMYFUNCTION("IF(FU196=MAX(FILTER(FU$10:FU$199,LOOKUP(ROW(FO$10:FO$199),FILTER(ROW(FO$10:FO$199),FO$10:FO$199&lt;&gt;FO$9:FO$198))=LOOKUP(ROW(FO196),FILTER(ROW(FO$10:FO$199),FO$10:FO$199&lt;&gt;FO$9:FO$198)))),FV196,)"),"")</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97" spans="1:259" ht="15.75">
      <c r="A197" s="63"/>
      <c s="107"/>
      <c s="65" t="str">
        <f>IFERROR(__xludf.DUMMYFUNCTION("""COMPUTED_VALUE"""),"")</f>
        <v/>
      </c>
      <c s="66">
        <f ca="1"/>
        <v>45208</v>
      </c>
      <c s="108"/>
      <c s="94"/>
      <c s="95"/>
      <c s="96"/>
      <c s="97" t="str">
        <f t="array" ref="I197">IFERROR(IF(C197="ac"+ISNUMBER(SEARCH("'",H197))+G197="","",MROUND(_xlfn.SWITCH(C197,"sq",'Personal Info'!$O$15,"bn",'Personal Info'!$S$15,"dl",'Personal Info'!$W$15,"")*IF(H197&gt;10,H197/100,VLOOKUP(H197,_rpe,SUBSTITUTE(G197,"+","")+1,0)),IF(_xlfn.SWITCH(C197:C210,"sq",'Personal Info'!$O$15,"bn",'Personal Info'!$S$15,"dl",'Personal Info'!$W$15,"")&lt;IF(_uom="lbs",175,80),1.25,IF(_uom="lbs",5,2.5)))),"")</f>
        <v/>
      </c>
      <c s="70"/>
      <c s="63"/>
      <c s="97"/>
      <c s="44" t="str">
        <f>IFERROR(__xludf.DUMMYFUNCTION("IF(I197=MAX(FILTER(I$10:I$199,LOOKUP(ROW(C$10:C$199),FILTER(ROW(C$10:C$199),C$10:C$199&lt;&gt;C$9:C$198))=LOOKUP(ROW(C197),FILTER(ROW(C$10:C$199),C$10:C$199&lt;&gt;C$9:C$198)))),J197,)"),"")</f>
        <v/>
      </c>
      <c s="42"/>
      <c s="63"/>
      <c s="64" t="str">
        <f t="shared" si="11"/>
        <v/>
      </c>
      <c s="65" t="str">
        <f>IFERROR(__xludf.DUMMYFUNCTION("""COMPUTED_VALUE"""),"")</f>
        <v/>
      </c>
      <c s="66">
        <f ca="1"/>
        <v>45215</v>
      </c>
      <c s="93" t="str">
        <f t="shared" si="12"/>
        <v/>
      </c>
      <c s="94" t="str">
        <f t="shared" si="404"/>
        <v/>
      </c>
      <c s="95" t="str">
        <f t="shared" si="406"/>
        <v/>
      </c>
      <c s="98" t="str">
        <f t="shared" si="407"/>
        <v/>
      </c>
      <c s="97" t="str">
        <f t="array" ref="W197">IFERROR(IF(Q197="ac"+ISNUMBER(SEARCH("'",V197))+U197="","",IF(ISNUMBER(SEARCH("lw",V197)),I197+SUBSTITUTE(V197,"lw+",""),MROUND(_xlfn.SWITCH(Q197,"sq",U$7,"bn",V$7,"dl",W$7,"")*IF(V197&gt;10,V197/100,VLOOKUP(V197,_rpe,SUBSTITUTE(U197,"+","")+1,0)),IF(_xlfn.SWITCH(Q197,"sq",U$7,"bn",V$7,"dl",W$7,"")&lt;IF(_uom="lbs",175,80),1.25,IF(_uom="lbs",5,2.5))))),"")</f>
        <v/>
      </c>
      <c s="70"/>
      <c s="63"/>
      <c s="97"/>
      <c s="44" t="str">
        <f>IFERROR(__xludf.DUMMYFUNCTION("IF(W197=MAX(FILTER(W$10:W$199,LOOKUP(ROW(Q$10:Q$199),FILTER(ROW(Q$10:Q$199),Q$10:Q$199&lt;&gt;Q$9:Q$198))=LOOKUP(ROW(Q197),FILTER(ROW(Q$10:Q$199),Q$10:Q$199&lt;&gt;Q$9:Q$198)))),X197,)"),"")</f>
        <v/>
      </c>
      <c s="42"/>
      <c s="63"/>
      <c s="64" t="str">
        <f t="shared" si="14"/>
        <v/>
      </c>
      <c s="65" t="str">
        <f>IFERROR(__xludf.DUMMYFUNCTION("""COMPUTED_VALUE"""),"")</f>
        <v/>
      </c>
      <c s="66">
        <f ca="1"/>
        <v>45222</v>
      </c>
      <c s="93" t="str">
        <f t="shared" si="156"/>
        <v/>
      </c>
      <c s="94" t="str">
        <f t="shared" si="397"/>
        <v/>
      </c>
      <c s="95" t="str">
        <f t="shared" si="408"/>
        <v/>
      </c>
      <c s="98" t="str">
        <f t="shared" si="398"/>
        <v/>
      </c>
      <c s="97" t="str">
        <f t="array" ref="AK197">IFERROR(IF(AE197="ac"+ISNUMBER(SEARCH("'",AJ197))+AI197="","",IF(ISNUMBER(SEARCH("lw",AJ197)),W197+SUBSTITUTE(AJ197,"lw+",""),MROUND(_xlfn.SWITCH(AE197,"sq",AI$7,"bn",AJ$7,"dl",AK$7,"")*IF(AJ197&gt;10,AJ197/100,VLOOKUP(AJ197,_rpe,SUBSTITUTE(AI197,"+","")+1,0)),IF(_xlfn.SWITCH(AE197,"sq",AI$7,"bn",AJ$7,"dl",AK$7,"")&lt;IF(_uom="lbs",175,80),1.25,IF(_uom="lbs",5,2.5))))),"")</f>
        <v/>
      </c>
      <c s="70"/>
      <c s="63"/>
      <c s="97"/>
      <c s="44" t="str">
        <f>IFERROR(__xludf.DUMMYFUNCTION("IF(AK197=MAX(FILTER(AK$10:AK$199,LOOKUP(ROW(AE$10:AE$199),FILTER(ROW(AE$10:AE$199),AE$10:AE$199&lt;&gt;AE$9:AE$198))=LOOKUP(ROW(AE197),FILTER(ROW(AE$10:AE$199),AE$10:AE$199&lt;&gt;AE$9:AE$198)))),AL197,)"),"")</f>
        <v/>
      </c>
      <c s="42"/>
      <c s="63"/>
      <c s="64" t="str">
        <f t="shared" si="17"/>
        <v/>
      </c>
      <c s="65" t="str">
        <f>IFERROR(__xludf.DUMMYFUNCTION("""COMPUTED_VALUE"""),"")</f>
        <v/>
      </c>
      <c s="66">
        <f ca="1"/>
        <v>45229</v>
      </c>
      <c s="93" t="str">
        <f t="shared" si="157"/>
        <v/>
      </c>
      <c s="94" t="str">
        <f t="shared" si="399"/>
        <v/>
      </c>
      <c s="95" t="str">
        <f t="shared" si="409"/>
        <v/>
      </c>
      <c s="98" t="str">
        <f t="shared" si="400"/>
        <v/>
      </c>
      <c s="97" t="str">
        <f t="array" ref="AY197">IFERROR(IF(AS197="ac"+ISNUMBER(SEARCH("'",AX197))+AW197="","",IF(ISNUMBER(SEARCH("lw",AX197)),AK197+SUBSTITUTE(AX197,"lw+",""),MROUND(_xlfn.SWITCH(AS197,"sq",AW$7,"bn",AX$7,"dl",AY$7,"")*IF(AX197&gt;10,AX197/100,VLOOKUP(AX197,_rpe,SUBSTITUTE(AW197,"+","")+1,0)),IF(_xlfn.SWITCH(AS197,"sq",AW$7,"bn",AX$7,"dl",AY$7,"")&lt;IF(_uom="lbs",175,80),1.25,IF(_uom="lbs",5,2.5))))),"")</f>
        <v/>
      </c>
      <c s="70"/>
      <c s="63"/>
      <c s="97"/>
      <c s="44" t="str">
        <f>IFERROR(__xludf.DUMMYFUNCTION("IF(AY197=MAX(FILTER(AY$10:AY$199,LOOKUP(ROW(AS$10:AS$199),FILTER(ROW(AS$10:AS$199),AS$10:AS$199&lt;&gt;AS$9:AS$198))=LOOKUP(ROW(AS197),FILTER(ROW(AS$10:AS$199),AS$10:AS$199&lt;&gt;AS$9:AS$198)))),AZ197,)"),"")</f>
        <v/>
      </c>
      <c s="42"/>
      <c s="63"/>
      <c s="64" t="str">
        <f t="shared" si="19"/>
        <v/>
      </c>
      <c s="65" t="str">
        <f>IFERROR(__xludf.DUMMYFUNCTION("""COMPUTED_VALUE"""),"")</f>
        <v/>
      </c>
      <c s="66">
        <f ca="1"/>
        <v>45236</v>
      </c>
      <c s="93" t="str">
        <f t="shared" si="20"/>
        <v/>
      </c>
      <c s="94" t="str">
        <f t="shared" si="425"/>
        <v/>
      </c>
      <c s="95" t="str">
        <f t="shared" si="411"/>
        <v/>
      </c>
      <c s="98" t="str">
        <f t="shared" si="412"/>
        <v/>
      </c>
      <c s="97" t="str">
        <f t="array" ref="BM197">IFERROR(IF(BG197="ac"+ISNUMBER(SEARCH("'",BL197))+BK197="","",IF(ISNUMBER(SEARCH("lw",BL197)),AY197+SUBSTITUTE(BL197,"lw+",""),MROUND(_xlfn.SWITCH(BG197,"sq",BK$7,"bn",BL$7,"dl",BM$7,"")*IF(BL197&gt;10,BL197/100,VLOOKUP(BL197,_rpe,SUBSTITUTE(BK197,"+","")+1,0)),IF(_xlfn.SWITCH(BG197,"sq",BK$7,"bn",BL$7,"dl",BM$7,"")&lt;IF(_uom="lbs",175,80),1.25,IF(_uom="lbs",5,2.5))))),"")</f>
        <v/>
      </c>
      <c s="70"/>
      <c s="63"/>
      <c s="97"/>
      <c s="44" t="str">
        <f>IFERROR(__xludf.DUMMYFUNCTION("IF(BM197=MAX(FILTER(BM$10:BM$199,LOOKUP(ROW(BG$10:BG$199),FILTER(ROW(BG$10:BG$199),BG$10:BG$199&lt;&gt;BG$9:BG$198))=LOOKUP(ROW(BG197),FILTER(ROW(BG$10:BG$199),BG$10:BG$199&lt;&gt;BG$9:BG$198)))),BN197,)"),"")</f>
        <v/>
      </c>
      <c s="42"/>
      <c s="63"/>
      <c s="64" t="str">
        <f t="shared" si="21"/>
        <v/>
      </c>
      <c s="65" t="str">
        <f>IFERROR(__xludf.DUMMYFUNCTION("""COMPUTED_VALUE"""),"")</f>
        <v/>
      </c>
      <c s="66">
        <f ca="1"/>
        <v>45243</v>
      </c>
      <c s="93" t="str">
        <f t="shared" si="22"/>
        <v/>
      </c>
      <c s="94" t="str">
        <f t="shared" si="426"/>
        <v/>
      </c>
      <c s="95" t="str">
        <f t="shared" si="414"/>
        <v/>
      </c>
      <c s="98" t="str">
        <f t="shared" si="415"/>
        <v/>
      </c>
      <c s="97" t="str">
        <f t="array" ref="CA197">IFERROR(IF(BU197="ac"+ISNUMBER(SEARCH("'",BZ197))+BY197="","",IF(ISNUMBER(SEARCH("lw",BZ197)),BM197+SUBSTITUTE(BZ197,"lw+",""),MROUND(_xlfn.SWITCH(BU197,"sq",BY$7,"bn",BZ$7,"dl",CA$7,"")*IF(BZ197&gt;10,BZ197/100,VLOOKUP(BZ197,_rpe,SUBSTITUTE(BY197,"+","")+1,0)),IF(_xlfn.SWITCH(BU197,"sq",BY$7,"bn",BZ$7,"dl",CA$7,"")&lt;IF(_uom="lbs",175,80),1.25,IF(_uom="lbs",5,2.5))))),"")</f>
        <v/>
      </c>
      <c s="70"/>
      <c s="63"/>
      <c s="97"/>
      <c s="44" t="str">
        <f>IFERROR(__xludf.DUMMYFUNCTION("IF(CA197=MAX(FILTER(CA$10:CA$199,LOOKUP(ROW(BU$10:BU$199),FILTER(ROW(BU$10:BU$199),BU$10:BU$199&lt;&gt;BU$9:BU$198))=LOOKUP(ROW(BU197),FILTER(ROW(BU$10:BU$199),BU$10:BU$199&lt;&gt;BU$9:BU$198)))),CB197,)"),"")</f>
        <v/>
      </c>
      <c s="42"/>
      <c s="63"/>
      <c s="64" t="str">
        <f t="shared" si="24"/>
        <v/>
      </c>
      <c s="65" t="str">
        <f>IFERROR(__xludf.DUMMYFUNCTION("""COMPUTED_VALUE"""),"")</f>
        <v/>
      </c>
      <c s="66">
        <f ca="1"/>
        <v>45250</v>
      </c>
      <c s="93" t="str">
        <f t="shared" si="44"/>
        <v/>
      </c>
      <c s="94" t="str">
        <f t="shared" si="392"/>
        <v/>
      </c>
      <c s="95" t="str">
        <f t="shared" si="416"/>
        <v/>
      </c>
      <c s="98" t="str">
        <f t="shared" si="417"/>
        <v/>
      </c>
      <c s="97" t="str">
        <f t="array" ref="CO197">IFERROR(IF(CI197="ac"+ISNUMBER(SEARCH("'",CN197))+CM197="","",IF(ISNUMBER(SEARCH("lw",CN197)),CA197+SUBSTITUTE(CN197,"lw+",""),MROUND(_xlfn.SWITCH(CI197,"sq",CM$7,"bn",CN$7,"dl",CO$7,"")*IF(CN197&gt;10,CN197/100,VLOOKUP(CN197,_rpe,SUBSTITUTE(CM197,"+","")+1,0)),IF(_xlfn.SWITCH(CI197,"sq",CM$7,"bn",CN$7,"dl",CO$7,"")&lt;IF(_uom="lbs",175,80),1.25,IF(_uom="lbs",5,2.5))))),"")</f>
        <v/>
      </c>
      <c s="70"/>
      <c s="63"/>
      <c s="97"/>
      <c s="44" t="str">
        <f>IFERROR(__xludf.DUMMYFUNCTION("IF(CO197=MAX(FILTER(CO$10:CO$199,LOOKUP(ROW(CI$10:CI$199),FILTER(ROW(CI$10:CI$199),CI$10:CI$199&lt;&gt;CI$9:CI$198))=LOOKUP(ROW(CI197),FILTER(ROW(CI$10:CI$199),CI$10:CI$199&lt;&gt;CI$9:CI$198)))),CP197,)"),"")</f>
        <v/>
      </c>
      <c s="42"/>
      <c s="63"/>
      <c s="64" t="str">
        <f t="shared" si="27"/>
        <v/>
      </c>
      <c s="65" t="str">
        <f>IFERROR(__xludf.DUMMYFUNCTION("""COMPUTED_VALUE"""),"")</f>
        <v/>
      </c>
      <c s="66">
        <f ca="1"/>
        <v>45257</v>
      </c>
      <c s="93" t="str">
        <f t="shared" si="45"/>
        <v/>
      </c>
      <c s="94" t="str">
        <f t="shared" si="393"/>
        <v/>
      </c>
      <c s="95" t="str">
        <f t="shared" si="418"/>
        <v/>
      </c>
      <c s="98" t="str">
        <f t="shared" si="401"/>
        <v/>
      </c>
      <c s="97" t="str">
        <f t="array" ref="DC197">IFERROR(IF(CW197="ac"+ISNUMBER(SEARCH("'",DB197))+DA197="","",IF(ISNUMBER(SEARCH("lw",DB197)),CO197+SUBSTITUTE(DB197,"lw+",""),MROUND(_xlfn.SWITCH(CW197,"sq",DA$7,"bn",DB$7,"dl",DC$7,"")*IF(DB197&gt;10,DB197/100,VLOOKUP(DB197,_rpe,SUBSTITUTE(DA197,"+","")+1,0)),IF(_xlfn.SWITCH(CW197,"sq",DA$7,"bn",DB$7,"dl",DC$7,"")&lt;IF(_uom="lbs",175,80),1.25,IF(_uom="lbs",5,2.5))))),"")</f>
        <v/>
      </c>
      <c s="70"/>
      <c s="63"/>
      <c s="97"/>
      <c s="44" t="str">
        <f>IFERROR(__xludf.DUMMYFUNCTION("IF(DC197=MAX(FILTER(DC$10:DC$199,LOOKUP(ROW(CW$10:CW$199),FILTER(ROW(CW$10:CW$199),CW$10:CW$199&lt;&gt;CW$9:CW$198))=LOOKUP(ROW(CW197),FILTER(ROW(CW$10:CW$199),CW$10:CW$199&lt;&gt;CW$9:CW$198)))),DD197,)"),"")</f>
        <v/>
      </c>
      <c s="42"/>
      <c s="63"/>
      <c s="64" t="str">
        <f t="shared" si="30"/>
        <v/>
      </c>
      <c s="65" t="str">
        <f>IFERROR(__xludf.DUMMYFUNCTION("""COMPUTED_VALUE"""),"")</f>
        <v/>
      </c>
      <c s="66">
        <f ca="1"/>
        <v>45264</v>
      </c>
      <c s="93" t="str">
        <f t="shared" si="46"/>
        <v/>
      </c>
      <c s="94" t="str">
        <f t="shared" si="394"/>
        <v/>
      </c>
      <c s="95" t="str">
        <f t="shared" si="419"/>
        <v/>
      </c>
      <c s="98" t="str">
        <f t="shared" si="420"/>
        <v/>
      </c>
      <c s="97" t="str">
        <f t="array" ref="DQ197">IFERROR(IF(DK197="ac"+ISNUMBER(SEARCH("'",DP197))+DO197="","",IF(ISNUMBER(SEARCH("lw",DP197)),DC197+SUBSTITUTE(DP197,"lw+",""),MROUND(_xlfn.SWITCH(DK197,"sq",DO$7,"bn",DP$7,"dl",DQ$7,"")*IF(DP197&gt;10,DP197/100,VLOOKUP(DP197,_rpe,SUBSTITUTE(DO197,"+","")+1,0)),IF(_xlfn.SWITCH(DK197,"sq",DO$7,"bn",DP$7,"dl",DQ$7,"")&lt;IF(_uom="lbs",175,80),1.25,IF(_uom="lbs",5,2.5))))),"")</f>
        <v/>
      </c>
      <c s="70"/>
      <c s="63"/>
      <c s="97"/>
      <c s="44" t="str">
        <f>IFERROR(__xludf.DUMMYFUNCTION("IF(DQ197=MAX(FILTER(DQ$10:DQ$199,LOOKUP(ROW(DK$10:DK$199),FILTER(ROW(DK$10:DK$199),DK$10:DK$199&lt;&gt;DK$9:DK$198))=LOOKUP(ROW(DK197),FILTER(ROW(DK$10:DK$199),DK$10:DK$199&lt;&gt;DK$9:DK$198)))),DR197,)"),"")</f>
        <v/>
      </c>
      <c s="42"/>
      <c s="63"/>
      <c s="64" t="str">
        <f t="shared" si="32"/>
        <v/>
      </c>
      <c s="65" t="str">
        <f>IFERROR(__xludf.DUMMYFUNCTION("""COMPUTED_VALUE"""),"")</f>
        <v/>
      </c>
      <c s="66">
        <f ca="1"/>
        <v>45271</v>
      </c>
      <c s="93" t="str">
        <f t="shared" si="47"/>
        <v/>
      </c>
      <c s="94" t="str">
        <f t="shared" si="405"/>
        <v/>
      </c>
      <c s="95" t="str">
        <f t="shared" si="421"/>
        <v/>
      </c>
      <c s="98" t="str">
        <f t="shared" si="422"/>
        <v/>
      </c>
      <c s="97" t="str">
        <f t="array" ref="EE197">IFERROR(IF(DY197="ac"+ISNUMBER(SEARCH("'",ED197))+EC197="","",IF(ISNUMBER(SEARCH("lw",ED197)),DQ197+SUBSTITUTE(ED197,"lw+",""),MROUND(_xlfn.SWITCH(DY197,"sq",EC$7,"bn",ED$7,"dl",EE$7,"")*IF(ED197&gt;10,ED197/100,VLOOKUP(ED197,_rpe,SUBSTITUTE(EC197,"+","")+1,0)),IF(_xlfn.SWITCH(DY197,"sq",EC$7,"bn",ED$7,"dl",EE$7,"")&lt;IF(_uom="lbs",175,80),1.25,IF(_uom="lbs",5,2.5))))),"")</f>
        <v/>
      </c>
      <c s="70"/>
      <c s="63"/>
      <c s="97"/>
      <c s="44" t="str">
        <f>IFERROR(__xludf.DUMMYFUNCTION("IF(EE197=MAX(FILTER(EE$10:EE$199,LOOKUP(ROW(DY$10:DY$199),FILTER(ROW(DY$10:DY$199),DY$10:DY$199&lt;&gt;DY$9:DY$198))=LOOKUP(ROW(DY197),FILTER(ROW(DY$10:DY$199),DY$10:DY$199&lt;&gt;DY$9:DY$198)))),EF197,)"),"")</f>
        <v/>
      </c>
      <c s="42"/>
      <c s="63"/>
      <c s="64" t="str">
        <f t="shared" si="34"/>
        <v/>
      </c>
      <c s="65" t="str">
        <f>IFERROR(__xludf.DUMMYFUNCTION("""COMPUTED_VALUE"""),"")</f>
        <v/>
      </c>
      <c s="66">
        <f ca="1"/>
        <v>45278</v>
      </c>
      <c s="93" t="str">
        <f t="shared" si="48"/>
        <v/>
      </c>
      <c s="94" t="str">
        <f t="shared" si="395"/>
        <v/>
      </c>
      <c s="95" t="str">
        <f t="shared" si="423"/>
        <v/>
      </c>
      <c s="98" t="str">
        <f t="shared" si="402"/>
        <v/>
      </c>
      <c s="97" t="str">
        <f t="array" ref="ES197">IFERROR(IF(EM197="ac"+ISNUMBER(SEARCH("'",ER197))+EQ197="","",IF(ISNUMBER(SEARCH("lw",ER197)),EE197+SUBSTITUTE(ER197,"lw+",""),MROUND(_xlfn.SWITCH(EM197,"sq",EQ$7,"bn",ER$7,"dl",ES$7,"")*IF(ER197&gt;10,ER197/100,VLOOKUP(ER197,_rpe,SUBSTITUTE(EQ197,"+","")+1,0)),IF(_xlfn.SWITCH(EM197,"sq",EQ$7,"bn",ER$7,"dl",ES$7,"")&lt;IF(_uom="lbs",175,80),1.25,IF(_uom="lbs",5,2.5))))),"")</f>
        <v/>
      </c>
      <c s="70"/>
      <c s="63"/>
      <c s="97"/>
      <c s="44" t="str">
        <f>IFERROR(__xludf.DUMMYFUNCTION("IF(ES197=MAX(FILTER(ES$10:ES$199,LOOKUP(ROW(EM$10:EM$199),FILTER(ROW(EM$10:EM$199),EM$10:EM$199&lt;&gt;EM$9:EM$198))=LOOKUP(ROW(EM197),FILTER(ROW(EM$10:EM$199),EM$10:EM$199&lt;&gt;EM$9:EM$198)))),ET197,)"),"")</f>
        <v/>
      </c>
      <c s="42"/>
      <c s="63"/>
      <c s="64" t="str">
        <f t="shared" si="36"/>
        <v/>
      </c>
      <c s="65" t="str">
        <f>IFERROR(__xludf.DUMMYFUNCTION("""COMPUTED_VALUE"""),"")</f>
        <v/>
      </c>
      <c s="66">
        <f ca="1"/>
        <v>45285</v>
      </c>
      <c s="93" t="str">
        <f t="shared" si="49"/>
        <v/>
      </c>
      <c s="94" t="str">
        <f t="shared" si="396"/>
        <v/>
      </c>
      <c s="95" t="str">
        <f t="shared" si="424"/>
        <v/>
      </c>
      <c s="98" t="str">
        <f t="shared" si="403"/>
        <v/>
      </c>
      <c s="97" t="str">
        <f t="array" ref="FG197">IFERROR(IF(FA197="ac"+ISNUMBER(SEARCH("'",FF197))+FE197="","",IF(ISNUMBER(SEARCH("lw",FF197)),ES197+SUBSTITUTE(FF197,"lw+",""),MROUND(_xlfn.SWITCH(FA197,"sq",FE$7,"bn",FF$7,"dl",FG$7,"")*IF(FF197&gt;10,FF197/100,VLOOKUP(FF197,_rpe,SUBSTITUTE(FE197,"+","")+1,0)),IF(_xlfn.SWITCH(FA197,"sq",FE$7,"bn",FF$7,"dl",FG$7,"")&lt;IF(_uom="lbs",175,80),1.25,IF(_uom="lbs",5,2.5))))),"")</f>
        <v/>
      </c>
      <c s="70"/>
      <c s="63"/>
      <c s="97"/>
      <c s="44" t="str">
        <f>IFERROR(__xludf.DUMMYFUNCTION("IF(FG197=MAX(FILTER(FG$10:FG$199,LOOKUP(ROW(FA$10:FA$199),FILTER(ROW(FA$10:FA$199),FA$10:FA$199&lt;&gt;FA$9:FA$198))=LOOKUP(ROW(FA197),FILTER(ROW(FA$10:FA$199),FA$10:FA$199&lt;&gt;FA$9:FA$198)))),FH197,)"),"")</f>
        <v/>
      </c>
      <c s="42"/>
      <c s="63"/>
      <c s="64" t="str">
        <f t="shared" si="38"/>
        <v/>
      </c>
      <c s="65" t="str">
        <f>IFERROR(__xludf.DUMMYFUNCTION("""COMPUTED_VALUE"""),"")</f>
        <v/>
      </c>
      <c s="66">
        <f ca="1"/>
        <v>45292</v>
      </c>
      <c s="93" t="str">
        <f t="shared" si="541" ref="FQ197:FR197">IF(ISBLANK(FC197),"",FC197)</f>
        <v/>
      </c>
      <c s="94" t="str">
        <f t="shared" si="541"/>
        <v/>
      </c>
      <c s="95" t="str">
        <f t="shared" si="428"/>
        <v/>
      </c>
      <c s="98" t="str">
        <f t="shared" si="429"/>
        <v/>
      </c>
      <c s="97" t="str">
        <f t="array" ref="FU197">IFERROR(IF(FO197="ac"+ISNUMBER(SEARCH("'",FT197))+FS197="","",IF(ISNUMBER(SEARCH("lw",FT197)),FG197+SUBSTITUTE(FT197,"lw+",""),MROUND(_xlfn.SWITCH(FO197,"sq",FS$7,"bn",FT$7,"dl",FU$7,"")*IF(FT197&gt;10,FT197/100,VLOOKUP(FT197,_rpe,SUBSTITUTE(FS197,"+","")+1,0)),IF(_xlfn.SWITCH(FO197,"sq",FS$7,"bn",FT$7,"dl",FU$7,"")&lt;IF(_uom="lbs",175,80),1.25,IF(_uom="lbs",5,2.5))))),"")</f>
        <v/>
      </c>
      <c s="70"/>
      <c s="63"/>
      <c s="97"/>
      <c s="44" t="str">
        <f>IFERROR(__xludf.DUMMYFUNCTION("IF(FU197=MAX(FILTER(FU$10:FU$199,LOOKUP(ROW(FO$10:FO$199),FILTER(ROW(FO$10:FO$199),FO$10:FO$199&lt;&gt;FO$9:FO$198))=LOOKUP(ROW(FO197),FILTER(ROW(FO$10:FO$199),FO$10:FO$199&lt;&gt;FO$9:FO$198)))),FV197,)"),"")</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98" spans="1:259" ht="15.75">
      <c r="A198" s="63"/>
      <c s="107"/>
      <c s="65" t="str">
        <f>IFERROR(__xludf.DUMMYFUNCTION("""COMPUTED_VALUE"""),"")</f>
        <v/>
      </c>
      <c s="66">
        <f ca="1"/>
        <v>45208</v>
      </c>
      <c s="108"/>
      <c s="94"/>
      <c s="95"/>
      <c s="96"/>
      <c s="97" t="str">
        <f t="array" ref="I198">IFERROR(IF(C198="ac"+ISNUMBER(SEARCH("'",H198))+G198="","",MROUND(_xlfn.SWITCH(C198,"sq",'Personal Info'!$O$15,"bn",'Personal Info'!$S$15,"dl",'Personal Info'!$W$15,"")*IF(H198&gt;10,H198/100,VLOOKUP(H198,_rpe,SUBSTITUTE(G198,"+","")+1,0)),IF(_xlfn.SWITCH(C198:C210,"sq",'Personal Info'!$O$15,"bn",'Personal Info'!$S$15,"dl",'Personal Info'!$W$15,"")&lt;IF(_uom="lbs",175,80),1.25,IF(_uom="lbs",5,2.5)))),"")</f>
        <v/>
      </c>
      <c s="70"/>
      <c s="63"/>
      <c s="97"/>
      <c s="44" t="str">
        <f>IFERROR(__xludf.DUMMYFUNCTION("IF(I198=MAX(FILTER(I$10:I$199,LOOKUP(ROW(C$10:C$199),FILTER(ROW(C$10:C$199),C$10:C$199&lt;&gt;C$9:C$198))=LOOKUP(ROW(C198),FILTER(ROW(C$10:C$199),C$10:C$199&lt;&gt;C$9:C$198)))),J198,)"),"")</f>
        <v/>
      </c>
      <c s="42"/>
      <c s="63"/>
      <c s="64" t="str">
        <f t="shared" si="11"/>
        <v/>
      </c>
      <c s="65" t="str">
        <f>IFERROR(__xludf.DUMMYFUNCTION("""COMPUTED_VALUE"""),"")</f>
        <v/>
      </c>
      <c s="66">
        <f ca="1"/>
        <v>45215</v>
      </c>
      <c s="93" t="str">
        <f t="shared" si="12"/>
        <v/>
      </c>
      <c s="94" t="str">
        <f t="shared" si="404"/>
        <v/>
      </c>
      <c s="95" t="str">
        <f t="shared" si="406"/>
        <v/>
      </c>
      <c s="98" t="str">
        <f t="shared" si="407"/>
        <v/>
      </c>
      <c s="97" t="str">
        <f t="array" ref="W198">IFERROR(IF(Q198="ac"+ISNUMBER(SEARCH("'",V198))+U198="","",IF(ISNUMBER(SEARCH("lw",V198)),I198+SUBSTITUTE(V198,"lw+",""),MROUND(_xlfn.SWITCH(Q198,"sq",U$7,"bn",V$7,"dl",W$7,"")*IF(V198&gt;10,V198/100,VLOOKUP(V198,_rpe,SUBSTITUTE(U198,"+","")+1,0)),IF(_xlfn.SWITCH(Q198,"sq",U$7,"bn",V$7,"dl",W$7,"")&lt;IF(_uom="lbs",175,80),1.25,IF(_uom="lbs",5,2.5))))),"")</f>
        <v/>
      </c>
      <c s="70"/>
      <c s="63"/>
      <c s="97"/>
      <c s="44" t="str">
        <f>IFERROR(__xludf.DUMMYFUNCTION("IF(W198=MAX(FILTER(W$10:W$199,LOOKUP(ROW(Q$10:Q$199),FILTER(ROW(Q$10:Q$199),Q$10:Q$199&lt;&gt;Q$9:Q$198))=LOOKUP(ROW(Q198),FILTER(ROW(Q$10:Q$199),Q$10:Q$199&lt;&gt;Q$9:Q$198)))),X198,)"),"")</f>
        <v/>
      </c>
      <c s="42"/>
      <c s="63"/>
      <c s="64" t="str">
        <f t="shared" si="14"/>
        <v/>
      </c>
      <c s="65" t="str">
        <f>IFERROR(__xludf.DUMMYFUNCTION("""COMPUTED_VALUE"""),"")</f>
        <v/>
      </c>
      <c s="66">
        <f ca="1"/>
        <v>45222</v>
      </c>
      <c s="93" t="str">
        <f t="shared" si="156"/>
        <v/>
      </c>
      <c s="94" t="str">
        <f t="shared" si="397"/>
        <v/>
      </c>
      <c s="95" t="str">
        <f t="shared" si="408"/>
        <v/>
      </c>
      <c s="98" t="str">
        <f t="shared" si="398"/>
        <v/>
      </c>
      <c s="97" t="str">
        <f t="array" ref="AK198">IFERROR(IF(AE198="ac"+ISNUMBER(SEARCH("'",AJ198))+AI198="","",IF(ISNUMBER(SEARCH("lw",AJ198)),W198+SUBSTITUTE(AJ198,"lw+",""),MROUND(_xlfn.SWITCH(AE198,"sq",AI$7,"bn",AJ$7,"dl",AK$7,"")*IF(AJ198&gt;10,AJ198/100,VLOOKUP(AJ198,_rpe,SUBSTITUTE(AI198,"+","")+1,0)),IF(_xlfn.SWITCH(AE198,"sq",AI$7,"bn",AJ$7,"dl",AK$7,"")&lt;IF(_uom="lbs",175,80),1.25,IF(_uom="lbs",5,2.5))))),"")</f>
        <v/>
      </c>
      <c s="70"/>
      <c s="63"/>
      <c s="97"/>
      <c s="44" t="str">
        <f>IFERROR(__xludf.DUMMYFUNCTION("IF(AK198=MAX(FILTER(AK$10:AK$199,LOOKUP(ROW(AE$10:AE$199),FILTER(ROW(AE$10:AE$199),AE$10:AE$199&lt;&gt;AE$9:AE$198))=LOOKUP(ROW(AE198),FILTER(ROW(AE$10:AE$199),AE$10:AE$199&lt;&gt;AE$9:AE$198)))),AL198,)"),"")</f>
        <v/>
      </c>
      <c s="42"/>
      <c s="63"/>
      <c s="64" t="str">
        <f t="shared" si="17"/>
        <v/>
      </c>
      <c s="65" t="str">
        <f>IFERROR(__xludf.DUMMYFUNCTION("""COMPUTED_VALUE"""),"")</f>
        <v/>
      </c>
      <c s="66">
        <f ca="1"/>
        <v>45229</v>
      </c>
      <c s="93" t="str">
        <f t="shared" si="157"/>
        <v/>
      </c>
      <c s="94" t="str">
        <f t="shared" si="399"/>
        <v/>
      </c>
      <c s="95" t="str">
        <f t="shared" si="409"/>
        <v/>
      </c>
      <c s="98" t="str">
        <f t="shared" si="400"/>
        <v/>
      </c>
      <c s="97" t="str">
        <f t="array" ref="AY198">IFERROR(IF(AS198="ac"+ISNUMBER(SEARCH("'",AX198))+AW198="","",IF(ISNUMBER(SEARCH("lw",AX198)),AK198+SUBSTITUTE(AX198,"lw+",""),MROUND(_xlfn.SWITCH(AS198,"sq",AW$7,"bn",AX$7,"dl",AY$7,"")*IF(AX198&gt;10,AX198/100,VLOOKUP(AX198,_rpe,SUBSTITUTE(AW198,"+","")+1,0)),IF(_xlfn.SWITCH(AS198,"sq",AW$7,"bn",AX$7,"dl",AY$7,"")&lt;IF(_uom="lbs",175,80),1.25,IF(_uom="lbs",5,2.5))))),"")</f>
        <v/>
      </c>
      <c s="70"/>
      <c s="63"/>
      <c s="97"/>
      <c s="44" t="str">
        <f>IFERROR(__xludf.DUMMYFUNCTION("IF(AY198=MAX(FILTER(AY$10:AY$199,LOOKUP(ROW(AS$10:AS$199),FILTER(ROW(AS$10:AS$199),AS$10:AS$199&lt;&gt;AS$9:AS$198))=LOOKUP(ROW(AS198),FILTER(ROW(AS$10:AS$199),AS$10:AS$199&lt;&gt;AS$9:AS$198)))),AZ198,)"),"")</f>
        <v/>
      </c>
      <c s="42"/>
      <c s="63"/>
      <c s="64" t="str">
        <f t="shared" si="19"/>
        <v/>
      </c>
      <c s="65" t="str">
        <f>IFERROR(__xludf.DUMMYFUNCTION("""COMPUTED_VALUE"""),"")</f>
        <v/>
      </c>
      <c s="66">
        <f ca="1"/>
        <v>45236</v>
      </c>
      <c s="93" t="str">
        <f t="shared" si="20"/>
        <v/>
      </c>
      <c s="94" t="str">
        <f t="shared" si="425"/>
        <v/>
      </c>
      <c s="95" t="str">
        <f t="shared" si="411"/>
        <v/>
      </c>
      <c s="98" t="str">
        <f t="shared" si="412"/>
        <v/>
      </c>
      <c s="97" t="str">
        <f t="array" ref="BM198">IFERROR(IF(BG198="ac"+ISNUMBER(SEARCH("'",BL198))+BK198="","",IF(ISNUMBER(SEARCH("lw",BL198)),AY198+SUBSTITUTE(BL198,"lw+",""),MROUND(_xlfn.SWITCH(BG198,"sq",BK$7,"bn",BL$7,"dl",BM$7,"")*IF(BL198&gt;10,BL198/100,VLOOKUP(BL198,_rpe,SUBSTITUTE(BK198,"+","")+1,0)),IF(_xlfn.SWITCH(BG198,"sq",BK$7,"bn",BL$7,"dl",BM$7,"")&lt;IF(_uom="lbs",175,80),1.25,IF(_uom="lbs",5,2.5))))),"")</f>
        <v/>
      </c>
      <c s="70"/>
      <c s="63"/>
      <c s="97"/>
      <c s="44" t="str">
        <f>IFERROR(__xludf.DUMMYFUNCTION("IF(BM198=MAX(FILTER(BM$10:BM$199,LOOKUP(ROW(BG$10:BG$199),FILTER(ROW(BG$10:BG$199),BG$10:BG$199&lt;&gt;BG$9:BG$198))=LOOKUP(ROW(BG198),FILTER(ROW(BG$10:BG$199),BG$10:BG$199&lt;&gt;BG$9:BG$198)))),BN198,)"),"")</f>
        <v/>
      </c>
      <c s="42"/>
      <c s="63"/>
      <c s="64" t="str">
        <f t="shared" si="21"/>
        <v/>
      </c>
      <c s="65" t="str">
        <f>IFERROR(__xludf.DUMMYFUNCTION("""COMPUTED_VALUE"""),"")</f>
        <v/>
      </c>
      <c s="66">
        <f ca="1"/>
        <v>45243</v>
      </c>
      <c s="93" t="str">
        <f t="shared" si="22"/>
        <v/>
      </c>
      <c s="94" t="str">
        <f t="shared" si="426"/>
        <v/>
      </c>
      <c s="95" t="str">
        <f t="shared" si="414"/>
        <v/>
      </c>
      <c s="98" t="str">
        <f t="shared" si="415"/>
        <v/>
      </c>
      <c s="97" t="str">
        <f t="array" ref="CA198">IFERROR(IF(BU198="ac"+ISNUMBER(SEARCH("'",BZ198))+BY198="","",IF(ISNUMBER(SEARCH("lw",BZ198)),BM198+SUBSTITUTE(BZ198,"lw+",""),MROUND(_xlfn.SWITCH(BU198,"sq",BY$7,"bn",BZ$7,"dl",CA$7,"")*IF(BZ198&gt;10,BZ198/100,VLOOKUP(BZ198,_rpe,SUBSTITUTE(BY198,"+","")+1,0)),IF(_xlfn.SWITCH(BU198,"sq",BY$7,"bn",BZ$7,"dl",CA$7,"")&lt;IF(_uom="lbs",175,80),1.25,IF(_uom="lbs",5,2.5))))),"")</f>
        <v/>
      </c>
      <c s="70"/>
      <c s="63"/>
      <c s="97"/>
      <c s="44" t="str">
        <f>IFERROR(__xludf.DUMMYFUNCTION("IF(CA198=MAX(FILTER(CA$10:CA$199,LOOKUP(ROW(BU$10:BU$199),FILTER(ROW(BU$10:BU$199),BU$10:BU$199&lt;&gt;BU$9:BU$198))=LOOKUP(ROW(BU198),FILTER(ROW(BU$10:BU$199),BU$10:BU$199&lt;&gt;BU$9:BU$198)))),CB198,)"),"")</f>
        <v/>
      </c>
      <c s="42"/>
      <c s="63"/>
      <c s="64" t="str">
        <f t="shared" si="24"/>
        <v/>
      </c>
      <c s="65" t="str">
        <f>IFERROR(__xludf.DUMMYFUNCTION("""COMPUTED_VALUE"""),"")</f>
        <v/>
      </c>
      <c s="66">
        <f ca="1"/>
        <v>45250</v>
      </c>
      <c s="93" t="str">
        <f t="shared" si="44"/>
        <v/>
      </c>
      <c s="94" t="str">
        <f t="shared" si="392"/>
        <v/>
      </c>
      <c s="95" t="str">
        <f t="shared" si="416"/>
        <v/>
      </c>
      <c s="98" t="str">
        <f t="shared" si="417"/>
        <v/>
      </c>
      <c s="97" t="str">
        <f t="array" ref="CO198">IFERROR(IF(CI198="ac"+ISNUMBER(SEARCH("'",CN198))+CM198="","",IF(ISNUMBER(SEARCH("lw",CN198)),CA198+SUBSTITUTE(CN198,"lw+",""),MROUND(_xlfn.SWITCH(CI198,"sq",CM$7,"bn",CN$7,"dl",CO$7,"")*IF(CN198&gt;10,CN198/100,VLOOKUP(CN198,_rpe,SUBSTITUTE(CM198,"+","")+1,0)),IF(_xlfn.SWITCH(CI198,"sq",CM$7,"bn",CN$7,"dl",CO$7,"")&lt;IF(_uom="lbs",175,80),1.25,IF(_uom="lbs",5,2.5))))),"")</f>
        <v/>
      </c>
      <c s="70"/>
      <c s="63"/>
      <c s="97"/>
      <c s="44" t="str">
        <f>IFERROR(__xludf.DUMMYFUNCTION("IF(CO198=MAX(FILTER(CO$10:CO$199,LOOKUP(ROW(CI$10:CI$199),FILTER(ROW(CI$10:CI$199),CI$10:CI$199&lt;&gt;CI$9:CI$198))=LOOKUP(ROW(CI198),FILTER(ROW(CI$10:CI$199),CI$10:CI$199&lt;&gt;CI$9:CI$198)))),CP198,)"),"")</f>
        <v/>
      </c>
      <c s="42"/>
      <c s="63"/>
      <c s="64" t="str">
        <f t="shared" si="27"/>
        <v/>
      </c>
      <c s="65" t="str">
        <f>IFERROR(__xludf.DUMMYFUNCTION("""COMPUTED_VALUE"""),"")</f>
        <v/>
      </c>
      <c s="66">
        <f ca="1"/>
        <v>45257</v>
      </c>
      <c s="93" t="str">
        <f t="shared" si="45"/>
        <v/>
      </c>
      <c s="94" t="str">
        <f t="shared" si="393"/>
        <v/>
      </c>
      <c s="95" t="str">
        <f t="shared" si="418"/>
        <v/>
      </c>
      <c s="98" t="str">
        <f t="shared" si="401"/>
        <v/>
      </c>
      <c s="97" t="str">
        <f t="array" ref="DC198">IFERROR(IF(CW198="ac"+ISNUMBER(SEARCH("'",DB198))+DA198="","",IF(ISNUMBER(SEARCH("lw",DB198)),CO198+SUBSTITUTE(DB198,"lw+",""),MROUND(_xlfn.SWITCH(CW198,"sq",DA$7,"bn",DB$7,"dl",DC$7,"")*IF(DB198&gt;10,DB198/100,VLOOKUP(DB198,_rpe,SUBSTITUTE(DA198,"+","")+1,0)),IF(_xlfn.SWITCH(CW198,"sq",DA$7,"bn",DB$7,"dl",DC$7,"")&lt;IF(_uom="lbs",175,80),1.25,IF(_uom="lbs",5,2.5))))),"")</f>
        <v/>
      </c>
      <c s="70"/>
      <c s="63"/>
      <c s="97"/>
      <c s="44" t="str">
        <f>IFERROR(__xludf.DUMMYFUNCTION("IF(DC198=MAX(FILTER(DC$10:DC$199,LOOKUP(ROW(CW$10:CW$199),FILTER(ROW(CW$10:CW$199),CW$10:CW$199&lt;&gt;CW$9:CW$198))=LOOKUP(ROW(CW198),FILTER(ROW(CW$10:CW$199),CW$10:CW$199&lt;&gt;CW$9:CW$198)))),DD198,)"),"")</f>
        <v/>
      </c>
      <c s="42"/>
      <c s="63"/>
      <c s="64" t="str">
        <f t="shared" si="30"/>
        <v/>
      </c>
      <c s="65" t="str">
        <f>IFERROR(__xludf.DUMMYFUNCTION("""COMPUTED_VALUE"""),"")</f>
        <v/>
      </c>
      <c s="66">
        <f ca="1"/>
        <v>45264</v>
      </c>
      <c s="93" t="str">
        <f t="shared" si="46"/>
        <v/>
      </c>
      <c s="94" t="str">
        <f t="shared" si="394"/>
        <v/>
      </c>
      <c s="95" t="str">
        <f t="shared" si="419"/>
        <v/>
      </c>
      <c s="98" t="str">
        <f t="shared" si="420"/>
        <v/>
      </c>
      <c s="97" t="str">
        <f t="array" ref="DQ198">IFERROR(IF(DK198="ac"+ISNUMBER(SEARCH("'",DP198))+DO198="","",IF(ISNUMBER(SEARCH("lw",DP198)),DC198+SUBSTITUTE(DP198,"lw+",""),MROUND(_xlfn.SWITCH(DK198,"sq",DO$7,"bn",DP$7,"dl",DQ$7,"")*IF(DP198&gt;10,DP198/100,VLOOKUP(DP198,_rpe,SUBSTITUTE(DO198,"+","")+1,0)),IF(_xlfn.SWITCH(DK198,"sq",DO$7,"bn",DP$7,"dl",DQ$7,"")&lt;IF(_uom="lbs",175,80),1.25,IF(_uom="lbs",5,2.5))))),"")</f>
        <v/>
      </c>
      <c s="70"/>
      <c s="63"/>
      <c s="97"/>
      <c s="44" t="str">
        <f>IFERROR(__xludf.DUMMYFUNCTION("IF(DQ198=MAX(FILTER(DQ$10:DQ$199,LOOKUP(ROW(DK$10:DK$199),FILTER(ROW(DK$10:DK$199),DK$10:DK$199&lt;&gt;DK$9:DK$198))=LOOKUP(ROW(DK198),FILTER(ROW(DK$10:DK$199),DK$10:DK$199&lt;&gt;DK$9:DK$198)))),DR198,)"),"")</f>
        <v/>
      </c>
      <c s="42"/>
      <c s="63"/>
      <c s="64" t="str">
        <f t="shared" si="32"/>
        <v/>
      </c>
      <c s="65" t="str">
        <f>IFERROR(__xludf.DUMMYFUNCTION("""COMPUTED_VALUE"""),"")</f>
        <v/>
      </c>
      <c s="66">
        <f ca="1"/>
        <v>45271</v>
      </c>
      <c s="93" t="str">
        <f t="shared" si="47"/>
        <v/>
      </c>
      <c s="94" t="str">
        <f t="shared" si="405"/>
        <v/>
      </c>
      <c s="95" t="str">
        <f t="shared" si="421"/>
        <v/>
      </c>
      <c s="98" t="str">
        <f t="shared" si="422"/>
        <v/>
      </c>
      <c s="97" t="str">
        <f t="array" ref="EE198">IFERROR(IF(DY198="ac"+ISNUMBER(SEARCH("'",ED198))+EC198="","",IF(ISNUMBER(SEARCH("lw",ED198)),DQ198+SUBSTITUTE(ED198,"lw+",""),MROUND(_xlfn.SWITCH(DY198,"sq",EC$7,"bn",ED$7,"dl",EE$7,"")*IF(ED198&gt;10,ED198/100,VLOOKUP(ED198,_rpe,SUBSTITUTE(EC198,"+","")+1,0)),IF(_xlfn.SWITCH(DY198,"sq",EC$7,"bn",ED$7,"dl",EE$7,"")&lt;IF(_uom="lbs",175,80),1.25,IF(_uom="lbs",5,2.5))))),"")</f>
        <v/>
      </c>
      <c s="70"/>
      <c s="63"/>
      <c s="97"/>
      <c s="44" t="str">
        <f>IFERROR(__xludf.DUMMYFUNCTION("IF(EE198=MAX(FILTER(EE$10:EE$199,LOOKUP(ROW(DY$10:DY$199),FILTER(ROW(DY$10:DY$199),DY$10:DY$199&lt;&gt;DY$9:DY$198))=LOOKUP(ROW(DY198),FILTER(ROW(DY$10:DY$199),DY$10:DY$199&lt;&gt;DY$9:DY$198)))),EF198,)"),"")</f>
        <v/>
      </c>
      <c s="42"/>
      <c s="63"/>
      <c s="64" t="str">
        <f t="shared" si="34"/>
        <v/>
      </c>
      <c s="65" t="str">
        <f>IFERROR(__xludf.DUMMYFUNCTION("""COMPUTED_VALUE"""),"")</f>
        <v/>
      </c>
      <c s="66">
        <f ca="1"/>
        <v>45278</v>
      </c>
      <c s="93" t="str">
        <f t="shared" si="48"/>
        <v/>
      </c>
      <c s="94" t="str">
        <f t="shared" si="395"/>
        <v/>
      </c>
      <c s="95" t="str">
        <f t="shared" si="423"/>
        <v/>
      </c>
      <c s="98" t="str">
        <f t="shared" si="402"/>
        <v/>
      </c>
      <c s="97" t="str">
        <f t="array" ref="ES198">IFERROR(IF(EM198="ac"+ISNUMBER(SEARCH("'",ER198))+EQ198="","",IF(ISNUMBER(SEARCH("lw",ER198)),EE198+SUBSTITUTE(ER198,"lw+",""),MROUND(_xlfn.SWITCH(EM198,"sq",EQ$7,"bn",ER$7,"dl",ES$7,"")*IF(ER198&gt;10,ER198/100,VLOOKUP(ER198,_rpe,SUBSTITUTE(EQ198,"+","")+1,0)),IF(_xlfn.SWITCH(EM198,"sq",EQ$7,"bn",ER$7,"dl",ES$7,"")&lt;IF(_uom="lbs",175,80),1.25,IF(_uom="lbs",5,2.5))))),"")</f>
        <v/>
      </c>
      <c s="70"/>
      <c s="63"/>
      <c s="97"/>
      <c s="44" t="str">
        <f>IFERROR(__xludf.DUMMYFUNCTION("IF(ES198=MAX(FILTER(ES$10:ES$199,LOOKUP(ROW(EM$10:EM$199),FILTER(ROW(EM$10:EM$199),EM$10:EM$199&lt;&gt;EM$9:EM$198))=LOOKUP(ROW(EM198),FILTER(ROW(EM$10:EM$199),EM$10:EM$199&lt;&gt;EM$9:EM$198)))),ET198,)"),"")</f>
        <v/>
      </c>
      <c s="42"/>
      <c s="63"/>
      <c s="64" t="str">
        <f t="shared" si="36"/>
        <v/>
      </c>
      <c s="65" t="str">
        <f>IFERROR(__xludf.DUMMYFUNCTION("""COMPUTED_VALUE"""),"")</f>
        <v/>
      </c>
      <c s="66">
        <f ca="1"/>
        <v>45285</v>
      </c>
      <c s="93" t="str">
        <f t="shared" si="49"/>
        <v/>
      </c>
      <c s="94" t="str">
        <f t="shared" si="396"/>
        <v/>
      </c>
      <c s="95" t="str">
        <f t="shared" si="424"/>
        <v/>
      </c>
      <c s="98" t="str">
        <f t="shared" si="403"/>
        <v/>
      </c>
      <c s="97" t="str">
        <f t="array" ref="FG198">IFERROR(IF(FA198="ac"+ISNUMBER(SEARCH("'",FF198))+FE198="","",IF(ISNUMBER(SEARCH("lw",FF198)),ES198+SUBSTITUTE(FF198,"lw+",""),MROUND(_xlfn.SWITCH(FA198,"sq",FE$7,"bn",FF$7,"dl",FG$7,"")*IF(FF198&gt;10,FF198/100,VLOOKUP(FF198,_rpe,SUBSTITUTE(FE198,"+","")+1,0)),IF(_xlfn.SWITCH(FA198,"sq",FE$7,"bn",FF$7,"dl",FG$7,"")&lt;IF(_uom="lbs",175,80),1.25,IF(_uom="lbs",5,2.5))))),"")</f>
        <v/>
      </c>
      <c s="70"/>
      <c s="63"/>
      <c s="97"/>
      <c s="44" t="str">
        <f>IFERROR(__xludf.DUMMYFUNCTION("IF(FG198=MAX(FILTER(FG$10:FG$199,LOOKUP(ROW(FA$10:FA$199),FILTER(ROW(FA$10:FA$199),FA$10:FA$199&lt;&gt;FA$9:FA$198))=LOOKUP(ROW(FA198),FILTER(ROW(FA$10:FA$199),FA$10:FA$199&lt;&gt;FA$9:FA$198)))),FH198,)"),"")</f>
        <v/>
      </c>
      <c s="42"/>
      <c s="63"/>
      <c s="64" t="str">
        <f t="shared" si="38"/>
        <v/>
      </c>
      <c s="65" t="str">
        <f>IFERROR(__xludf.DUMMYFUNCTION("""COMPUTED_VALUE"""),"")</f>
        <v/>
      </c>
      <c s="66">
        <f ca="1"/>
        <v>45292</v>
      </c>
      <c s="93" t="str">
        <f t="shared" si="542" ref="FQ198:FR198">IF(ISBLANK(FC198),"",FC198)</f>
        <v/>
      </c>
      <c s="94" t="str">
        <f t="shared" si="542"/>
        <v/>
      </c>
      <c s="95" t="str">
        <f t="shared" si="428"/>
        <v/>
      </c>
      <c s="98" t="str">
        <f t="shared" si="429"/>
        <v/>
      </c>
      <c s="97" t="str">
        <f t="array" ref="FU198">IFERROR(IF(FO198="ac"+ISNUMBER(SEARCH("'",FT198))+FS198="","",IF(ISNUMBER(SEARCH("lw",FT198)),FG198+SUBSTITUTE(FT198,"lw+",""),MROUND(_xlfn.SWITCH(FO198,"sq",FS$7,"bn",FT$7,"dl",FU$7,"")*IF(FT198&gt;10,FT198/100,VLOOKUP(FT198,_rpe,SUBSTITUTE(FS198,"+","")+1,0)),IF(_xlfn.SWITCH(FO198,"sq",FS$7,"bn",FT$7,"dl",FU$7,"")&lt;IF(_uom="lbs",175,80),1.25,IF(_uom="lbs",5,2.5))))),"")</f>
        <v/>
      </c>
      <c s="70"/>
      <c s="63"/>
      <c s="97"/>
      <c s="44" t="str">
        <f>IFERROR(__xludf.DUMMYFUNCTION("IF(FU198=MAX(FILTER(FU$10:FU$199,LOOKUP(ROW(FO$10:FO$199),FILTER(ROW(FO$10:FO$199),FO$10:FO$199&lt;&gt;FO$9:FO$198))=LOOKUP(ROW(FO198),FILTER(ROW(FO$10:FO$199),FO$10:FO$199&lt;&gt;FO$9:FO$198)))),FV198,)"),"")</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199" spans="1:259" ht="15.75">
      <c r="A199" s="63"/>
      <c s="107"/>
      <c s="65" t="str">
        <f>IFERROR(__xludf.DUMMYFUNCTION("""COMPUTED_VALUE"""),"")</f>
        <v/>
      </c>
      <c s="66">
        <f ca="1"/>
        <v>45208</v>
      </c>
      <c s="108"/>
      <c s="94"/>
      <c s="95"/>
      <c s="96"/>
      <c s="97" t="str">
        <f t="array" ref="I199">IFERROR(IF(C199="ac"+ISNUMBER(SEARCH("'",H199))+G199="","",MROUND(_xlfn.SWITCH(C199,"sq",'Personal Info'!$O$15,"bn",'Personal Info'!$S$15,"dl",'Personal Info'!$W$15,"")*IF(H199&gt;10,H199/100,VLOOKUP(H199,_rpe,SUBSTITUTE(G199,"+","")+1,0)),IF(_xlfn.SWITCH(C199:C210,"sq",'Personal Info'!$O$15,"bn",'Personal Info'!$S$15,"dl",'Personal Info'!$W$15,"")&lt;IF(_uom="lbs",175,80),1.25,IF(_uom="lbs",5,2.5)))),"")</f>
        <v/>
      </c>
      <c s="70"/>
      <c s="63"/>
      <c s="97"/>
      <c s="44" t="str">
        <f>IFERROR(__xludf.DUMMYFUNCTION("IF(I199=MAX(FILTER(I$10:I$199,LOOKUP(ROW(C$10:C$199),FILTER(ROW(C$10:C$199),C$10:C$199&lt;&gt;C$9:C$198))=LOOKUP(ROW(C199),FILTER(ROW(C$10:C$199),C$10:C$199&lt;&gt;C$9:C$198)))),J199,)"),"")</f>
        <v/>
      </c>
      <c s="42"/>
      <c s="63"/>
      <c s="64" t="str">
        <f t="shared" si="11"/>
        <v/>
      </c>
      <c s="65" t="str">
        <f>IFERROR(__xludf.DUMMYFUNCTION("""COMPUTED_VALUE"""),"")</f>
        <v/>
      </c>
      <c s="66">
        <f ca="1"/>
        <v>45215</v>
      </c>
      <c s="93" t="str">
        <f t="shared" si="12"/>
        <v/>
      </c>
      <c s="94" t="str">
        <f t="shared" si="404"/>
        <v/>
      </c>
      <c s="95" t="str">
        <f t="shared" si="406"/>
        <v/>
      </c>
      <c s="98" t="str">
        <f t="shared" si="407"/>
        <v/>
      </c>
      <c s="97" t="str">
        <f t="array" ref="W199">IFERROR(IF(Q199="ac"+ISNUMBER(SEARCH("'",V199))+U199="","",IF(ISNUMBER(SEARCH("lw",V199)),I199+SUBSTITUTE(V199,"lw+",""),MROUND(_xlfn.SWITCH(Q199,"sq",U$7,"bn",V$7,"dl",W$7,"")*IF(V199&gt;10,V199/100,VLOOKUP(V199,_rpe,SUBSTITUTE(U199,"+","")+1,0)),IF(_xlfn.SWITCH(Q199,"sq",U$7,"bn",V$7,"dl",W$7,"")&lt;IF(_uom="lbs",175,80),1.25,IF(_uom="lbs",5,2.5))))),"")</f>
        <v/>
      </c>
      <c s="70"/>
      <c s="63"/>
      <c s="97"/>
      <c s="44" t="str">
        <f>IFERROR(__xludf.DUMMYFUNCTION("IF(W199=MAX(FILTER(W$10:W$199,LOOKUP(ROW(Q$10:Q$199),FILTER(ROW(Q$10:Q$199),Q$10:Q$199&lt;&gt;Q$9:Q$198))=LOOKUP(ROW(Q199),FILTER(ROW(Q$10:Q$199),Q$10:Q$199&lt;&gt;Q$9:Q$198)))),X199,)"),"")</f>
        <v/>
      </c>
      <c s="42"/>
      <c s="63"/>
      <c s="64" t="str">
        <f t="shared" si="14"/>
        <v/>
      </c>
      <c s="65" t="str">
        <f>IFERROR(__xludf.DUMMYFUNCTION("""COMPUTED_VALUE"""),"")</f>
        <v/>
      </c>
      <c s="66">
        <f ca="1"/>
        <v>45222</v>
      </c>
      <c s="93" t="str">
        <f t="shared" si="156"/>
        <v/>
      </c>
      <c s="94" t="str">
        <f t="shared" si="397"/>
        <v/>
      </c>
      <c s="95" t="str">
        <f t="shared" si="408"/>
        <v/>
      </c>
      <c s="98" t="str">
        <f t="shared" si="398"/>
        <v/>
      </c>
      <c s="97" t="str">
        <f t="array" ref="AK199">IFERROR(IF(AE199="ac"+ISNUMBER(SEARCH("'",AJ199))+AI199="","",IF(ISNUMBER(SEARCH("lw",AJ199)),W199+SUBSTITUTE(AJ199,"lw+",""),MROUND(_xlfn.SWITCH(AE199,"sq",AI$7,"bn",AJ$7,"dl",AK$7,"")*IF(AJ199&gt;10,AJ199/100,VLOOKUP(AJ199,_rpe,SUBSTITUTE(AI199,"+","")+1,0)),IF(_xlfn.SWITCH(AE199,"sq",AI$7,"bn",AJ$7,"dl",AK$7,"")&lt;IF(_uom="lbs",175,80),1.25,IF(_uom="lbs",5,2.5))))),"")</f>
        <v/>
      </c>
      <c s="70"/>
      <c s="63"/>
      <c s="97"/>
      <c s="44" t="str">
        <f>IFERROR(__xludf.DUMMYFUNCTION("IF(AK199=MAX(FILTER(AK$10:AK$199,LOOKUP(ROW(AE$10:AE$199),FILTER(ROW(AE$10:AE$199),AE$10:AE$199&lt;&gt;AE$9:AE$198))=LOOKUP(ROW(AE199),FILTER(ROW(AE$10:AE$199),AE$10:AE$199&lt;&gt;AE$9:AE$198)))),AL199,)"),"")</f>
        <v/>
      </c>
      <c s="42"/>
      <c s="63"/>
      <c s="64" t="str">
        <f t="shared" si="17"/>
        <v/>
      </c>
      <c s="65" t="str">
        <f>IFERROR(__xludf.DUMMYFUNCTION("""COMPUTED_VALUE"""),"")</f>
        <v/>
      </c>
      <c s="66">
        <f ca="1"/>
        <v>45229</v>
      </c>
      <c s="93" t="str">
        <f t="shared" si="157"/>
        <v/>
      </c>
      <c s="94" t="str">
        <f t="shared" si="399"/>
        <v/>
      </c>
      <c s="95" t="str">
        <f t="shared" si="409"/>
        <v/>
      </c>
      <c s="98" t="str">
        <f t="shared" si="400"/>
        <v/>
      </c>
      <c s="97" t="str">
        <f t="array" ref="AY199">IFERROR(IF(AS199="ac"+ISNUMBER(SEARCH("'",AX199))+AW199="","",IF(ISNUMBER(SEARCH("lw",AX199)),AK199+SUBSTITUTE(AX199,"lw+",""),MROUND(_xlfn.SWITCH(AS199,"sq",AW$7,"bn",AX$7,"dl",AY$7,"")*IF(AX199&gt;10,AX199/100,VLOOKUP(AX199,_rpe,SUBSTITUTE(AW199,"+","")+1,0)),IF(_xlfn.SWITCH(AS199,"sq",AW$7,"bn",AX$7,"dl",AY$7,"")&lt;IF(_uom="lbs",175,80),1.25,IF(_uom="lbs",5,2.5))))),"")</f>
        <v/>
      </c>
      <c s="70"/>
      <c s="63"/>
      <c s="97"/>
      <c s="44" t="str">
        <f>IFERROR(__xludf.DUMMYFUNCTION("IF(AY199=MAX(FILTER(AY$10:AY$199,LOOKUP(ROW(AS$10:AS$199),FILTER(ROW(AS$10:AS$199),AS$10:AS$199&lt;&gt;AS$9:AS$198))=LOOKUP(ROW(AS199),FILTER(ROW(AS$10:AS$199),AS$10:AS$199&lt;&gt;AS$9:AS$198)))),AZ199,)"),"")</f>
        <v/>
      </c>
      <c s="42"/>
      <c s="63"/>
      <c s="64" t="str">
        <f t="shared" si="19"/>
        <v/>
      </c>
      <c s="65" t="str">
        <f>IFERROR(__xludf.DUMMYFUNCTION("""COMPUTED_VALUE"""),"")</f>
        <v/>
      </c>
      <c s="66">
        <f ca="1"/>
        <v>45236</v>
      </c>
      <c s="93" t="str">
        <f t="shared" si="20"/>
        <v/>
      </c>
      <c s="94" t="str">
        <f t="shared" si="425"/>
        <v/>
      </c>
      <c s="95" t="str">
        <f t="shared" si="411"/>
        <v/>
      </c>
      <c s="98" t="str">
        <f t="shared" si="412"/>
        <v/>
      </c>
      <c s="97" t="str">
        <f t="array" ref="BM199">IFERROR(IF(BG199="ac"+ISNUMBER(SEARCH("'",BL199))+BK199="","",IF(ISNUMBER(SEARCH("lw",BL199)),AY199+SUBSTITUTE(BL199,"lw+",""),MROUND(_xlfn.SWITCH(BG199,"sq",BK$7,"bn",BL$7,"dl",BM$7,"")*IF(BL199&gt;10,BL199/100,VLOOKUP(BL199,_rpe,SUBSTITUTE(BK199,"+","")+1,0)),IF(_xlfn.SWITCH(BG199,"sq",BK$7,"bn",BL$7,"dl",BM$7,"")&lt;IF(_uom="lbs",175,80),1.25,IF(_uom="lbs",5,2.5))))),"")</f>
        <v/>
      </c>
      <c s="70"/>
      <c s="63"/>
      <c s="97"/>
      <c s="44" t="str">
        <f>IFERROR(__xludf.DUMMYFUNCTION("IF(BM199=MAX(FILTER(BM$10:BM$199,LOOKUP(ROW(BG$10:BG$199),FILTER(ROW(BG$10:BG$199),BG$10:BG$199&lt;&gt;BG$9:BG$198))=LOOKUP(ROW(BG199),FILTER(ROW(BG$10:BG$199),BG$10:BG$199&lt;&gt;BG$9:BG$198)))),BN199,)"),"")</f>
        <v/>
      </c>
      <c s="42"/>
      <c s="63"/>
      <c s="64" t="str">
        <f t="shared" si="21"/>
        <v/>
      </c>
      <c s="65" t="str">
        <f>IFERROR(__xludf.DUMMYFUNCTION("""COMPUTED_VALUE"""),"")</f>
        <v/>
      </c>
      <c s="66">
        <f ca="1"/>
        <v>45243</v>
      </c>
      <c s="93" t="str">
        <f t="shared" si="22"/>
        <v/>
      </c>
      <c s="94" t="str">
        <f t="shared" si="426"/>
        <v/>
      </c>
      <c s="95" t="str">
        <f t="shared" si="414"/>
        <v/>
      </c>
      <c s="98" t="str">
        <f t="shared" si="415"/>
        <v/>
      </c>
      <c s="97" t="str">
        <f t="array" ref="CA199">IFERROR(IF(BU199="ac"+ISNUMBER(SEARCH("'",BZ199))+BY199="","",IF(ISNUMBER(SEARCH("lw",BZ199)),BM199+SUBSTITUTE(BZ199,"lw+",""),MROUND(_xlfn.SWITCH(BU199,"sq",BY$7,"bn",BZ$7,"dl",CA$7,"")*IF(BZ199&gt;10,BZ199/100,VLOOKUP(BZ199,_rpe,SUBSTITUTE(BY199,"+","")+1,0)),IF(_xlfn.SWITCH(BU199,"sq",BY$7,"bn",BZ$7,"dl",CA$7,"")&lt;IF(_uom="lbs",175,80),1.25,IF(_uom="lbs",5,2.5))))),"")</f>
        <v/>
      </c>
      <c s="70"/>
      <c s="63"/>
      <c s="97"/>
      <c s="44" t="str">
        <f>IFERROR(__xludf.DUMMYFUNCTION("IF(CA199=MAX(FILTER(CA$10:CA$199,LOOKUP(ROW(BU$10:BU$199),FILTER(ROW(BU$10:BU$199),BU$10:BU$199&lt;&gt;BU$9:BU$198))=LOOKUP(ROW(BU199),FILTER(ROW(BU$10:BU$199),BU$10:BU$199&lt;&gt;BU$9:BU$198)))),CB199,)"),"")</f>
        <v/>
      </c>
      <c s="42"/>
      <c s="63"/>
      <c s="64" t="str">
        <f t="shared" si="24"/>
        <v/>
      </c>
      <c s="65" t="str">
        <f>IFERROR(__xludf.DUMMYFUNCTION("""COMPUTED_VALUE"""),"")</f>
        <v/>
      </c>
      <c s="66">
        <f ca="1"/>
        <v>45250</v>
      </c>
      <c s="93" t="str">
        <f t="shared" si="44"/>
        <v/>
      </c>
      <c s="94" t="str">
        <f t="shared" si="392"/>
        <v/>
      </c>
      <c s="95" t="str">
        <f t="shared" si="416"/>
        <v/>
      </c>
      <c s="98" t="str">
        <f t="shared" si="417"/>
        <v/>
      </c>
      <c s="97" t="str">
        <f t="array" ref="CO199">IFERROR(IF(CI199="ac"+ISNUMBER(SEARCH("'",CN199))+CM199="","",IF(ISNUMBER(SEARCH("lw",CN199)),CA199+SUBSTITUTE(CN199,"lw+",""),MROUND(_xlfn.SWITCH(CI199,"sq",CM$7,"bn",CN$7,"dl",CO$7,"")*IF(CN199&gt;10,CN199/100,VLOOKUP(CN199,_rpe,SUBSTITUTE(CM199,"+","")+1,0)),IF(_xlfn.SWITCH(CI199,"sq",CM$7,"bn",CN$7,"dl",CO$7,"")&lt;IF(_uom="lbs",175,80),1.25,IF(_uom="lbs",5,2.5))))),"")</f>
        <v/>
      </c>
      <c s="70"/>
      <c s="63"/>
      <c s="97"/>
      <c s="44" t="str">
        <f>IFERROR(__xludf.DUMMYFUNCTION("IF(CO199=MAX(FILTER(CO$10:CO$199,LOOKUP(ROW(CI$10:CI$199),FILTER(ROW(CI$10:CI$199),CI$10:CI$199&lt;&gt;CI$9:CI$198))=LOOKUP(ROW(CI199),FILTER(ROW(CI$10:CI$199),CI$10:CI$199&lt;&gt;CI$9:CI$198)))),CP199,)"),"")</f>
        <v/>
      </c>
      <c s="42"/>
      <c s="63"/>
      <c s="64" t="str">
        <f t="shared" si="27"/>
        <v/>
      </c>
      <c s="65" t="str">
        <f>IFERROR(__xludf.DUMMYFUNCTION("""COMPUTED_VALUE"""),"")</f>
        <v/>
      </c>
      <c s="66">
        <f ca="1"/>
        <v>45257</v>
      </c>
      <c s="93" t="str">
        <f t="shared" si="45"/>
        <v/>
      </c>
      <c s="94" t="str">
        <f t="shared" si="393"/>
        <v/>
      </c>
      <c s="95" t="str">
        <f t="shared" si="418"/>
        <v/>
      </c>
      <c s="98" t="str">
        <f t="shared" si="401"/>
        <v/>
      </c>
      <c s="97" t="str">
        <f t="array" ref="DC199">IFERROR(IF(CW199="ac"+ISNUMBER(SEARCH("'",DB199))+DA199="","",IF(ISNUMBER(SEARCH("lw",DB199)),CO199+SUBSTITUTE(DB199,"lw+",""),MROUND(_xlfn.SWITCH(CW199,"sq",DA$7,"bn",DB$7,"dl",DC$7,"")*IF(DB199&gt;10,DB199/100,VLOOKUP(DB199,_rpe,SUBSTITUTE(DA199,"+","")+1,0)),IF(_xlfn.SWITCH(CW199,"sq",DA$7,"bn",DB$7,"dl",DC$7,"")&lt;IF(_uom="lbs",175,80),1.25,IF(_uom="lbs",5,2.5))))),"")</f>
        <v/>
      </c>
      <c s="70"/>
      <c s="63"/>
      <c s="97"/>
      <c s="44" t="str">
        <f>IFERROR(__xludf.DUMMYFUNCTION("IF(DC199=MAX(FILTER(DC$10:DC$199,LOOKUP(ROW(CW$10:CW$199),FILTER(ROW(CW$10:CW$199),CW$10:CW$199&lt;&gt;CW$9:CW$198))=LOOKUP(ROW(CW199),FILTER(ROW(CW$10:CW$199),CW$10:CW$199&lt;&gt;CW$9:CW$198)))),DD199,)"),"")</f>
        <v/>
      </c>
      <c s="42"/>
      <c s="63"/>
      <c s="64" t="str">
        <f t="shared" si="30"/>
        <v/>
      </c>
      <c s="65" t="str">
        <f>IFERROR(__xludf.DUMMYFUNCTION("""COMPUTED_VALUE"""),"")</f>
        <v/>
      </c>
      <c s="66">
        <f ca="1"/>
        <v>45264</v>
      </c>
      <c s="93" t="str">
        <f t="shared" si="46"/>
        <v/>
      </c>
      <c s="94" t="str">
        <f t="shared" si="394"/>
        <v/>
      </c>
      <c s="95" t="str">
        <f t="shared" si="419"/>
        <v/>
      </c>
      <c s="98" t="str">
        <f t="shared" si="420"/>
        <v/>
      </c>
      <c s="97" t="str">
        <f t="array" ref="DQ199">IFERROR(IF(DK199="ac"+ISNUMBER(SEARCH("'",DP199))+DO199="","",IF(ISNUMBER(SEARCH("lw",DP199)),DC199+SUBSTITUTE(DP199,"lw+",""),MROUND(_xlfn.SWITCH(DK199,"sq",DO$7,"bn",DP$7,"dl",DQ$7,"")*IF(DP199&gt;10,DP199/100,VLOOKUP(DP199,_rpe,SUBSTITUTE(DO199,"+","")+1,0)),IF(_xlfn.SWITCH(DK199,"sq",DO$7,"bn",DP$7,"dl",DQ$7,"")&lt;IF(_uom="lbs",175,80),1.25,IF(_uom="lbs",5,2.5))))),"")</f>
        <v/>
      </c>
      <c s="70"/>
      <c s="63"/>
      <c s="97"/>
      <c s="44" t="str">
        <f>IFERROR(__xludf.DUMMYFUNCTION("IF(DQ199=MAX(FILTER(DQ$10:DQ$199,LOOKUP(ROW(DK$10:DK$199),FILTER(ROW(DK$10:DK$199),DK$10:DK$199&lt;&gt;DK$9:DK$198))=LOOKUP(ROW(DK199),FILTER(ROW(DK$10:DK$199),DK$10:DK$199&lt;&gt;DK$9:DK$198)))),DR199,)"),"")</f>
        <v/>
      </c>
      <c s="42"/>
      <c s="63"/>
      <c s="64" t="str">
        <f t="shared" si="32"/>
        <v/>
      </c>
      <c s="65" t="str">
        <f>IFERROR(__xludf.DUMMYFUNCTION("""COMPUTED_VALUE"""),"")</f>
        <v/>
      </c>
      <c s="66">
        <f ca="1"/>
        <v>45271</v>
      </c>
      <c s="93" t="str">
        <f t="shared" si="47"/>
        <v/>
      </c>
      <c s="94" t="str">
        <f t="shared" si="405"/>
        <v/>
      </c>
      <c s="95" t="str">
        <f t="shared" si="421"/>
        <v/>
      </c>
      <c s="98" t="str">
        <f t="shared" si="422"/>
        <v/>
      </c>
      <c s="97" t="str">
        <f t="array" ref="EE199">IFERROR(IF(DY199="ac"+ISNUMBER(SEARCH("'",ED199))+EC199="","",IF(ISNUMBER(SEARCH("lw",ED199)),DQ199+SUBSTITUTE(ED199,"lw+",""),MROUND(_xlfn.SWITCH(DY199,"sq",EC$7,"bn",ED$7,"dl",EE$7,"")*IF(ED199&gt;10,ED199/100,VLOOKUP(ED199,_rpe,SUBSTITUTE(EC199,"+","")+1,0)),IF(_xlfn.SWITCH(DY199,"sq",EC$7,"bn",ED$7,"dl",EE$7,"")&lt;IF(_uom="lbs",175,80),1.25,IF(_uom="lbs",5,2.5))))),"")</f>
        <v/>
      </c>
      <c s="70"/>
      <c s="63"/>
      <c s="97"/>
      <c s="44" t="str">
        <f>IFERROR(__xludf.DUMMYFUNCTION("IF(EE199=MAX(FILTER(EE$10:EE$199,LOOKUP(ROW(DY$10:DY$199),FILTER(ROW(DY$10:DY$199),DY$10:DY$199&lt;&gt;DY$9:DY$198))=LOOKUP(ROW(DY199),FILTER(ROW(DY$10:DY$199),DY$10:DY$199&lt;&gt;DY$9:DY$198)))),EF199,)"),"")</f>
        <v/>
      </c>
      <c s="42"/>
      <c s="63"/>
      <c s="64" t="str">
        <f t="shared" si="34"/>
        <v/>
      </c>
      <c s="65" t="str">
        <f>IFERROR(__xludf.DUMMYFUNCTION("""COMPUTED_VALUE"""),"")</f>
        <v/>
      </c>
      <c s="66">
        <f ca="1"/>
        <v>45278</v>
      </c>
      <c s="93" t="str">
        <f t="shared" si="48"/>
        <v/>
      </c>
      <c s="94" t="str">
        <f t="shared" si="395"/>
        <v/>
      </c>
      <c s="95" t="str">
        <f t="shared" si="423"/>
        <v/>
      </c>
      <c s="98" t="str">
        <f t="shared" si="402"/>
        <v/>
      </c>
      <c s="97" t="str">
        <f t="array" ref="ES199">IFERROR(IF(EM199="ac"+ISNUMBER(SEARCH("'",ER199))+EQ199="","",IF(ISNUMBER(SEARCH("lw",ER199)),EE199+SUBSTITUTE(ER199,"lw+",""),MROUND(_xlfn.SWITCH(EM199,"sq",EQ$7,"bn",ER$7,"dl",ES$7,"")*IF(ER199&gt;10,ER199/100,VLOOKUP(ER199,_rpe,SUBSTITUTE(EQ199,"+","")+1,0)),IF(_xlfn.SWITCH(EM199,"sq",EQ$7,"bn",ER$7,"dl",ES$7,"")&lt;IF(_uom="lbs",175,80),1.25,IF(_uom="lbs",5,2.5))))),"")</f>
        <v/>
      </c>
      <c s="70"/>
      <c s="63"/>
      <c s="97"/>
      <c s="44" t="str">
        <f>IFERROR(__xludf.DUMMYFUNCTION("IF(ES199=MAX(FILTER(ES$10:ES$199,LOOKUP(ROW(EM$10:EM$199),FILTER(ROW(EM$10:EM$199),EM$10:EM$199&lt;&gt;EM$9:EM$198))=LOOKUP(ROW(EM199),FILTER(ROW(EM$10:EM$199),EM$10:EM$199&lt;&gt;EM$9:EM$198)))),ET199,)"),"")</f>
        <v/>
      </c>
      <c s="42"/>
      <c s="63"/>
      <c s="64" t="str">
        <f t="shared" si="36"/>
        <v/>
      </c>
      <c s="65" t="str">
        <f>IFERROR(__xludf.DUMMYFUNCTION("""COMPUTED_VALUE"""),"")</f>
        <v/>
      </c>
      <c s="66">
        <f ca="1"/>
        <v>45285</v>
      </c>
      <c s="93" t="str">
        <f t="shared" si="49"/>
        <v/>
      </c>
      <c s="94" t="str">
        <f t="shared" si="396"/>
        <v/>
      </c>
      <c s="95" t="str">
        <f t="shared" si="424"/>
        <v/>
      </c>
      <c s="98" t="str">
        <f t="shared" si="403"/>
        <v/>
      </c>
      <c s="97" t="str">
        <f t="array" ref="FG199">IFERROR(IF(FA199="ac"+ISNUMBER(SEARCH("'",FF199))+FE199="","",IF(ISNUMBER(SEARCH("lw",FF199)),ES199+SUBSTITUTE(FF199,"lw+",""),MROUND(_xlfn.SWITCH(FA199,"sq",FE$7,"bn",FF$7,"dl",FG$7,"")*IF(FF199&gt;10,FF199/100,VLOOKUP(FF199,_rpe,SUBSTITUTE(FE199,"+","")+1,0)),IF(_xlfn.SWITCH(FA199,"sq",FE$7,"bn",FF$7,"dl",FG$7,"")&lt;IF(_uom="lbs",175,80),1.25,IF(_uom="lbs",5,2.5))))),"")</f>
        <v/>
      </c>
      <c s="70"/>
      <c s="63"/>
      <c s="97"/>
      <c s="44" t="str">
        <f>IFERROR(__xludf.DUMMYFUNCTION("IF(FG199=MAX(FILTER(FG$10:FG$199,LOOKUP(ROW(FA$10:FA$199),FILTER(ROW(FA$10:FA$199),FA$10:FA$199&lt;&gt;FA$9:FA$198))=LOOKUP(ROW(FA199),FILTER(ROW(FA$10:FA$199),FA$10:FA$199&lt;&gt;FA$9:FA$198)))),FH199,)"),"")</f>
        <v/>
      </c>
      <c s="42"/>
      <c s="63"/>
      <c s="64" t="str">
        <f t="shared" si="38"/>
        <v/>
      </c>
      <c s="65" t="str">
        <f>IFERROR(__xludf.DUMMYFUNCTION("""COMPUTED_VALUE"""),"")</f>
        <v/>
      </c>
      <c s="66">
        <f ca="1"/>
        <v>45292</v>
      </c>
      <c s="93" t="str">
        <f t="shared" si="543" ref="FQ199:FR199">IF(ISBLANK(FC199),"",FC199)</f>
        <v/>
      </c>
      <c s="94" t="str">
        <f t="shared" si="543"/>
        <v/>
      </c>
      <c s="95" t="str">
        <f t="shared" si="428"/>
        <v/>
      </c>
      <c s="98" t="str">
        <f t="shared" si="429"/>
        <v/>
      </c>
      <c s="97" t="str">
        <f t="array" ref="FU199">IFERROR(IF(FO199="ac"+ISNUMBER(SEARCH("'",FT199))+FS199="","",IF(ISNUMBER(SEARCH("lw",FT199)),FG199+SUBSTITUTE(FT199,"lw+",""),MROUND(_xlfn.SWITCH(FO199,"sq",FS$7,"bn",FT$7,"dl",FU$7,"")*IF(FT199&gt;10,FT199/100,VLOOKUP(FT199,_rpe,SUBSTITUTE(FS199,"+","")+1,0)),IF(_xlfn.SWITCH(FO199,"sq",FS$7,"bn",FT$7,"dl",FU$7,"")&lt;IF(_uom="lbs",175,80),1.25,IF(_uom="lbs",5,2.5))))),"")</f>
        <v/>
      </c>
      <c s="70"/>
      <c s="63"/>
      <c s="97"/>
      <c s="44" t="str">
        <f>IFERROR(__xludf.DUMMYFUNCTION("IF(FU199=MAX(FILTER(FU$10:FU$199,LOOKUP(ROW(FO$10:FO$199),FILTER(ROW(FO$10:FO$199),FO$10:FO$199&lt;&gt;FO$9:FO$198))=LOOKUP(ROW(FO199),FILTER(ROW(FO$10:FO$199),FO$10:FO$199&lt;&gt;FO$9:FO$198)))),FV199,)"),"")</f>
        <v/>
      </c>
      <c s="42"/>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t="e">
        <f ca="1"/>
        <v>#REF!</v>
      </c>
    </row>
    <row r="200" spans="1:259" ht="15.75">
      <c r="A200"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row r="201" spans="1:259" ht="15.75">
      <c r="A201"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row r="202" spans="1:259" ht="15.75">
      <c r="A202"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row r="203" spans="1:259" ht="15.75">
      <c r="A203"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row r="204" spans="1:259" ht="15.75">
      <c r="A204"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row r="205" spans="1:259" ht="15.75">
      <c r="A205"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row r="206" spans="1:259" ht="15.75">
      <c r="A206"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row r="207" spans="1:259" ht="15.75">
      <c r="A207"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row r="208" spans="1:259" ht="15.75">
      <c r="A208"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row r="209" spans="1:259" ht="15.75">
      <c r="A209"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row r="210" spans="1:259" ht="15.75">
      <c r="A210" s="63"/>
      <c s="107"/>
      <c s="65" t="str">
        <f>IFERROR(__xludf.DUMMYFUNCTION("""COMPUTED_VALUE"""),"")</f>
        <v/>
      </c>
      <c s="66"/>
      <c s="110"/>
      <c s="100"/>
      <c s="101"/>
      <c s="111"/>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t="str">
        <f>IFERROR(__xludf.DUMMYFUNCTION("""COMPUTED_VALUE"""),"")</f>
        <v/>
      </c>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74"/>
      <c s="100"/>
      <c s="101"/>
      <c s="102"/>
      <c s="78"/>
      <c s="70"/>
      <c s="63"/>
      <c s="78"/>
      <c s="70"/>
      <c s="63"/>
      <c s="63"/>
      <c s="64"/>
      <c s="65"/>
      <c s="66"/>
      <c s="64"/>
      <c s="65"/>
      <c s="66"/>
    </row>
  </sheetData>
  <mergeCells count="2">
    <mergeCell ref="DN6:DO6"/>
    <mergeCell ref="F7:G7"/>
  </mergeCells>
  <conditionalFormatting sqref="DM10:DQ24 EA10:EE84 EO10:ES84 FC10:FG84 FQ10:FU84 DM32:DQ46 DM54:DQ68 DM76:DQ84">
    <cfRule type="expression" priority="1" dxfId="0">
      <formula>$DN$6="SELECT"</formula>
    </cfRule>
  </conditionalFormatting>
  <conditionalFormatting sqref="EA10:EE84 EO10:ES84 FC10:FG84 FQ10:FU84 DM18:DQ24 DM40:DQ46 DM58:DQ68 DM79:DQ84">
    <cfRule type="expression" priority="2" dxfId="1">
      <formula>$DN$6=9</formula>
    </cfRule>
  </conditionalFormatting>
  <conditionalFormatting sqref="E1:E5 S1:S210 AG1:AG210 AU1:AU210 BI1:BI210 BW1:BW210 CK1:CK210 CY1:CY210 DM1:DM210 EA1:EA210 EO1:EO210 FC1:FC210 FQ1:FQ210 GE1:GE210 GS1:GS210 HG1:HG210 HU1:HU210 II1:II210 E7:E210">
    <cfRule type="containsText" priority="3" dxfId="2" operator="containsText" text="Day">
      <formula>NOT(ISERROR(SEARCH("Day",E1)))</formula>
    </cfRule>
  </conditionalFormatting>
  <conditionalFormatting sqref="C10:I210">
    <cfRule type="expression" priority="4" dxfId="3">
      <formula>$C10="bn"</formula>
    </cfRule>
  </conditionalFormatting>
  <conditionalFormatting sqref="C10:I210">
    <cfRule type="expression" priority="5" dxfId="4">
      <formula>$C10="sq"</formula>
    </cfRule>
  </conditionalFormatting>
  <conditionalFormatting sqref="C10:I210">
    <cfRule type="expression" priority="6" dxfId="5">
      <formula>$C10="dl"</formula>
    </cfRule>
  </conditionalFormatting>
  <conditionalFormatting sqref="Q10:W210">
    <cfRule type="expression" priority="7" dxfId="4">
      <formula>$Q10="sq"</formula>
    </cfRule>
  </conditionalFormatting>
  <conditionalFormatting sqref="Q10:W210">
    <cfRule type="expression" priority="8" dxfId="6">
      <formula>$Q10="bn"</formula>
    </cfRule>
  </conditionalFormatting>
  <conditionalFormatting sqref="Q10:W210">
    <cfRule type="expression" priority="9" dxfId="5">
      <formula>$Q10="dl"</formula>
    </cfRule>
  </conditionalFormatting>
  <conditionalFormatting sqref="AE10:AK210">
    <cfRule type="expression" priority="10" dxfId="5">
      <formula>$AE10="dl"</formula>
    </cfRule>
  </conditionalFormatting>
  <conditionalFormatting sqref="AE10:AK210">
    <cfRule type="expression" priority="11" dxfId="4">
      <formula>$AE10="sq"</formula>
    </cfRule>
  </conditionalFormatting>
  <conditionalFormatting sqref="AE10:AK210">
    <cfRule type="expression" priority="12" dxfId="6">
      <formula>$AE10="bn"</formula>
    </cfRule>
  </conditionalFormatting>
  <conditionalFormatting sqref="AS10:AY210">
    <cfRule type="expression" priority="13" dxfId="4">
      <formula>$AS10="sq"</formula>
    </cfRule>
  </conditionalFormatting>
  <conditionalFormatting sqref="AS10:AY210">
    <cfRule type="expression" priority="14" dxfId="6">
      <formula>$AS10="bn"</formula>
    </cfRule>
  </conditionalFormatting>
  <conditionalFormatting sqref="AS10:AY210">
    <cfRule type="expression" priority="15" dxfId="5">
      <formula>$AS10="dl"</formula>
    </cfRule>
  </conditionalFormatting>
  <conditionalFormatting sqref="BG10:BM210">
    <cfRule type="expression" priority="16" dxfId="5">
      <formula>$BG10="dl"</formula>
    </cfRule>
  </conditionalFormatting>
  <conditionalFormatting sqref="BG10:BM210">
    <cfRule type="expression" priority="17" dxfId="4">
      <formula>$BG10="sq"</formula>
    </cfRule>
  </conditionalFormatting>
  <conditionalFormatting sqref="BU10:CA210">
    <cfRule type="expression" priority="18" dxfId="6">
      <formula>$BU10="bn"</formula>
    </cfRule>
  </conditionalFormatting>
  <conditionalFormatting sqref="BU10:CA210">
    <cfRule type="expression" priority="19" dxfId="4">
      <formula>$BU10="sq"</formula>
    </cfRule>
  </conditionalFormatting>
  <conditionalFormatting sqref="BU10:CA210">
    <cfRule type="expression" priority="20" dxfId="5">
      <formula>$BU10="dl"</formula>
    </cfRule>
  </conditionalFormatting>
  <conditionalFormatting sqref="BG10:BM210">
    <cfRule type="expression" priority="21" dxfId="6">
      <formula>$BG10="bn"</formula>
    </cfRule>
  </conditionalFormatting>
  <conditionalFormatting sqref="CI10:CO210">
    <cfRule type="expression" priority="22" dxfId="5">
      <formula>$CI10="dl"</formula>
    </cfRule>
  </conditionalFormatting>
  <conditionalFormatting sqref="CI10:CO210">
    <cfRule type="expression" priority="23" dxfId="6">
      <formula>$CI10="bn"</formula>
    </cfRule>
  </conditionalFormatting>
  <conditionalFormatting sqref="CI10:CO210">
    <cfRule type="expression" priority="24" dxfId="4">
      <formula>$CI10="sq"</formula>
    </cfRule>
  </conditionalFormatting>
  <conditionalFormatting sqref="CW10:DC210">
    <cfRule type="expression" priority="25" dxfId="4">
      <formula>$CW10="sq"</formula>
    </cfRule>
  </conditionalFormatting>
  <conditionalFormatting sqref="CW10:DC210">
    <cfRule type="expression" priority="26" dxfId="6">
      <formula>$CW10="bn"</formula>
    </cfRule>
  </conditionalFormatting>
  <conditionalFormatting sqref="CW10:DC210">
    <cfRule type="expression" priority="27" dxfId="5">
      <formula>$CW10="dl"</formula>
    </cfRule>
  </conditionalFormatting>
  <conditionalFormatting sqref="DK10:DQ210">
    <cfRule type="expression" priority="28" dxfId="5">
      <formula>$DK10="dl"</formula>
    </cfRule>
  </conditionalFormatting>
  <conditionalFormatting sqref="DK10:DQ210">
    <cfRule type="expression" priority="29" dxfId="4">
      <formula>$DK10="sq"</formula>
    </cfRule>
  </conditionalFormatting>
  <conditionalFormatting sqref="DK10:DQ210">
    <cfRule type="expression" priority="30" dxfId="6">
      <formula>$DK10="bn"</formula>
    </cfRule>
  </conditionalFormatting>
  <conditionalFormatting sqref="DY10:EE210">
    <cfRule type="expression" priority="31" dxfId="6">
      <formula>$DY10="bn"</formula>
    </cfRule>
  </conditionalFormatting>
  <conditionalFormatting sqref="DY10:EE210">
    <cfRule type="expression" priority="32" dxfId="4">
      <formula>$DY10="sq"</formula>
    </cfRule>
  </conditionalFormatting>
  <conditionalFormatting sqref="DY10:EE210">
    <cfRule type="expression" priority="33" dxfId="5">
      <formula>$DY10="dl"</formula>
    </cfRule>
  </conditionalFormatting>
  <conditionalFormatting sqref="EM10:ES210">
    <cfRule type="expression" priority="34" dxfId="5">
      <formula>$EM10="dl"</formula>
    </cfRule>
  </conditionalFormatting>
  <conditionalFormatting sqref="EM10:ES210">
    <cfRule type="expression" priority="35" dxfId="4">
      <formula>$EM10="sq"</formula>
    </cfRule>
  </conditionalFormatting>
  <conditionalFormatting sqref="EM10:ES210">
    <cfRule type="expression" priority="36" dxfId="6">
      <formula>$EM10="bn"</formula>
    </cfRule>
  </conditionalFormatting>
  <conditionalFormatting sqref="FA10:FG210">
    <cfRule type="expression" priority="37" dxfId="6">
      <formula>$FA10="bn"</formula>
    </cfRule>
  </conditionalFormatting>
  <conditionalFormatting sqref="FA10:FG210">
    <cfRule type="expression" priority="38" dxfId="4">
      <formula>$FA10="sq"</formula>
    </cfRule>
  </conditionalFormatting>
  <conditionalFormatting sqref="FA10:FG210">
    <cfRule type="expression" priority="39" dxfId="5">
      <formula>$FA10="dl"</formula>
    </cfRule>
  </conditionalFormatting>
  <conditionalFormatting sqref="FO10:FU210">
    <cfRule type="expression" priority="40" dxfId="5">
      <formula>$FO10="dl"</formula>
    </cfRule>
  </conditionalFormatting>
  <conditionalFormatting sqref="FO10:FU210">
    <cfRule type="expression" priority="41" dxfId="4">
      <formula>$FO10="sq"</formula>
    </cfRule>
  </conditionalFormatting>
  <conditionalFormatting sqref="FO10:FU210">
    <cfRule type="expression" priority="42" dxfId="6">
      <formula>$FO10="bn"</formula>
    </cfRule>
  </conditionalFormatting>
  <dataValidations count="13">
    <dataValidation type="list" allowBlank="1" sqref="E40">
      <formula1>"SELECT,Cable Pullthrough,Barbell Hip Thrust,Single Leg Hip Thrust,Band-distracted RDL (BB/DB/KB),Band-distracted Lunge (DB/KB),Reverse Hyperextension,Glute-focused Hyperextension"</formula1>
    </dataValidation>
    <dataValidation type="list" allowBlank="1" sqref="F7">
      <formula1>"SELECT,MALE,FEMALE"</formula1>
    </dataValidation>
    <dataValidation type="list" allowBlank="1" sqref="E62">
      <formula1>"SELECT,Overhead Press,Machine Overhead Press,DB Lateral Raise,One Arm DB Shoulder Press,Cable Overhead Press"</formula1>
    </dataValidation>
    <dataValidation type="list" allowBlank="1" sqref="E23">
      <formula1>"SELECT,Rope Cable Crunch,Weighted Crunch,Decline Weighted Situp,Kneeling Pallof Press,Dead Bug,Hanging Leg Raise"</formula1>
    </dataValidation>
    <dataValidation type="list" allowBlank="1" sqref="E44 E66">
      <formula1>"SELECT,Tricep Pushdown,Skullcrusher,Dips,Assisted Dips,Single Arm Overhead Tricep Extension (DB),Overhead Tricep Extension"</formula1>
    </dataValidation>
    <dataValidation type="list" allowBlank="1" sqref="E79">
      <formula1>"SELECT,Leg Press,Hack Squat,Belt Squat,Bulgarian Split Squat (low back leg),Walking DB Lunge"</formula1>
    </dataValidation>
    <dataValidation type="list" allowBlank="1" sqref="E80">
      <formula1>"SELECT,Leg Extension,Terminal Knee Extension (TKE)"</formula1>
    </dataValidation>
    <dataValidation type="list" allowBlank="1" sqref="E58">
      <formula1>"SELECT,Lat Pulldown,Pull-ups,Machine High Row"</formula1>
    </dataValidation>
    <dataValidation type="list" allowBlank="1" sqref="E22">
      <formula1>"SELECT,Chest-supported Row,Pendlay Row,Machine Row,DB Row,T-bar Row,TRX Row"</formula1>
    </dataValidation>
    <dataValidation type="list" allowBlank="1" sqref="L10:L199 Z10:Z199 AN10:AN199 BB10:BB199 BP10:BP199 CD10:CD199 CR10:CR199 DF10:DF199 DT10:DT199 EH10:EH199 EV10:EV199 FJ10:FJ199 FX10:FX199">
      <formula1>"&lt;5,5.5,6,6.5,7,7.5,8,8.5,9,9.5,10"</formula1>
    </dataValidation>
    <dataValidation type="list" allowBlank="1" sqref="E45 E67">
      <formula1>"SELECT,EZ Bar Curl,DB Curl,Seated Incline DB Curl,Preacher Curl,Machine Curl"</formula1>
    </dataValidation>
    <dataValidation type="list" allowBlank="1" sqref="DN6">
      <formula1>"SELECT,9,13"</formula1>
    </dataValidation>
    <dataValidation type="list" allowBlank="1" sqref="E18">
      <formula1>"SELECT,DB Bench Press,Machine Chest Press,Incline Bench Press,Close Grip Bench Press"</formula1>
    </dataValidation>
  </dataValidations>
  <pageMargins left="0.75" right="0.75" top="1" bottom="1" header="0.5" footer="0.5"/>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mx="http://schemas.microsoft.com/office/mac/excel/2008/main" xmlns:mv="urn:schemas-microsoft-com:mac:vml" xmlns:x15="http://schemas.microsoft.com/office/spreadsheetml/2010/11/main" xmlns:x14ac="http://schemas.microsoft.com/office/spreadsheetml/2009/9/ac">
  <sheetPr>
    <outlinePr summaryBelow="0" summaryRight="0"/>
  </sheetPr>
  <dimension ref="A1:W404"/>
  <sheetViews>
    <sheetView showGridLines="0" workbookViewId="0" topLeftCell="A1"/>
  </sheetViews>
  <sheetFormatPr defaultColWidth="12.6342857142857" defaultRowHeight="15.75" customHeight="1"/>
  <cols>
    <col min="1" max="1" width="3.28571428571429" customWidth="1"/>
    <col min="2" max="2" width="10" customWidth="1"/>
    <col min="3" max="3" width="11.4285714285714" customWidth="1"/>
    <col min="4" max="4" width="7.28571428571429" customWidth="1"/>
    <col min="5" max="5" width="6.85714285714286" customWidth="1"/>
    <col min="6" max="6" width="12.7142857142857" customWidth="1"/>
    <col min="7" max="7" width="9" customWidth="1"/>
    <col min="8" max="8" width="9.71428571428571" customWidth="1"/>
    <col min="9" max="9" width="12.1428571428571" customWidth="1"/>
    <col min="10" max="10" width="13.7142857142857" customWidth="1"/>
    <col min="11" max="11" width="15.4285714285714" customWidth="1"/>
    <col min="12" max="12" width="10.5714285714286" customWidth="1"/>
    <col min="13" max="13" width="9.85714285714286" customWidth="1"/>
    <col min="14" max="14" width="13.8571428571429" customWidth="1"/>
    <col min="15" max="15" width="10.5714285714286" customWidth="1"/>
    <col min="16" max="16" width="13" customWidth="1"/>
    <col min="17" max="17" width="7" customWidth="1"/>
    <col min="19" max="19" width="12.5714285714286" hidden="1"/>
    <col min="20" max="20" width="31.1428571428571" hidden="1" customWidth="1"/>
    <col min="21" max="22" width="12.5714285714286" hidden="1"/>
    <col min="23" max="23" width="26.8571428571429" customWidth="1"/>
  </cols>
  <sheetData>
    <row r="1" spans="1:23" ht="23.25" customHeight="1">
      <c r="A1" s="112"/>
      <c s="113"/>
      <c s="114"/>
      <c s="114"/>
      <c s="114"/>
      <c s="114"/>
      <c s="114"/>
      <c s="114"/>
      <c s="114"/>
      <c s="114"/>
      <c s="114"/>
      <c s="38" t="str">
        <f>_xlfn.IFS(ISNUMBER(VALUE(LEFT(meetctdn,2))),LEFT(meetctdn,2),ISNUMBER(VALUE(LEFT(meetctdn,1))),LEFT(meetctdn,1),TRUE,"N/A")</f>
        <v>N/A</v>
      </c>
      <c s="38"/>
      <c s="115"/>
      <c s="115"/>
      <c s="115"/>
      <c s="115"/>
      <c s="42"/>
      <c s="42"/>
      <c s="42"/>
      <c s="42"/>
      <c s="42"/>
      <c s="42"/>
    </row>
    <row r="2" spans="1:23" ht="15.75">
      <c r="A2" s="42"/>
      <c s="116"/>
      <c s="116"/>
      <c s="116"/>
      <c s="116"/>
      <c s="116"/>
      <c s="116"/>
      <c s="116"/>
      <c s="116"/>
      <c s="116"/>
      <c s="116"/>
      <c r="M2" s="117" t="str">
        <f ca="1">IF(AND(TIME(HOUR(NOW()),MINUTE(NOW()),SECOND(NOW()))&gt;=TIME(0,0,0),TIME(HOUR(NOW()),MINUTE(NOW()),SECOND(NOW()))&lt;=TIME(12,0,0)),"Good morning, ",IF(AND(TIME(HOUR(NOW()),MINUTE(NOW()),SECOND(NOW()))&gt;TIME(12,0,0),TIME(HOUR(NOW()),MINUTE(NOW()),SECOND(NOW()))&lt;=TIME(18,0,0)),"Good afternoon, ",IF(AND(TIME(HOUR(NOW()),MINUTE(NOW()),SECOND(NOW()))&gt;=TIME(18,0,0),TIME(HOUR(NOW()),MINUTE(NOW()),SECOND(NOW()))&lt;=TIME(23,59,59)),"Good evening, ","error")))&amp;C5&amp;"."</f>
        <v>Good evening, First.</v>
      </c>
      <c s="118"/>
      <c s="1"/>
      <c s="1"/>
      <c s="38"/>
      <c s="42"/>
      <c s="42"/>
      <c s="42"/>
      <c s="42"/>
      <c s="42"/>
      <c s="42"/>
    </row>
    <row r="3" spans="1:23" ht="12.75" customHeight="1">
      <c r="A3" s="42"/>
      <c s="116"/>
      <c s="116"/>
      <c s="116"/>
      <c s="116"/>
      <c s="119"/>
      <c s="119"/>
      <c s="119"/>
      <c s="119"/>
      <c s="119"/>
      <c s="119"/>
      <c r="M3" s="120"/>
      <c r="Q3" s="38"/>
      <c s="121"/>
      <c s="121"/>
      <c s="121"/>
      <c s="121"/>
      <c s="121"/>
      <c s="121"/>
    </row>
    <row r="4" spans="1:22" ht="32.25" customHeight="1">
      <c r="A4" s="42"/>
      <c s="122"/>
      <c s="122"/>
      <c s="122"/>
      <c s="122"/>
      <c s="123"/>
      <c s="123"/>
      <c s="123"/>
      <c r="J4" s="42"/>
      <c r="Q4" s="38"/>
      <c s="42"/>
      <c s="42"/>
      <c s="42"/>
      <c s="42"/>
      <c s="42"/>
    </row>
    <row r="5" spans="1:22" ht="19.5" customHeight="1">
      <c r="A5" s="42"/>
      <c s="122"/>
      <c s="124" t="str">
        <f>'Personal Info'!L26</f>
        <v>First</v>
      </c>
      <c s="122"/>
      <c s="122"/>
      <c s="123"/>
      <c s="123"/>
      <c s="123"/>
      <c s="125"/>
      <c s="125"/>
      <c s="125"/>
      <c r="M5" s="126"/>
      <c r="Q5" s="38"/>
      <c s="42"/>
      <c s="127" t="s">
        <v>208</v>
      </c>
      <c s="127" t="s">
        <v>209</v>
      </c>
      <c s="127" t="s">
        <v>210</v>
      </c>
      <c s="127" t="s">
        <v>211</v>
      </c>
    </row>
    <row r="6" spans="1:22" ht="37.5" customHeight="1">
      <c r="A6" s="42"/>
      <c s="122"/>
      <c s="124" t="str">
        <f>'Personal Info'!L27</f>
        <v>Last</v>
      </c>
      <c s="122"/>
      <c s="122"/>
      <c s="123"/>
      <c s="128"/>
      <c s="128"/>
      <c s="129"/>
      <c s="129"/>
      <c s="129"/>
      <c r="M6" s="130" t="str">
        <f>IFERROR(IF('Personal Info'!Q29=0,"F: "&amp;'Personal Info'!Q26&amp;", C: "&amp;'Personal Info'!R26&amp;", P: "&amp;'Personal Info'!S26,LOWER('Personal Info'!P26)&amp;": "&amp;'Personal Info'!Q26&amp;"/"&amp;'Personal Info'!R26&amp;"/"&amp;'Personal Info'!S26&amp;", "&amp;'Personal Info'!L49&amp;" days"),"")</f>
        <v/>
      </c>
      <c r="Q6" s="38"/>
      <c s="42"/>
      <c s="131" t="s">
        <v>212</v>
      </c>
      <c s="132">
        <f>IF(_uom="lbs",CEILING(('Personal Info'!L30/2.2)*0.0417,0.1),CEILING(('Personal Info'!L30)*0.0417,0.1))</f>
        <v>3.5</v>
      </c>
      <c s="132">
        <f>T6+4</f>
        <v>7.5</v>
      </c>
      <c s="132" t="str">
        <f>T6&amp;" - "&amp;U6</f>
        <v>3.5 - 7.5</v>
      </c>
    </row>
    <row r="7" spans="1:22" ht="15.75">
      <c r="A7" s="42"/>
      <c s="122"/>
      <c s="122"/>
      <c s="122"/>
      <c s="122"/>
      <c s="122"/>
      <c s="122"/>
      <c s="122"/>
      <c s="42"/>
      <c s="42"/>
      <c s="42"/>
      <c s="42"/>
      <c s="130" t="str">
        <f>IF('Personal Info'!Q29=0,"",LOWER('Personal Info'!P29)&amp;": "&amp;'Personal Info'!Q29&amp;"/"&amp;'Personal Info'!R29&amp;"/"&amp;'Personal Info'!S29&amp;", "&amp;'Personal Info'!L54&amp;" days")</f>
        <v/>
      </c>
      <c r="Q7" s="38"/>
      <c s="42"/>
      <c s="133"/>
      <c s="134"/>
      <c s="135"/>
      <c s="135"/>
    </row>
    <row r="8" spans="1:22" ht="15.75" thickBot="1">
      <c r="A8" s="42"/>
      <c s="136"/>
      <c s="136"/>
      <c s="136"/>
      <c s="136"/>
      <c s="136"/>
      <c s="136"/>
      <c s="136"/>
      <c s="137"/>
      <c s="137"/>
      <c s="137"/>
      <c s="137"/>
      <c s="137"/>
      <c s="137"/>
      <c s="137"/>
      <c s="137"/>
      <c s="38"/>
      <c s="42"/>
      <c s="133" t="s">
        <v>213</v>
      </c>
      <c s="134" t="str">
        <f>MROUND(IF('Personal Info'!T30=0,'Personal Info'!T27,AVERAGE('Personal Info'!T27,'Personal Info'!T30))/1000,1)</f>
        <v>#NUM!</v>
      </c>
      <c s="135" t="str">
        <f>T8+4</f>
        <v>#NUM!</v>
      </c>
      <c s="135" t="str">
        <f>TEXT(T8,"0")&amp;" - "&amp;TEXT(U8,"0")&amp;" servings"</f>
        <v>#NUM!</v>
      </c>
    </row>
    <row r="9" spans="1:22" ht="25.5" customHeight="1" thickTop="1">
      <c r="A9" s="42"/>
      <c s="138"/>
      <c s="138"/>
      <c s="138"/>
      <c s="138"/>
      <c s="139"/>
      <c s="140"/>
      <c s="140"/>
      <c s="140"/>
      <c s="141"/>
      <c s="140"/>
      <c s="142"/>
      <c s="143"/>
      <c s="143"/>
      <c s="143"/>
      <c s="143"/>
      <c s="144"/>
      <c s="42"/>
      <c s="131" t="s">
        <v>214</v>
      </c>
      <c s="132" t="str">
        <f>MROUND('Personal Info'!L51*0.05,5)/5</f>
        <v>#NUM!</v>
      </c>
      <c s="132" t="str">
        <f>MROUND('Personal Info'!L51*0.2,5)/5</f>
        <v>#NUM!</v>
      </c>
      <c s="132" t="str">
        <f>25&amp;" - "&amp;MROUND('Personal Info'!L51*0.2,5)</f>
        <v>#NUM!</v>
      </c>
    </row>
    <row r="10" spans="1:22" ht="15.75">
      <c r="A10" s="42"/>
      <c s="138"/>
      <c s="145" t="str">
        <f ca="1">IFERROR(TEXT(AVERAGE(IF(COUNTA(C22:C404)&lt;7,C22:C28,OFFSET(C22,COUNTA(C22:C404)-$K$19,0,$K$19,1))),"0.0"),"")&amp;_uom</f>
        <v>180.1lbs</v>
      </c>
      <c s="138"/>
      <c r="F10" s="146"/>
      <c s="147" t="str">
        <f>'Personal Info'!L28</f>
        <v>5'6"</v>
      </c>
      <c r="J10" s="146"/>
      <c s="147">
        <f>'Personal Info'!L29</f>
        <v>18</v>
      </c>
      <c s="148"/>
      <c r="N10" s="149" t="str">
        <f ca="1">IFERROR(MROUND(AVERAGE(IF(COUNTA(C22:C404)&lt;7,G22:G28,OFFSET(C21,COUNTA(C22:C404)-6,4,7,1))),1),"")</f>
        <v/>
      </c>
      <c r="Q10" s="150"/>
      <c s="42"/>
      <c s="151" t="s">
        <v>215</v>
      </c>
      <c s="135">
        <v>7</v>
      </c>
      <c s="135">
        <v>10</v>
      </c>
      <c s="135" t="s">
        <v>216</v>
      </c>
    </row>
    <row r="11" spans="1:22" ht="15.75">
      <c r="A11" s="42"/>
      <c s="138"/>
      <c s="152" t="s">
        <v>217</v>
      </c>
      <c s="138"/>
      <c r="F11" s="153"/>
      <c s="152" t="s">
        <v>218</v>
      </c>
      <c r="J11" s="146"/>
      <c s="152" t="s">
        <v>219</v>
      </c>
      <c s="148"/>
      <c r="N11" s="152" t="s">
        <v>220</v>
      </c>
      <c r="Q11" s="150"/>
      <c s="42"/>
      <c s="131" t="s">
        <v>221</v>
      </c>
      <c s="132">
        <v>3</v>
      </c>
      <c s="132">
        <v>6</v>
      </c>
      <c s="154">
        <v>43165</v>
      </c>
    </row>
    <row r="12" spans="1:22" ht="11.25" customHeight="1">
      <c r="A12" s="42"/>
      <c s="40"/>
      <c s="42" t="str">
        <f>IFERROR(__xludf.DUMMYFUNCTION("sparkline(IF(COUNTA(C22:C404)&lt;7,C22:C28,OFFSET(C22,COUNTA(C22:C404)-$K$19,0,$K$19,1)), {""color"", ""9E424B"";""linewidth"",2.5;""empty"",""ignore""})"),"")</f>
        <v/>
      </c>
      <c r="E12" s="42"/>
      <c s="155"/>
      <c s="42"/>
      <c r="I12" s="42"/>
      <c s="155"/>
      <c s="42"/>
      <c s="148"/>
      <c s="42"/>
      <c s="42"/>
      <c s="42"/>
      <c s="42"/>
      <c s="38"/>
      <c s="42"/>
      <c s="42"/>
      <c s="42"/>
      <c s="42"/>
      <c s="42"/>
    </row>
    <row r="13" spans="1:23" ht="15.75">
      <c r="A13" s="42"/>
      <c s="156"/>
      <c s="157"/>
      <c s="157"/>
      <c s="157"/>
      <c s="158"/>
      <c s="157"/>
      <c s="157"/>
      <c s="157"/>
      <c s="158"/>
      <c s="157"/>
      <c s="159"/>
      <c s="157"/>
      <c s="157"/>
      <c s="157"/>
      <c s="157"/>
      <c s="38"/>
      <c s="42"/>
      <c s="42"/>
      <c s="42"/>
      <c s="42"/>
      <c s="42"/>
      <c s="42"/>
    </row>
    <row r="14" spans="1:23" ht="18.75" customHeight="1">
      <c r="A14" s="42"/>
      <c s="40"/>
      <c s="42"/>
      <c s="42"/>
      <c s="42"/>
      <c s="155"/>
      <c s="42"/>
      <c s="42"/>
      <c s="42"/>
      <c s="155"/>
      <c s="42"/>
      <c s="148"/>
      <c s="42"/>
      <c s="42"/>
      <c s="42"/>
      <c s="42"/>
      <c s="38"/>
      <c s="42"/>
      <c s="42"/>
      <c s="42"/>
      <c s="42"/>
      <c s="42"/>
      <c s="42"/>
    </row>
    <row r="15" spans="1:23" ht="13.5" customHeight="1">
      <c r="A15" s="42"/>
      <c r="C15" s="149" t="str">
        <f ca="1">IFERROR(MROUND(AVERAGE(IF(COUNTA(C22:C404)&lt;7,D22:D28,OFFSET(C21,COUNTA(C22:C404)-$K$19+1,1,$K$19,1))),1),"")&amp;"g"</f>
        <v>g</v>
      </c>
      <c s="42"/>
      <c r="F15" s="160"/>
      <c s="149" t="str">
        <f ca="1">IFERROR(MROUND(AVERAGE(IF(COUNTA(C22:C404)&lt;7,E22:E28,OFFSET(C21,COUNTA(C22:C404)-$K$19+1,2,$K$19,1))),1),"")&amp;"g"</f>
        <v>g</v>
      </c>
      <c s="42"/>
      <c r="J15" s="155"/>
      <c s="149" t="str">
        <f ca="1">IFERROR(MROUND(AVERAGE(IF(COUNTA(C22:C404)&lt;7,F22:F28,OFFSET(C21,COUNTA(C22:C404)-$K$19+1,3,$K$19,1))),1),"")&amp;"g"</f>
        <v>181g</v>
      </c>
      <c s="148"/>
      <c s="42"/>
      <c s="161" t="str">
        <f>TEXT(AVERAGE(L19,10-M19,N19,10-O19,P19),"0.00")</f>
        <v>7.70</v>
      </c>
      <c r="Q15" s="38"/>
      <c s="42"/>
      <c s="42"/>
      <c s="42"/>
      <c s="42"/>
      <c s="42"/>
      <c s="42"/>
    </row>
    <row r="16" spans="1:22" ht="19.5" customHeight="1">
      <c r="A16" s="42"/>
      <c s="93"/>
      <c s="152" t="s">
        <v>222</v>
      </c>
      <c s="42"/>
      <c r="F16" s="155"/>
      <c s="152" t="s">
        <v>223</v>
      </c>
      <c s="42"/>
      <c r="J16" s="162"/>
      <c s="152" t="s">
        <v>224</v>
      </c>
      <c s="148"/>
      <c s="42"/>
      <c s="152" t="s">
        <v>225</v>
      </c>
      <c r="Q16" s="38"/>
      <c s="42"/>
      <c s="42"/>
      <c s="42"/>
      <c s="42"/>
      <c s="42"/>
    </row>
    <row r="17" spans="1:22" ht="13.5" customHeight="1">
      <c r="A17" s="42"/>
      <c r="C17" s="42" t="str">
        <f ca="1" t="array" ref="C17">sparkline(IF(COUNTA(C22:C404)&lt;7,D22:D28,OFFSET(C21,COUNTA(C22:C404)-$K$19+1,1,$K$19,1)),{"color","9E424B";"linewidth",2.5;"empty","ignore"})</f>
        <v>#N/A</v>
      </c>
      <c r="E17" s="42"/>
      <c s="155"/>
      <c s="163" t="str">
        <f ca="1" t="array" ref="G17">IFERROR(sparkline(IF(COUNTA(C22:C404)&lt;7,E22:E28,OFFSET(C21,COUNTA(C22:C404)-$K$19+1,2,$K$19,1)),{"color","6E8EA0";"linewidth",2.5;"empty","ignore"}),"")</f>
        <v/>
      </c>
      <c r="I17" s="42"/>
      <c s="155"/>
      <c s="42" t="str">
        <f>IFERROR(__xludf.DUMMYFUNCTION("sparkline(IF(COUNTA(C22:C404)&lt;7,F22:F28,OFFSET(C21,COUNTA(C22:C404)-$K$19+1,3,$K$19,1)), {""color"", ""9EA3B0"";""linewidth"",2.5;""empty"",""ignore""})"),"")</f>
        <v/>
      </c>
      <c s="148"/>
      <c s="42"/>
      <c s="42" t="str">
        <f>IFERROR(__xludf.DUMMYFUNCTION("sparkline(IF(COUNTA(C22:C404)&lt;7,Q22:Q28,OFFSET(C21,COUNTA(C22:C404)-$K$19+1,14,$K$19,1)), {""color"", ""60282E"";""linewidth"",2.5;""empty"",""ignore""})"),"")</f>
        <v/>
      </c>
      <c r="P17" s="42"/>
      <c s="38"/>
      <c s="42"/>
      <c s="42"/>
      <c s="42"/>
      <c s="42"/>
      <c s="42"/>
    </row>
    <row r="18" spans="1:22" ht="12" customHeight="1">
      <c r="A18" s="42"/>
      <c s="157"/>
      <c s="157"/>
      <c s="157"/>
      <c s="157"/>
      <c s="158"/>
      <c s="157"/>
      <c s="157"/>
      <c s="157"/>
      <c s="158"/>
      <c s="157"/>
      <c s="159"/>
      <c s="157"/>
      <c s="157"/>
      <c s="157"/>
      <c s="157"/>
      <c s="38"/>
      <c s="42"/>
      <c s="42"/>
      <c s="42"/>
      <c s="42"/>
      <c s="42"/>
    </row>
    <row r="19" spans="1:22" ht="33.75" customHeight="1">
      <c r="A19" s="42"/>
      <c s="42"/>
      <c s="42"/>
      <c s="164"/>
      <c s="164"/>
      <c s="164"/>
      <c s="165"/>
      <c s="164"/>
      <c s="164"/>
      <c s="164"/>
      <c s="166">
        <v>7</v>
      </c>
      <c s="167">
        <f ca="1">IFERROR(MROUND(AVERAGE(IF(COUNTA(C22:C404)&lt;7,L22:L404,OFFSET(C21,COUNTA(C22:C404)-6,9,$K$19,1))),0.1),"")</f>
        <v>5.5</v>
      </c>
      <c s="167">
        <f ca="1">IFERROR(MROUND(AVERAGE(IF(COUNTA(C22:C404)&lt;7,M22:M404,OFFSET(C21,COUNTA(C22:C404)-6,10,$K$19,1))),0.1),"")</f>
        <v>2</v>
      </c>
      <c s="167">
        <f ca="1">IFERROR(MROUND(AVERAGE(IF(COUNTA(C22:C404)&lt;7,N22:N404,OFFSET(C21,COUNTA(C22:C404)-6,11,$K$19,1))),0.1),"")</f>
        <v>8</v>
      </c>
      <c s="167">
        <f ca="1">IFERROR(MROUND(AVERAGE(IF(COUNTA(C22:C404)&lt;7,O22:O404,OFFSET(C21,COUNTA(C22:C404)-6,12,$K$19,1))),0.1),"")</f>
        <v>1</v>
      </c>
      <c s="167">
        <f ca="1">IFERROR(MROUND(AVERAGE(IF(COUNTA(C22:C404)&lt;7,P22:P404,OFFSET(C21,COUNTA(C22:C404)-6,13,$K$19,1))),0.1),"")</f>
        <v>8</v>
      </c>
      <c s="168"/>
      <c s="42"/>
      <c s="42"/>
      <c s="42"/>
      <c s="42"/>
      <c s="42"/>
    </row>
    <row r="20" spans="1:22" ht="45" customHeight="1">
      <c r="A20" s="42"/>
      <c s="42"/>
      <c s="40"/>
      <c s="42"/>
      <c s="42"/>
      <c s="42"/>
      <c s="42"/>
      <c s="42"/>
      <c s="42"/>
      <c s="42"/>
      <c s="38"/>
      <c s="169" t="str">
        <f ca="1">IF(ISBLANK(L29),"0.0",(IF(AVERAGE(OFFSET(C21,COUNTA(C22:C404)-6,9,7,1))-AVERAGE(OFFSET(C21,COUNTA(C22:C404)-13,9,7,1))&gt;0,"↑ ","↓ ")&amp;TEXT(ABS(AVERAGE(OFFSET(C21,COUNTA(C22:C404)-6,9,7,1))-AVERAGE(OFFSET(C21,COUNTA(C22:C404)-13,9,7,1))),"0.0")))</f>
        <v>0.0</v>
      </c>
      <c s="169" t="str">
        <f ca="1">IF(ISBLANK(M29),"0.0",IF(AVERAGE(OFFSET(C21,COUNTA(C22:C404)-6,10,7,1))-AVERAGE(OFFSET(C21,COUNTA(C22:C404)-13,10,7,1))&gt;0,"↑ ","↓ ")&amp;TEXT(ABS(AVERAGE(OFFSET(C21,COUNTA(C22:C404)-6,10,7,1))-AVERAGE(OFFSET(C21,COUNTA(C22:C404)-13,10,7,1))),"0.0"))</f>
        <v>0.0</v>
      </c>
      <c s="169" t="str">
        <f ca="1">IF(ISBLANK(N29),"0.0",IF(AVERAGE(OFFSET(C21,COUNTA(C22:C404)-6,11,7,1))-AVERAGE(OFFSET(C21,COUNTA(C22:C404)-13,11,7,1))&gt;0,"↑ ","↓ ")&amp;TEXT(ABS(AVERAGE(OFFSET(C21,COUNTA(C22:C404)-6,11,7,1))-AVERAGE(OFFSET(C21,COUNTA(C22:C404)-13,11,7,1))),"0.0"))</f>
        <v>0.0</v>
      </c>
      <c s="169" t="str">
        <f ca="1">IF(ISBLANK(O29),"0.0",IF(AVERAGE(OFFSET(C21,COUNTA(C22:C404)-6,12,7,1))-AVERAGE(OFFSET(C21,COUNTA(C22:C404)-13,12,7,1))&gt;0,"↑ ","↓ ")&amp;TEXT(ABS(AVERAGE(OFFSET(C21,COUNTA(C22:C404)-6,12,7,1))-AVERAGE(OFFSET(C21,COUNTA(C22:C404)-13,12,7,1))),"0.0"))</f>
        <v>0.0</v>
      </c>
      <c s="169" t="str">
        <f ca="1">IF(ISBLANK(P29),"0.0",IF(AVERAGE(OFFSET(C21,COUNTA(C22:C404)-6,13,7,1))-AVERAGE(OFFSET(C21,COUNTA(C22:C404)-13,13,7,1))&gt;0,"↑ ","↓ ")&amp;TEXT(ABS(AVERAGE(OFFSET(C21,COUNTA(C22:C404)-6,13,7,1))-AVERAGE(OFFSET(C21,COUNTA(C22:C404)-13,13,7,1))),"0.0"))</f>
        <v>0.0</v>
      </c>
      <c s="38"/>
      <c s="42"/>
      <c s="42"/>
      <c s="42"/>
      <c s="42"/>
      <c s="42"/>
    </row>
    <row r="21" spans="1:22" ht="15.75">
      <c r="A21" s="42"/>
      <c s="170" t="s">
        <v>226</v>
      </c>
      <c s="170" t="s">
        <v>227</v>
      </c>
      <c s="170" t="s">
        <v>228</v>
      </c>
      <c s="170" t="s">
        <v>229</v>
      </c>
      <c s="170" t="s">
        <v>230</v>
      </c>
      <c s="170" t="s">
        <v>231</v>
      </c>
      <c s="170" t="s">
        <v>232</v>
      </c>
      <c s="170" t="s">
        <v>233</v>
      </c>
      <c s="170" t="s">
        <v>234</v>
      </c>
      <c s="171"/>
      <c s="172" t="s">
        <v>235</v>
      </c>
      <c s="172" t="s">
        <v>236</v>
      </c>
      <c s="172" t="s">
        <v>237</v>
      </c>
      <c s="172" t="s">
        <v>238</v>
      </c>
      <c s="172" t="s">
        <v>239</v>
      </c>
      <c s="173"/>
      <c s="42"/>
      <c s="42"/>
      <c s="42"/>
      <c s="42"/>
      <c s="42"/>
    </row>
    <row r="22" spans="1:22" ht="18" customHeight="1">
      <c r="A22" s="42"/>
      <c s="174">
        <f>progdt</f>
        <v>45212</v>
      </c>
      <c s="175">
        <f>'Personal Info'!L30</f>
        <v>180</v>
      </c>
      <c s="176"/>
      <c s="176"/>
      <c s="176">
        <f>'Personal Info'!S27</f>
        <v>180</v>
      </c>
      <c s="176" t="str">
        <f t="array" ref="G22:G404">_xlfn.IFS(ISBLANK(D22:D404),"",ISBLANK(E22:E404),"",ISBLANK(F22:F404),"",TRUE,D22:D404*9+E22:E404*4+F22:F404*4)</f>
        <v/>
      </c>
      <c s="175" t="s">
        <v>240</v>
      </c>
      <c s="175">
        <v>1</v>
      </c>
      <c s="177" t="s">
        <v>241</v>
      </c>
      <c r="L22" s="175">
        <v>9</v>
      </c>
      <c s="175">
        <v>2</v>
      </c>
      <c s="175">
        <v>8</v>
      </c>
      <c s="175">
        <v>1</v>
      </c>
      <c s="175">
        <v>8</v>
      </c>
      <c s="178">
        <f t="array" ref="Q22:Q404">IF((L22:L404+(10-M22:M404)+N22:N404+(10-O22:O404)+P22:P404)/5=4,"",(L22:L404+(10-M22:M404)+N22:N404+(10-O22:O404)+P22:P404)/5)</f>
        <v>8.4000000000000004</v>
      </c>
      <c s="42"/>
      <c s="42"/>
      <c s="42"/>
      <c s="42"/>
      <c s="42"/>
    </row>
    <row r="23" spans="1:22" ht="15.75">
      <c r="A23" s="42"/>
      <c s="179">
        <f t="shared" si="0" ref="B23:B402">B22+1</f>
        <v>45213</v>
      </c>
      <c s="180">
        <f>C22+0.2</f>
        <v>180.19999999999999</v>
      </c>
      <c s="180"/>
      <c s="180"/>
      <c s="180">
        <f>F22+2</f>
        <v>182</v>
      </c>
      <c s="181" t="str">
        <v/>
      </c>
      <c s="181"/>
      <c s="181"/>
      <c s="182"/>
      <c r="L23" s="180">
        <v>2</v>
      </c>
      <c s="180">
        <v>2</v>
      </c>
      <c s="180">
        <v>8</v>
      </c>
      <c s="180">
        <v>1</v>
      </c>
      <c s="180">
        <v>8</v>
      </c>
      <c s="178">
        <v>7</v>
      </c>
      <c s="42"/>
      <c s="42"/>
      <c s="42"/>
      <c s="42"/>
      <c s="42"/>
    </row>
    <row r="24" spans="1:22" ht="15.75">
      <c r="A24" s="42"/>
      <c s="174">
        <f t="shared" si="0"/>
        <v>45214</v>
      </c>
      <c s="175"/>
      <c s="175"/>
      <c s="175"/>
      <c s="175"/>
      <c s="176" t="str">
        <v/>
      </c>
      <c s="176"/>
      <c s="176"/>
      <c s="183"/>
      <c r="L24" s="175"/>
      <c s="175"/>
      <c s="175"/>
      <c s="175"/>
      <c s="175"/>
      <c s="178" t="str">
        <v/>
      </c>
      <c s="42"/>
      <c s="42"/>
      <c s="42"/>
      <c s="42"/>
      <c s="42"/>
    </row>
    <row r="25" spans="1:22" ht="15.75">
      <c r="A25" s="42"/>
      <c s="179">
        <f t="shared" si="0"/>
        <v>45215</v>
      </c>
      <c s="180"/>
      <c s="181"/>
      <c s="180"/>
      <c s="181"/>
      <c s="181" t="str">
        <v/>
      </c>
      <c s="181"/>
      <c s="181"/>
      <c s="182"/>
      <c r="L25" s="181"/>
      <c s="181"/>
      <c s="181"/>
      <c s="181"/>
      <c s="181"/>
      <c s="178" t="str">
        <v/>
      </c>
      <c s="42"/>
      <c s="42"/>
      <c s="42"/>
      <c s="42"/>
      <c s="42"/>
    </row>
    <row r="26" spans="1:22" ht="15.75">
      <c r="A26" s="42"/>
      <c s="174">
        <f t="shared" si="0"/>
        <v>45216</v>
      </c>
      <c s="175"/>
      <c s="176"/>
      <c s="175"/>
      <c s="176"/>
      <c s="176" t="str">
        <v/>
      </c>
      <c s="176"/>
      <c s="176"/>
      <c s="183"/>
      <c r="L26" s="176"/>
      <c s="176"/>
      <c s="176"/>
      <c s="176"/>
      <c s="176"/>
      <c s="178" t="str">
        <v/>
      </c>
      <c s="42"/>
      <c s="42"/>
      <c s="42"/>
      <c s="42"/>
      <c s="42"/>
    </row>
    <row r="27" spans="1:22" ht="15.75">
      <c r="A27" s="42"/>
      <c s="179">
        <f t="shared" si="0"/>
        <v>45217</v>
      </c>
      <c s="180"/>
      <c s="181"/>
      <c s="180"/>
      <c s="181"/>
      <c s="181" t="str">
        <v/>
      </c>
      <c s="181"/>
      <c s="181"/>
      <c s="182"/>
      <c r="L27" s="181"/>
      <c s="181"/>
      <c s="181"/>
      <c s="181"/>
      <c s="181"/>
      <c s="178" t="str">
        <v/>
      </c>
      <c s="42"/>
      <c s="42"/>
      <c s="42"/>
      <c s="42"/>
      <c s="42"/>
    </row>
    <row r="28" spans="1:22" ht="15.75">
      <c r="A28" s="42"/>
      <c s="174">
        <f t="shared" si="0"/>
        <v>45218</v>
      </c>
      <c s="175"/>
      <c s="176"/>
      <c s="176"/>
      <c s="176"/>
      <c s="176" t="str">
        <v/>
      </c>
      <c s="176"/>
      <c s="176"/>
      <c s="183"/>
      <c r="L28" s="176"/>
      <c s="176"/>
      <c s="176"/>
      <c s="176"/>
      <c s="176"/>
      <c s="178" t="str">
        <v/>
      </c>
      <c s="42"/>
      <c s="42"/>
      <c s="42"/>
      <c s="42"/>
      <c s="42"/>
    </row>
    <row r="29" spans="1:22" ht="15.75">
      <c r="A29" s="42"/>
      <c s="179">
        <f t="shared" si="0"/>
        <v>45219</v>
      </c>
      <c s="181"/>
      <c s="181"/>
      <c s="181"/>
      <c s="181"/>
      <c s="181" t="str">
        <v/>
      </c>
      <c s="181"/>
      <c s="181"/>
      <c s="182"/>
      <c r="L29" s="181"/>
      <c s="181"/>
      <c s="181"/>
      <c s="181"/>
      <c s="181"/>
      <c s="178" t="str">
        <v/>
      </c>
      <c s="42"/>
      <c s="42"/>
      <c s="42"/>
      <c s="42"/>
      <c s="42"/>
    </row>
    <row r="30" spans="1:22" ht="15.75">
      <c r="A30" s="42"/>
      <c s="174">
        <f t="shared" si="0"/>
        <v>45220</v>
      </c>
      <c s="176"/>
      <c s="176"/>
      <c s="176"/>
      <c s="176"/>
      <c s="176" t="str">
        <v/>
      </c>
      <c s="176"/>
      <c s="176"/>
      <c s="183"/>
      <c r="L30" s="176"/>
      <c s="176"/>
      <c s="176"/>
      <c s="176"/>
      <c s="176"/>
      <c s="178" t="str">
        <v/>
      </c>
      <c s="42"/>
      <c s="184" t="s">
        <v>243</v>
      </c>
      <c s="185" t="s">
        <v>244</v>
      </c>
      <c s="186">
        <v>15</v>
      </c>
      <c s="184" t="s">
        <v>245</v>
      </c>
    </row>
    <row r="31" spans="1:22" ht="15.75">
      <c r="A31" s="42"/>
      <c s="179">
        <f t="shared" si="0"/>
        <v>45221</v>
      </c>
      <c s="181"/>
      <c s="181"/>
      <c s="181"/>
      <c s="181"/>
      <c s="181" t="str">
        <v/>
      </c>
      <c s="181"/>
      <c s="181"/>
      <c s="182"/>
      <c r="L31" s="181"/>
      <c s="181"/>
      <c s="181"/>
      <c s="181"/>
      <c s="181"/>
      <c s="178" t="str">
        <v/>
      </c>
      <c s="42"/>
      <c s="184" t="s">
        <v>246</v>
      </c>
      <c s="186" t="s">
        <v>246</v>
      </c>
      <c s="186">
        <f t="shared" si="1" ref="U31:U105">U30+1</f>
        <v>16</v>
      </c>
      <c s="184" t="s">
        <v>247</v>
      </c>
    </row>
    <row r="32" spans="1:22" ht="15.75">
      <c r="A32" s="42"/>
      <c s="174">
        <f t="shared" si="0"/>
        <v>45222</v>
      </c>
      <c s="176"/>
      <c s="176"/>
      <c s="176"/>
      <c s="176"/>
      <c s="176" t="str">
        <v/>
      </c>
      <c s="176"/>
      <c s="176"/>
      <c s="183"/>
      <c r="L32" s="176"/>
      <c s="176"/>
      <c s="176"/>
      <c s="176"/>
      <c s="176"/>
      <c s="178" t="str">
        <v/>
      </c>
      <c s="42"/>
      <c s="187">
        <v>0.040000000000000001</v>
      </c>
      <c s="186" t="s">
        <v>248</v>
      </c>
      <c s="186">
        <f t="shared" si="1"/>
        <v>17</v>
      </c>
      <c s="184" t="s">
        <v>249</v>
      </c>
    </row>
    <row r="33" spans="1:22" ht="15.75">
      <c r="A33" s="42"/>
      <c s="179">
        <f t="shared" si="0"/>
        <v>45223</v>
      </c>
      <c s="181"/>
      <c s="181"/>
      <c s="181"/>
      <c s="181"/>
      <c s="181" t="str">
        <v/>
      </c>
      <c s="181"/>
      <c s="181"/>
      <c s="182"/>
      <c r="L33" s="181"/>
      <c s="181"/>
      <c s="181"/>
      <c s="181"/>
      <c s="181"/>
      <c s="178" t="str">
        <v/>
      </c>
      <c s="42"/>
      <c s="187">
        <v>0.050000000000000003</v>
      </c>
      <c s="186" t="s">
        <v>250</v>
      </c>
      <c s="186">
        <f t="shared" si="1"/>
        <v>18</v>
      </c>
      <c s="184" t="s">
        <v>251</v>
      </c>
    </row>
    <row r="34" spans="1:22" ht="15.75">
      <c r="A34" s="42"/>
      <c s="174">
        <f t="shared" si="0"/>
        <v>45224</v>
      </c>
      <c s="176"/>
      <c s="176"/>
      <c s="176"/>
      <c s="176"/>
      <c s="176" t="str">
        <v/>
      </c>
      <c s="176"/>
      <c s="176"/>
      <c s="183"/>
      <c r="L34" s="176"/>
      <c s="176"/>
      <c s="176"/>
      <c s="176"/>
      <c s="176"/>
      <c s="178" t="str">
        <v/>
      </c>
      <c s="42"/>
      <c s="187">
        <v>0.059999999999999998</v>
      </c>
      <c s="186" t="s">
        <v>252</v>
      </c>
      <c s="186">
        <f t="shared" si="1"/>
        <v>19</v>
      </c>
      <c s="184" t="s">
        <v>253</v>
      </c>
    </row>
    <row r="35" spans="1:22" ht="15.75">
      <c r="A35" s="42"/>
      <c s="179">
        <f t="shared" si="0"/>
        <v>45225</v>
      </c>
      <c s="181"/>
      <c s="181"/>
      <c s="181"/>
      <c s="181"/>
      <c s="181" t="str">
        <v/>
      </c>
      <c s="181"/>
      <c s="181"/>
      <c s="182"/>
      <c r="L35" s="181"/>
      <c s="181"/>
      <c s="181"/>
      <c s="181"/>
      <c s="181"/>
      <c s="178" t="str">
        <v/>
      </c>
      <c s="42"/>
      <c s="187">
        <v>0.070000000000000007</v>
      </c>
      <c s="184"/>
      <c s="186">
        <f t="shared" si="1"/>
        <v>20</v>
      </c>
      <c s="184" t="s">
        <v>254</v>
      </c>
    </row>
    <row r="36" spans="1:22" ht="15.75">
      <c r="A36" s="42"/>
      <c s="174">
        <f t="shared" si="0"/>
        <v>45226</v>
      </c>
      <c s="176"/>
      <c s="176"/>
      <c s="176"/>
      <c s="176"/>
      <c s="176" t="str">
        <v/>
      </c>
      <c s="176"/>
      <c s="176"/>
      <c s="183"/>
      <c r="L36" s="176"/>
      <c s="176"/>
      <c s="176"/>
      <c s="176"/>
      <c s="176"/>
      <c s="178" t="str">
        <v/>
      </c>
      <c s="42"/>
      <c s="187">
        <v>0.080000000000000002</v>
      </c>
      <c s="185" t="s">
        <v>255</v>
      </c>
      <c s="186">
        <f t="shared" si="1"/>
        <v>21</v>
      </c>
      <c s="165" t="s">
        <v>256</v>
      </c>
    </row>
    <row r="37" spans="1:22" ht="15.75">
      <c r="A37" s="42"/>
      <c s="179">
        <f t="shared" si="0"/>
        <v>45227</v>
      </c>
      <c s="181"/>
      <c s="181"/>
      <c s="181"/>
      <c s="181"/>
      <c s="181" t="str">
        <v/>
      </c>
      <c s="181"/>
      <c s="181"/>
      <c s="182"/>
      <c r="L37" s="181"/>
      <c s="181"/>
      <c s="181"/>
      <c s="181"/>
      <c s="181"/>
      <c s="178" t="str">
        <v/>
      </c>
      <c s="42"/>
      <c s="187">
        <v>0.089999999999999997</v>
      </c>
      <c s="186" t="s">
        <v>246</v>
      </c>
      <c s="186">
        <f t="shared" si="1"/>
        <v>22</v>
      </c>
      <c s="165" t="s">
        <v>257</v>
      </c>
    </row>
    <row r="38" spans="1:22" ht="15.75">
      <c r="A38" s="42"/>
      <c s="174">
        <f t="shared" si="0"/>
        <v>45228</v>
      </c>
      <c s="176"/>
      <c s="176"/>
      <c s="176"/>
      <c s="176"/>
      <c s="176" t="str">
        <v/>
      </c>
      <c s="176"/>
      <c s="176"/>
      <c s="183"/>
      <c r="L38" s="176"/>
      <c s="176"/>
      <c s="176"/>
      <c s="176"/>
      <c s="176"/>
      <c s="178" t="str">
        <v/>
      </c>
      <c s="42"/>
      <c s="187">
        <v>0.10000000000000001</v>
      </c>
      <c s="186" t="s">
        <v>258</v>
      </c>
      <c s="186">
        <f t="shared" si="1"/>
        <v>23</v>
      </c>
      <c s="165" t="s">
        <v>259</v>
      </c>
    </row>
    <row r="39" spans="1:22" ht="15.75">
      <c r="A39" s="42"/>
      <c s="179">
        <f t="shared" si="0"/>
        <v>45229</v>
      </c>
      <c s="181"/>
      <c s="181"/>
      <c s="181"/>
      <c s="181"/>
      <c s="181" t="str">
        <v/>
      </c>
      <c s="181"/>
      <c s="181"/>
      <c s="182"/>
      <c r="L39" s="181"/>
      <c s="181"/>
      <c s="181"/>
      <c s="181"/>
      <c s="181"/>
      <c s="178" t="str">
        <v/>
      </c>
      <c s="42"/>
      <c s="187">
        <v>0.11</v>
      </c>
      <c s="186" t="s">
        <v>260</v>
      </c>
      <c s="186">
        <f t="shared" si="1"/>
        <v>24</v>
      </c>
      <c s="165" t="s">
        <v>261</v>
      </c>
    </row>
    <row r="40" spans="1:22" ht="15.75">
      <c r="A40" s="42"/>
      <c s="174">
        <f t="shared" si="0"/>
        <v>45230</v>
      </c>
      <c s="176"/>
      <c s="176"/>
      <c s="176"/>
      <c s="176"/>
      <c s="176" t="str">
        <v/>
      </c>
      <c s="176"/>
      <c s="176"/>
      <c s="183"/>
      <c r="L40" s="176"/>
      <c s="176"/>
      <c s="176"/>
      <c s="176"/>
      <c s="176"/>
      <c s="178" t="str">
        <v/>
      </c>
      <c s="42"/>
      <c s="187">
        <v>0.12</v>
      </c>
      <c s="186" t="s">
        <v>262</v>
      </c>
      <c s="186">
        <f t="shared" si="1"/>
        <v>25</v>
      </c>
      <c s="165" t="s">
        <v>263</v>
      </c>
    </row>
    <row r="41" spans="1:22" ht="15.75">
      <c r="A41" s="42"/>
      <c s="179">
        <f t="shared" si="0"/>
        <v>45231</v>
      </c>
      <c s="181"/>
      <c s="181"/>
      <c s="181"/>
      <c s="181"/>
      <c s="181" t="str">
        <v/>
      </c>
      <c s="181"/>
      <c s="181"/>
      <c s="182"/>
      <c r="L41" s="181"/>
      <c s="181"/>
      <c s="181"/>
      <c s="181"/>
      <c s="181"/>
      <c s="178" t="str">
        <v/>
      </c>
      <c s="42"/>
      <c s="187">
        <v>0.13</v>
      </c>
      <c s="42"/>
      <c s="186">
        <f t="shared" si="1"/>
        <v>26</v>
      </c>
      <c s="165" t="s">
        <v>264</v>
      </c>
    </row>
    <row r="42" spans="1:22" ht="15.75">
      <c r="A42" s="42"/>
      <c s="174">
        <f t="shared" si="0"/>
        <v>45232</v>
      </c>
      <c s="176"/>
      <c s="176"/>
      <c s="176"/>
      <c s="176"/>
      <c s="176" t="str">
        <v/>
      </c>
      <c s="176"/>
      <c s="176"/>
      <c s="183"/>
      <c r="L42" s="176"/>
      <c s="176"/>
      <c s="176"/>
      <c s="176"/>
      <c s="176"/>
      <c s="178" t="str">
        <v/>
      </c>
      <c s="42"/>
      <c s="187">
        <v>0.14000000000000001</v>
      </c>
      <c s="185" t="s">
        <v>265</v>
      </c>
      <c s="186">
        <f t="shared" si="1"/>
        <v>27</v>
      </c>
      <c s="165" t="s">
        <v>266</v>
      </c>
    </row>
    <row r="43" spans="1:22" ht="15.75">
      <c r="A43" s="42"/>
      <c s="179">
        <f t="shared" si="0"/>
        <v>45233</v>
      </c>
      <c s="181"/>
      <c s="181"/>
      <c s="181"/>
      <c s="181"/>
      <c s="181" t="str">
        <v/>
      </c>
      <c s="181"/>
      <c s="181"/>
      <c s="182"/>
      <c r="L43" s="181"/>
      <c s="181"/>
      <c s="181"/>
      <c s="181"/>
      <c s="181"/>
      <c s="178" t="str">
        <v/>
      </c>
      <c s="42"/>
      <c s="187">
        <v>0.14999999999999999</v>
      </c>
      <c s="186" t="s">
        <v>246</v>
      </c>
      <c s="186">
        <f t="shared" si="1"/>
        <v>28</v>
      </c>
      <c s="165" t="s">
        <v>267</v>
      </c>
    </row>
    <row r="44" spans="1:22" ht="15.75">
      <c r="A44" s="42"/>
      <c s="174">
        <f t="shared" si="0"/>
        <v>45234</v>
      </c>
      <c s="176"/>
      <c s="176"/>
      <c s="176"/>
      <c s="176"/>
      <c s="176" t="str">
        <v/>
      </c>
      <c s="176"/>
      <c s="176"/>
      <c s="183"/>
      <c r="L44" s="176"/>
      <c s="176"/>
      <c s="176"/>
      <c s="176"/>
      <c s="176"/>
      <c s="178" t="str">
        <v/>
      </c>
      <c s="42"/>
      <c s="187">
        <v>0.16</v>
      </c>
      <c s="186" t="s">
        <v>268</v>
      </c>
      <c s="186">
        <f t="shared" si="1"/>
        <v>29</v>
      </c>
      <c s="165" t="s">
        <v>269</v>
      </c>
    </row>
    <row r="45" spans="1:22" ht="15.75">
      <c r="A45" s="42"/>
      <c s="179">
        <f t="shared" si="0"/>
        <v>45235</v>
      </c>
      <c s="181"/>
      <c s="181"/>
      <c s="181"/>
      <c s="181"/>
      <c s="181" t="str">
        <v/>
      </c>
      <c s="181"/>
      <c s="181"/>
      <c s="182"/>
      <c r="L45" s="181"/>
      <c s="181"/>
      <c s="181"/>
      <c s="181"/>
      <c s="181"/>
      <c s="178" t="str">
        <v/>
      </c>
      <c s="42"/>
      <c s="187">
        <v>0.17000000000000001</v>
      </c>
      <c s="186" t="s">
        <v>270</v>
      </c>
      <c s="186">
        <f t="shared" si="1"/>
        <v>30</v>
      </c>
      <c s="165" t="s">
        <v>271</v>
      </c>
    </row>
    <row r="46" spans="1:23" ht="15.75">
      <c r="A46" s="42"/>
      <c s="174">
        <f t="shared" si="0"/>
        <v>45236</v>
      </c>
      <c s="176"/>
      <c s="176"/>
      <c s="176"/>
      <c s="176"/>
      <c s="176" t="str">
        <v/>
      </c>
      <c s="176"/>
      <c s="176"/>
      <c s="183"/>
      <c r="L46" s="176"/>
      <c s="176"/>
      <c s="176"/>
      <c s="176"/>
      <c s="176"/>
      <c s="178" t="str">
        <v/>
      </c>
      <c s="42"/>
      <c s="187">
        <v>0.17999999999999999</v>
      </c>
      <c s="186" t="s">
        <v>272</v>
      </c>
      <c s="186">
        <f t="shared" si="1"/>
        <v>31</v>
      </c>
      <c s="165" t="s">
        <v>273</v>
      </c>
      <c s="188"/>
    </row>
    <row r="47" spans="1:23" ht="15.75">
      <c r="A47" s="42"/>
      <c s="179">
        <f t="shared" si="0"/>
        <v>45237</v>
      </c>
      <c s="181"/>
      <c s="181"/>
      <c s="181"/>
      <c s="181"/>
      <c s="181" t="str">
        <v/>
      </c>
      <c s="181"/>
      <c s="181"/>
      <c s="182"/>
      <c r="L47" s="181"/>
      <c s="181"/>
      <c s="181"/>
      <c s="181"/>
      <c s="181"/>
      <c s="178" t="str">
        <v/>
      </c>
      <c s="42"/>
      <c s="187">
        <v>0.19</v>
      </c>
      <c s="186" t="s">
        <v>274</v>
      </c>
      <c s="186">
        <f t="shared" si="1"/>
        <v>32</v>
      </c>
      <c s="165" t="s">
        <v>275</v>
      </c>
      <c s="42"/>
    </row>
    <row r="48" spans="1:23" ht="15.75">
      <c r="A48" s="42"/>
      <c s="174">
        <f t="shared" si="0"/>
        <v>45238</v>
      </c>
      <c s="176"/>
      <c s="176"/>
      <c s="176"/>
      <c s="176"/>
      <c s="176" t="str">
        <v/>
      </c>
      <c s="176"/>
      <c s="176"/>
      <c s="183"/>
      <c r="L48" s="176"/>
      <c s="176"/>
      <c s="176"/>
      <c s="176"/>
      <c s="176"/>
      <c s="178" t="str">
        <v/>
      </c>
      <c s="42"/>
      <c s="187">
        <v>0.20000000000000001</v>
      </c>
      <c s="42"/>
      <c s="186">
        <f t="shared" si="1"/>
        <v>33</v>
      </c>
      <c s="165" t="s">
        <v>276</v>
      </c>
      <c s="42"/>
    </row>
    <row r="49" spans="1:23" ht="15.75">
      <c r="A49" s="42"/>
      <c s="179">
        <f t="shared" si="0"/>
        <v>45239</v>
      </c>
      <c s="181"/>
      <c s="181"/>
      <c s="181"/>
      <c s="181"/>
      <c s="181" t="str">
        <v/>
      </c>
      <c s="181"/>
      <c s="181"/>
      <c s="182"/>
      <c r="L49" s="181"/>
      <c s="181"/>
      <c s="181"/>
      <c s="181"/>
      <c s="181"/>
      <c s="178" t="str">
        <v/>
      </c>
      <c s="42"/>
      <c s="187">
        <v>0.20999999999999999</v>
      </c>
      <c s="189" t="str">
        <f t="array" ref="T49">IF('Personal Info'!L36=T30,T31:T34,IF('Personal Info'!L36=T36,T37:T40,""))</f>
        <v/>
      </c>
      <c s="186">
        <f t="shared" si="1"/>
        <v>34</v>
      </c>
      <c s="165" t="s">
        <v>277</v>
      </c>
      <c s="42"/>
    </row>
    <row r="50" spans="1:23" ht="15.75">
      <c r="A50" s="42"/>
      <c s="174">
        <f t="shared" si="0"/>
        <v>45240</v>
      </c>
      <c s="176"/>
      <c s="176"/>
      <c s="176"/>
      <c s="176"/>
      <c s="176" t="str">
        <v/>
      </c>
      <c s="176"/>
      <c s="176"/>
      <c s="183"/>
      <c r="L50" s="176"/>
      <c s="176"/>
      <c s="176"/>
      <c s="176"/>
      <c s="176"/>
      <c s="178" t="str">
        <v/>
      </c>
      <c s="42"/>
      <c s="187">
        <v>0.22</v>
      </c>
      <c s="189"/>
      <c s="186">
        <f t="shared" si="1"/>
        <v>35</v>
      </c>
      <c s="165" t="s">
        <v>278</v>
      </c>
      <c s="42"/>
    </row>
    <row r="51" spans="1:23" ht="15.75">
      <c r="A51" s="42"/>
      <c s="179">
        <f t="shared" si="0"/>
        <v>45241</v>
      </c>
      <c s="181"/>
      <c s="181"/>
      <c s="181"/>
      <c s="181"/>
      <c s="181" t="str">
        <v/>
      </c>
      <c s="181"/>
      <c s="181"/>
      <c s="182"/>
      <c r="L51" s="181"/>
      <c s="181"/>
      <c s="181"/>
      <c s="181"/>
      <c s="181"/>
      <c s="178" t="str">
        <v/>
      </c>
      <c s="42"/>
      <c s="187">
        <v>0.23000000000000001</v>
      </c>
      <c s="189"/>
      <c s="186">
        <f t="shared" si="1"/>
        <v>36</v>
      </c>
      <c s="165" t="s">
        <v>279</v>
      </c>
      <c s="42"/>
    </row>
    <row r="52" spans="1:23" ht="15.75">
      <c r="A52" s="42"/>
      <c s="174">
        <f t="shared" si="0"/>
        <v>45242</v>
      </c>
      <c s="176"/>
      <c s="176"/>
      <c s="176"/>
      <c s="176"/>
      <c s="176" t="str">
        <v/>
      </c>
      <c s="176"/>
      <c s="176"/>
      <c s="183"/>
      <c r="L52" s="176"/>
      <c s="176"/>
      <c s="176"/>
      <c s="176"/>
      <c s="176"/>
      <c s="178" t="str">
        <v/>
      </c>
      <c s="42"/>
      <c s="187">
        <v>0.23999999999999999</v>
      </c>
      <c s="189"/>
      <c s="186">
        <f t="shared" si="1"/>
        <v>37</v>
      </c>
      <c s="165" t="s">
        <v>280</v>
      </c>
      <c s="42"/>
    </row>
    <row r="53" spans="1:23" ht="15.75">
      <c r="A53" s="42"/>
      <c s="179">
        <f t="shared" si="0"/>
        <v>45243</v>
      </c>
      <c s="181"/>
      <c s="181"/>
      <c s="181"/>
      <c s="181"/>
      <c s="181" t="str">
        <v/>
      </c>
      <c s="181"/>
      <c s="181"/>
      <c s="182"/>
      <c r="L53" s="181"/>
      <c s="181"/>
      <c s="181"/>
      <c s="181"/>
      <c s="181"/>
      <c s="178" t="str">
        <v/>
      </c>
      <c s="42"/>
      <c s="187">
        <v>0.25</v>
      </c>
      <c s="189"/>
      <c s="186">
        <f t="shared" si="1"/>
        <v>38</v>
      </c>
      <c s="165" t="s">
        <v>281</v>
      </c>
      <c s="42"/>
    </row>
    <row r="54" spans="1:23" ht="15.75">
      <c r="A54" s="42"/>
      <c s="174">
        <f t="shared" si="0"/>
        <v>45244</v>
      </c>
      <c s="176"/>
      <c s="176"/>
      <c s="176"/>
      <c s="176"/>
      <c s="176" t="str">
        <v/>
      </c>
      <c s="176"/>
      <c s="176"/>
      <c s="183"/>
      <c r="L54" s="176"/>
      <c s="176"/>
      <c s="176"/>
      <c s="176"/>
      <c s="176"/>
      <c s="178" t="str">
        <v/>
      </c>
      <c s="42"/>
      <c s="187">
        <v>0.26000000000000001</v>
      </c>
      <c s="189"/>
      <c s="186">
        <f t="shared" si="1"/>
        <v>39</v>
      </c>
      <c s="165" t="s">
        <v>282</v>
      </c>
      <c s="42"/>
    </row>
    <row r="55" spans="1:23" ht="15.75">
      <c r="A55" s="42"/>
      <c s="179">
        <f t="shared" si="0"/>
        <v>45245</v>
      </c>
      <c s="181"/>
      <c s="181"/>
      <c s="181"/>
      <c s="181"/>
      <c s="181" t="str">
        <v/>
      </c>
      <c s="181"/>
      <c s="181"/>
      <c s="182"/>
      <c r="L55" s="181"/>
      <c s="181"/>
      <c s="181"/>
      <c s="181"/>
      <c s="181"/>
      <c s="178" t="str">
        <v/>
      </c>
      <c s="42"/>
      <c s="187">
        <v>0.27000000000000002</v>
      </c>
      <c s="42"/>
      <c s="186">
        <f t="shared" si="1"/>
        <v>40</v>
      </c>
      <c s="165" t="s">
        <v>283</v>
      </c>
      <c s="42"/>
    </row>
    <row r="56" spans="1:23" ht="15.75">
      <c r="A56" s="42"/>
      <c s="174">
        <f t="shared" si="0"/>
        <v>45246</v>
      </c>
      <c s="176"/>
      <c s="176"/>
      <c s="176"/>
      <c s="176"/>
      <c s="176" t="str">
        <v/>
      </c>
      <c s="176"/>
      <c s="176"/>
      <c s="183"/>
      <c r="L56" s="176"/>
      <c s="176"/>
      <c s="176"/>
      <c s="176"/>
      <c s="176"/>
      <c s="178" t="str">
        <v/>
      </c>
      <c s="42"/>
      <c s="187">
        <v>0.28000000000000003</v>
      </c>
      <c s="42"/>
      <c s="186">
        <f t="shared" si="1"/>
        <v>41</v>
      </c>
      <c s="165" t="s">
        <v>284</v>
      </c>
      <c s="42"/>
    </row>
    <row r="57" spans="1:23" ht="15.75">
      <c r="A57" s="42"/>
      <c s="179">
        <f t="shared" si="0"/>
        <v>45247</v>
      </c>
      <c s="181"/>
      <c s="181"/>
      <c s="181"/>
      <c s="181"/>
      <c s="181" t="str">
        <v/>
      </c>
      <c s="181"/>
      <c s="181"/>
      <c s="182"/>
      <c r="L57" s="181"/>
      <c s="181"/>
      <c s="181"/>
      <c s="181"/>
      <c s="181"/>
      <c s="178" t="str">
        <v/>
      </c>
      <c s="42"/>
      <c s="187">
        <v>0.28999999999999998</v>
      </c>
      <c s="42"/>
      <c s="186">
        <f t="shared" si="1"/>
        <v>42</v>
      </c>
      <c s="165" t="s">
        <v>285</v>
      </c>
      <c s="42"/>
    </row>
    <row r="58" spans="1:23" ht="15.75">
      <c r="A58" s="42"/>
      <c s="174">
        <f t="shared" si="0"/>
        <v>45248</v>
      </c>
      <c s="176"/>
      <c s="176"/>
      <c s="176"/>
      <c s="176"/>
      <c s="176" t="str">
        <v/>
      </c>
      <c s="176"/>
      <c s="176"/>
      <c s="183"/>
      <c r="L58" s="176"/>
      <c s="176"/>
      <c s="176"/>
      <c s="176"/>
      <c s="176"/>
      <c s="178" t="str">
        <v/>
      </c>
      <c s="42"/>
      <c s="187">
        <v>0.29999999999999999</v>
      </c>
      <c s="42"/>
      <c s="186">
        <f t="shared" si="1"/>
        <v>43</v>
      </c>
      <c s="165" t="s">
        <v>286</v>
      </c>
      <c s="42"/>
    </row>
    <row r="59" spans="1:23" ht="15.75">
      <c r="A59" s="42"/>
      <c s="179">
        <f t="shared" si="0"/>
        <v>45249</v>
      </c>
      <c s="181"/>
      <c s="181"/>
      <c s="181"/>
      <c s="181"/>
      <c s="181" t="str">
        <v/>
      </c>
      <c s="181"/>
      <c s="181"/>
      <c s="182"/>
      <c r="L59" s="181"/>
      <c s="181"/>
      <c s="181"/>
      <c s="181"/>
      <c s="181"/>
      <c s="178" t="str">
        <v/>
      </c>
      <c s="42"/>
      <c s="187">
        <v>0.31</v>
      </c>
      <c s="42"/>
      <c s="186">
        <f t="shared" si="1"/>
        <v>44</v>
      </c>
      <c s="165" t="s">
        <v>287</v>
      </c>
      <c s="42"/>
    </row>
    <row r="60" spans="1:23" ht="15.75">
      <c r="A60" s="42"/>
      <c s="174">
        <f t="shared" si="0"/>
        <v>45250</v>
      </c>
      <c s="176"/>
      <c s="176"/>
      <c s="176"/>
      <c s="176"/>
      <c s="176" t="str">
        <v/>
      </c>
      <c s="176"/>
      <c s="176"/>
      <c s="183"/>
      <c r="L60" s="176"/>
      <c s="176"/>
      <c s="176"/>
      <c s="176"/>
      <c s="176"/>
      <c s="178" t="str">
        <v/>
      </c>
      <c s="42"/>
      <c s="187">
        <v>0.32000000000000001</v>
      </c>
      <c s="42"/>
      <c s="186">
        <f t="shared" si="1"/>
        <v>45</v>
      </c>
      <c s="165" t="s">
        <v>288</v>
      </c>
      <c s="42"/>
    </row>
    <row r="61" spans="1:23" ht="15.75">
      <c r="A61" s="42"/>
      <c s="179">
        <f t="shared" si="0"/>
        <v>45251</v>
      </c>
      <c s="181"/>
      <c s="181"/>
      <c s="181"/>
      <c s="181"/>
      <c s="181" t="str">
        <v/>
      </c>
      <c s="181"/>
      <c s="181"/>
      <c s="182"/>
      <c r="L61" s="181"/>
      <c s="181"/>
      <c s="181"/>
      <c s="181"/>
      <c s="181"/>
      <c s="178" t="str">
        <v/>
      </c>
      <c s="42"/>
      <c s="187">
        <v>0.33000000000000002</v>
      </c>
      <c s="42"/>
      <c s="186">
        <f t="shared" si="1"/>
        <v>46</v>
      </c>
      <c s="165" t="s">
        <v>289</v>
      </c>
      <c s="42"/>
    </row>
    <row r="62" spans="1:23" ht="15.75">
      <c r="A62" s="42"/>
      <c s="174">
        <f t="shared" si="0"/>
        <v>45252</v>
      </c>
      <c s="176"/>
      <c s="176"/>
      <c s="176"/>
      <c s="176"/>
      <c s="176" t="str">
        <v/>
      </c>
      <c s="176"/>
      <c s="176"/>
      <c s="183"/>
      <c r="L62" s="176"/>
      <c s="176"/>
      <c s="176"/>
      <c s="176"/>
      <c s="176"/>
      <c s="178" t="str">
        <v/>
      </c>
      <c s="42"/>
      <c s="187">
        <v>0.34000000000000002</v>
      </c>
      <c s="42"/>
      <c s="186">
        <f t="shared" si="1"/>
        <v>47</v>
      </c>
      <c s="165" t="s">
        <v>290</v>
      </c>
      <c s="42"/>
    </row>
    <row r="63" spans="1:23" ht="15.75">
      <c r="A63" s="42"/>
      <c s="179">
        <f t="shared" si="0"/>
        <v>45253</v>
      </c>
      <c s="181"/>
      <c s="181"/>
      <c s="181"/>
      <c s="181"/>
      <c s="181" t="str">
        <v/>
      </c>
      <c s="181"/>
      <c s="181"/>
      <c s="182"/>
      <c r="L63" s="181"/>
      <c s="181"/>
      <c s="181"/>
      <c s="181"/>
      <c s="181"/>
      <c s="178" t="str">
        <v/>
      </c>
      <c s="42"/>
      <c s="187">
        <v>0.34999999999999998</v>
      </c>
      <c s="42"/>
      <c s="186">
        <f t="shared" si="1"/>
        <v>48</v>
      </c>
      <c s="165" t="s">
        <v>291</v>
      </c>
      <c s="42"/>
    </row>
    <row r="64" spans="1:23" ht="15.75">
      <c r="A64" s="42"/>
      <c s="174">
        <f t="shared" si="0"/>
        <v>45254</v>
      </c>
      <c s="176"/>
      <c s="176"/>
      <c s="176"/>
      <c s="176"/>
      <c s="176" t="str">
        <v/>
      </c>
      <c s="176"/>
      <c s="176"/>
      <c s="183"/>
      <c r="L64" s="176"/>
      <c s="176"/>
      <c s="176"/>
      <c s="176"/>
      <c s="176"/>
      <c s="178" t="str">
        <v/>
      </c>
      <c s="42"/>
      <c s="187">
        <v>0.35999999999999999</v>
      </c>
      <c s="42"/>
      <c s="186">
        <f t="shared" si="1"/>
        <v>49</v>
      </c>
      <c s="165" t="s">
        <v>292</v>
      </c>
      <c s="42"/>
    </row>
    <row r="65" spans="1:23" ht="15.75">
      <c r="A65" s="42"/>
      <c s="179">
        <f t="shared" si="0"/>
        <v>45255</v>
      </c>
      <c s="181"/>
      <c s="181"/>
      <c s="181"/>
      <c s="181"/>
      <c s="181" t="str">
        <v/>
      </c>
      <c s="181"/>
      <c s="181"/>
      <c s="182"/>
      <c r="L65" s="181"/>
      <c s="181"/>
      <c s="181"/>
      <c s="181"/>
      <c s="181"/>
      <c s="178" t="str">
        <v/>
      </c>
      <c s="42"/>
      <c s="187">
        <v>0.37</v>
      </c>
      <c s="42"/>
      <c s="186">
        <f t="shared" si="1"/>
        <v>50</v>
      </c>
      <c s="165" t="s">
        <v>293</v>
      </c>
      <c s="42"/>
    </row>
    <row r="66" spans="1:23" ht="15.75">
      <c r="A66" s="42"/>
      <c s="174">
        <f t="shared" si="0"/>
        <v>45256</v>
      </c>
      <c s="176"/>
      <c s="176"/>
      <c s="176"/>
      <c s="176"/>
      <c s="176" t="str">
        <v/>
      </c>
      <c s="176"/>
      <c s="176"/>
      <c s="183"/>
      <c r="L66" s="176"/>
      <c s="176"/>
      <c s="176"/>
      <c s="176"/>
      <c s="176"/>
      <c s="178" t="str">
        <v/>
      </c>
      <c s="42"/>
      <c s="187">
        <v>0.38</v>
      </c>
      <c s="42"/>
      <c s="186">
        <f t="shared" si="1"/>
        <v>51</v>
      </c>
      <c s="165" t="s">
        <v>294</v>
      </c>
      <c s="42"/>
    </row>
    <row r="67" spans="1:23" ht="15.75">
      <c r="A67" s="42"/>
      <c s="179">
        <f t="shared" si="0"/>
        <v>45257</v>
      </c>
      <c s="181"/>
      <c s="181"/>
      <c s="181"/>
      <c s="181"/>
      <c s="181" t="str">
        <v/>
      </c>
      <c s="181"/>
      <c s="181"/>
      <c s="182"/>
      <c r="L67" s="181"/>
      <c s="181"/>
      <c s="181"/>
      <c s="181"/>
      <c s="181"/>
      <c s="178" t="str">
        <v/>
      </c>
      <c s="42"/>
      <c s="187">
        <v>0.39000000000000001</v>
      </c>
      <c s="42"/>
      <c s="186">
        <f t="shared" si="1"/>
        <v>52</v>
      </c>
      <c s="164"/>
      <c s="42"/>
    </row>
    <row r="68" spans="1:23" ht="15.75">
      <c r="A68" s="42"/>
      <c s="174">
        <f t="shared" si="0"/>
        <v>45258</v>
      </c>
      <c s="176"/>
      <c s="176"/>
      <c s="176"/>
      <c s="176"/>
      <c s="176" t="str">
        <v/>
      </c>
      <c s="176"/>
      <c s="176"/>
      <c s="183"/>
      <c r="L68" s="176"/>
      <c s="176"/>
      <c s="176"/>
      <c s="176"/>
      <c s="176"/>
      <c s="178" t="str">
        <v/>
      </c>
      <c s="42"/>
      <c s="187">
        <v>0.40000000000000002</v>
      </c>
      <c s="42"/>
      <c s="186">
        <f t="shared" si="1"/>
        <v>53</v>
      </c>
      <c s="164"/>
      <c s="42"/>
    </row>
    <row r="69" spans="1:23" ht="15.75">
      <c r="A69" s="42"/>
      <c s="179">
        <f t="shared" si="0"/>
        <v>45259</v>
      </c>
      <c s="181"/>
      <c s="181"/>
      <c s="181"/>
      <c s="181"/>
      <c s="181" t="str">
        <v/>
      </c>
      <c s="181"/>
      <c s="181"/>
      <c s="182"/>
      <c r="L69" s="181"/>
      <c s="181"/>
      <c s="181"/>
      <c s="181"/>
      <c s="181"/>
      <c s="178" t="str">
        <v/>
      </c>
      <c s="42"/>
      <c s="187">
        <v>0.40999999999999998</v>
      </c>
      <c s="42"/>
      <c s="186">
        <f t="shared" si="1"/>
        <v>54</v>
      </c>
      <c s="164"/>
      <c s="42"/>
    </row>
    <row r="70" spans="1:23" ht="15.75">
      <c r="A70" s="42"/>
      <c s="174">
        <f t="shared" si="0"/>
        <v>45260</v>
      </c>
      <c s="176"/>
      <c s="176"/>
      <c s="176"/>
      <c s="176"/>
      <c s="176" t="str">
        <v/>
      </c>
      <c s="176"/>
      <c s="176"/>
      <c s="183"/>
      <c r="L70" s="176"/>
      <c s="176"/>
      <c s="176"/>
      <c s="176"/>
      <c s="176"/>
      <c s="178" t="str">
        <v/>
      </c>
      <c s="42"/>
      <c s="187">
        <v>0.41999999999999998</v>
      </c>
      <c s="42"/>
      <c s="186">
        <f t="shared" si="1"/>
        <v>55</v>
      </c>
      <c s="164"/>
      <c s="42"/>
    </row>
    <row r="71" spans="1:23" ht="15.75">
      <c r="A71" s="42"/>
      <c s="179">
        <f t="shared" si="0"/>
        <v>45261</v>
      </c>
      <c s="181"/>
      <c s="181"/>
      <c s="181"/>
      <c s="181"/>
      <c s="181" t="str">
        <v/>
      </c>
      <c s="181"/>
      <c s="181"/>
      <c s="182"/>
      <c r="L71" s="181"/>
      <c s="181"/>
      <c s="181"/>
      <c s="181"/>
      <c s="181"/>
      <c s="178" t="str">
        <v/>
      </c>
      <c s="42"/>
      <c s="187">
        <v>0.42999999999999999</v>
      </c>
      <c s="42"/>
      <c s="186">
        <f t="shared" si="1"/>
        <v>56</v>
      </c>
      <c s="164"/>
      <c s="42"/>
    </row>
    <row r="72" spans="1:23" ht="15.75">
      <c r="A72" s="42"/>
      <c s="174">
        <f t="shared" si="0"/>
        <v>45262</v>
      </c>
      <c s="176"/>
      <c s="176"/>
      <c s="176"/>
      <c s="176"/>
      <c s="176" t="str">
        <v/>
      </c>
      <c s="176"/>
      <c s="176"/>
      <c s="183"/>
      <c r="L72" s="176"/>
      <c s="176"/>
      <c s="176"/>
      <c s="176"/>
      <c s="176"/>
      <c s="178" t="str">
        <v/>
      </c>
      <c s="42"/>
      <c s="187">
        <v>0.44</v>
      </c>
      <c s="42"/>
      <c s="186">
        <f t="shared" si="1"/>
        <v>57</v>
      </c>
      <c s="164"/>
      <c s="42"/>
    </row>
    <row r="73" spans="1:23" ht="15.75">
      <c r="A73" s="42"/>
      <c s="179">
        <f t="shared" si="0"/>
        <v>45263</v>
      </c>
      <c s="181"/>
      <c s="181"/>
      <c s="181"/>
      <c s="181"/>
      <c s="181" t="str">
        <v/>
      </c>
      <c s="181"/>
      <c s="181"/>
      <c s="182"/>
      <c r="L73" s="181"/>
      <c s="181"/>
      <c s="181"/>
      <c s="181"/>
      <c s="181"/>
      <c s="178" t="str">
        <v/>
      </c>
      <c s="42"/>
      <c s="187">
        <v>0.45000000000000001</v>
      </c>
      <c s="42"/>
      <c s="186">
        <f t="shared" si="1"/>
        <v>58</v>
      </c>
      <c s="164"/>
      <c s="42"/>
    </row>
    <row r="74" spans="1:23" ht="15.75">
      <c r="A74" s="42"/>
      <c s="174">
        <f t="shared" si="0"/>
        <v>45264</v>
      </c>
      <c s="176"/>
      <c s="176"/>
      <c s="176"/>
      <c s="176"/>
      <c s="176" t="str">
        <v/>
      </c>
      <c s="176"/>
      <c s="176"/>
      <c s="183"/>
      <c r="L74" s="176"/>
      <c s="176"/>
      <c s="176"/>
      <c s="176"/>
      <c s="176"/>
      <c s="178" t="str">
        <v/>
      </c>
      <c s="42"/>
      <c s="187">
        <v>0.46000000000000002</v>
      </c>
      <c s="42"/>
      <c s="186">
        <f t="shared" si="1"/>
        <v>59</v>
      </c>
      <c s="164"/>
      <c s="42"/>
    </row>
    <row r="75" spans="1:23" ht="15.75">
      <c r="A75" s="42"/>
      <c s="179">
        <f t="shared" si="0"/>
        <v>45265</v>
      </c>
      <c s="181"/>
      <c s="181"/>
      <c s="181"/>
      <c s="181"/>
      <c s="181" t="str">
        <v/>
      </c>
      <c s="181"/>
      <c s="181"/>
      <c s="182"/>
      <c r="L75" s="181"/>
      <c s="181"/>
      <c s="181"/>
      <c s="181"/>
      <c s="181"/>
      <c s="178" t="str">
        <v/>
      </c>
      <c s="42"/>
      <c s="187">
        <v>0.46999999999999997</v>
      </c>
      <c s="42"/>
      <c s="186">
        <f t="shared" si="1"/>
        <v>60</v>
      </c>
      <c s="164"/>
      <c s="42"/>
    </row>
    <row r="76" spans="1:23" ht="15.75">
      <c r="A76" s="42"/>
      <c s="174">
        <f t="shared" si="0"/>
        <v>45266</v>
      </c>
      <c s="176"/>
      <c s="176"/>
      <c s="176"/>
      <c s="176"/>
      <c s="176" t="str">
        <v/>
      </c>
      <c s="176"/>
      <c s="176"/>
      <c s="183"/>
      <c r="L76" s="176"/>
      <c s="176"/>
      <c s="176"/>
      <c s="176"/>
      <c s="176"/>
      <c s="178" t="str">
        <v/>
      </c>
      <c s="42"/>
      <c s="187">
        <v>0.47999999999999998</v>
      </c>
      <c s="42"/>
      <c s="186">
        <f t="shared" si="1"/>
        <v>61</v>
      </c>
      <c s="164"/>
      <c s="42"/>
    </row>
    <row r="77" spans="1:23" ht="15.75">
      <c r="A77" s="42"/>
      <c s="179">
        <f t="shared" si="0"/>
        <v>45267</v>
      </c>
      <c s="181"/>
      <c s="181"/>
      <c s="181"/>
      <c s="181"/>
      <c s="181" t="str">
        <v/>
      </c>
      <c s="181"/>
      <c s="181"/>
      <c s="182"/>
      <c r="L77" s="181"/>
      <c s="181"/>
      <c s="181"/>
      <c s="181"/>
      <c s="181"/>
      <c s="178" t="str">
        <v/>
      </c>
      <c s="42"/>
      <c s="187">
        <v>0.48999999999999999</v>
      </c>
      <c s="42"/>
      <c s="186">
        <f t="shared" si="1"/>
        <v>62</v>
      </c>
      <c s="164"/>
      <c s="42"/>
    </row>
    <row r="78" spans="1:23" ht="15.75">
      <c r="A78" s="42"/>
      <c s="174">
        <f t="shared" si="0"/>
        <v>45268</v>
      </c>
      <c s="176"/>
      <c s="176"/>
      <c s="176"/>
      <c s="176"/>
      <c s="176" t="str">
        <v/>
      </c>
      <c s="176"/>
      <c s="176"/>
      <c s="183"/>
      <c r="L78" s="176"/>
      <c s="176"/>
      <c s="176"/>
      <c s="176"/>
      <c s="176"/>
      <c s="178" t="str">
        <v/>
      </c>
      <c s="42"/>
      <c s="187">
        <v>0.5</v>
      </c>
      <c s="42"/>
      <c s="186">
        <f t="shared" si="1"/>
        <v>63</v>
      </c>
      <c s="164"/>
      <c s="42"/>
    </row>
    <row r="79" spans="1:23" ht="15.75">
      <c r="A79" s="42"/>
      <c s="179">
        <f t="shared" si="0"/>
        <v>45269</v>
      </c>
      <c s="181"/>
      <c s="181"/>
      <c s="181"/>
      <c s="181"/>
      <c s="181" t="str">
        <v/>
      </c>
      <c s="181"/>
      <c s="181"/>
      <c s="182"/>
      <c r="L79" s="181"/>
      <c s="181"/>
      <c s="181"/>
      <c s="181"/>
      <c s="181"/>
      <c s="178" t="str">
        <v/>
      </c>
      <c s="42"/>
      <c s="42"/>
      <c s="42"/>
      <c s="186">
        <f t="shared" si="1"/>
        <v>64</v>
      </c>
      <c s="164"/>
      <c s="42"/>
    </row>
    <row r="80" spans="1:23" ht="15.75">
      <c r="A80" s="42"/>
      <c s="174">
        <f t="shared" si="0"/>
        <v>45270</v>
      </c>
      <c s="176"/>
      <c s="176"/>
      <c s="176"/>
      <c s="176"/>
      <c s="176" t="str">
        <v/>
      </c>
      <c s="176"/>
      <c s="176"/>
      <c s="183"/>
      <c r="L80" s="176"/>
      <c s="176"/>
      <c s="176"/>
      <c s="176"/>
      <c s="176"/>
      <c s="178" t="str">
        <v/>
      </c>
      <c s="42"/>
      <c s="42"/>
      <c s="42"/>
      <c s="186">
        <f t="shared" si="1"/>
        <v>65</v>
      </c>
      <c s="164"/>
      <c s="42"/>
    </row>
    <row r="81" spans="1:23" ht="15.75">
      <c r="A81" s="42"/>
      <c s="179">
        <f t="shared" si="0"/>
        <v>45271</v>
      </c>
      <c s="181"/>
      <c s="181"/>
      <c s="181"/>
      <c s="181"/>
      <c s="181" t="str">
        <v/>
      </c>
      <c s="181"/>
      <c s="181"/>
      <c s="182"/>
      <c r="L81" s="181"/>
      <c s="181"/>
      <c s="181"/>
      <c s="181"/>
      <c s="181"/>
      <c s="178" t="str">
        <v/>
      </c>
      <c s="42"/>
      <c s="42"/>
      <c s="42"/>
      <c s="186">
        <f t="shared" si="1"/>
        <v>66</v>
      </c>
      <c s="164"/>
      <c s="42"/>
    </row>
    <row r="82" spans="1:23" ht="15.75">
      <c r="A82" s="42"/>
      <c s="174">
        <f t="shared" si="0"/>
        <v>45272</v>
      </c>
      <c s="176"/>
      <c s="176"/>
      <c s="176"/>
      <c s="176"/>
      <c s="176" t="str">
        <v/>
      </c>
      <c s="176"/>
      <c s="176"/>
      <c s="183"/>
      <c r="L82" s="176"/>
      <c s="176"/>
      <c s="176"/>
      <c s="176"/>
      <c s="176"/>
      <c s="178" t="str">
        <v/>
      </c>
      <c s="42"/>
      <c s="42"/>
      <c s="42"/>
      <c s="186">
        <f t="shared" si="1"/>
        <v>67</v>
      </c>
      <c s="164"/>
      <c s="42"/>
    </row>
    <row r="83" spans="1:23" ht="15.75">
      <c r="A83" s="42"/>
      <c s="179">
        <f t="shared" si="0"/>
        <v>45273</v>
      </c>
      <c s="181"/>
      <c s="181"/>
      <c s="181"/>
      <c s="181"/>
      <c s="181" t="str">
        <v/>
      </c>
      <c s="181"/>
      <c s="181"/>
      <c s="182"/>
      <c r="L83" s="181"/>
      <c s="181"/>
      <c s="181"/>
      <c s="181"/>
      <c s="181"/>
      <c s="178" t="str">
        <v/>
      </c>
      <c s="42"/>
      <c s="42"/>
      <c s="42"/>
      <c s="186">
        <f t="shared" si="1"/>
        <v>68</v>
      </c>
      <c s="164"/>
      <c s="42"/>
    </row>
    <row r="84" spans="1:23" ht="15.75">
      <c r="A84" s="42"/>
      <c s="174">
        <f t="shared" si="0"/>
        <v>45274</v>
      </c>
      <c s="176"/>
      <c s="176"/>
      <c s="176"/>
      <c s="176"/>
      <c s="176" t="str">
        <v/>
      </c>
      <c s="176"/>
      <c s="176"/>
      <c s="183"/>
      <c r="L84" s="176"/>
      <c s="176"/>
      <c s="176"/>
      <c s="176"/>
      <c s="176"/>
      <c s="178" t="str">
        <v/>
      </c>
      <c s="42"/>
      <c s="42"/>
      <c s="42"/>
      <c s="186">
        <f t="shared" si="1"/>
        <v>69</v>
      </c>
      <c s="164"/>
      <c s="42"/>
    </row>
    <row r="85" spans="1:23" ht="15.75">
      <c r="A85" s="42"/>
      <c s="179">
        <f t="shared" si="0"/>
        <v>45275</v>
      </c>
      <c s="181"/>
      <c s="181"/>
      <c s="181"/>
      <c s="181"/>
      <c s="181" t="str">
        <v/>
      </c>
      <c s="181"/>
      <c s="181"/>
      <c s="182"/>
      <c r="L85" s="181"/>
      <c s="181"/>
      <c s="181"/>
      <c s="181"/>
      <c s="181"/>
      <c s="178" t="str">
        <v/>
      </c>
      <c s="42"/>
      <c s="42"/>
      <c s="42"/>
      <c s="186">
        <f t="shared" si="1"/>
        <v>70</v>
      </c>
      <c s="164"/>
      <c s="42"/>
    </row>
    <row r="86" spans="1:23" ht="15.75">
      <c r="A86" s="42"/>
      <c s="174">
        <f t="shared" si="0"/>
        <v>45276</v>
      </c>
      <c s="176"/>
      <c s="176"/>
      <c s="176"/>
      <c s="176"/>
      <c s="176" t="str">
        <v/>
      </c>
      <c s="176"/>
      <c s="176"/>
      <c s="183"/>
      <c r="L86" s="176"/>
      <c s="176"/>
      <c s="176"/>
      <c s="176"/>
      <c s="176"/>
      <c s="178" t="str">
        <v/>
      </c>
      <c s="42"/>
      <c s="42"/>
      <c s="42"/>
      <c s="186">
        <f t="shared" si="1"/>
        <v>71</v>
      </c>
      <c s="164"/>
      <c s="42"/>
    </row>
    <row r="87" spans="1:23" ht="15.75">
      <c r="A87" s="42"/>
      <c s="179">
        <f t="shared" si="0"/>
        <v>45277</v>
      </c>
      <c s="181"/>
      <c s="181"/>
      <c s="181"/>
      <c s="181"/>
      <c s="181" t="str">
        <v/>
      </c>
      <c s="181"/>
      <c s="181"/>
      <c s="182"/>
      <c r="L87" s="181"/>
      <c s="181"/>
      <c s="181"/>
      <c s="181"/>
      <c s="181"/>
      <c s="178" t="str">
        <v/>
      </c>
      <c s="42"/>
      <c s="42"/>
      <c s="42"/>
      <c s="186">
        <f t="shared" si="1"/>
        <v>72</v>
      </c>
      <c s="164"/>
      <c s="42"/>
    </row>
    <row r="88" spans="1:23" ht="15.75">
      <c r="A88" s="42"/>
      <c s="174">
        <f t="shared" si="0"/>
        <v>45278</v>
      </c>
      <c s="176"/>
      <c s="176"/>
      <c s="176"/>
      <c s="176"/>
      <c s="176" t="str">
        <v/>
      </c>
      <c s="176"/>
      <c s="176"/>
      <c s="183"/>
      <c r="L88" s="176"/>
      <c s="176"/>
      <c s="176"/>
      <c s="176"/>
      <c s="176"/>
      <c s="178" t="str">
        <v/>
      </c>
      <c s="42"/>
      <c s="42"/>
      <c s="42"/>
      <c s="186">
        <f t="shared" si="1"/>
        <v>73</v>
      </c>
      <c s="164"/>
      <c s="42"/>
    </row>
    <row r="89" spans="1:23" ht="15.75">
      <c r="A89" s="42"/>
      <c s="179">
        <f t="shared" si="0"/>
        <v>45279</v>
      </c>
      <c s="181"/>
      <c s="181"/>
      <c s="181"/>
      <c s="181"/>
      <c s="181" t="str">
        <v/>
      </c>
      <c s="181"/>
      <c s="181"/>
      <c s="182"/>
      <c r="L89" s="181"/>
      <c s="181"/>
      <c s="181"/>
      <c s="181"/>
      <c s="181"/>
      <c s="178" t="str">
        <v/>
      </c>
      <c s="42"/>
      <c s="42"/>
      <c s="42"/>
      <c s="186">
        <f t="shared" si="1"/>
        <v>74</v>
      </c>
      <c s="42"/>
      <c s="42"/>
    </row>
    <row r="90" spans="1:23" ht="15.75">
      <c r="A90" s="42"/>
      <c s="174">
        <f t="shared" si="0"/>
        <v>45280</v>
      </c>
      <c s="176"/>
      <c s="176"/>
      <c s="176"/>
      <c s="176"/>
      <c s="176" t="str">
        <v/>
      </c>
      <c s="176"/>
      <c s="176"/>
      <c s="183"/>
      <c r="L90" s="176"/>
      <c s="176"/>
      <c s="176"/>
      <c s="176"/>
      <c s="176"/>
      <c s="178" t="str">
        <v/>
      </c>
      <c s="42"/>
      <c s="42"/>
      <c s="42"/>
      <c s="186">
        <f t="shared" si="1"/>
        <v>75</v>
      </c>
      <c s="42"/>
      <c s="42"/>
    </row>
    <row r="91" spans="1:23" ht="15.75">
      <c r="A91" s="42"/>
      <c s="179">
        <f t="shared" si="0"/>
        <v>45281</v>
      </c>
      <c s="181"/>
      <c s="181"/>
      <c s="181"/>
      <c s="181"/>
      <c s="181" t="str">
        <v/>
      </c>
      <c s="181"/>
      <c s="181"/>
      <c s="182"/>
      <c r="L91" s="181"/>
      <c s="181"/>
      <c s="181"/>
      <c s="181"/>
      <c s="181"/>
      <c s="178" t="str">
        <v/>
      </c>
      <c s="42"/>
      <c s="42"/>
      <c s="42"/>
      <c s="186">
        <f t="shared" si="1"/>
        <v>76</v>
      </c>
      <c s="42"/>
      <c s="42"/>
    </row>
    <row r="92" spans="1:23" ht="15.75">
      <c r="A92" s="42"/>
      <c s="174">
        <f t="shared" si="0"/>
        <v>45282</v>
      </c>
      <c s="176"/>
      <c s="176"/>
      <c s="176"/>
      <c s="176"/>
      <c s="176" t="str">
        <v/>
      </c>
      <c s="176"/>
      <c s="176"/>
      <c s="183"/>
      <c r="L92" s="176"/>
      <c s="176"/>
      <c s="176"/>
      <c s="176"/>
      <c s="176"/>
      <c s="178" t="str">
        <v/>
      </c>
      <c s="42"/>
      <c s="42"/>
      <c s="42"/>
      <c s="186">
        <f t="shared" si="1"/>
        <v>77</v>
      </c>
      <c s="42"/>
      <c s="42"/>
    </row>
    <row r="93" spans="1:23" ht="15.75">
      <c r="A93" s="42"/>
      <c s="179">
        <f t="shared" si="0"/>
        <v>45283</v>
      </c>
      <c s="181"/>
      <c s="181"/>
      <c s="181"/>
      <c s="181"/>
      <c s="181" t="str">
        <v/>
      </c>
      <c s="181"/>
      <c s="181"/>
      <c s="182"/>
      <c r="L93" s="181"/>
      <c s="181"/>
      <c s="181"/>
      <c s="181"/>
      <c s="181"/>
      <c s="178" t="str">
        <v/>
      </c>
      <c s="42"/>
      <c s="42"/>
      <c s="42"/>
      <c s="186">
        <f t="shared" si="1"/>
        <v>78</v>
      </c>
      <c s="42"/>
      <c s="42"/>
    </row>
    <row r="94" spans="1:23" ht="15.75">
      <c r="A94" s="42"/>
      <c s="174">
        <f t="shared" si="0"/>
        <v>45284</v>
      </c>
      <c s="176"/>
      <c s="176"/>
      <c s="176"/>
      <c s="176"/>
      <c s="176" t="str">
        <v/>
      </c>
      <c s="176"/>
      <c s="176"/>
      <c s="183"/>
      <c r="L94" s="176"/>
      <c s="176"/>
      <c s="176"/>
      <c s="176"/>
      <c s="176"/>
      <c s="178" t="str">
        <v/>
      </c>
      <c s="42"/>
      <c s="42"/>
      <c s="42"/>
      <c s="186">
        <f t="shared" si="1"/>
        <v>79</v>
      </c>
      <c s="42"/>
      <c s="42"/>
    </row>
    <row r="95" spans="1:23" ht="15.75">
      <c r="A95" s="42"/>
      <c s="179">
        <f t="shared" si="0"/>
        <v>45285</v>
      </c>
      <c s="181"/>
      <c s="181"/>
      <c s="181"/>
      <c s="181"/>
      <c s="181" t="str">
        <v/>
      </c>
      <c s="181"/>
      <c s="181"/>
      <c s="182"/>
      <c r="L95" s="181"/>
      <c s="181"/>
      <c s="181"/>
      <c s="181"/>
      <c s="181"/>
      <c s="178" t="str">
        <v/>
      </c>
      <c s="42"/>
      <c s="42"/>
      <c s="42"/>
      <c s="186">
        <f t="shared" si="1"/>
        <v>80</v>
      </c>
      <c s="42"/>
      <c s="42"/>
    </row>
    <row r="96" spans="1:23" ht="15.75">
      <c r="A96" s="42"/>
      <c s="174">
        <f t="shared" si="0"/>
        <v>45286</v>
      </c>
      <c s="176"/>
      <c s="176"/>
      <c s="176"/>
      <c s="176"/>
      <c s="176" t="str">
        <v/>
      </c>
      <c s="176"/>
      <c s="176"/>
      <c s="183"/>
      <c r="L96" s="176"/>
      <c s="176"/>
      <c s="176"/>
      <c s="176"/>
      <c s="176"/>
      <c s="178" t="str">
        <v/>
      </c>
      <c s="42"/>
      <c s="42"/>
      <c s="42"/>
      <c s="186">
        <f t="shared" si="1"/>
        <v>81</v>
      </c>
      <c s="42"/>
      <c s="42"/>
    </row>
    <row r="97" spans="1:23" ht="15.75">
      <c r="A97" s="42"/>
      <c s="179">
        <f t="shared" si="0"/>
        <v>45287</v>
      </c>
      <c s="181"/>
      <c s="181"/>
      <c s="181"/>
      <c s="181"/>
      <c s="181" t="str">
        <v/>
      </c>
      <c s="181"/>
      <c s="181"/>
      <c s="182"/>
      <c r="L97" s="181"/>
      <c s="181"/>
      <c s="181"/>
      <c s="181"/>
      <c s="181"/>
      <c s="178" t="str">
        <v/>
      </c>
      <c s="42"/>
      <c s="42"/>
      <c s="42"/>
      <c s="186">
        <f t="shared" si="1"/>
        <v>82</v>
      </c>
      <c s="42"/>
      <c s="42"/>
    </row>
    <row r="98" spans="1:23" ht="15.75">
      <c r="A98" s="42"/>
      <c s="174">
        <f t="shared" si="0"/>
        <v>45288</v>
      </c>
      <c s="176"/>
      <c s="176"/>
      <c s="176"/>
      <c s="176"/>
      <c s="176" t="str">
        <v/>
      </c>
      <c s="176"/>
      <c s="176"/>
      <c s="183"/>
      <c r="L98" s="176"/>
      <c s="176"/>
      <c s="176"/>
      <c s="176"/>
      <c s="176"/>
      <c s="178" t="str">
        <v/>
      </c>
      <c s="42"/>
      <c s="42"/>
      <c s="42"/>
      <c s="186">
        <f t="shared" si="1"/>
        <v>83</v>
      </c>
      <c s="42"/>
      <c s="42"/>
    </row>
    <row r="99" spans="1:23" ht="15.75">
      <c r="A99" s="42"/>
      <c s="179">
        <f t="shared" si="0"/>
        <v>45289</v>
      </c>
      <c s="181"/>
      <c s="181"/>
      <c s="181"/>
      <c s="181"/>
      <c s="181" t="str">
        <v/>
      </c>
      <c s="181"/>
      <c s="181"/>
      <c s="182"/>
      <c r="L99" s="181"/>
      <c s="181"/>
      <c s="181"/>
      <c s="181"/>
      <c s="181"/>
      <c s="178" t="str">
        <v/>
      </c>
      <c s="42"/>
      <c s="42"/>
      <c s="42"/>
      <c s="186">
        <f t="shared" si="1"/>
        <v>84</v>
      </c>
      <c s="42"/>
      <c s="42"/>
    </row>
    <row r="100" spans="1:23" ht="15.75">
      <c r="A100" s="42"/>
      <c s="174">
        <f t="shared" si="0"/>
        <v>45290</v>
      </c>
      <c s="176"/>
      <c s="176"/>
      <c s="176"/>
      <c s="176"/>
      <c s="176" t="str">
        <v/>
      </c>
      <c s="176"/>
      <c s="176"/>
      <c s="183"/>
      <c r="L100" s="176"/>
      <c s="176"/>
      <c s="176"/>
      <c s="176"/>
      <c s="176"/>
      <c s="178" t="str">
        <v/>
      </c>
      <c s="42"/>
      <c s="42"/>
      <c s="42"/>
      <c s="186">
        <f t="shared" si="1"/>
        <v>85</v>
      </c>
      <c s="42"/>
      <c s="42"/>
    </row>
    <row r="101" spans="1:23" ht="15.75">
      <c r="A101" s="42"/>
      <c s="179">
        <f t="shared" si="0"/>
        <v>45291</v>
      </c>
      <c s="181"/>
      <c s="181"/>
      <c s="181"/>
      <c s="181"/>
      <c s="181" t="str">
        <v/>
      </c>
      <c s="181"/>
      <c s="181"/>
      <c s="182"/>
      <c r="L101" s="181"/>
      <c s="181"/>
      <c s="181"/>
      <c s="181"/>
      <c s="181"/>
      <c s="178" t="str">
        <v/>
      </c>
      <c s="42"/>
      <c s="42"/>
      <c s="42"/>
      <c s="186">
        <f t="shared" si="1"/>
        <v>86</v>
      </c>
      <c s="42"/>
      <c s="42"/>
    </row>
    <row r="102" spans="1:23" ht="15.75">
      <c r="A102" s="42"/>
      <c s="174">
        <f t="shared" si="0"/>
        <v>45292</v>
      </c>
      <c s="176"/>
      <c s="176"/>
      <c s="176"/>
      <c s="176"/>
      <c s="176" t="str">
        <v/>
      </c>
      <c s="176"/>
      <c s="176"/>
      <c s="183"/>
      <c r="L102" s="176"/>
      <c s="176"/>
      <c s="176"/>
      <c s="176"/>
      <c s="176"/>
      <c s="178" t="str">
        <v/>
      </c>
      <c s="42"/>
      <c s="42"/>
      <c s="42"/>
      <c s="186">
        <f t="shared" si="1"/>
        <v>87</v>
      </c>
      <c s="42"/>
      <c s="42"/>
    </row>
    <row r="103" spans="1:23" ht="15.75">
      <c r="A103" s="42"/>
      <c s="179">
        <f t="shared" si="0"/>
        <v>45293</v>
      </c>
      <c s="181"/>
      <c s="181"/>
      <c s="181"/>
      <c s="181"/>
      <c s="181" t="str">
        <v/>
      </c>
      <c s="181"/>
      <c s="181"/>
      <c s="182"/>
      <c r="L103" s="181"/>
      <c s="181"/>
      <c s="181"/>
      <c s="181"/>
      <c s="181"/>
      <c s="178" t="str">
        <v/>
      </c>
      <c s="42"/>
      <c s="42"/>
      <c s="42"/>
      <c s="186">
        <f t="shared" si="1"/>
        <v>88</v>
      </c>
      <c s="42"/>
      <c s="42"/>
    </row>
    <row r="104" spans="1:23" ht="15.75">
      <c r="A104" s="42"/>
      <c s="174">
        <f t="shared" si="0"/>
        <v>45294</v>
      </c>
      <c s="176"/>
      <c s="176"/>
      <c s="176"/>
      <c s="176"/>
      <c s="176" t="str">
        <v/>
      </c>
      <c s="176"/>
      <c s="176"/>
      <c s="183"/>
      <c r="L104" s="176"/>
      <c s="176"/>
      <c s="176"/>
      <c s="176"/>
      <c s="176"/>
      <c s="178" t="str">
        <v/>
      </c>
      <c s="42"/>
      <c s="42"/>
      <c s="42"/>
      <c s="186">
        <f t="shared" si="1"/>
        <v>89</v>
      </c>
      <c s="42"/>
      <c s="42"/>
    </row>
    <row r="105" spans="1:23" ht="15.75">
      <c r="A105" s="42"/>
      <c s="179">
        <f t="shared" si="0"/>
        <v>45295</v>
      </c>
      <c s="181"/>
      <c s="181"/>
      <c s="181"/>
      <c s="181"/>
      <c s="181" t="str">
        <v/>
      </c>
      <c s="181"/>
      <c s="181"/>
      <c s="182"/>
      <c r="L105" s="181"/>
      <c s="181"/>
      <c s="181"/>
      <c s="181"/>
      <c s="181"/>
      <c s="178" t="str">
        <v/>
      </c>
      <c s="42"/>
      <c s="42"/>
      <c s="42"/>
      <c s="186">
        <f t="shared" si="1"/>
        <v>90</v>
      </c>
      <c s="42"/>
      <c s="42"/>
    </row>
    <row r="106" spans="1:23" ht="15.75">
      <c r="A106" s="42"/>
      <c s="174">
        <f t="shared" si="0"/>
        <v>45296</v>
      </c>
      <c s="176"/>
      <c s="176"/>
      <c s="176"/>
      <c s="176"/>
      <c s="176" t="str">
        <v/>
      </c>
      <c s="176"/>
      <c s="176"/>
      <c s="183"/>
      <c r="L106" s="176"/>
      <c s="176"/>
      <c s="176"/>
      <c s="176"/>
      <c s="176"/>
      <c s="178" t="str">
        <v/>
      </c>
      <c s="42"/>
      <c s="42"/>
      <c s="42"/>
      <c s="42"/>
      <c s="42"/>
      <c s="42"/>
    </row>
    <row r="107" spans="1:23" ht="15.75">
      <c r="A107" s="42"/>
      <c s="179">
        <f t="shared" si="0"/>
        <v>45297</v>
      </c>
      <c s="181"/>
      <c s="181"/>
      <c s="181"/>
      <c s="181"/>
      <c s="181" t="str">
        <v/>
      </c>
      <c s="181"/>
      <c s="181"/>
      <c s="182"/>
      <c r="L107" s="181"/>
      <c s="181"/>
      <c s="181"/>
      <c s="181"/>
      <c s="181"/>
      <c s="178" t="str">
        <v/>
      </c>
      <c s="42"/>
      <c s="42"/>
      <c s="42"/>
      <c s="42"/>
      <c s="42"/>
      <c s="42"/>
    </row>
    <row r="108" spans="1:23" ht="15.75">
      <c r="A108" s="42"/>
      <c s="174">
        <f t="shared" si="0"/>
        <v>45298</v>
      </c>
      <c s="176"/>
      <c s="176"/>
      <c s="176"/>
      <c s="176"/>
      <c s="176" t="str">
        <v/>
      </c>
      <c s="176"/>
      <c s="176"/>
      <c s="183"/>
      <c r="L108" s="176"/>
      <c s="176"/>
      <c s="176"/>
      <c s="176"/>
      <c s="176"/>
      <c s="178" t="str">
        <v/>
      </c>
      <c s="42"/>
      <c s="42"/>
      <c s="42"/>
      <c s="42"/>
      <c s="42"/>
      <c s="42"/>
    </row>
    <row r="109" spans="1:23" ht="15.75">
      <c r="A109" s="42"/>
      <c s="179">
        <f t="shared" si="0"/>
        <v>45299</v>
      </c>
      <c s="181"/>
      <c s="181"/>
      <c s="181"/>
      <c s="181"/>
      <c s="181" t="str">
        <v/>
      </c>
      <c s="181"/>
      <c s="181"/>
      <c s="182"/>
      <c r="L109" s="181"/>
      <c s="181"/>
      <c s="181"/>
      <c s="181"/>
      <c s="181"/>
      <c s="178" t="str">
        <v/>
      </c>
      <c s="42"/>
      <c s="42"/>
      <c s="42"/>
      <c s="42"/>
      <c s="42"/>
      <c s="42"/>
    </row>
    <row r="110" spans="1:23" ht="15.75">
      <c r="A110" s="42"/>
      <c s="174">
        <f t="shared" si="0"/>
        <v>45300</v>
      </c>
      <c s="176"/>
      <c s="176"/>
      <c s="176"/>
      <c s="176"/>
      <c s="176" t="str">
        <v/>
      </c>
      <c s="176"/>
      <c s="176"/>
      <c s="183"/>
      <c r="L110" s="176"/>
      <c s="176"/>
      <c s="176"/>
      <c s="176"/>
      <c s="176"/>
      <c s="178" t="str">
        <v/>
      </c>
      <c s="42"/>
      <c s="42"/>
      <c s="42"/>
      <c s="42"/>
      <c s="42"/>
      <c s="42"/>
    </row>
    <row r="111" spans="1:23" ht="15.75">
      <c r="A111" s="42"/>
      <c s="179">
        <f t="shared" si="0"/>
        <v>45301</v>
      </c>
      <c s="181"/>
      <c s="181"/>
      <c s="181"/>
      <c s="181"/>
      <c s="181" t="str">
        <v/>
      </c>
      <c s="181"/>
      <c s="181"/>
      <c s="182"/>
      <c r="L111" s="181"/>
      <c s="181"/>
      <c s="181"/>
      <c s="181"/>
      <c s="181"/>
      <c s="178" t="str">
        <v/>
      </c>
      <c s="42"/>
      <c s="42"/>
      <c s="42"/>
      <c s="42"/>
      <c s="42"/>
      <c s="42"/>
    </row>
    <row r="112" spans="1:23" ht="15.75">
      <c r="A112" s="42"/>
      <c s="174">
        <f t="shared" si="0"/>
        <v>45302</v>
      </c>
      <c s="176"/>
      <c s="176"/>
      <c s="176"/>
      <c s="176"/>
      <c s="176" t="str">
        <v/>
      </c>
      <c s="176"/>
      <c s="176"/>
      <c s="183"/>
      <c r="L112" s="176"/>
      <c s="176"/>
      <c s="176"/>
      <c s="176"/>
      <c s="176"/>
      <c s="178" t="str">
        <v/>
      </c>
      <c s="42"/>
      <c s="42"/>
      <c s="42"/>
      <c s="42"/>
      <c s="42"/>
      <c s="42"/>
    </row>
    <row r="113" spans="1:23" ht="15.75">
      <c r="A113" s="42"/>
      <c s="179">
        <f t="shared" si="0"/>
        <v>45303</v>
      </c>
      <c s="181"/>
      <c s="181"/>
      <c s="181"/>
      <c s="181"/>
      <c s="181" t="str">
        <v/>
      </c>
      <c s="181"/>
      <c s="181"/>
      <c s="182"/>
      <c r="L113" s="181"/>
      <c s="181"/>
      <c s="181"/>
      <c s="181"/>
      <c s="181"/>
      <c s="178" t="str">
        <v/>
      </c>
      <c s="42"/>
      <c s="42"/>
      <c s="42"/>
      <c s="42"/>
      <c s="42"/>
      <c s="42"/>
    </row>
    <row r="114" spans="1:23" ht="15.75">
      <c r="A114" s="42"/>
      <c s="174">
        <f t="shared" si="0"/>
        <v>45304</v>
      </c>
      <c s="176"/>
      <c s="176"/>
      <c s="176"/>
      <c s="176"/>
      <c s="176" t="str">
        <v/>
      </c>
      <c s="176"/>
      <c s="176"/>
      <c s="183"/>
      <c r="L114" s="176"/>
      <c s="176"/>
      <c s="176"/>
      <c s="176"/>
      <c s="176"/>
      <c s="178" t="str">
        <v/>
      </c>
      <c s="42"/>
      <c s="42"/>
      <c s="42"/>
      <c s="42"/>
      <c s="42"/>
      <c s="42"/>
    </row>
    <row r="115" spans="1:23" ht="15.75">
      <c r="A115" s="42"/>
      <c s="179">
        <f t="shared" si="0"/>
        <v>45305</v>
      </c>
      <c s="181"/>
      <c s="181"/>
      <c s="181"/>
      <c s="181"/>
      <c s="181" t="str">
        <v/>
      </c>
      <c s="181"/>
      <c s="181"/>
      <c s="182"/>
      <c r="L115" s="181"/>
      <c s="181"/>
      <c s="181"/>
      <c s="181"/>
      <c s="181"/>
      <c s="178" t="str">
        <v/>
      </c>
      <c s="42"/>
      <c s="42"/>
      <c s="42"/>
      <c s="42"/>
      <c s="42"/>
      <c s="42"/>
    </row>
    <row r="116" spans="1:23" ht="15.75">
      <c r="A116" s="42"/>
      <c s="174">
        <f t="shared" si="0"/>
        <v>45306</v>
      </c>
      <c s="176"/>
      <c s="176"/>
      <c s="176"/>
      <c s="176"/>
      <c s="176" t="str">
        <v/>
      </c>
      <c s="176"/>
      <c s="176"/>
      <c s="183"/>
      <c r="L116" s="176"/>
      <c s="176"/>
      <c s="176"/>
      <c s="176"/>
      <c s="176"/>
      <c s="178" t="str">
        <v/>
      </c>
      <c s="42"/>
      <c s="42"/>
      <c s="42"/>
      <c s="42"/>
      <c s="42"/>
      <c s="42"/>
    </row>
    <row r="117" spans="1:23" ht="15.75">
      <c r="A117" s="42"/>
      <c s="179">
        <f t="shared" si="0"/>
        <v>45307</v>
      </c>
      <c s="181"/>
      <c s="181"/>
      <c s="181"/>
      <c s="181"/>
      <c s="181" t="str">
        <v/>
      </c>
      <c s="181"/>
      <c s="181"/>
      <c s="182"/>
      <c r="L117" s="181"/>
      <c s="181"/>
      <c s="181"/>
      <c s="181"/>
      <c s="181"/>
      <c s="178" t="str">
        <v/>
      </c>
      <c s="42"/>
      <c s="42"/>
      <c s="42"/>
      <c s="42"/>
      <c s="42"/>
      <c s="42"/>
    </row>
    <row r="118" spans="1:23" ht="15.75">
      <c r="A118" s="42"/>
      <c s="174">
        <f t="shared" si="0"/>
        <v>45308</v>
      </c>
      <c s="176"/>
      <c s="176"/>
      <c s="176"/>
      <c s="176"/>
      <c s="176" t="str">
        <v/>
      </c>
      <c s="176"/>
      <c s="176"/>
      <c s="183"/>
      <c r="L118" s="176"/>
      <c s="176"/>
      <c s="176"/>
      <c s="176"/>
      <c s="176"/>
      <c s="178" t="str">
        <v/>
      </c>
      <c s="42"/>
      <c s="42"/>
      <c s="42"/>
      <c s="42"/>
      <c s="42"/>
      <c s="42"/>
    </row>
    <row r="119" spans="1:23" ht="15.75">
      <c r="A119" s="42"/>
      <c s="179">
        <f t="shared" si="0"/>
        <v>45309</v>
      </c>
      <c s="181"/>
      <c s="181"/>
      <c s="181"/>
      <c s="181"/>
      <c s="181" t="str">
        <v/>
      </c>
      <c s="181"/>
      <c s="181"/>
      <c s="182"/>
      <c r="L119" s="181"/>
      <c s="181"/>
      <c s="181"/>
      <c s="181"/>
      <c s="181"/>
      <c s="178" t="str">
        <v/>
      </c>
      <c s="42"/>
      <c s="42"/>
      <c s="42"/>
      <c s="42"/>
      <c s="42"/>
      <c s="42"/>
    </row>
    <row r="120" spans="1:23" ht="15.75">
      <c r="A120" s="42"/>
      <c s="174">
        <f t="shared" si="0"/>
        <v>45310</v>
      </c>
      <c s="176"/>
      <c s="176"/>
      <c s="176"/>
      <c s="176"/>
      <c s="176" t="str">
        <v/>
      </c>
      <c s="176"/>
      <c s="176"/>
      <c s="183"/>
      <c r="L120" s="176"/>
      <c s="176"/>
      <c s="176"/>
      <c s="176"/>
      <c s="176"/>
      <c s="178" t="str">
        <v/>
      </c>
      <c s="42"/>
      <c s="42"/>
      <c s="42"/>
      <c s="42"/>
      <c s="42"/>
      <c s="42"/>
    </row>
    <row r="121" spans="1:23" ht="15.75">
      <c r="A121" s="42"/>
      <c s="179">
        <f t="shared" si="0"/>
        <v>45311</v>
      </c>
      <c s="181"/>
      <c s="181"/>
      <c s="181"/>
      <c s="181"/>
      <c s="181" t="str">
        <v/>
      </c>
      <c s="181"/>
      <c s="181"/>
      <c s="182"/>
      <c r="L121" s="181"/>
      <c s="181"/>
      <c s="181"/>
      <c s="181"/>
      <c s="181"/>
      <c s="178" t="str">
        <v/>
      </c>
      <c s="42"/>
      <c s="42"/>
      <c s="42"/>
      <c s="42"/>
      <c s="42"/>
      <c s="42"/>
    </row>
    <row r="122" spans="1:23" ht="15.75">
      <c r="A122" s="42"/>
      <c s="174">
        <f t="shared" si="0"/>
        <v>45312</v>
      </c>
      <c s="176"/>
      <c s="176"/>
      <c s="176"/>
      <c s="176"/>
      <c s="176" t="str">
        <v/>
      </c>
      <c s="176"/>
      <c s="176"/>
      <c s="183"/>
      <c r="L122" s="176"/>
      <c s="176"/>
      <c s="176"/>
      <c s="176"/>
      <c s="176"/>
      <c s="178" t="str">
        <v/>
      </c>
      <c s="42"/>
      <c s="42"/>
      <c s="42"/>
      <c s="42"/>
      <c s="42"/>
      <c s="42"/>
    </row>
    <row r="123" spans="1:23" ht="15.75">
      <c r="A123" s="42"/>
      <c s="179">
        <f t="shared" si="0"/>
        <v>45313</v>
      </c>
      <c s="181"/>
      <c s="181"/>
      <c s="181"/>
      <c s="181"/>
      <c s="181" t="str">
        <v/>
      </c>
      <c s="181"/>
      <c s="181"/>
      <c s="182"/>
      <c r="L123" s="181"/>
      <c s="181"/>
      <c s="181"/>
      <c s="181"/>
      <c s="181"/>
      <c s="178" t="str">
        <v/>
      </c>
      <c s="42"/>
      <c s="42"/>
      <c s="42"/>
      <c s="42"/>
      <c s="42"/>
      <c s="42"/>
    </row>
    <row r="124" spans="1:23" ht="15.75">
      <c r="A124" s="42"/>
      <c s="174">
        <f t="shared" si="0"/>
        <v>45314</v>
      </c>
      <c s="176"/>
      <c s="176"/>
      <c s="176"/>
      <c s="176"/>
      <c s="176" t="str">
        <v/>
      </c>
      <c s="176"/>
      <c s="176"/>
      <c s="183"/>
      <c r="L124" s="176"/>
      <c s="176"/>
      <c s="176"/>
      <c s="176"/>
      <c s="176"/>
      <c s="178" t="str">
        <v/>
      </c>
      <c s="42"/>
      <c s="42"/>
      <c s="42"/>
      <c s="42"/>
      <c s="42"/>
      <c s="42"/>
    </row>
    <row r="125" spans="1:23" ht="15.75">
      <c r="A125" s="42"/>
      <c s="179">
        <f t="shared" si="0"/>
        <v>45315</v>
      </c>
      <c s="181"/>
      <c s="181"/>
      <c s="181"/>
      <c s="181"/>
      <c s="181" t="str">
        <v/>
      </c>
      <c s="181"/>
      <c s="181"/>
      <c s="182"/>
      <c r="L125" s="181"/>
      <c s="181"/>
      <c s="181"/>
      <c s="181"/>
      <c s="181"/>
      <c s="178" t="str">
        <v/>
      </c>
      <c s="42"/>
      <c s="42"/>
      <c s="42"/>
      <c s="42"/>
      <c s="42"/>
      <c s="42"/>
    </row>
    <row r="126" spans="1:23" ht="15.75">
      <c r="A126" s="42"/>
      <c s="174">
        <f t="shared" si="0"/>
        <v>45316</v>
      </c>
      <c s="176"/>
      <c s="176"/>
      <c s="176"/>
      <c s="176"/>
      <c s="176" t="str">
        <v/>
      </c>
      <c s="176"/>
      <c s="176"/>
      <c s="183"/>
      <c r="L126" s="176"/>
      <c s="176"/>
      <c s="176"/>
      <c s="176"/>
      <c s="176"/>
      <c s="178" t="str">
        <v/>
      </c>
      <c s="42"/>
      <c s="42"/>
      <c s="42"/>
      <c s="42"/>
      <c s="42"/>
      <c s="42"/>
    </row>
    <row r="127" spans="1:23" ht="15.75">
      <c r="A127" s="42"/>
      <c s="179">
        <f t="shared" si="0"/>
        <v>45317</v>
      </c>
      <c s="181"/>
      <c s="181"/>
      <c s="181"/>
      <c s="181"/>
      <c s="181" t="str">
        <v/>
      </c>
      <c s="181"/>
      <c s="181"/>
      <c s="182"/>
      <c r="L127" s="181"/>
      <c s="181"/>
      <c s="181"/>
      <c s="181"/>
      <c s="181"/>
      <c s="178" t="str">
        <v/>
      </c>
      <c s="42"/>
      <c s="42"/>
      <c s="42"/>
      <c s="42"/>
      <c s="42"/>
      <c s="42"/>
    </row>
    <row r="128" spans="1:23" ht="15.75">
      <c r="A128" s="42"/>
      <c s="174">
        <f t="shared" si="0"/>
        <v>45318</v>
      </c>
      <c s="176"/>
      <c s="176"/>
      <c s="176"/>
      <c s="176"/>
      <c s="176" t="str">
        <v/>
      </c>
      <c s="176"/>
      <c s="176"/>
      <c s="183"/>
      <c r="L128" s="176"/>
      <c s="176"/>
      <c s="176"/>
      <c s="176"/>
      <c s="176"/>
      <c s="178" t="str">
        <v/>
      </c>
      <c s="42"/>
      <c s="42"/>
      <c s="42"/>
      <c s="42"/>
      <c s="42"/>
      <c s="42"/>
    </row>
    <row r="129" spans="1:23" ht="15.75">
      <c r="A129" s="42"/>
      <c s="179">
        <f t="shared" si="0"/>
        <v>45319</v>
      </c>
      <c s="181"/>
      <c s="181"/>
      <c s="181"/>
      <c s="181"/>
      <c s="181" t="str">
        <v/>
      </c>
      <c s="181"/>
      <c s="181"/>
      <c s="182"/>
      <c r="L129" s="181"/>
      <c s="181"/>
      <c s="181"/>
      <c s="181"/>
      <c s="181"/>
      <c s="178" t="str">
        <v/>
      </c>
      <c s="42"/>
      <c s="42"/>
      <c s="42"/>
      <c s="42"/>
      <c s="42"/>
      <c s="42"/>
    </row>
    <row r="130" spans="1:23" ht="15.75">
      <c r="A130" s="42"/>
      <c s="174">
        <f t="shared" si="0"/>
        <v>45320</v>
      </c>
      <c s="176"/>
      <c s="176"/>
      <c s="176"/>
      <c s="176"/>
      <c s="176" t="str">
        <v/>
      </c>
      <c s="176"/>
      <c s="176"/>
      <c s="183"/>
      <c r="L130" s="176"/>
      <c s="176"/>
      <c s="176"/>
      <c s="176"/>
      <c s="176"/>
      <c s="178" t="str">
        <v/>
      </c>
      <c s="42"/>
      <c s="42"/>
      <c s="42"/>
      <c s="42"/>
      <c s="42"/>
      <c s="42"/>
    </row>
    <row r="131" spans="1:23" ht="15.75">
      <c r="A131" s="42"/>
      <c s="179">
        <f t="shared" si="0"/>
        <v>45321</v>
      </c>
      <c s="181"/>
      <c s="181"/>
      <c s="181"/>
      <c s="181"/>
      <c s="181" t="str">
        <v/>
      </c>
      <c s="181"/>
      <c s="181"/>
      <c s="182"/>
      <c r="L131" s="181"/>
      <c s="181"/>
      <c s="181"/>
      <c s="181"/>
      <c s="181"/>
      <c s="178" t="str">
        <v/>
      </c>
      <c s="42"/>
      <c s="42"/>
      <c s="42"/>
      <c s="42"/>
      <c s="42"/>
      <c s="42"/>
    </row>
    <row r="132" spans="1:23" ht="15.75">
      <c r="A132" s="42"/>
      <c s="174">
        <f t="shared" si="0"/>
        <v>45322</v>
      </c>
      <c s="176"/>
      <c s="176"/>
      <c s="176"/>
      <c s="176"/>
      <c s="176" t="str">
        <v/>
      </c>
      <c s="176"/>
      <c s="176"/>
      <c s="183"/>
      <c r="L132" s="176"/>
      <c s="176"/>
      <c s="176"/>
      <c s="176"/>
      <c s="176"/>
      <c s="178" t="str">
        <v/>
      </c>
      <c s="42"/>
      <c s="42"/>
      <c s="42"/>
      <c s="42"/>
      <c s="42"/>
      <c s="42"/>
    </row>
    <row r="133" spans="1:23" ht="15.75">
      <c r="A133" s="42"/>
      <c s="179">
        <f t="shared" si="0"/>
        <v>45323</v>
      </c>
      <c s="181"/>
      <c s="181"/>
      <c s="181"/>
      <c s="181"/>
      <c s="181" t="str">
        <v/>
      </c>
      <c s="181"/>
      <c s="181"/>
      <c s="182"/>
      <c r="L133" s="181"/>
      <c s="181"/>
      <c s="181"/>
      <c s="181"/>
      <c s="181"/>
      <c s="178" t="str">
        <v/>
      </c>
      <c s="42"/>
      <c s="42"/>
      <c s="42"/>
      <c s="42"/>
      <c s="42"/>
      <c s="42"/>
    </row>
    <row r="134" spans="1:23" ht="15.75">
      <c r="A134" s="42"/>
      <c s="174">
        <f t="shared" si="0"/>
        <v>45324</v>
      </c>
      <c s="176"/>
      <c s="176"/>
      <c s="176"/>
      <c s="176"/>
      <c s="176" t="str">
        <v/>
      </c>
      <c s="176"/>
      <c s="176"/>
      <c s="183"/>
      <c r="L134" s="176"/>
      <c s="176"/>
      <c s="176"/>
      <c s="176"/>
      <c s="176"/>
      <c s="178" t="str">
        <v/>
      </c>
      <c s="42"/>
      <c s="42"/>
      <c s="42"/>
      <c s="42"/>
      <c s="42"/>
      <c s="42"/>
    </row>
    <row r="135" spans="1:23" ht="15.75">
      <c r="A135" s="42"/>
      <c s="179">
        <f t="shared" si="0"/>
        <v>45325</v>
      </c>
      <c s="181"/>
      <c s="181"/>
      <c s="181"/>
      <c s="181"/>
      <c s="181" t="str">
        <v/>
      </c>
      <c s="181"/>
      <c s="181"/>
      <c s="182"/>
      <c r="L135" s="181"/>
      <c s="181"/>
      <c s="181"/>
      <c s="181"/>
      <c s="181"/>
      <c s="178" t="str">
        <v/>
      </c>
      <c s="42"/>
      <c s="42"/>
      <c s="42"/>
      <c s="42"/>
      <c s="42"/>
      <c s="42"/>
    </row>
    <row r="136" spans="1:23" ht="15.75">
      <c r="A136" s="42"/>
      <c s="174">
        <f t="shared" si="0"/>
        <v>45326</v>
      </c>
      <c s="176"/>
      <c s="176"/>
      <c s="176"/>
      <c s="176"/>
      <c s="176" t="str">
        <v/>
      </c>
      <c s="176"/>
      <c s="176"/>
      <c s="183"/>
      <c r="L136" s="176"/>
      <c s="176"/>
      <c s="176"/>
      <c s="176"/>
      <c s="176"/>
      <c s="178" t="str">
        <v/>
      </c>
      <c s="42"/>
      <c s="42"/>
      <c s="42"/>
      <c s="42"/>
      <c s="42"/>
      <c s="42"/>
    </row>
    <row r="137" spans="1:23" ht="15.75">
      <c r="A137" s="42"/>
      <c s="179">
        <f t="shared" si="0"/>
        <v>45327</v>
      </c>
      <c s="181"/>
      <c s="181"/>
      <c s="181"/>
      <c s="181"/>
      <c s="181" t="str">
        <v/>
      </c>
      <c s="181"/>
      <c s="181"/>
      <c s="182"/>
      <c r="L137" s="181"/>
      <c s="181"/>
      <c s="181"/>
      <c s="181"/>
      <c s="181"/>
      <c s="178" t="str">
        <v/>
      </c>
      <c s="42"/>
      <c s="42"/>
      <c s="42"/>
      <c s="42"/>
      <c s="42"/>
      <c s="42"/>
    </row>
    <row r="138" spans="1:23" ht="15.75">
      <c r="A138" s="42"/>
      <c s="174">
        <f t="shared" si="0"/>
        <v>45328</v>
      </c>
      <c s="176"/>
      <c s="176"/>
      <c s="176"/>
      <c s="176"/>
      <c s="176" t="str">
        <v/>
      </c>
      <c s="176"/>
      <c s="176"/>
      <c s="183"/>
      <c r="L138" s="176"/>
      <c s="176"/>
      <c s="176"/>
      <c s="176"/>
      <c s="176"/>
      <c s="178" t="str">
        <v/>
      </c>
      <c s="42"/>
      <c s="42"/>
      <c s="42"/>
      <c s="42"/>
      <c s="42"/>
      <c s="42"/>
    </row>
    <row r="139" spans="1:23" ht="15.75">
      <c r="A139" s="42"/>
      <c s="179">
        <f t="shared" si="0"/>
        <v>45329</v>
      </c>
      <c s="181"/>
      <c s="181"/>
      <c s="181"/>
      <c s="181"/>
      <c s="181" t="str">
        <v/>
      </c>
      <c s="181"/>
      <c s="181"/>
      <c s="182"/>
      <c r="L139" s="181"/>
      <c s="181"/>
      <c s="181"/>
      <c s="181"/>
      <c s="181"/>
      <c s="178" t="str">
        <v/>
      </c>
      <c s="42"/>
      <c s="42"/>
      <c s="42"/>
      <c s="42"/>
      <c s="42"/>
      <c s="42"/>
    </row>
    <row r="140" spans="1:23" ht="15.75">
      <c r="A140" s="42"/>
      <c s="174">
        <f t="shared" si="0"/>
        <v>45330</v>
      </c>
      <c s="176"/>
      <c s="176"/>
      <c s="176"/>
      <c s="176"/>
      <c s="176" t="str">
        <v/>
      </c>
      <c s="176"/>
      <c s="176"/>
      <c s="183"/>
      <c r="L140" s="176"/>
      <c s="176"/>
      <c s="176"/>
      <c s="176"/>
      <c s="176"/>
      <c s="178" t="str">
        <v/>
      </c>
      <c s="42"/>
      <c s="42"/>
      <c s="42"/>
      <c s="42"/>
      <c s="42"/>
      <c s="42"/>
    </row>
    <row r="141" spans="1:23" ht="15.75">
      <c r="A141" s="42"/>
      <c s="179">
        <f t="shared" si="0"/>
        <v>45331</v>
      </c>
      <c s="181"/>
      <c s="181"/>
      <c s="181"/>
      <c s="181"/>
      <c s="181" t="str">
        <v/>
      </c>
      <c s="181"/>
      <c s="181"/>
      <c s="182"/>
      <c r="L141" s="181"/>
      <c s="181"/>
      <c s="181"/>
      <c s="181"/>
      <c s="181"/>
      <c s="178" t="str">
        <v/>
      </c>
      <c s="42"/>
      <c s="42"/>
      <c s="42"/>
      <c s="42"/>
      <c s="42"/>
      <c s="42"/>
    </row>
    <row r="142" spans="1:23" ht="15.75">
      <c r="A142" s="42"/>
      <c s="174">
        <f t="shared" si="0"/>
        <v>45332</v>
      </c>
      <c s="176"/>
      <c s="176"/>
      <c s="176"/>
      <c s="176"/>
      <c s="176" t="str">
        <v/>
      </c>
      <c s="176"/>
      <c s="176"/>
      <c s="183"/>
      <c r="L142" s="176"/>
      <c s="176"/>
      <c s="176"/>
      <c s="176"/>
      <c s="176"/>
      <c s="178" t="str">
        <v/>
      </c>
      <c s="42"/>
      <c s="42"/>
      <c s="42"/>
      <c s="42"/>
      <c s="42"/>
      <c s="42"/>
    </row>
    <row r="143" spans="1:23" ht="15.75">
      <c r="A143" s="42"/>
      <c s="179">
        <f t="shared" si="0"/>
        <v>45333</v>
      </c>
      <c s="181"/>
      <c s="181"/>
      <c s="181"/>
      <c s="181"/>
      <c s="181" t="str">
        <v/>
      </c>
      <c s="181"/>
      <c s="181"/>
      <c s="182"/>
      <c r="L143" s="181"/>
      <c s="181"/>
      <c s="181"/>
      <c s="181"/>
      <c s="181"/>
      <c s="178" t="str">
        <v/>
      </c>
      <c s="42"/>
      <c s="42"/>
      <c s="42"/>
      <c s="42"/>
      <c s="42"/>
      <c s="42"/>
    </row>
    <row r="144" spans="1:23" ht="15.75">
      <c r="A144" s="42"/>
      <c s="174">
        <f t="shared" si="0"/>
        <v>45334</v>
      </c>
      <c s="176"/>
      <c s="176"/>
      <c s="176"/>
      <c s="176"/>
      <c s="176" t="str">
        <v/>
      </c>
      <c s="176"/>
      <c s="176"/>
      <c s="183"/>
      <c r="L144" s="176"/>
      <c s="176"/>
      <c s="176"/>
      <c s="176"/>
      <c s="176"/>
      <c s="178" t="str">
        <v/>
      </c>
      <c s="42"/>
      <c s="42"/>
      <c s="42"/>
      <c s="42"/>
      <c s="42"/>
      <c s="42"/>
    </row>
    <row r="145" spans="1:23" ht="15.75">
      <c r="A145" s="42"/>
      <c s="179">
        <f t="shared" si="0"/>
        <v>45335</v>
      </c>
      <c s="181"/>
      <c s="181"/>
      <c s="181"/>
      <c s="181"/>
      <c s="181" t="str">
        <v/>
      </c>
      <c s="181"/>
      <c s="181"/>
      <c s="182"/>
      <c r="L145" s="181"/>
      <c s="181"/>
      <c s="181"/>
      <c s="181"/>
      <c s="181"/>
      <c s="178" t="str">
        <v/>
      </c>
      <c s="42"/>
      <c s="42"/>
      <c s="42"/>
      <c s="42"/>
      <c s="42"/>
      <c s="42"/>
    </row>
    <row r="146" spans="1:23" ht="15.75">
      <c r="A146" s="42"/>
      <c s="174">
        <f t="shared" si="0"/>
        <v>45336</v>
      </c>
      <c s="176"/>
      <c s="176"/>
      <c s="176"/>
      <c s="176"/>
      <c s="176" t="str">
        <v/>
      </c>
      <c s="176"/>
      <c s="176"/>
      <c s="183"/>
      <c r="L146" s="176"/>
      <c s="176"/>
      <c s="176"/>
      <c s="176"/>
      <c s="176"/>
      <c s="178" t="str">
        <v/>
      </c>
      <c s="42"/>
      <c s="42"/>
      <c s="42"/>
      <c s="42"/>
      <c s="42"/>
      <c s="42"/>
    </row>
    <row r="147" spans="1:23" ht="15.75">
      <c r="A147" s="42"/>
      <c s="179">
        <f t="shared" si="0"/>
        <v>45337</v>
      </c>
      <c s="181"/>
      <c s="181"/>
      <c s="181"/>
      <c s="181"/>
      <c s="181" t="str">
        <v/>
      </c>
      <c s="181"/>
      <c s="181"/>
      <c s="182"/>
      <c r="L147" s="181"/>
      <c s="181"/>
      <c s="181"/>
      <c s="181"/>
      <c s="181"/>
      <c s="178" t="str">
        <v/>
      </c>
      <c s="42"/>
      <c s="42"/>
      <c s="42"/>
      <c s="42"/>
      <c s="42"/>
      <c s="42"/>
    </row>
    <row r="148" spans="1:23" ht="15.75">
      <c r="A148" s="42"/>
      <c s="174">
        <f t="shared" si="0"/>
        <v>45338</v>
      </c>
      <c s="176"/>
      <c s="176"/>
      <c s="176"/>
      <c s="176"/>
      <c s="176" t="str">
        <v/>
      </c>
      <c s="176"/>
      <c s="176"/>
      <c s="183"/>
      <c r="L148" s="176"/>
      <c s="176"/>
      <c s="176"/>
      <c s="176"/>
      <c s="176"/>
      <c s="178" t="str">
        <v/>
      </c>
      <c s="42"/>
      <c s="42"/>
      <c s="42"/>
      <c s="42"/>
      <c s="42"/>
      <c s="42"/>
    </row>
    <row r="149" spans="1:23" ht="15.75">
      <c r="A149" s="42"/>
      <c s="179">
        <f t="shared" si="0"/>
        <v>45339</v>
      </c>
      <c s="181"/>
      <c s="181"/>
      <c s="181"/>
      <c s="181"/>
      <c s="181" t="str">
        <v/>
      </c>
      <c s="181"/>
      <c s="181"/>
      <c s="182"/>
      <c r="L149" s="181"/>
      <c s="181"/>
      <c s="181"/>
      <c s="181"/>
      <c s="181"/>
      <c s="178" t="str">
        <v/>
      </c>
      <c s="42"/>
      <c s="42"/>
      <c s="42"/>
      <c s="42"/>
      <c s="42"/>
      <c s="42"/>
    </row>
    <row r="150" spans="1:23" ht="15.75">
      <c r="A150" s="42"/>
      <c s="174">
        <f t="shared" si="0"/>
        <v>45340</v>
      </c>
      <c s="176"/>
      <c s="176"/>
      <c s="176"/>
      <c s="176"/>
      <c s="176" t="str">
        <v/>
      </c>
      <c s="176"/>
      <c s="176"/>
      <c s="183"/>
      <c r="L150" s="176"/>
      <c s="176"/>
      <c s="176"/>
      <c s="176"/>
      <c s="176"/>
      <c s="178" t="str">
        <v/>
      </c>
      <c s="42"/>
      <c s="42"/>
      <c s="42"/>
      <c s="42"/>
      <c s="42"/>
      <c s="42"/>
    </row>
    <row r="151" spans="1:23" ht="15.75">
      <c r="A151" s="42"/>
      <c s="179">
        <f t="shared" si="0"/>
        <v>45341</v>
      </c>
      <c s="181"/>
      <c s="181"/>
      <c s="181"/>
      <c s="181"/>
      <c s="181" t="str">
        <v/>
      </c>
      <c s="181"/>
      <c s="181"/>
      <c s="182"/>
      <c r="L151" s="181"/>
      <c s="181"/>
      <c s="181"/>
      <c s="181"/>
      <c s="181"/>
      <c s="178" t="str">
        <v/>
      </c>
      <c s="42"/>
      <c s="42"/>
      <c s="42"/>
      <c s="42"/>
      <c s="42"/>
      <c s="42"/>
    </row>
    <row r="152" spans="1:23" ht="15.75">
      <c r="A152" s="42"/>
      <c s="174">
        <f t="shared" si="0"/>
        <v>45342</v>
      </c>
      <c s="176"/>
      <c s="176"/>
      <c s="176"/>
      <c s="176"/>
      <c s="176" t="str">
        <v/>
      </c>
      <c s="176"/>
      <c s="176"/>
      <c s="183"/>
      <c r="L152" s="176"/>
      <c s="176"/>
      <c s="176"/>
      <c s="176"/>
      <c s="176"/>
      <c s="178" t="str">
        <v/>
      </c>
      <c s="42"/>
      <c s="42"/>
      <c s="42"/>
      <c s="42"/>
      <c s="42"/>
      <c s="42"/>
    </row>
    <row r="153" spans="1:23" ht="15.75">
      <c r="A153" s="42"/>
      <c s="179">
        <f t="shared" si="0"/>
        <v>45343</v>
      </c>
      <c s="181"/>
      <c s="181"/>
      <c s="181"/>
      <c s="181"/>
      <c s="181" t="str">
        <v/>
      </c>
      <c s="181"/>
      <c s="181"/>
      <c s="182"/>
      <c r="L153" s="181"/>
      <c s="181"/>
      <c s="181"/>
      <c s="181"/>
      <c s="181"/>
      <c s="178" t="str">
        <v/>
      </c>
      <c s="42"/>
      <c s="42"/>
      <c s="42"/>
      <c s="42"/>
      <c s="42"/>
      <c s="42"/>
    </row>
    <row r="154" spans="1:23" ht="15.75">
      <c r="A154" s="42"/>
      <c s="174">
        <f t="shared" si="0"/>
        <v>45344</v>
      </c>
      <c s="176"/>
      <c s="176"/>
      <c s="176"/>
      <c s="176"/>
      <c s="176" t="str">
        <v/>
      </c>
      <c s="176"/>
      <c s="176"/>
      <c s="183"/>
      <c r="L154" s="176"/>
      <c s="176"/>
      <c s="176"/>
      <c s="176"/>
      <c s="176"/>
      <c s="178" t="str">
        <v/>
      </c>
      <c s="42"/>
      <c s="42"/>
      <c s="42"/>
      <c s="42"/>
      <c s="42"/>
      <c s="42"/>
    </row>
    <row r="155" spans="1:23" ht="15.75">
      <c r="A155" s="42"/>
      <c s="179">
        <f t="shared" si="0"/>
        <v>45345</v>
      </c>
      <c s="181"/>
      <c s="181"/>
      <c s="181"/>
      <c s="181"/>
      <c s="181" t="str">
        <v/>
      </c>
      <c s="181"/>
      <c s="181"/>
      <c s="182"/>
      <c r="L155" s="181"/>
      <c s="181"/>
      <c s="181"/>
      <c s="181"/>
      <c s="181"/>
      <c s="178" t="str">
        <v/>
      </c>
      <c s="42"/>
      <c s="42"/>
      <c s="42"/>
      <c s="42"/>
      <c s="42"/>
      <c s="42"/>
    </row>
    <row r="156" spans="1:23" ht="15.75">
      <c r="A156" s="42"/>
      <c s="174">
        <f t="shared" si="0"/>
        <v>45346</v>
      </c>
      <c s="176"/>
      <c s="176"/>
      <c s="176"/>
      <c s="176"/>
      <c s="176" t="str">
        <v/>
      </c>
      <c s="176"/>
      <c s="176"/>
      <c s="183"/>
      <c r="L156" s="176"/>
      <c s="176"/>
      <c s="176"/>
      <c s="176"/>
      <c s="176"/>
      <c s="178" t="str">
        <v/>
      </c>
      <c s="42"/>
      <c s="42"/>
      <c s="42"/>
      <c s="42"/>
      <c s="42"/>
      <c s="42"/>
    </row>
    <row r="157" spans="1:23" ht="15.75">
      <c r="A157" s="42"/>
      <c s="179">
        <f t="shared" si="0"/>
        <v>45347</v>
      </c>
      <c s="181"/>
      <c s="181"/>
      <c s="181"/>
      <c s="181"/>
      <c s="181" t="str">
        <v/>
      </c>
      <c s="181"/>
      <c s="181"/>
      <c s="182"/>
      <c r="L157" s="181"/>
      <c s="181"/>
      <c s="181"/>
      <c s="181"/>
      <c s="181"/>
      <c s="178" t="str">
        <v/>
      </c>
      <c s="42"/>
      <c s="42"/>
      <c s="42"/>
      <c s="42"/>
      <c s="42"/>
      <c s="42"/>
    </row>
    <row r="158" spans="1:23" ht="15.75">
      <c r="A158" s="42"/>
      <c s="174">
        <f t="shared" si="0"/>
        <v>45348</v>
      </c>
      <c s="176"/>
      <c s="176"/>
      <c s="176"/>
      <c s="176"/>
      <c s="176" t="str">
        <v/>
      </c>
      <c s="176"/>
      <c s="176"/>
      <c s="183"/>
      <c r="L158" s="176"/>
      <c s="176"/>
      <c s="176"/>
      <c s="176"/>
      <c s="176"/>
      <c s="178" t="str">
        <v/>
      </c>
      <c s="42"/>
      <c s="42"/>
      <c s="42"/>
      <c s="42"/>
      <c s="42"/>
      <c s="42"/>
    </row>
    <row r="159" spans="1:23" ht="15.75">
      <c r="A159" s="42"/>
      <c s="179">
        <f t="shared" si="0"/>
        <v>45349</v>
      </c>
      <c s="181"/>
      <c s="181"/>
      <c s="181"/>
      <c s="181"/>
      <c s="181" t="str">
        <v/>
      </c>
      <c s="181"/>
      <c s="181"/>
      <c s="182"/>
      <c r="L159" s="181"/>
      <c s="181"/>
      <c s="181"/>
      <c s="181"/>
      <c s="181"/>
      <c s="178" t="str">
        <v/>
      </c>
      <c s="42"/>
      <c s="42"/>
      <c s="42"/>
      <c s="42"/>
      <c s="42"/>
      <c s="42"/>
    </row>
    <row r="160" spans="1:23" ht="15.75">
      <c r="A160" s="42"/>
      <c s="174">
        <f t="shared" si="0"/>
        <v>45350</v>
      </c>
      <c s="176"/>
      <c s="176"/>
      <c s="176"/>
      <c s="176"/>
      <c s="176" t="str">
        <v/>
      </c>
      <c s="176"/>
      <c s="176"/>
      <c s="183"/>
      <c r="L160" s="176"/>
      <c s="176"/>
      <c s="176"/>
      <c s="176"/>
      <c s="176"/>
      <c s="178" t="str">
        <v/>
      </c>
      <c s="42"/>
      <c s="42"/>
      <c s="42"/>
      <c s="42"/>
      <c s="42"/>
      <c s="42"/>
    </row>
    <row r="161" spans="1:23" ht="15.75">
      <c r="A161" s="42"/>
      <c s="179">
        <f t="shared" si="0"/>
        <v>45351</v>
      </c>
      <c s="181"/>
      <c s="181"/>
      <c s="181"/>
      <c s="181"/>
      <c s="181" t="str">
        <v/>
      </c>
      <c s="181"/>
      <c s="181"/>
      <c s="182"/>
      <c r="L161" s="181"/>
      <c s="181"/>
      <c s="181"/>
      <c s="181"/>
      <c s="181"/>
      <c s="178" t="str">
        <v/>
      </c>
      <c s="42"/>
      <c s="42"/>
      <c s="42"/>
      <c s="42"/>
      <c s="42"/>
      <c s="42"/>
    </row>
    <row r="162" spans="1:23" ht="15.75">
      <c r="A162" s="42"/>
      <c s="174">
        <f t="shared" si="0"/>
        <v>45352</v>
      </c>
      <c s="176"/>
      <c s="176"/>
      <c s="176"/>
      <c s="176"/>
      <c s="176" t="str">
        <v/>
      </c>
      <c s="176"/>
      <c s="176"/>
      <c s="183"/>
      <c r="L162" s="176"/>
      <c s="176"/>
      <c s="176"/>
      <c s="176"/>
      <c s="176"/>
      <c s="178" t="str">
        <v/>
      </c>
      <c s="42"/>
      <c s="42"/>
      <c s="42"/>
      <c s="42"/>
      <c s="42"/>
      <c s="42"/>
    </row>
    <row r="163" spans="1:23" ht="15.75">
      <c r="A163" s="42"/>
      <c s="179">
        <f t="shared" si="0"/>
        <v>45353</v>
      </c>
      <c s="181"/>
      <c s="181"/>
      <c s="181"/>
      <c s="181"/>
      <c s="181" t="str">
        <v/>
      </c>
      <c s="181"/>
      <c s="181"/>
      <c s="182"/>
      <c r="L163" s="181"/>
      <c s="181"/>
      <c s="181"/>
      <c s="181"/>
      <c s="181"/>
      <c s="178" t="str">
        <v/>
      </c>
      <c s="42"/>
      <c s="42"/>
      <c s="42"/>
      <c s="42"/>
      <c s="42"/>
      <c s="42"/>
    </row>
    <row r="164" spans="1:23" ht="15.75">
      <c r="A164" s="42"/>
      <c s="174">
        <f t="shared" si="0"/>
        <v>45354</v>
      </c>
      <c s="176"/>
      <c s="176"/>
      <c s="176"/>
      <c s="176"/>
      <c s="176" t="str">
        <v/>
      </c>
      <c s="176"/>
      <c s="176"/>
      <c s="183"/>
      <c r="L164" s="176"/>
      <c s="176"/>
      <c s="176"/>
      <c s="176"/>
      <c s="176"/>
      <c s="178" t="str">
        <v/>
      </c>
      <c s="42"/>
      <c s="42"/>
      <c s="42"/>
      <c s="42"/>
      <c s="42"/>
      <c s="42"/>
    </row>
    <row r="165" spans="1:23" ht="15.75">
      <c r="A165" s="42"/>
      <c s="179">
        <f t="shared" si="0"/>
        <v>45355</v>
      </c>
      <c s="181"/>
      <c s="181"/>
      <c s="181"/>
      <c s="181"/>
      <c s="181" t="str">
        <v/>
      </c>
      <c s="181"/>
      <c s="181"/>
      <c s="182"/>
      <c r="L165" s="181"/>
      <c s="181"/>
      <c s="181"/>
      <c s="181"/>
      <c s="181"/>
      <c s="178" t="str">
        <v/>
      </c>
      <c s="42"/>
      <c s="42"/>
      <c s="42"/>
      <c s="42"/>
      <c s="42"/>
      <c s="42"/>
    </row>
    <row r="166" spans="1:23" ht="15.75">
      <c r="A166" s="42"/>
      <c s="174">
        <f t="shared" si="0"/>
        <v>45356</v>
      </c>
      <c s="176"/>
      <c s="176"/>
      <c s="176"/>
      <c s="176"/>
      <c s="176" t="str">
        <v/>
      </c>
      <c s="176"/>
      <c s="176"/>
      <c s="183"/>
      <c r="L166" s="176"/>
      <c s="176"/>
      <c s="176"/>
      <c s="176"/>
      <c s="176"/>
      <c s="178" t="str">
        <v/>
      </c>
      <c s="42"/>
      <c s="42"/>
      <c s="42"/>
      <c s="42"/>
      <c s="42"/>
      <c s="42"/>
    </row>
    <row r="167" spans="1:23" ht="15.75">
      <c r="A167" s="42"/>
      <c s="179">
        <f t="shared" si="0"/>
        <v>45357</v>
      </c>
      <c s="181"/>
      <c s="181"/>
      <c s="181"/>
      <c s="181"/>
      <c s="181" t="str">
        <v/>
      </c>
      <c s="181"/>
      <c s="181"/>
      <c s="182"/>
      <c r="L167" s="181"/>
      <c s="181"/>
      <c s="181"/>
      <c s="181"/>
      <c s="181"/>
      <c s="178" t="str">
        <v/>
      </c>
      <c s="42"/>
      <c s="42"/>
      <c s="42"/>
      <c s="42"/>
      <c s="42"/>
      <c s="42"/>
    </row>
    <row r="168" spans="1:23" ht="15.75">
      <c r="A168" s="42"/>
      <c s="174">
        <f t="shared" si="0"/>
        <v>45358</v>
      </c>
      <c s="176"/>
      <c s="176"/>
      <c s="176"/>
      <c s="176"/>
      <c s="176" t="str">
        <v/>
      </c>
      <c s="176"/>
      <c s="176"/>
      <c s="183"/>
      <c r="L168" s="176"/>
      <c s="176"/>
      <c s="176"/>
      <c s="176"/>
      <c s="176"/>
      <c s="178" t="str">
        <v/>
      </c>
      <c s="42"/>
      <c s="42"/>
      <c s="42"/>
      <c s="42"/>
      <c s="42"/>
      <c s="42"/>
    </row>
    <row r="169" spans="1:23" ht="15.75">
      <c r="A169" s="42"/>
      <c s="179">
        <f t="shared" si="0"/>
        <v>45359</v>
      </c>
      <c s="181"/>
      <c s="181"/>
      <c s="181"/>
      <c s="181"/>
      <c s="181" t="str">
        <v/>
      </c>
      <c s="181"/>
      <c s="181"/>
      <c s="182"/>
      <c r="L169" s="181"/>
      <c s="181"/>
      <c s="181"/>
      <c s="181"/>
      <c s="181"/>
      <c s="178" t="str">
        <v/>
      </c>
      <c s="42"/>
      <c s="42"/>
      <c s="42"/>
      <c s="42"/>
      <c s="42"/>
      <c s="42"/>
    </row>
    <row r="170" spans="1:23" ht="15.75">
      <c r="A170" s="42"/>
      <c s="174">
        <f t="shared" si="0"/>
        <v>45360</v>
      </c>
      <c s="176"/>
      <c s="176"/>
      <c s="176"/>
      <c s="176"/>
      <c s="176" t="str">
        <v/>
      </c>
      <c s="176"/>
      <c s="176"/>
      <c s="183"/>
      <c r="L170" s="176"/>
      <c s="176"/>
      <c s="176"/>
      <c s="176"/>
      <c s="176"/>
      <c s="178" t="str">
        <v/>
      </c>
      <c s="42"/>
      <c s="42"/>
      <c s="42"/>
      <c s="42"/>
      <c s="42"/>
      <c s="42"/>
    </row>
    <row r="171" spans="1:23" ht="15.75">
      <c r="A171" s="42"/>
      <c s="179">
        <f t="shared" si="0"/>
        <v>45361</v>
      </c>
      <c s="181"/>
      <c s="181"/>
      <c s="181"/>
      <c s="181"/>
      <c s="181" t="str">
        <v/>
      </c>
      <c s="181"/>
      <c s="181"/>
      <c s="182"/>
      <c r="L171" s="181"/>
      <c s="181"/>
      <c s="181"/>
      <c s="181"/>
      <c s="181"/>
      <c s="178" t="str">
        <v/>
      </c>
      <c s="42"/>
      <c s="42"/>
      <c s="42"/>
      <c s="42"/>
      <c s="42"/>
      <c s="42"/>
    </row>
    <row r="172" spans="1:23" ht="15.75">
      <c r="A172" s="42"/>
      <c s="174">
        <f t="shared" si="0"/>
        <v>45362</v>
      </c>
      <c s="176"/>
      <c s="176"/>
      <c s="176"/>
      <c s="176"/>
      <c s="176" t="str">
        <v/>
      </c>
      <c s="176"/>
      <c s="176"/>
      <c s="183"/>
      <c r="L172" s="176"/>
      <c s="176"/>
      <c s="176"/>
      <c s="176"/>
      <c s="176"/>
      <c s="178" t="str">
        <v/>
      </c>
      <c s="42"/>
      <c s="42"/>
      <c s="42"/>
      <c s="42"/>
      <c s="42"/>
      <c s="42"/>
    </row>
    <row r="173" spans="1:23" ht="15.75">
      <c r="A173" s="42"/>
      <c s="179">
        <f t="shared" si="0"/>
        <v>45363</v>
      </c>
      <c s="181"/>
      <c s="181"/>
      <c s="181"/>
      <c s="181"/>
      <c s="181" t="str">
        <v/>
      </c>
      <c s="181"/>
      <c s="181"/>
      <c s="182"/>
      <c r="L173" s="181"/>
      <c s="181"/>
      <c s="181"/>
      <c s="181"/>
      <c s="181"/>
      <c s="178" t="str">
        <v/>
      </c>
      <c s="42"/>
      <c s="42"/>
      <c s="42"/>
      <c s="42"/>
      <c s="42"/>
      <c s="42"/>
    </row>
    <row r="174" spans="1:23" ht="15.75">
      <c r="A174" s="42"/>
      <c s="174">
        <f t="shared" si="0"/>
        <v>45364</v>
      </c>
      <c s="176"/>
      <c s="176"/>
      <c s="176"/>
      <c s="176"/>
      <c s="176" t="str">
        <v/>
      </c>
      <c s="176"/>
      <c s="176"/>
      <c s="183"/>
      <c r="L174" s="176"/>
      <c s="176"/>
      <c s="176"/>
      <c s="176"/>
      <c s="176"/>
      <c s="178" t="str">
        <v/>
      </c>
      <c s="42"/>
      <c s="42"/>
      <c s="42"/>
      <c s="42"/>
      <c s="42"/>
      <c s="42"/>
    </row>
    <row r="175" spans="1:23" ht="15.75">
      <c r="A175" s="42"/>
      <c s="179">
        <f t="shared" si="0"/>
        <v>45365</v>
      </c>
      <c s="181"/>
      <c s="181"/>
      <c s="181"/>
      <c s="181"/>
      <c s="181" t="str">
        <v/>
      </c>
      <c s="181"/>
      <c s="181"/>
      <c s="182"/>
      <c r="L175" s="181"/>
      <c s="181"/>
      <c s="181"/>
      <c s="181"/>
      <c s="181"/>
      <c s="178" t="str">
        <v/>
      </c>
      <c s="42"/>
      <c s="42"/>
      <c s="42"/>
      <c s="42"/>
      <c s="42"/>
      <c s="42"/>
    </row>
    <row r="176" spans="1:23" ht="15.75">
      <c r="A176" s="42"/>
      <c s="174">
        <f t="shared" si="0"/>
        <v>45366</v>
      </c>
      <c s="176"/>
      <c s="176"/>
      <c s="176"/>
      <c s="176"/>
      <c s="176" t="str">
        <v/>
      </c>
      <c s="176"/>
      <c s="176"/>
      <c s="183"/>
      <c r="L176" s="176"/>
      <c s="176"/>
      <c s="176"/>
      <c s="176"/>
      <c s="176"/>
      <c s="178" t="str">
        <v/>
      </c>
      <c s="42"/>
      <c s="42"/>
      <c s="42"/>
      <c s="42"/>
      <c s="42"/>
      <c s="42"/>
    </row>
    <row r="177" spans="1:23" ht="15.75">
      <c r="A177" s="42"/>
      <c s="179">
        <f t="shared" si="0"/>
        <v>45367</v>
      </c>
      <c s="181"/>
      <c s="181"/>
      <c s="181"/>
      <c s="181"/>
      <c s="181" t="str">
        <v/>
      </c>
      <c s="181"/>
      <c s="181"/>
      <c s="182"/>
      <c r="L177" s="181"/>
      <c s="181"/>
      <c s="181"/>
      <c s="181"/>
      <c s="181"/>
      <c s="178" t="str">
        <v/>
      </c>
      <c s="42"/>
      <c s="42"/>
      <c s="42"/>
      <c s="42"/>
      <c s="42"/>
      <c s="42"/>
    </row>
    <row r="178" spans="1:23" ht="15.75">
      <c r="A178" s="42"/>
      <c s="174">
        <f t="shared" si="0"/>
        <v>45368</v>
      </c>
      <c s="176"/>
      <c s="176"/>
      <c s="176"/>
      <c s="176"/>
      <c s="176" t="str">
        <v/>
      </c>
      <c s="176"/>
      <c s="176"/>
      <c s="183"/>
      <c r="L178" s="176"/>
      <c s="176"/>
      <c s="176"/>
      <c s="176"/>
      <c s="176"/>
      <c s="178" t="str">
        <v/>
      </c>
      <c s="42"/>
      <c s="42"/>
      <c s="42"/>
      <c s="42"/>
      <c s="42"/>
      <c s="42"/>
    </row>
    <row r="179" spans="1:23" ht="15.75">
      <c r="A179" s="42"/>
      <c s="179">
        <f t="shared" si="0"/>
        <v>45369</v>
      </c>
      <c s="181"/>
      <c s="181"/>
      <c s="181"/>
      <c s="181"/>
      <c s="181" t="str">
        <v/>
      </c>
      <c s="181"/>
      <c s="181"/>
      <c s="182"/>
      <c r="L179" s="181"/>
      <c s="181"/>
      <c s="181"/>
      <c s="181"/>
      <c s="181"/>
      <c s="178" t="str">
        <v/>
      </c>
      <c s="42"/>
      <c s="42"/>
      <c s="42"/>
      <c s="42"/>
      <c s="42"/>
      <c s="42"/>
    </row>
    <row r="180" spans="1:23" ht="15.75">
      <c r="A180" s="42"/>
      <c s="174">
        <f t="shared" si="0"/>
        <v>45370</v>
      </c>
      <c s="176"/>
      <c s="176"/>
      <c s="176"/>
      <c s="176"/>
      <c s="176" t="str">
        <v/>
      </c>
      <c s="176"/>
      <c s="176"/>
      <c s="183"/>
      <c r="L180" s="176"/>
      <c s="176"/>
      <c s="176"/>
      <c s="176"/>
      <c s="176"/>
      <c s="178" t="str">
        <v/>
      </c>
      <c s="42"/>
      <c s="42"/>
      <c s="42"/>
      <c s="42"/>
      <c s="42"/>
      <c s="42"/>
    </row>
    <row r="181" spans="1:23" ht="15.75">
      <c r="A181" s="42"/>
      <c s="179">
        <f t="shared" si="0"/>
        <v>45371</v>
      </c>
      <c s="181"/>
      <c s="181"/>
      <c s="181"/>
      <c s="181"/>
      <c s="181" t="str">
        <v/>
      </c>
      <c s="181"/>
      <c s="181"/>
      <c s="182"/>
      <c r="L181" s="181"/>
      <c s="181"/>
      <c s="181"/>
      <c s="181"/>
      <c s="181"/>
      <c s="178" t="str">
        <v/>
      </c>
      <c s="42"/>
      <c s="42"/>
      <c s="42"/>
      <c s="42"/>
      <c s="42"/>
      <c s="42"/>
    </row>
    <row r="182" spans="1:23" ht="15.75">
      <c r="A182" s="42"/>
      <c s="174">
        <f t="shared" si="0"/>
        <v>45372</v>
      </c>
      <c s="176"/>
      <c s="176"/>
      <c s="176"/>
      <c s="176"/>
      <c s="176" t="str">
        <v/>
      </c>
      <c s="176"/>
      <c s="176"/>
      <c s="183"/>
      <c r="L182" s="176"/>
      <c s="176"/>
      <c s="176"/>
      <c s="176"/>
      <c s="176"/>
      <c s="178" t="str">
        <v/>
      </c>
      <c s="42"/>
      <c s="42"/>
      <c s="42"/>
      <c s="42"/>
      <c s="42"/>
      <c s="42"/>
    </row>
    <row r="183" spans="1:23" ht="15.75">
      <c r="A183" s="42"/>
      <c s="179">
        <f t="shared" si="0"/>
        <v>45373</v>
      </c>
      <c s="181"/>
      <c s="181"/>
      <c s="181"/>
      <c s="181"/>
      <c s="181" t="str">
        <v/>
      </c>
      <c s="181"/>
      <c s="181"/>
      <c s="182"/>
      <c r="L183" s="181"/>
      <c s="181"/>
      <c s="181"/>
      <c s="181"/>
      <c s="181"/>
      <c s="178" t="str">
        <v/>
      </c>
      <c s="42"/>
      <c s="42"/>
      <c s="42"/>
      <c s="42"/>
      <c s="42"/>
      <c s="42"/>
    </row>
    <row r="184" spans="1:23" ht="15.75">
      <c r="A184" s="42"/>
      <c s="174">
        <f t="shared" si="0"/>
        <v>45374</v>
      </c>
      <c s="176"/>
      <c s="176"/>
      <c s="176"/>
      <c s="176"/>
      <c s="176" t="str">
        <v/>
      </c>
      <c s="176"/>
      <c s="176"/>
      <c s="183"/>
      <c r="L184" s="176"/>
      <c s="176"/>
      <c s="176"/>
      <c s="176"/>
      <c s="176"/>
      <c s="178" t="str">
        <v/>
      </c>
      <c s="42"/>
      <c s="42"/>
      <c s="42"/>
      <c s="42"/>
      <c s="42"/>
      <c s="42"/>
    </row>
    <row r="185" spans="1:23" ht="15.75">
      <c r="A185" s="42"/>
      <c s="179">
        <f t="shared" si="0"/>
        <v>45375</v>
      </c>
      <c s="181"/>
      <c s="181"/>
      <c s="181"/>
      <c s="181"/>
      <c s="181" t="str">
        <v/>
      </c>
      <c s="181"/>
      <c s="181"/>
      <c s="182"/>
      <c r="L185" s="181"/>
      <c s="181"/>
      <c s="181"/>
      <c s="181"/>
      <c s="181"/>
      <c s="178" t="str">
        <v/>
      </c>
      <c s="42"/>
      <c s="42"/>
      <c s="42"/>
      <c s="42"/>
      <c s="42"/>
      <c s="42"/>
    </row>
    <row r="186" spans="1:23" ht="15.75">
      <c r="A186" s="42"/>
      <c s="174">
        <f t="shared" si="0"/>
        <v>45376</v>
      </c>
      <c s="176"/>
      <c s="176"/>
      <c s="176"/>
      <c s="176"/>
      <c s="176" t="str">
        <v/>
      </c>
      <c s="176"/>
      <c s="176"/>
      <c s="183"/>
      <c r="L186" s="176"/>
      <c s="176"/>
      <c s="176"/>
      <c s="176"/>
      <c s="176"/>
      <c s="178" t="str">
        <v/>
      </c>
      <c s="42"/>
      <c s="42"/>
      <c s="42"/>
      <c s="42"/>
      <c s="42"/>
      <c s="42"/>
    </row>
    <row r="187" spans="1:23" ht="15.75">
      <c r="A187" s="42"/>
      <c s="179">
        <f t="shared" si="0"/>
        <v>45377</v>
      </c>
      <c s="181"/>
      <c s="181"/>
      <c s="181"/>
      <c s="181"/>
      <c s="181" t="str">
        <v/>
      </c>
      <c s="181"/>
      <c s="181"/>
      <c s="182"/>
      <c r="L187" s="181"/>
      <c s="181"/>
      <c s="181"/>
      <c s="181"/>
      <c s="181"/>
      <c s="178" t="str">
        <v/>
      </c>
      <c s="42"/>
      <c s="42"/>
      <c s="42"/>
      <c s="42"/>
      <c s="42"/>
      <c s="42"/>
    </row>
    <row r="188" spans="1:23" ht="15.75">
      <c r="A188" s="42"/>
      <c s="174">
        <f t="shared" si="0"/>
        <v>45378</v>
      </c>
      <c s="176"/>
      <c s="176"/>
      <c s="176"/>
      <c s="176"/>
      <c s="176" t="str">
        <v/>
      </c>
      <c s="176"/>
      <c s="176"/>
      <c s="183"/>
      <c r="L188" s="176"/>
      <c s="176"/>
      <c s="176"/>
      <c s="176"/>
      <c s="176"/>
      <c s="178" t="str">
        <v/>
      </c>
      <c s="42"/>
      <c s="42"/>
      <c s="42"/>
      <c s="42"/>
      <c s="42"/>
      <c s="42"/>
    </row>
    <row r="189" spans="1:23" ht="15.75">
      <c r="A189" s="42"/>
      <c s="179">
        <f t="shared" si="0"/>
        <v>45379</v>
      </c>
      <c s="181"/>
      <c s="181"/>
      <c s="181"/>
      <c s="181"/>
      <c s="181" t="str">
        <v/>
      </c>
      <c s="181"/>
      <c s="181"/>
      <c s="182"/>
      <c r="L189" s="181"/>
      <c s="181"/>
      <c s="181"/>
      <c s="181"/>
      <c s="181"/>
      <c s="178" t="str">
        <v/>
      </c>
      <c s="42"/>
      <c s="42"/>
      <c s="42"/>
      <c s="42"/>
      <c s="42"/>
      <c s="42"/>
    </row>
    <row r="190" spans="1:23" ht="15.75">
      <c r="A190" s="42"/>
      <c s="174">
        <f t="shared" si="0"/>
        <v>45380</v>
      </c>
      <c s="176"/>
      <c s="176"/>
      <c s="176"/>
      <c s="176"/>
      <c s="176" t="str">
        <v/>
      </c>
      <c s="176"/>
      <c s="176"/>
      <c s="183"/>
      <c r="L190" s="176"/>
      <c s="176"/>
      <c s="176"/>
      <c s="176"/>
      <c s="176"/>
      <c s="178" t="str">
        <v/>
      </c>
      <c s="42"/>
      <c s="42"/>
      <c s="42"/>
      <c s="42"/>
      <c s="42"/>
      <c s="42"/>
    </row>
    <row r="191" spans="1:23" ht="15.75">
      <c r="A191" s="42"/>
      <c s="179">
        <f t="shared" si="0"/>
        <v>45381</v>
      </c>
      <c s="181"/>
      <c s="181"/>
      <c s="181"/>
      <c s="181"/>
      <c s="181" t="str">
        <v/>
      </c>
      <c s="181"/>
      <c s="181"/>
      <c s="182"/>
      <c r="L191" s="181"/>
      <c s="181"/>
      <c s="181"/>
      <c s="181"/>
      <c s="181"/>
      <c s="178" t="str">
        <v/>
      </c>
      <c s="42"/>
      <c s="42"/>
      <c s="42"/>
      <c s="42"/>
      <c s="42"/>
      <c s="42"/>
    </row>
    <row r="192" spans="1:23" ht="15.75">
      <c r="A192" s="42"/>
      <c s="174">
        <f t="shared" si="0"/>
        <v>45382</v>
      </c>
      <c s="176"/>
      <c s="176"/>
      <c s="176"/>
      <c s="176"/>
      <c s="176" t="str">
        <v/>
      </c>
      <c s="176"/>
      <c s="176"/>
      <c s="183"/>
      <c r="L192" s="176"/>
      <c s="176"/>
      <c s="176"/>
      <c s="176"/>
      <c s="176"/>
      <c s="178" t="str">
        <v/>
      </c>
      <c s="42"/>
      <c s="42"/>
      <c s="42"/>
      <c s="42"/>
      <c s="42"/>
      <c s="42"/>
    </row>
    <row r="193" spans="1:23" ht="15.75">
      <c r="A193" s="42"/>
      <c s="179">
        <f t="shared" si="0"/>
        <v>45383</v>
      </c>
      <c s="181"/>
      <c s="181"/>
      <c s="181"/>
      <c s="181"/>
      <c s="181" t="str">
        <v/>
      </c>
      <c s="181"/>
      <c s="181"/>
      <c s="182"/>
      <c r="L193" s="181"/>
      <c s="181"/>
      <c s="181"/>
      <c s="181"/>
      <c s="181"/>
      <c s="178" t="str">
        <v/>
      </c>
      <c s="42"/>
      <c s="42"/>
      <c s="42"/>
      <c s="42"/>
      <c s="42"/>
      <c s="42"/>
    </row>
    <row r="194" spans="1:23" ht="15.75">
      <c r="A194" s="42"/>
      <c s="174">
        <f t="shared" si="0"/>
        <v>45384</v>
      </c>
      <c s="176"/>
      <c s="176"/>
      <c s="176"/>
      <c s="176"/>
      <c s="176" t="str">
        <v/>
      </c>
      <c s="176"/>
      <c s="176"/>
      <c s="183"/>
      <c r="L194" s="176"/>
      <c s="176"/>
      <c s="176"/>
      <c s="176"/>
      <c s="176"/>
      <c s="178" t="str">
        <v/>
      </c>
      <c s="42"/>
      <c s="42"/>
      <c s="42"/>
      <c s="42"/>
      <c s="42"/>
      <c s="42"/>
    </row>
    <row r="195" spans="1:23" ht="15.75">
      <c r="A195" s="42"/>
      <c s="179">
        <f t="shared" si="0"/>
        <v>45385</v>
      </c>
      <c s="181"/>
      <c s="181"/>
      <c s="181"/>
      <c s="181"/>
      <c s="181" t="str">
        <v/>
      </c>
      <c s="181"/>
      <c s="181"/>
      <c s="182"/>
      <c r="L195" s="181"/>
      <c s="181"/>
      <c s="181"/>
      <c s="181"/>
      <c s="181"/>
      <c s="178" t="str">
        <v/>
      </c>
      <c s="42"/>
      <c s="42"/>
      <c s="42"/>
      <c s="42"/>
      <c s="42"/>
      <c s="42"/>
    </row>
    <row r="196" spans="1:23" ht="15.75">
      <c r="A196" s="42"/>
      <c s="174">
        <f t="shared" si="0"/>
        <v>45386</v>
      </c>
      <c s="176"/>
      <c s="176"/>
      <c s="176"/>
      <c s="176"/>
      <c s="176" t="str">
        <v/>
      </c>
      <c s="176"/>
      <c s="176"/>
      <c s="183"/>
      <c r="L196" s="176"/>
      <c s="176"/>
      <c s="176"/>
      <c s="176"/>
      <c s="176"/>
      <c s="178" t="str">
        <v/>
      </c>
      <c s="42"/>
      <c s="42"/>
      <c s="42"/>
      <c s="42"/>
      <c s="42"/>
      <c s="42"/>
    </row>
    <row r="197" spans="1:23" ht="15.75">
      <c r="A197" s="42"/>
      <c s="179">
        <f t="shared" si="0"/>
        <v>45387</v>
      </c>
      <c s="181"/>
      <c s="181"/>
      <c s="181"/>
      <c s="181"/>
      <c s="181" t="str">
        <v/>
      </c>
      <c s="181"/>
      <c s="181"/>
      <c s="182"/>
      <c r="L197" s="181"/>
      <c s="181"/>
      <c s="181"/>
      <c s="181"/>
      <c s="181"/>
      <c s="178" t="str">
        <v/>
      </c>
      <c s="42"/>
      <c s="42"/>
      <c s="42"/>
      <c s="42"/>
      <c s="42"/>
      <c s="42"/>
    </row>
    <row r="198" spans="1:23" ht="15.75">
      <c r="A198" s="42"/>
      <c s="174">
        <f t="shared" si="0"/>
        <v>45388</v>
      </c>
      <c s="176"/>
      <c s="176"/>
      <c s="176"/>
      <c s="176"/>
      <c s="176" t="str">
        <v/>
      </c>
      <c s="176"/>
      <c s="176"/>
      <c s="183"/>
      <c r="L198" s="176"/>
      <c s="176"/>
      <c s="176"/>
      <c s="176"/>
      <c s="176"/>
      <c s="178" t="str">
        <v/>
      </c>
      <c s="42"/>
      <c s="42"/>
      <c s="42"/>
      <c s="42"/>
      <c s="42"/>
      <c s="42"/>
    </row>
    <row r="199" spans="1:23" ht="15.75">
      <c r="A199" s="42"/>
      <c s="179">
        <f t="shared" si="0"/>
        <v>45389</v>
      </c>
      <c s="181"/>
      <c s="181"/>
      <c s="181"/>
      <c s="181"/>
      <c s="181" t="str">
        <v/>
      </c>
      <c s="181"/>
      <c s="181"/>
      <c s="182"/>
      <c r="L199" s="181"/>
      <c s="181"/>
      <c s="181"/>
      <c s="181"/>
      <c s="181"/>
      <c s="178" t="str">
        <v/>
      </c>
      <c s="42"/>
      <c s="42"/>
      <c s="42"/>
      <c s="42"/>
      <c s="42"/>
      <c s="42"/>
    </row>
    <row r="200" spans="1:23" ht="15.75">
      <c r="A200" s="42"/>
      <c s="174">
        <f t="shared" si="0"/>
        <v>45390</v>
      </c>
      <c s="176"/>
      <c s="176"/>
      <c s="176"/>
      <c s="176"/>
      <c s="176" t="str">
        <v/>
      </c>
      <c s="176"/>
      <c s="176"/>
      <c s="183"/>
      <c r="L200" s="176"/>
      <c s="176"/>
      <c s="176"/>
      <c s="176"/>
      <c s="176"/>
      <c s="178" t="str">
        <v/>
      </c>
      <c s="42"/>
      <c s="42"/>
      <c s="42"/>
      <c s="42"/>
      <c s="42"/>
      <c s="42"/>
    </row>
    <row r="201" spans="1:23" ht="15.75">
      <c r="A201" s="42"/>
      <c s="179">
        <f t="shared" si="0"/>
        <v>45391</v>
      </c>
      <c s="181"/>
      <c s="181"/>
      <c s="181"/>
      <c s="181"/>
      <c s="181" t="str">
        <v/>
      </c>
      <c s="181"/>
      <c s="181"/>
      <c s="182"/>
      <c r="L201" s="181"/>
      <c s="181"/>
      <c s="181"/>
      <c s="181"/>
      <c s="181"/>
      <c s="178" t="str">
        <v/>
      </c>
      <c s="42"/>
      <c s="42"/>
      <c s="42"/>
      <c s="42"/>
      <c s="42"/>
      <c s="42"/>
    </row>
    <row r="202" spans="1:23" ht="15.75">
      <c r="A202" s="42"/>
      <c s="174">
        <f t="shared" si="0"/>
        <v>45392</v>
      </c>
      <c s="176"/>
      <c s="176"/>
      <c s="176"/>
      <c s="176"/>
      <c s="176" t="str">
        <v/>
      </c>
      <c s="176"/>
      <c s="176"/>
      <c s="183"/>
      <c r="L202" s="176"/>
      <c s="176"/>
      <c s="176"/>
      <c s="176"/>
      <c s="176"/>
      <c s="178" t="str">
        <v/>
      </c>
      <c s="42"/>
      <c s="42"/>
      <c s="42"/>
      <c s="42"/>
      <c s="42"/>
      <c s="42"/>
    </row>
    <row r="203" spans="1:23" ht="15.75">
      <c r="A203" s="42"/>
      <c s="179">
        <f t="shared" si="0"/>
        <v>45393</v>
      </c>
      <c s="181"/>
      <c s="181"/>
      <c s="181"/>
      <c s="181"/>
      <c s="181" t="str">
        <v/>
      </c>
      <c s="181"/>
      <c s="181"/>
      <c s="182"/>
      <c r="L203" s="181"/>
      <c s="181"/>
      <c s="181"/>
      <c s="181"/>
      <c s="181"/>
      <c s="178" t="str">
        <v/>
      </c>
      <c s="42"/>
      <c s="42"/>
      <c s="42"/>
      <c s="42"/>
      <c s="42"/>
      <c s="42"/>
    </row>
    <row r="204" spans="1:23" ht="15.75">
      <c r="A204" s="42"/>
      <c s="174">
        <f t="shared" si="0"/>
        <v>45394</v>
      </c>
      <c s="176"/>
      <c s="176"/>
      <c s="176"/>
      <c s="176"/>
      <c s="176" t="str">
        <v/>
      </c>
      <c s="176"/>
      <c s="176"/>
      <c s="183"/>
      <c r="L204" s="176"/>
      <c s="176"/>
      <c s="176"/>
      <c s="176"/>
      <c s="176"/>
      <c s="178" t="str">
        <v/>
      </c>
      <c s="42"/>
      <c s="42"/>
      <c s="42"/>
      <c s="42"/>
      <c s="42"/>
      <c s="42"/>
    </row>
    <row r="205" spans="1:23" ht="15.75">
      <c r="A205" s="42"/>
      <c s="179">
        <f t="shared" si="0"/>
        <v>45395</v>
      </c>
      <c s="181"/>
      <c s="181"/>
      <c s="181"/>
      <c s="181"/>
      <c s="181" t="str">
        <v/>
      </c>
      <c s="181"/>
      <c s="181"/>
      <c s="182"/>
      <c r="L205" s="181"/>
      <c s="181"/>
      <c s="181"/>
      <c s="181"/>
      <c s="181"/>
      <c s="178" t="str">
        <v/>
      </c>
      <c s="42"/>
      <c s="42"/>
      <c s="42"/>
      <c s="42"/>
      <c s="42"/>
      <c s="42"/>
    </row>
    <row r="206" spans="1:23" ht="15.75">
      <c r="A206" s="42"/>
      <c s="174">
        <f t="shared" si="0"/>
        <v>45396</v>
      </c>
      <c s="176"/>
      <c s="176"/>
      <c s="176"/>
      <c s="176"/>
      <c s="176" t="str">
        <v/>
      </c>
      <c s="176"/>
      <c s="176"/>
      <c s="183"/>
      <c r="L206" s="176"/>
      <c s="176"/>
      <c s="176"/>
      <c s="176"/>
      <c s="176"/>
      <c s="178" t="str">
        <v/>
      </c>
      <c s="42"/>
      <c s="42"/>
      <c s="42"/>
      <c s="42"/>
      <c s="42"/>
      <c s="42"/>
    </row>
    <row r="207" spans="1:23" ht="15.75">
      <c r="A207" s="42"/>
      <c s="179">
        <f t="shared" si="0"/>
        <v>45397</v>
      </c>
      <c s="181"/>
      <c s="181"/>
      <c s="181"/>
      <c s="181"/>
      <c s="181" t="str">
        <v/>
      </c>
      <c s="181"/>
      <c s="181"/>
      <c s="182"/>
      <c r="L207" s="181"/>
      <c s="181"/>
      <c s="181"/>
      <c s="181"/>
      <c s="181"/>
      <c s="178" t="str">
        <v/>
      </c>
      <c s="42"/>
      <c s="42"/>
      <c s="42"/>
      <c s="42"/>
      <c s="42"/>
      <c s="42"/>
    </row>
    <row r="208" spans="1:23" ht="15.75">
      <c r="A208" s="42"/>
      <c s="174">
        <f t="shared" si="0"/>
        <v>45398</v>
      </c>
      <c s="176"/>
      <c s="176"/>
      <c s="176"/>
      <c s="176"/>
      <c s="176" t="str">
        <v/>
      </c>
      <c s="176"/>
      <c s="176"/>
      <c s="183"/>
      <c r="L208" s="176"/>
      <c s="176"/>
      <c s="176"/>
      <c s="176"/>
      <c s="176"/>
      <c s="178" t="str">
        <v/>
      </c>
      <c s="42"/>
      <c s="42"/>
      <c s="42"/>
      <c s="42"/>
      <c s="42"/>
      <c s="42"/>
    </row>
    <row r="209" spans="1:23" ht="15.75">
      <c r="A209" s="42"/>
      <c s="179">
        <f t="shared" si="0"/>
        <v>45399</v>
      </c>
      <c s="181"/>
      <c s="181"/>
      <c s="181"/>
      <c s="181"/>
      <c s="181" t="str">
        <v/>
      </c>
      <c s="181"/>
      <c s="181"/>
      <c s="182"/>
      <c r="L209" s="181"/>
      <c s="181"/>
      <c s="181"/>
      <c s="181"/>
      <c s="181"/>
      <c s="178" t="str">
        <v/>
      </c>
      <c s="42"/>
      <c s="42"/>
      <c s="42"/>
      <c s="42"/>
      <c s="42"/>
      <c s="42"/>
    </row>
    <row r="210" spans="1:23" ht="15.75">
      <c r="A210" s="42"/>
      <c s="174">
        <f t="shared" si="0"/>
        <v>45400</v>
      </c>
      <c s="176"/>
      <c s="176"/>
      <c s="176"/>
      <c s="176"/>
      <c s="176" t="str">
        <v/>
      </c>
      <c s="176"/>
      <c s="176"/>
      <c s="183"/>
      <c r="L210" s="176"/>
      <c s="176"/>
      <c s="176"/>
      <c s="176"/>
      <c s="176"/>
      <c s="178" t="str">
        <v/>
      </c>
      <c s="42"/>
      <c s="42"/>
      <c s="42"/>
      <c s="42"/>
      <c s="42"/>
      <c s="42"/>
    </row>
    <row r="211" spans="1:23" ht="15.75">
      <c r="A211" s="42"/>
      <c s="179">
        <f t="shared" si="0"/>
        <v>45401</v>
      </c>
      <c s="181"/>
      <c s="181"/>
      <c s="181"/>
      <c s="181"/>
      <c s="181" t="str">
        <v/>
      </c>
      <c s="181"/>
      <c s="181"/>
      <c s="182"/>
      <c r="L211" s="181"/>
      <c s="181"/>
      <c s="181"/>
      <c s="181"/>
      <c s="181"/>
      <c s="178" t="str">
        <v/>
      </c>
      <c s="42"/>
      <c s="42"/>
      <c s="42"/>
      <c s="42"/>
      <c s="42"/>
      <c s="42"/>
    </row>
    <row r="212" spans="1:23" ht="15.75">
      <c r="A212" s="42"/>
      <c s="174">
        <f t="shared" si="0"/>
        <v>45402</v>
      </c>
      <c s="176"/>
      <c s="176"/>
      <c s="176"/>
      <c s="176"/>
      <c s="176" t="str">
        <v/>
      </c>
      <c s="176"/>
      <c s="176"/>
      <c s="183"/>
      <c r="L212" s="176"/>
      <c s="176"/>
      <c s="176"/>
      <c s="176"/>
      <c s="176"/>
      <c s="178" t="str">
        <v/>
      </c>
      <c s="42"/>
      <c s="42"/>
      <c s="42"/>
      <c s="42"/>
      <c s="42"/>
      <c s="42"/>
    </row>
    <row r="213" spans="1:23" ht="15.75">
      <c r="A213" s="42"/>
      <c s="179">
        <f t="shared" si="0"/>
        <v>45403</v>
      </c>
      <c s="181"/>
      <c s="181"/>
      <c s="181"/>
      <c s="181"/>
      <c s="181" t="str">
        <v/>
      </c>
      <c s="181"/>
      <c s="181"/>
      <c s="182"/>
      <c r="L213" s="181"/>
      <c s="181"/>
      <c s="181"/>
      <c s="181"/>
      <c s="181"/>
      <c s="178" t="str">
        <v/>
      </c>
      <c s="42"/>
      <c s="42"/>
      <c s="42"/>
      <c s="42"/>
      <c s="42"/>
      <c s="42"/>
    </row>
    <row r="214" spans="1:23" ht="15.75">
      <c r="A214" s="42"/>
      <c s="174">
        <f t="shared" si="0"/>
        <v>45404</v>
      </c>
      <c s="176"/>
      <c s="176"/>
      <c s="176"/>
      <c s="176"/>
      <c s="176" t="str">
        <v/>
      </c>
      <c s="176"/>
      <c s="176"/>
      <c s="183"/>
      <c r="L214" s="176"/>
      <c s="176"/>
      <c s="176"/>
      <c s="176"/>
      <c s="176"/>
      <c s="178" t="str">
        <v/>
      </c>
      <c s="42"/>
      <c s="42"/>
      <c s="42"/>
      <c s="42"/>
      <c s="42"/>
      <c s="42"/>
    </row>
    <row r="215" spans="1:23" ht="15.75">
      <c r="A215" s="42"/>
      <c s="179">
        <f t="shared" si="0"/>
        <v>45405</v>
      </c>
      <c s="181"/>
      <c s="181"/>
      <c s="181"/>
      <c s="181"/>
      <c s="181" t="str">
        <v/>
      </c>
      <c s="181"/>
      <c s="181"/>
      <c s="182"/>
      <c r="L215" s="181"/>
      <c s="181"/>
      <c s="181"/>
      <c s="181"/>
      <c s="181"/>
      <c s="178" t="str">
        <v/>
      </c>
      <c s="42"/>
      <c s="42"/>
      <c s="42"/>
      <c s="42"/>
      <c s="42"/>
      <c s="42"/>
    </row>
    <row r="216" spans="1:23" ht="15.75">
      <c r="A216" s="42"/>
      <c s="174">
        <f t="shared" si="0"/>
        <v>45406</v>
      </c>
      <c s="176"/>
      <c s="176"/>
      <c s="176"/>
      <c s="176"/>
      <c s="176" t="str">
        <v/>
      </c>
      <c s="176"/>
      <c s="176"/>
      <c s="183"/>
      <c r="L216" s="176"/>
      <c s="176"/>
      <c s="176"/>
      <c s="176"/>
      <c s="176"/>
      <c s="178" t="str">
        <v/>
      </c>
      <c s="42"/>
      <c s="42"/>
      <c s="42"/>
      <c s="42"/>
      <c s="42"/>
      <c s="42"/>
    </row>
    <row r="217" spans="1:23" ht="15.75">
      <c r="A217" s="42"/>
      <c s="179">
        <f t="shared" si="0"/>
        <v>45407</v>
      </c>
      <c s="181"/>
      <c s="181"/>
      <c s="181"/>
      <c s="181"/>
      <c s="181" t="str">
        <v/>
      </c>
      <c s="181"/>
      <c s="181"/>
      <c s="182"/>
      <c r="L217" s="181"/>
      <c s="181"/>
      <c s="181"/>
      <c s="181"/>
      <c s="181"/>
      <c s="178" t="str">
        <v/>
      </c>
      <c s="42"/>
      <c s="42"/>
      <c s="42"/>
      <c s="42"/>
      <c s="42"/>
      <c s="42"/>
    </row>
    <row r="218" spans="1:23" ht="15.75">
      <c r="A218" s="42"/>
      <c s="174">
        <f t="shared" si="0"/>
        <v>45408</v>
      </c>
      <c s="176"/>
      <c s="176"/>
      <c s="176"/>
      <c s="176"/>
      <c s="176" t="str">
        <v/>
      </c>
      <c s="176"/>
      <c s="176"/>
      <c s="183"/>
      <c r="L218" s="176"/>
      <c s="176"/>
      <c s="176"/>
      <c s="176"/>
      <c s="176"/>
      <c s="178" t="str">
        <v/>
      </c>
      <c s="42"/>
      <c s="42"/>
      <c s="42"/>
      <c s="42"/>
      <c s="42"/>
      <c s="42"/>
    </row>
    <row r="219" spans="1:23" ht="15.75">
      <c r="A219" s="42"/>
      <c s="179">
        <f t="shared" si="0"/>
        <v>45409</v>
      </c>
      <c s="181"/>
      <c s="181"/>
      <c s="181"/>
      <c s="181"/>
      <c s="181" t="str">
        <v/>
      </c>
      <c s="181"/>
      <c s="181"/>
      <c s="182"/>
      <c r="L219" s="181"/>
      <c s="181"/>
      <c s="181"/>
      <c s="181"/>
      <c s="181"/>
      <c s="178" t="str">
        <v/>
      </c>
      <c s="42"/>
      <c s="42"/>
      <c s="42"/>
      <c s="42"/>
      <c s="42"/>
      <c s="42"/>
    </row>
    <row r="220" spans="1:23" ht="15.75">
      <c r="A220" s="42"/>
      <c s="174">
        <f t="shared" si="0"/>
        <v>45410</v>
      </c>
      <c s="176"/>
      <c s="176"/>
      <c s="176"/>
      <c s="176"/>
      <c s="176" t="str">
        <v/>
      </c>
      <c s="176"/>
      <c s="176"/>
      <c s="183"/>
      <c r="L220" s="176"/>
      <c s="176"/>
      <c s="176"/>
      <c s="176"/>
      <c s="176"/>
      <c s="178" t="str">
        <v/>
      </c>
      <c s="42"/>
      <c s="42"/>
      <c s="42"/>
      <c s="42"/>
      <c s="42"/>
      <c s="42"/>
    </row>
    <row r="221" spans="1:23" ht="15.75">
      <c r="A221" s="42"/>
      <c s="179">
        <f t="shared" si="0"/>
        <v>45411</v>
      </c>
      <c s="181"/>
      <c s="181"/>
      <c s="181"/>
      <c s="181"/>
      <c s="181" t="str">
        <v/>
      </c>
      <c s="181"/>
      <c s="181"/>
      <c s="182"/>
      <c r="L221" s="181"/>
      <c s="181"/>
      <c s="181"/>
      <c s="181"/>
      <c s="181"/>
      <c s="178" t="str">
        <v/>
      </c>
      <c s="42"/>
      <c s="42"/>
      <c s="42"/>
      <c s="42"/>
      <c s="42"/>
      <c s="42"/>
    </row>
    <row r="222" spans="1:23" ht="15.75">
      <c r="A222" s="42"/>
      <c s="174">
        <f t="shared" si="0"/>
        <v>45412</v>
      </c>
      <c s="176"/>
      <c s="176"/>
      <c s="176"/>
      <c s="176"/>
      <c s="176" t="str">
        <v/>
      </c>
      <c s="176"/>
      <c s="176"/>
      <c s="183"/>
      <c r="L222" s="176"/>
      <c s="176"/>
      <c s="176"/>
      <c s="176"/>
      <c s="176"/>
      <c s="178" t="str">
        <v/>
      </c>
      <c s="42"/>
      <c s="42"/>
      <c s="42"/>
      <c s="42"/>
      <c s="42"/>
      <c s="42"/>
    </row>
    <row r="223" spans="1:23" ht="15.75">
      <c r="A223" s="42"/>
      <c s="179">
        <f t="shared" si="0"/>
        <v>45413</v>
      </c>
      <c s="181"/>
      <c s="181"/>
      <c s="181"/>
      <c s="181"/>
      <c s="181" t="str">
        <v/>
      </c>
      <c s="181"/>
      <c s="181"/>
      <c s="182"/>
      <c r="L223" s="181"/>
      <c s="181"/>
      <c s="181"/>
      <c s="181"/>
      <c s="181"/>
      <c s="178" t="str">
        <v/>
      </c>
      <c s="42"/>
      <c s="42"/>
      <c s="42"/>
      <c s="42"/>
      <c s="42"/>
      <c s="42"/>
    </row>
    <row r="224" spans="1:23" ht="15.75">
      <c r="A224" s="42"/>
      <c s="174">
        <f t="shared" si="0"/>
        <v>45414</v>
      </c>
      <c s="176"/>
      <c s="176"/>
      <c s="176"/>
      <c s="176"/>
      <c s="176" t="str">
        <v/>
      </c>
      <c s="176"/>
      <c s="176"/>
      <c s="183"/>
      <c r="L224" s="176"/>
      <c s="176"/>
      <c s="176"/>
      <c s="176"/>
      <c s="176"/>
      <c s="178" t="str">
        <v/>
      </c>
      <c s="42"/>
      <c s="42"/>
      <c s="42"/>
      <c s="42"/>
      <c s="42"/>
      <c s="42"/>
    </row>
    <row r="225" spans="1:23" ht="15.75">
      <c r="A225" s="42"/>
      <c s="179">
        <f t="shared" si="0"/>
        <v>45415</v>
      </c>
      <c s="181"/>
      <c s="181"/>
      <c s="181"/>
      <c s="181"/>
      <c s="181" t="str">
        <v/>
      </c>
      <c s="181"/>
      <c s="181"/>
      <c s="182"/>
      <c r="L225" s="181"/>
      <c s="181"/>
      <c s="181"/>
      <c s="181"/>
      <c s="181"/>
      <c s="178" t="str">
        <v/>
      </c>
      <c s="42"/>
      <c s="42"/>
      <c s="42"/>
      <c s="42"/>
      <c s="42"/>
      <c s="42"/>
    </row>
    <row r="226" spans="1:23" ht="15.75">
      <c r="A226" s="42"/>
      <c s="174">
        <f t="shared" si="0"/>
        <v>45416</v>
      </c>
      <c s="176"/>
      <c s="176"/>
      <c s="176"/>
      <c s="176"/>
      <c s="176" t="str">
        <v/>
      </c>
      <c s="176"/>
      <c s="176"/>
      <c s="183"/>
      <c r="L226" s="176"/>
      <c s="176"/>
      <c s="176"/>
      <c s="176"/>
      <c s="176"/>
      <c s="178" t="str">
        <v/>
      </c>
      <c s="42"/>
      <c s="42"/>
      <c s="42"/>
      <c s="42"/>
      <c s="42"/>
      <c s="42"/>
    </row>
    <row r="227" spans="1:23" ht="15.75">
      <c r="A227" s="42"/>
      <c s="179">
        <f t="shared" si="0"/>
        <v>45417</v>
      </c>
      <c s="181"/>
      <c s="181"/>
      <c s="181"/>
      <c s="181"/>
      <c s="181" t="str">
        <v/>
      </c>
      <c s="181"/>
      <c s="181"/>
      <c s="182"/>
      <c r="L227" s="181"/>
      <c s="181"/>
      <c s="181"/>
      <c s="181"/>
      <c s="181"/>
      <c s="178" t="str">
        <v/>
      </c>
      <c s="42"/>
      <c s="42"/>
      <c s="42"/>
      <c s="42"/>
      <c s="42"/>
      <c s="42"/>
    </row>
    <row r="228" spans="1:23" ht="15.75">
      <c r="A228" s="42"/>
      <c s="174">
        <f t="shared" si="0"/>
        <v>45418</v>
      </c>
      <c s="176"/>
      <c s="176"/>
      <c s="176"/>
      <c s="176"/>
      <c s="176" t="str">
        <v/>
      </c>
      <c s="176"/>
      <c s="176"/>
      <c s="183"/>
      <c r="L228" s="176"/>
      <c s="176"/>
      <c s="176"/>
      <c s="176"/>
      <c s="176"/>
      <c s="178" t="str">
        <v/>
      </c>
      <c s="42"/>
      <c s="42"/>
      <c s="42"/>
      <c s="42"/>
      <c s="42"/>
      <c s="42"/>
    </row>
    <row r="229" spans="1:23" ht="15.75">
      <c r="A229" s="42"/>
      <c s="179">
        <f t="shared" si="0"/>
        <v>45419</v>
      </c>
      <c s="181"/>
      <c s="181"/>
      <c s="181"/>
      <c s="181"/>
      <c s="181" t="str">
        <v/>
      </c>
      <c s="181"/>
      <c s="181"/>
      <c s="182"/>
      <c r="L229" s="181"/>
      <c s="181"/>
      <c s="181"/>
      <c s="181"/>
      <c s="181"/>
      <c s="178" t="str">
        <v/>
      </c>
      <c s="42"/>
      <c s="42"/>
      <c s="42"/>
      <c s="42"/>
      <c s="42"/>
      <c s="42"/>
    </row>
    <row r="230" spans="1:23" ht="15.75">
      <c r="A230" s="42"/>
      <c s="174">
        <f t="shared" si="0"/>
        <v>45420</v>
      </c>
      <c s="176"/>
      <c s="176"/>
      <c s="176"/>
      <c s="176"/>
      <c s="176" t="str">
        <v/>
      </c>
      <c s="176"/>
      <c s="176"/>
      <c s="183"/>
      <c r="L230" s="176"/>
      <c s="176"/>
      <c s="176"/>
      <c s="176"/>
      <c s="176"/>
      <c s="178" t="str">
        <v/>
      </c>
      <c s="42"/>
      <c s="42"/>
      <c s="42"/>
      <c s="42"/>
      <c s="42"/>
      <c s="42"/>
    </row>
    <row r="231" spans="1:23" ht="15.75">
      <c r="A231" s="42"/>
      <c s="179">
        <f t="shared" si="0"/>
        <v>45421</v>
      </c>
      <c s="181"/>
      <c s="181"/>
      <c s="181"/>
      <c s="181"/>
      <c s="181" t="str">
        <v/>
      </c>
      <c s="181"/>
      <c s="181"/>
      <c s="182"/>
      <c r="L231" s="181"/>
      <c s="181"/>
      <c s="181"/>
      <c s="181"/>
      <c s="181"/>
      <c s="178" t="str">
        <v/>
      </c>
      <c s="42"/>
      <c s="42"/>
      <c s="42"/>
      <c s="42"/>
      <c s="42"/>
      <c s="42"/>
    </row>
    <row r="232" spans="1:23" ht="15.75">
      <c r="A232" s="42"/>
      <c s="174">
        <f t="shared" si="0"/>
        <v>45422</v>
      </c>
      <c s="176"/>
      <c s="176"/>
      <c s="176"/>
      <c s="176"/>
      <c s="176" t="str">
        <v/>
      </c>
      <c s="176"/>
      <c s="176"/>
      <c s="183"/>
      <c r="L232" s="176"/>
      <c s="176"/>
      <c s="176"/>
      <c s="176"/>
      <c s="176"/>
      <c s="178" t="str">
        <v/>
      </c>
      <c s="42"/>
      <c s="42"/>
      <c s="42"/>
      <c s="42"/>
      <c s="42"/>
      <c s="42"/>
    </row>
    <row r="233" spans="1:23" ht="15.75">
      <c r="A233" s="42"/>
      <c s="179">
        <f t="shared" si="0"/>
        <v>45423</v>
      </c>
      <c s="181"/>
      <c s="181"/>
      <c s="181"/>
      <c s="181"/>
      <c s="181" t="str">
        <v/>
      </c>
      <c s="181"/>
      <c s="181"/>
      <c s="182"/>
      <c r="L233" s="181"/>
      <c s="181"/>
      <c s="181"/>
      <c s="181"/>
      <c s="181"/>
      <c s="178" t="str">
        <v/>
      </c>
      <c s="42"/>
      <c s="42"/>
      <c s="42"/>
      <c s="42"/>
      <c s="42"/>
      <c s="42"/>
    </row>
    <row r="234" spans="1:23" ht="15.75">
      <c r="A234" s="42"/>
      <c s="174">
        <f t="shared" si="0"/>
        <v>45424</v>
      </c>
      <c s="176"/>
      <c s="176"/>
      <c s="176"/>
      <c s="176"/>
      <c s="176" t="str">
        <v/>
      </c>
      <c s="176"/>
      <c s="176"/>
      <c s="183"/>
      <c r="L234" s="176"/>
      <c s="176"/>
      <c s="176"/>
      <c s="176"/>
      <c s="176"/>
      <c s="178" t="str">
        <v/>
      </c>
      <c s="42"/>
      <c s="42"/>
      <c s="42"/>
      <c s="42"/>
      <c s="42"/>
      <c s="42"/>
    </row>
    <row r="235" spans="1:23" ht="15.75">
      <c r="A235" s="42"/>
      <c s="179">
        <f t="shared" si="0"/>
        <v>45425</v>
      </c>
      <c s="181"/>
      <c s="181"/>
      <c s="181"/>
      <c s="181"/>
      <c s="181" t="str">
        <v/>
      </c>
      <c s="181"/>
      <c s="181"/>
      <c s="182"/>
      <c r="L235" s="181"/>
      <c s="181"/>
      <c s="181"/>
      <c s="181"/>
      <c s="181"/>
      <c s="178" t="str">
        <v/>
      </c>
      <c s="42"/>
      <c s="42"/>
      <c s="42"/>
      <c s="42"/>
      <c s="42"/>
      <c s="42"/>
    </row>
    <row r="236" spans="1:23" ht="15.75">
      <c r="A236" s="42"/>
      <c s="174">
        <f t="shared" si="0"/>
        <v>45426</v>
      </c>
      <c s="176"/>
      <c s="176"/>
      <c s="176"/>
      <c s="176"/>
      <c s="176" t="str">
        <v/>
      </c>
      <c s="176"/>
      <c s="176"/>
      <c s="183"/>
      <c r="L236" s="176"/>
      <c s="176"/>
      <c s="176"/>
      <c s="176"/>
      <c s="176"/>
      <c s="178" t="str">
        <v/>
      </c>
      <c s="42"/>
      <c s="42"/>
      <c s="42"/>
      <c s="42"/>
      <c s="42"/>
      <c s="42"/>
    </row>
    <row r="237" spans="1:23" ht="15.75">
      <c r="A237" s="42"/>
      <c s="179">
        <f t="shared" si="0"/>
        <v>45427</v>
      </c>
      <c s="181"/>
      <c s="181"/>
      <c s="181"/>
      <c s="181"/>
      <c s="181" t="str">
        <v/>
      </c>
      <c s="181"/>
      <c s="181"/>
      <c s="182"/>
      <c r="L237" s="181"/>
      <c s="181"/>
      <c s="181"/>
      <c s="181"/>
      <c s="181"/>
      <c s="178" t="str">
        <v/>
      </c>
      <c s="42"/>
      <c s="42"/>
      <c s="42"/>
      <c s="42"/>
      <c s="42"/>
      <c s="42"/>
    </row>
    <row r="238" spans="1:23" ht="15.75">
      <c r="A238" s="42"/>
      <c s="174">
        <f t="shared" si="0"/>
        <v>45428</v>
      </c>
      <c s="176"/>
      <c s="176"/>
      <c s="176"/>
      <c s="176"/>
      <c s="176" t="str">
        <v/>
      </c>
      <c s="176"/>
      <c s="176"/>
      <c s="183"/>
      <c r="L238" s="176"/>
      <c s="176"/>
      <c s="176"/>
      <c s="176"/>
      <c s="176"/>
      <c s="178" t="str">
        <v/>
      </c>
      <c s="42"/>
      <c s="42"/>
      <c s="42"/>
      <c s="42"/>
      <c s="42"/>
      <c s="42"/>
    </row>
    <row r="239" spans="1:23" ht="15.75">
      <c r="A239" s="42"/>
      <c s="179">
        <f t="shared" si="0"/>
        <v>45429</v>
      </c>
      <c s="181"/>
      <c s="181"/>
      <c s="181"/>
      <c s="181"/>
      <c s="181" t="str">
        <v/>
      </c>
      <c s="181"/>
      <c s="181"/>
      <c s="182"/>
      <c r="L239" s="181"/>
      <c s="181"/>
      <c s="181"/>
      <c s="181"/>
      <c s="181"/>
      <c s="178" t="str">
        <v/>
      </c>
      <c s="42"/>
      <c s="42"/>
      <c s="42"/>
      <c s="42"/>
      <c s="42"/>
      <c s="42"/>
    </row>
    <row r="240" spans="1:23" ht="15.75">
      <c r="A240" s="42"/>
      <c s="174">
        <f t="shared" si="0"/>
        <v>45430</v>
      </c>
      <c s="176"/>
      <c s="176"/>
      <c s="176"/>
      <c s="176"/>
      <c s="176" t="str">
        <v/>
      </c>
      <c s="176"/>
      <c s="176"/>
      <c s="183"/>
      <c r="L240" s="176"/>
      <c s="176"/>
      <c s="176"/>
      <c s="176"/>
      <c s="176"/>
      <c s="178" t="str">
        <v/>
      </c>
      <c s="42"/>
      <c s="42"/>
      <c s="42"/>
      <c s="42"/>
      <c s="42"/>
      <c s="42"/>
    </row>
    <row r="241" spans="1:23" ht="15.75">
      <c r="A241" s="42"/>
      <c s="179">
        <f t="shared" si="0"/>
        <v>45431</v>
      </c>
      <c s="181"/>
      <c s="181"/>
      <c s="181"/>
      <c s="181"/>
      <c s="181" t="str">
        <v/>
      </c>
      <c s="181"/>
      <c s="181"/>
      <c s="182"/>
      <c r="L241" s="181"/>
      <c s="181"/>
      <c s="181"/>
      <c s="181"/>
      <c s="181"/>
      <c s="178" t="str">
        <v/>
      </c>
      <c s="42"/>
      <c s="42"/>
      <c s="42"/>
      <c s="42"/>
      <c s="42"/>
      <c s="42"/>
    </row>
    <row r="242" spans="1:23" ht="15.75">
      <c r="A242" s="42"/>
      <c s="174">
        <f t="shared" si="0"/>
        <v>45432</v>
      </c>
      <c s="176"/>
      <c s="176"/>
      <c s="176"/>
      <c s="176"/>
      <c s="176" t="str">
        <v/>
      </c>
      <c s="176"/>
      <c s="176"/>
      <c s="183"/>
      <c r="L242" s="176"/>
      <c s="176"/>
      <c s="176"/>
      <c s="176"/>
      <c s="176"/>
      <c s="178" t="str">
        <v/>
      </c>
      <c s="42"/>
      <c s="42"/>
      <c s="42"/>
      <c s="42"/>
      <c s="42"/>
      <c s="42"/>
    </row>
    <row r="243" spans="1:23" ht="15.75">
      <c r="A243" s="42"/>
      <c s="179">
        <f t="shared" si="0"/>
        <v>45433</v>
      </c>
      <c s="181"/>
      <c s="181"/>
      <c s="181"/>
      <c s="181"/>
      <c s="181" t="str">
        <v/>
      </c>
      <c s="181"/>
      <c s="181"/>
      <c s="182"/>
      <c r="L243" s="181"/>
      <c s="181"/>
      <c s="181"/>
      <c s="181"/>
      <c s="181"/>
      <c s="178" t="str">
        <v/>
      </c>
      <c s="42"/>
      <c s="42"/>
      <c s="42"/>
      <c s="42"/>
      <c s="42"/>
      <c s="42"/>
    </row>
    <row r="244" spans="1:23" ht="15.75">
      <c r="A244" s="42"/>
      <c s="174">
        <f t="shared" si="0"/>
        <v>45434</v>
      </c>
      <c s="176"/>
      <c s="176"/>
      <c s="176"/>
      <c s="176"/>
      <c s="176" t="str">
        <v/>
      </c>
      <c s="176"/>
      <c s="176"/>
      <c s="183"/>
      <c r="L244" s="176"/>
      <c s="176"/>
      <c s="176"/>
      <c s="176"/>
      <c s="176"/>
      <c s="178" t="str">
        <v/>
      </c>
      <c s="42"/>
      <c s="42"/>
      <c s="42"/>
      <c s="42"/>
      <c s="42"/>
      <c s="42"/>
    </row>
    <row r="245" spans="1:23" ht="15.75">
      <c r="A245" s="42"/>
      <c s="179">
        <f t="shared" si="0"/>
        <v>45435</v>
      </c>
      <c s="181"/>
      <c s="181"/>
      <c s="181"/>
      <c s="181"/>
      <c s="181" t="str">
        <v/>
      </c>
      <c s="181"/>
      <c s="181"/>
      <c s="182"/>
      <c r="L245" s="181"/>
      <c s="181"/>
      <c s="181"/>
      <c s="181"/>
      <c s="181"/>
      <c s="178" t="str">
        <v/>
      </c>
      <c s="42"/>
      <c s="42"/>
      <c s="42"/>
      <c s="42"/>
      <c s="42"/>
      <c s="42"/>
    </row>
    <row r="246" spans="1:23" ht="15.75">
      <c r="A246" s="42"/>
      <c s="174">
        <f t="shared" si="0"/>
        <v>45436</v>
      </c>
      <c s="176"/>
      <c s="176"/>
      <c s="176"/>
      <c s="176"/>
      <c s="176" t="str">
        <v/>
      </c>
      <c s="176"/>
      <c s="176"/>
      <c s="183"/>
      <c r="L246" s="176"/>
      <c s="176"/>
      <c s="176"/>
      <c s="176"/>
      <c s="176"/>
      <c s="178" t="str">
        <v/>
      </c>
      <c s="42"/>
      <c s="42"/>
      <c s="42"/>
      <c s="42"/>
      <c s="42"/>
      <c s="42"/>
    </row>
    <row r="247" spans="1:23" ht="15.75">
      <c r="A247" s="42"/>
      <c s="179">
        <f t="shared" si="0"/>
        <v>45437</v>
      </c>
      <c s="181"/>
      <c s="181"/>
      <c s="181"/>
      <c s="181"/>
      <c s="181" t="str">
        <v/>
      </c>
      <c s="181"/>
      <c s="181"/>
      <c s="182"/>
      <c r="L247" s="181"/>
      <c s="181"/>
      <c s="181"/>
      <c s="181"/>
      <c s="181"/>
      <c s="178" t="str">
        <v/>
      </c>
      <c s="42"/>
      <c s="42"/>
      <c s="42"/>
      <c s="42"/>
      <c s="42"/>
      <c s="42"/>
    </row>
    <row r="248" spans="1:23" ht="15.75">
      <c r="A248" s="42"/>
      <c s="174">
        <f t="shared" si="0"/>
        <v>45438</v>
      </c>
      <c s="176"/>
      <c s="176"/>
      <c s="176"/>
      <c s="176"/>
      <c s="176" t="str">
        <v/>
      </c>
      <c s="176"/>
      <c s="176"/>
      <c s="183"/>
      <c r="L248" s="176"/>
      <c s="176"/>
      <c s="176"/>
      <c s="176"/>
      <c s="176"/>
      <c s="178" t="str">
        <v/>
      </c>
      <c s="42"/>
      <c s="42"/>
      <c s="42"/>
      <c s="42"/>
      <c s="42"/>
      <c s="42"/>
    </row>
    <row r="249" spans="1:23" ht="15.75">
      <c r="A249" s="42"/>
      <c s="179">
        <f t="shared" si="0"/>
        <v>45439</v>
      </c>
      <c s="181"/>
      <c s="181"/>
      <c s="181"/>
      <c s="181"/>
      <c s="181" t="str">
        <v/>
      </c>
      <c s="181"/>
      <c s="181"/>
      <c s="182"/>
      <c r="L249" s="181"/>
      <c s="181"/>
      <c s="181"/>
      <c s="181"/>
      <c s="181"/>
      <c s="178" t="str">
        <v/>
      </c>
      <c s="42"/>
      <c s="42"/>
      <c s="42"/>
      <c s="42"/>
      <c s="42"/>
      <c s="42"/>
    </row>
    <row r="250" spans="1:23" ht="15.75">
      <c r="A250" s="42"/>
      <c s="174">
        <f t="shared" si="0"/>
        <v>45440</v>
      </c>
      <c s="176"/>
      <c s="176"/>
      <c s="176"/>
      <c s="176"/>
      <c s="176" t="str">
        <v/>
      </c>
      <c s="176"/>
      <c s="176"/>
      <c s="183"/>
      <c r="L250" s="176"/>
      <c s="176"/>
      <c s="176"/>
      <c s="176"/>
      <c s="176"/>
      <c s="178" t="str">
        <v/>
      </c>
      <c s="42"/>
      <c s="42"/>
      <c s="42"/>
      <c s="42"/>
      <c s="42"/>
      <c s="42"/>
    </row>
    <row r="251" spans="1:23" ht="15.75">
      <c r="A251" s="42"/>
      <c s="179">
        <f t="shared" si="0"/>
        <v>45441</v>
      </c>
      <c s="181"/>
      <c s="181"/>
      <c s="181"/>
      <c s="181"/>
      <c s="181" t="str">
        <v/>
      </c>
      <c s="181"/>
      <c s="181"/>
      <c s="182"/>
      <c r="L251" s="181"/>
      <c s="181"/>
      <c s="181"/>
      <c s="181"/>
      <c s="181"/>
      <c s="178" t="str">
        <v/>
      </c>
      <c s="42"/>
      <c s="42"/>
      <c s="42"/>
      <c s="42"/>
      <c s="42"/>
      <c s="42"/>
    </row>
    <row r="252" spans="1:23" ht="15.75">
      <c r="A252" s="42"/>
      <c s="174">
        <f t="shared" si="0"/>
        <v>45442</v>
      </c>
      <c s="176"/>
      <c s="176"/>
      <c s="176"/>
      <c s="176"/>
      <c s="176" t="str">
        <v/>
      </c>
      <c s="176"/>
      <c s="176"/>
      <c s="183"/>
      <c r="L252" s="176"/>
      <c s="176"/>
      <c s="176"/>
      <c s="176"/>
      <c s="176"/>
      <c s="178" t="str">
        <v/>
      </c>
      <c s="42"/>
      <c s="42"/>
      <c s="42"/>
      <c s="42"/>
      <c s="42"/>
      <c s="42"/>
    </row>
    <row r="253" spans="1:23" ht="15.75">
      <c r="A253" s="42"/>
      <c s="179">
        <f t="shared" si="0"/>
        <v>45443</v>
      </c>
      <c s="181"/>
      <c s="181"/>
      <c s="181"/>
      <c s="181"/>
      <c s="181" t="str">
        <v/>
      </c>
      <c s="181"/>
      <c s="181"/>
      <c s="182"/>
      <c r="L253" s="181"/>
      <c s="181"/>
      <c s="181"/>
      <c s="181"/>
      <c s="181"/>
      <c s="178" t="str">
        <v/>
      </c>
      <c s="42"/>
      <c s="42"/>
      <c s="42"/>
      <c s="42"/>
      <c s="42"/>
      <c s="42"/>
    </row>
    <row r="254" spans="1:23" ht="15.75">
      <c r="A254" s="42"/>
      <c s="174">
        <f t="shared" si="0"/>
        <v>45444</v>
      </c>
      <c s="176"/>
      <c s="176"/>
      <c s="176"/>
      <c s="176"/>
      <c s="176" t="str">
        <v/>
      </c>
      <c s="176"/>
      <c s="176"/>
      <c s="183"/>
      <c r="L254" s="176"/>
      <c s="176"/>
      <c s="176"/>
      <c s="176"/>
      <c s="176"/>
      <c s="178" t="str">
        <v/>
      </c>
      <c s="42"/>
      <c s="42"/>
      <c s="42"/>
      <c s="42"/>
      <c s="42"/>
      <c s="42"/>
    </row>
    <row r="255" spans="1:23" ht="15.75">
      <c r="A255" s="42"/>
      <c s="179">
        <f t="shared" si="0"/>
        <v>45445</v>
      </c>
      <c s="181"/>
      <c s="181"/>
      <c s="181"/>
      <c s="181"/>
      <c s="181" t="str">
        <v/>
      </c>
      <c s="181"/>
      <c s="181"/>
      <c s="182"/>
      <c r="L255" s="181"/>
      <c s="181"/>
      <c s="181"/>
      <c s="181"/>
      <c s="181"/>
      <c s="178" t="str">
        <v/>
      </c>
      <c s="42"/>
      <c s="42"/>
      <c s="42"/>
      <c s="42"/>
      <c s="42"/>
      <c s="42"/>
    </row>
    <row r="256" spans="1:23" ht="15.75">
      <c r="A256" s="42"/>
      <c s="174">
        <f t="shared" si="0"/>
        <v>45446</v>
      </c>
      <c s="176"/>
      <c s="176"/>
      <c s="176"/>
      <c s="176"/>
      <c s="176" t="str">
        <v/>
      </c>
      <c s="176"/>
      <c s="176"/>
      <c s="183"/>
      <c r="L256" s="176"/>
      <c s="176"/>
      <c s="176"/>
      <c s="176"/>
      <c s="176"/>
      <c s="178" t="str">
        <v/>
      </c>
      <c s="42"/>
      <c s="42"/>
      <c s="42"/>
      <c s="42"/>
      <c s="42"/>
      <c s="42"/>
    </row>
    <row r="257" spans="1:23" ht="15.75">
      <c r="A257" s="42"/>
      <c s="179">
        <f t="shared" si="0"/>
        <v>45447</v>
      </c>
      <c s="181"/>
      <c s="181"/>
      <c s="181"/>
      <c s="181"/>
      <c s="181" t="str">
        <v/>
      </c>
      <c s="181"/>
      <c s="181"/>
      <c s="182"/>
      <c r="L257" s="181"/>
      <c s="181"/>
      <c s="181"/>
      <c s="181"/>
      <c s="181"/>
      <c s="178" t="str">
        <v/>
      </c>
      <c s="42"/>
      <c s="42"/>
      <c s="42"/>
      <c s="42"/>
      <c s="42"/>
      <c s="42"/>
    </row>
    <row r="258" spans="1:23" ht="15.75">
      <c r="A258" s="42"/>
      <c s="174">
        <f t="shared" si="0"/>
        <v>45448</v>
      </c>
      <c s="176"/>
      <c s="176"/>
      <c s="176"/>
      <c s="176"/>
      <c s="176" t="str">
        <v/>
      </c>
      <c s="176"/>
      <c s="176"/>
      <c s="183"/>
      <c r="L258" s="176"/>
      <c s="176"/>
      <c s="176"/>
      <c s="176"/>
      <c s="176"/>
      <c s="178" t="str">
        <v/>
      </c>
      <c s="42"/>
      <c s="42"/>
      <c s="42"/>
      <c s="42"/>
      <c s="42"/>
      <c s="42"/>
    </row>
    <row r="259" spans="1:23" ht="15.75">
      <c r="A259" s="42"/>
      <c s="179">
        <f t="shared" si="0"/>
        <v>45449</v>
      </c>
      <c s="181"/>
      <c s="181"/>
      <c s="181"/>
      <c s="181"/>
      <c s="181" t="str">
        <v/>
      </c>
      <c s="181"/>
      <c s="181"/>
      <c s="182"/>
      <c r="L259" s="181"/>
      <c s="181"/>
      <c s="181"/>
      <c s="181"/>
      <c s="181"/>
      <c s="178" t="str">
        <v/>
      </c>
      <c s="42"/>
      <c s="42"/>
      <c s="42"/>
      <c s="42"/>
      <c s="42"/>
      <c s="42"/>
    </row>
    <row r="260" spans="1:23" ht="15.75">
      <c r="A260" s="42"/>
      <c s="174">
        <f t="shared" si="0"/>
        <v>45450</v>
      </c>
      <c s="176"/>
      <c s="176"/>
      <c s="176"/>
      <c s="176"/>
      <c s="176" t="str">
        <v/>
      </c>
      <c s="176"/>
      <c s="176"/>
      <c s="183"/>
      <c r="L260" s="176"/>
      <c s="176"/>
      <c s="176"/>
      <c s="176"/>
      <c s="176"/>
      <c s="178" t="str">
        <v/>
      </c>
      <c s="42"/>
      <c s="42"/>
      <c s="42"/>
      <c s="42"/>
      <c s="42"/>
      <c s="42"/>
    </row>
    <row r="261" spans="1:23" ht="15.75">
      <c r="A261" s="42"/>
      <c s="179">
        <f t="shared" si="0"/>
        <v>45451</v>
      </c>
      <c s="181"/>
      <c s="181"/>
      <c s="181"/>
      <c s="181"/>
      <c s="181" t="str">
        <v/>
      </c>
      <c s="181"/>
      <c s="181"/>
      <c s="182"/>
      <c r="L261" s="181"/>
      <c s="181"/>
      <c s="181"/>
      <c s="181"/>
      <c s="181"/>
      <c s="178" t="str">
        <v/>
      </c>
      <c s="42"/>
      <c s="42"/>
      <c s="42"/>
      <c s="42"/>
      <c s="42"/>
      <c s="42"/>
    </row>
    <row r="262" spans="1:23" ht="15.75">
      <c r="A262" s="42"/>
      <c s="174">
        <f t="shared" si="0"/>
        <v>45452</v>
      </c>
      <c s="176"/>
      <c s="176"/>
      <c s="176"/>
      <c s="176"/>
      <c s="176" t="str">
        <v/>
      </c>
      <c s="176"/>
      <c s="176"/>
      <c s="183"/>
      <c r="L262" s="176"/>
      <c s="176"/>
      <c s="176"/>
      <c s="176"/>
      <c s="176"/>
      <c s="178" t="str">
        <v/>
      </c>
      <c s="42"/>
      <c s="42"/>
      <c s="42"/>
      <c s="42"/>
      <c s="42"/>
      <c s="42"/>
    </row>
    <row r="263" spans="1:23" ht="15.75">
      <c r="A263" s="42"/>
      <c s="179">
        <f t="shared" si="0"/>
        <v>45453</v>
      </c>
      <c s="181"/>
      <c s="181"/>
      <c s="181"/>
      <c s="181"/>
      <c s="181" t="str">
        <v/>
      </c>
      <c s="181"/>
      <c s="181"/>
      <c s="182"/>
      <c r="L263" s="181"/>
      <c s="181"/>
      <c s="181"/>
      <c s="181"/>
      <c s="181"/>
      <c s="178" t="str">
        <v/>
      </c>
      <c s="42"/>
      <c s="42"/>
      <c s="42"/>
      <c s="42"/>
      <c s="42"/>
      <c s="42"/>
    </row>
    <row r="264" spans="1:23" ht="15.75">
      <c r="A264" s="42"/>
      <c s="174">
        <f t="shared" si="0"/>
        <v>45454</v>
      </c>
      <c s="176"/>
      <c s="176"/>
      <c s="176"/>
      <c s="176"/>
      <c s="176" t="str">
        <v/>
      </c>
      <c s="176"/>
      <c s="176"/>
      <c s="183"/>
      <c r="L264" s="176"/>
      <c s="176"/>
      <c s="176"/>
      <c s="176"/>
      <c s="176"/>
      <c s="178" t="str">
        <v/>
      </c>
      <c s="42"/>
      <c s="42"/>
      <c s="42"/>
      <c s="42"/>
      <c s="42"/>
      <c s="42"/>
    </row>
    <row r="265" spans="1:23" ht="15.75">
      <c r="A265" s="42"/>
      <c s="179">
        <f t="shared" si="0"/>
        <v>45455</v>
      </c>
      <c s="181"/>
      <c s="181"/>
      <c s="181"/>
      <c s="181"/>
      <c s="181" t="str">
        <v/>
      </c>
      <c s="181"/>
      <c s="181"/>
      <c s="182"/>
      <c r="L265" s="181"/>
      <c s="181"/>
      <c s="181"/>
      <c s="181"/>
      <c s="181"/>
      <c s="178" t="str">
        <v/>
      </c>
      <c s="42"/>
      <c s="42"/>
      <c s="42"/>
      <c s="42"/>
      <c s="42"/>
      <c s="42"/>
    </row>
    <row r="266" spans="1:23" ht="15.75">
      <c r="A266" s="42"/>
      <c s="174">
        <f t="shared" si="0"/>
        <v>45456</v>
      </c>
      <c s="176"/>
      <c s="176"/>
      <c s="176"/>
      <c s="176"/>
      <c s="176" t="str">
        <v/>
      </c>
      <c s="176"/>
      <c s="176"/>
      <c s="183"/>
      <c r="L266" s="176"/>
      <c s="176"/>
      <c s="176"/>
      <c s="176"/>
      <c s="176"/>
      <c s="178" t="str">
        <v/>
      </c>
      <c s="42"/>
      <c s="42"/>
      <c s="42"/>
      <c s="42"/>
      <c s="42"/>
      <c s="42"/>
    </row>
    <row r="267" spans="1:23" ht="15.75">
      <c r="A267" s="42"/>
      <c s="179">
        <f t="shared" si="0"/>
        <v>45457</v>
      </c>
      <c s="181"/>
      <c s="181"/>
      <c s="181"/>
      <c s="181"/>
      <c s="181" t="str">
        <v/>
      </c>
      <c s="181"/>
      <c s="181"/>
      <c s="182"/>
      <c r="L267" s="181"/>
      <c s="181"/>
      <c s="181"/>
      <c s="181"/>
      <c s="181"/>
      <c s="178" t="str">
        <v/>
      </c>
      <c s="42"/>
      <c s="42"/>
      <c s="42"/>
      <c s="42"/>
      <c s="42"/>
      <c s="42"/>
    </row>
    <row r="268" spans="1:23" ht="15.75">
      <c r="A268" s="42"/>
      <c s="174">
        <f t="shared" si="0"/>
        <v>45458</v>
      </c>
      <c s="176"/>
      <c s="176"/>
      <c s="176"/>
      <c s="176"/>
      <c s="176" t="str">
        <v/>
      </c>
      <c s="176"/>
      <c s="176"/>
      <c s="183"/>
      <c r="L268" s="176"/>
      <c s="176"/>
      <c s="176"/>
      <c s="176"/>
      <c s="176"/>
      <c s="178" t="str">
        <v/>
      </c>
      <c s="42"/>
      <c s="42"/>
      <c s="42"/>
      <c s="42"/>
      <c s="42"/>
      <c s="42"/>
    </row>
    <row r="269" spans="1:23" ht="15.75">
      <c r="A269" s="42"/>
      <c s="179">
        <f t="shared" si="0"/>
        <v>45459</v>
      </c>
      <c s="181"/>
      <c s="181"/>
      <c s="181"/>
      <c s="181"/>
      <c s="181" t="str">
        <v/>
      </c>
      <c s="181"/>
      <c s="181"/>
      <c s="182"/>
      <c r="L269" s="181"/>
      <c s="181"/>
      <c s="181"/>
      <c s="181"/>
      <c s="181"/>
      <c s="178" t="str">
        <v/>
      </c>
      <c s="42"/>
      <c s="42"/>
      <c s="42"/>
      <c s="42"/>
      <c s="42"/>
      <c s="42"/>
    </row>
    <row r="270" spans="1:23" ht="15.75">
      <c r="A270" s="42"/>
      <c s="174">
        <f t="shared" si="0"/>
        <v>45460</v>
      </c>
      <c s="176"/>
      <c s="176"/>
      <c s="176"/>
      <c s="176"/>
      <c s="176" t="str">
        <v/>
      </c>
      <c s="176"/>
      <c s="176"/>
      <c s="183"/>
      <c r="L270" s="176"/>
      <c s="176"/>
      <c s="176"/>
      <c s="176"/>
      <c s="176"/>
      <c s="178" t="str">
        <v/>
      </c>
      <c s="42"/>
      <c s="42"/>
      <c s="42"/>
      <c s="42"/>
      <c s="42"/>
      <c s="42"/>
    </row>
    <row r="271" spans="1:23" ht="15.75">
      <c r="A271" s="42"/>
      <c s="179">
        <f t="shared" si="0"/>
        <v>45461</v>
      </c>
      <c s="181"/>
      <c s="181"/>
      <c s="181"/>
      <c s="181"/>
      <c s="181" t="str">
        <v/>
      </c>
      <c s="181"/>
      <c s="181"/>
      <c s="182"/>
      <c r="L271" s="181"/>
      <c s="181"/>
      <c s="181"/>
      <c s="181"/>
      <c s="181"/>
      <c s="178" t="str">
        <v/>
      </c>
      <c s="42"/>
      <c s="42"/>
      <c s="42"/>
      <c s="42"/>
      <c s="42"/>
      <c s="42"/>
    </row>
    <row r="272" spans="1:23" ht="15.75">
      <c r="A272" s="42"/>
      <c s="174">
        <f t="shared" si="0"/>
        <v>45462</v>
      </c>
      <c s="176"/>
      <c s="176"/>
      <c s="176"/>
      <c s="176"/>
      <c s="176" t="str">
        <v/>
      </c>
      <c s="176"/>
      <c s="176"/>
      <c s="183"/>
      <c r="L272" s="176"/>
      <c s="176"/>
      <c s="176"/>
      <c s="176"/>
      <c s="176"/>
      <c s="178" t="str">
        <v/>
      </c>
      <c s="42"/>
      <c s="42"/>
      <c s="42"/>
      <c s="42"/>
      <c s="42"/>
      <c s="42"/>
    </row>
    <row r="273" spans="1:23" ht="15.75">
      <c r="A273" s="42"/>
      <c s="179">
        <f t="shared" si="0"/>
        <v>45463</v>
      </c>
      <c s="181"/>
      <c s="181"/>
      <c s="181"/>
      <c s="181"/>
      <c s="181" t="str">
        <v/>
      </c>
      <c s="181"/>
      <c s="181"/>
      <c s="182"/>
      <c r="L273" s="181"/>
      <c s="181"/>
      <c s="181"/>
      <c s="181"/>
      <c s="181"/>
      <c s="178" t="str">
        <v/>
      </c>
      <c s="42"/>
      <c s="42"/>
      <c s="42"/>
      <c s="42"/>
      <c s="42"/>
      <c s="42"/>
    </row>
    <row r="274" spans="1:23" ht="15.75">
      <c r="A274" s="42"/>
      <c s="174">
        <f t="shared" si="0"/>
        <v>45464</v>
      </c>
      <c s="176"/>
      <c s="176"/>
      <c s="176"/>
      <c s="176"/>
      <c s="176" t="str">
        <v/>
      </c>
      <c s="176"/>
      <c s="176"/>
      <c s="183"/>
      <c r="L274" s="176"/>
      <c s="176"/>
      <c s="176"/>
      <c s="176"/>
      <c s="176"/>
      <c s="178" t="str">
        <v/>
      </c>
      <c s="42"/>
      <c s="42"/>
      <c s="42"/>
      <c s="42"/>
      <c s="42"/>
      <c s="42"/>
    </row>
    <row r="275" spans="1:23" ht="15.75">
      <c r="A275" s="42"/>
      <c s="179">
        <f t="shared" si="0"/>
        <v>45465</v>
      </c>
      <c s="181"/>
      <c s="181"/>
      <c s="181"/>
      <c s="181"/>
      <c s="181" t="str">
        <v/>
      </c>
      <c s="181"/>
      <c s="181"/>
      <c s="182"/>
      <c r="L275" s="181"/>
      <c s="181"/>
      <c s="181"/>
      <c s="181"/>
      <c s="181"/>
      <c s="178" t="str">
        <v/>
      </c>
      <c s="42"/>
      <c s="42"/>
      <c s="42"/>
      <c s="42"/>
      <c s="42"/>
      <c s="42"/>
    </row>
    <row r="276" spans="1:23" ht="15.75">
      <c r="A276" s="42"/>
      <c s="174">
        <f t="shared" si="0"/>
        <v>45466</v>
      </c>
      <c s="176"/>
      <c s="176"/>
      <c s="176"/>
      <c s="176"/>
      <c s="176" t="str">
        <v/>
      </c>
      <c s="176"/>
      <c s="176"/>
      <c s="183"/>
      <c r="L276" s="176"/>
      <c s="176"/>
      <c s="176"/>
      <c s="176"/>
      <c s="176"/>
      <c s="178" t="str">
        <v/>
      </c>
      <c s="42"/>
      <c s="42"/>
      <c s="42"/>
      <c s="42"/>
      <c s="42"/>
      <c s="42"/>
    </row>
    <row r="277" spans="1:23" ht="15.75">
      <c r="A277" s="42"/>
      <c s="179">
        <f t="shared" si="0"/>
        <v>45467</v>
      </c>
      <c s="181"/>
      <c s="181"/>
      <c s="181"/>
      <c s="181"/>
      <c s="181" t="str">
        <v/>
      </c>
      <c s="181"/>
      <c s="181"/>
      <c s="182"/>
      <c r="L277" s="181"/>
      <c s="181"/>
      <c s="181"/>
      <c s="181"/>
      <c s="181"/>
      <c s="178" t="str">
        <v/>
      </c>
      <c s="42"/>
      <c s="42"/>
      <c s="42"/>
      <c s="42"/>
      <c s="42"/>
      <c s="42"/>
    </row>
    <row r="278" spans="1:23" ht="15.75">
      <c r="A278" s="42"/>
      <c s="174">
        <f t="shared" si="0"/>
        <v>45468</v>
      </c>
      <c s="176"/>
      <c s="176"/>
      <c s="176"/>
      <c s="176"/>
      <c s="176" t="str">
        <v/>
      </c>
      <c s="176"/>
      <c s="176"/>
      <c s="183"/>
      <c r="L278" s="176"/>
      <c s="176"/>
      <c s="176"/>
      <c s="176"/>
      <c s="176"/>
      <c s="178" t="str">
        <v/>
      </c>
      <c s="42"/>
      <c s="42"/>
      <c s="42"/>
      <c s="42"/>
      <c s="42"/>
      <c s="42"/>
    </row>
    <row r="279" spans="1:23" ht="15.75">
      <c r="A279" s="42"/>
      <c s="179">
        <f t="shared" si="0"/>
        <v>45469</v>
      </c>
      <c s="181"/>
      <c s="181"/>
      <c s="181"/>
      <c s="181"/>
      <c s="181" t="str">
        <v/>
      </c>
      <c s="181"/>
      <c s="181"/>
      <c s="182"/>
      <c r="L279" s="181"/>
      <c s="181"/>
      <c s="181"/>
      <c s="181"/>
      <c s="181"/>
      <c s="178" t="str">
        <v/>
      </c>
      <c s="42"/>
      <c s="42"/>
      <c s="42"/>
      <c s="42"/>
      <c s="42"/>
      <c s="42"/>
    </row>
    <row r="280" spans="1:23" ht="15.75">
      <c r="A280" s="42"/>
      <c s="174">
        <f t="shared" si="0"/>
        <v>45470</v>
      </c>
      <c s="176"/>
      <c s="176"/>
      <c s="176"/>
      <c s="176"/>
      <c s="176" t="str">
        <v/>
      </c>
      <c s="176"/>
      <c s="176"/>
      <c s="183"/>
      <c r="L280" s="176"/>
      <c s="176"/>
      <c s="176"/>
      <c s="176"/>
      <c s="176"/>
      <c s="178" t="str">
        <v/>
      </c>
      <c s="42"/>
      <c s="42"/>
      <c s="42"/>
      <c s="42"/>
      <c s="42"/>
      <c s="42"/>
    </row>
    <row r="281" spans="1:23" ht="15.75">
      <c r="A281" s="42"/>
      <c s="179">
        <f t="shared" si="0"/>
        <v>45471</v>
      </c>
      <c s="181"/>
      <c s="181"/>
      <c s="181"/>
      <c s="181"/>
      <c s="181" t="str">
        <v/>
      </c>
      <c s="181"/>
      <c s="181"/>
      <c s="182"/>
      <c r="L281" s="181"/>
      <c s="181"/>
      <c s="181"/>
      <c s="181"/>
      <c s="181"/>
      <c s="178" t="str">
        <v/>
      </c>
      <c s="42"/>
      <c s="42"/>
      <c s="42"/>
      <c s="42"/>
      <c s="42"/>
      <c s="42"/>
    </row>
    <row r="282" spans="1:23" ht="15.75">
      <c r="A282" s="42"/>
      <c s="174">
        <f t="shared" si="0"/>
        <v>45472</v>
      </c>
      <c s="176"/>
      <c s="176"/>
      <c s="176"/>
      <c s="176"/>
      <c s="176" t="str">
        <v/>
      </c>
      <c s="176"/>
      <c s="176"/>
      <c s="183"/>
      <c r="L282" s="176"/>
      <c s="176"/>
      <c s="176"/>
      <c s="176"/>
      <c s="176"/>
      <c s="178" t="str">
        <v/>
      </c>
      <c s="42"/>
      <c s="42"/>
      <c s="42"/>
      <c s="42"/>
      <c s="42"/>
      <c s="42"/>
    </row>
    <row r="283" spans="1:23" ht="15.75">
      <c r="A283" s="42"/>
      <c s="179">
        <f t="shared" si="0"/>
        <v>45473</v>
      </c>
      <c s="181"/>
      <c s="181"/>
      <c s="181"/>
      <c s="181"/>
      <c s="181" t="str">
        <v/>
      </c>
      <c s="181"/>
      <c s="181"/>
      <c s="182"/>
      <c r="L283" s="181"/>
      <c s="181"/>
      <c s="181"/>
      <c s="181"/>
      <c s="181"/>
      <c s="178" t="str">
        <v/>
      </c>
      <c s="42"/>
      <c s="42"/>
      <c s="42"/>
      <c s="42"/>
      <c s="42"/>
      <c s="42"/>
    </row>
    <row r="284" spans="1:23" ht="15.75">
      <c r="A284" s="42"/>
      <c s="174">
        <f t="shared" si="0"/>
        <v>45474</v>
      </c>
      <c s="176"/>
      <c s="176"/>
      <c s="176"/>
      <c s="176"/>
      <c s="176" t="str">
        <v/>
      </c>
      <c s="176"/>
      <c s="176"/>
      <c s="183"/>
      <c r="L284" s="176"/>
      <c s="176"/>
      <c s="176"/>
      <c s="176"/>
      <c s="176"/>
      <c s="178" t="str">
        <v/>
      </c>
      <c s="42"/>
      <c s="42"/>
      <c s="42"/>
      <c s="42"/>
      <c s="42"/>
      <c s="42"/>
    </row>
    <row r="285" spans="1:23" ht="15.75">
      <c r="A285" s="42"/>
      <c s="179">
        <f t="shared" si="0"/>
        <v>45475</v>
      </c>
      <c s="181"/>
      <c s="181"/>
      <c s="181"/>
      <c s="181"/>
      <c s="181" t="str">
        <v/>
      </c>
      <c s="181"/>
      <c s="181"/>
      <c s="182"/>
      <c r="L285" s="181"/>
      <c s="181"/>
      <c s="181"/>
      <c s="181"/>
      <c s="181"/>
      <c s="178" t="str">
        <v/>
      </c>
      <c s="42"/>
      <c s="42"/>
      <c s="42"/>
      <c s="42"/>
      <c s="42"/>
      <c s="42"/>
    </row>
    <row r="286" spans="1:23" ht="15.75">
      <c r="A286" s="42"/>
      <c s="174">
        <f t="shared" si="0"/>
        <v>45476</v>
      </c>
      <c s="176"/>
      <c s="176"/>
      <c s="176"/>
      <c s="176"/>
      <c s="176" t="str">
        <v/>
      </c>
      <c s="176"/>
      <c s="176"/>
      <c s="183"/>
      <c r="L286" s="176"/>
      <c s="176"/>
      <c s="176"/>
      <c s="176"/>
      <c s="176"/>
      <c s="178" t="str">
        <v/>
      </c>
      <c s="42"/>
      <c s="42"/>
      <c s="42"/>
      <c s="42"/>
      <c s="42"/>
      <c s="42"/>
    </row>
    <row r="287" spans="1:23" ht="15.75">
      <c r="A287" s="42"/>
      <c s="179">
        <f t="shared" si="0"/>
        <v>45477</v>
      </c>
      <c s="181"/>
      <c s="181"/>
      <c s="181"/>
      <c s="181"/>
      <c s="181" t="str">
        <v/>
      </c>
      <c s="181"/>
      <c s="181"/>
      <c s="182"/>
      <c r="L287" s="181"/>
      <c s="181"/>
      <c s="181"/>
      <c s="181"/>
      <c s="181"/>
      <c s="178" t="str">
        <v/>
      </c>
      <c s="42"/>
      <c s="42"/>
      <c s="42"/>
      <c s="42"/>
      <c s="42"/>
      <c s="42"/>
    </row>
    <row r="288" spans="1:23" ht="15.75">
      <c r="A288" s="42"/>
      <c s="174">
        <f t="shared" si="0"/>
        <v>45478</v>
      </c>
      <c s="176"/>
      <c s="176"/>
      <c s="176"/>
      <c s="176"/>
      <c s="176" t="str">
        <v/>
      </c>
      <c s="176"/>
      <c s="176"/>
      <c s="183"/>
      <c r="L288" s="176"/>
      <c s="176"/>
      <c s="176"/>
      <c s="176"/>
      <c s="176"/>
      <c s="178" t="str">
        <v/>
      </c>
      <c s="42"/>
      <c s="42"/>
      <c s="42"/>
      <c s="42"/>
      <c s="42"/>
      <c s="42"/>
    </row>
    <row r="289" spans="1:23" ht="15.75">
      <c r="A289" s="42"/>
      <c s="179">
        <f t="shared" si="0"/>
        <v>45479</v>
      </c>
      <c s="181"/>
      <c s="181"/>
      <c s="181"/>
      <c s="181"/>
      <c s="181" t="str">
        <v/>
      </c>
      <c s="181"/>
      <c s="181"/>
      <c s="182"/>
      <c r="L289" s="181"/>
      <c s="181"/>
      <c s="181"/>
      <c s="181"/>
      <c s="181"/>
      <c s="178" t="str">
        <v/>
      </c>
      <c s="42"/>
      <c s="42"/>
      <c s="42"/>
      <c s="42"/>
      <c s="42"/>
      <c s="42"/>
    </row>
    <row r="290" spans="1:23" ht="15.75">
      <c r="A290" s="42"/>
      <c s="174">
        <f t="shared" si="0"/>
        <v>45480</v>
      </c>
      <c s="176"/>
      <c s="176"/>
      <c s="176"/>
      <c s="176"/>
      <c s="176" t="str">
        <v/>
      </c>
      <c s="176"/>
      <c s="176"/>
      <c s="183"/>
      <c r="L290" s="176"/>
      <c s="176"/>
      <c s="176"/>
      <c s="176"/>
      <c s="176"/>
      <c s="178" t="str">
        <v/>
      </c>
      <c s="42"/>
      <c s="42"/>
      <c s="42"/>
      <c s="42"/>
      <c s="42"/>
      <c s="42"/>
    </row>
    <row r="291" spans="1:23" ht="15.75">
      <c r="A291" s="42"/>
      <c s="179">
        <f t="shared" si="0"/>
        <v>45481</v>
      </c>
      <c s="181"/>
      <c s="181"/>
      <c s="181"/>
      <c s="181"/>
      <c s="181" t="str">
        <v/>
      </c>
      <c s="181"/>
      <c s="181"/>
      <c s="182"/>
      <c r="L291" s="181"/>
      <c s="181"/>
      <c s="181"/>
      <c s="181"/>
      <c s="181"/>
      <c s="178" t="str">
        <v/>
      </c>
      <c s="42"/>
      <c s="42"/>
      <c s="42"/>
      <c s="42"/>
      <c s="42"/>
      <c s="42"/>
    </row>
    <row r="292" spans="1:23" ht="15.75">
      <c r="A292" s="42"/>
      <c s="174">
        <f t="shared" si="0"/>
        <v>45482</v>
      </c>
      <c s="176"/>
      <c s="176"/>
      <c s="176"/>
      <c s="176"/>
      <c s="176" t="str">
        <v/>
      </c>
      <c s="176"/>
      <c s="176"/>
      <c s="183"/>
      <c r="L292" s="176"/>
      <c s="176"/>
      <c s="176"/>
      <c s="176"/>
      <c s="176"/>
      <c s="178" t="str">
        <v/>
      </c>
      <c s="42"/>
      <c s="42"/>
      <c s="42"/>
      <c s="42"/>
      <c s="42"/>
      <c s="42"/>
    </row>
    <row r="293" spans="1:23" ht="15.75">
      <c r="A293" s="42"/>
      <c s="179">
        <f t="shared" si="0"/>
        <v>45483</v>
      </c>
      <c s="181"/>
      <c s="181"/>
      <c s="181"/>
      <c s="181"/>
      <c s="181" t="str">
        <v/>
      </c>
      <c s="181"/>
      <c s="181"/>
      <c s="182"/>
      <c r="L293" s="181"/>
      <c s="181"/>
      <c s="181"/>
      <c s="181"/>
      <c s="181"/>
      <c s="178" t="str">
        <v/>
      </c>
      <c s="42"/>
      <c s="42"/>
      <c s="42"/>
      <c s="42"/>
      <c s="42"/>
      <c s="42"/>
    </row>
    <row r="294" spans="1:23" ht="15.75">
      <c r="A294" s="42"/>
      <c s="174">
        <f t="shared" si="0"/>
        <v>45484</v>
      </c>
      <c s="176"/>
      <c s="176"/>
      <c s="176"/>
      <c s="176"/>
      <c s="176" t="str">
        <v/>
      </c>
      <c s="176"/>
      <c s="176"/>
      <c s="183"/>
      <c r="L294" s="176"/>
      <c s="176"/>
      <c s="176"/>
      <c s="176"/>
      <c s="176"/>
      <c s="178" t="str">
        <v/>
      </c>
      <c s="42"/>
      <c s="42"/>
      <c s="42"/>
      <c s="42"/>
      <c s="42"/>
      <c s="42"/>
    </row>
    <row r="295" spans="1:23" ht="15.75">
      <c r="A295" s="42"/>
      <c s="179">
        <f t="shared" si="0"/>
        <v>45485</v>
      </c>
      <c s="181"/>
      <c s="181"/>
      <c s="181"/>
      <c s="181"/>
      <c s="181" t="str">
        <v/>
      </c>
      <c s="181"/>
      <c s="181"/>
      <c s="182"/>
      <c r="L295" s="181"/>
      <c s="181"/>
      <c s="181"/>
      <c s="181"/>
      <c s="181"/>
      <c s="178" t="str">
        <v/>
      </c>
      <c s="42"/>
      <c s="42"/>
      <c s="42"/>
      <c s="42"/>
      <c s="42"/>
      <c s="42"/>
    </row>
    <row r="296" spans="1:23" ht="15.75">
      <c r="A296" s="42"/>
      <c s="174">
        <f t="shared" si="0"/>
        <v>45486</v>
      </c>
      <c s="176"/>
      <c s="176"/>
      <c s="176"/>
      <c s="176"/>
      <c s="176" t="str">
        <v/>
      </c>
      <c s="176"/>
      <c s="176"/>
      <c s="183"/>
      <c r="L296" s="176"/>
      <c s="176"/>
      <c s="176"/>
      <c s="176"/>
      <c s="176"/>
      <c s="178" t="str">
        <v/>
      </c>
      <c s="42"/>
      <c s="42"/>
      <c s="42"/>
      <c s="42"/>
      <c s="42"/>
      <c s="42"/>
    </row>
    <row r="297" spans="1:23" ht="15.75">
      <c r="A297" s="42"/>
      <c s="179">
        <f t="shared" si="0"/>
        <v>45487</v>
      </c>
      <c s="181"/>
      <c s="181"/>
      <c s="181"/>
      <c s="181"/>
      <c s="181" t="str">
        <v/>
      </c>
      <c s="181"/>
      <c s="181"/>
      <c s="182"/>
      <c r="L297" s="181"/>
      <c s="181"/>
      <c s="181"/>
      <c s="181"/>
      <c s="181"/>
      <c s="178" t="str">
        <v/>
      </c>
      <c s="42"/>
      <c s="42"/>
      <c s="42"/>
      <c s="42"/>
      <c s="42"/>
      <c s="42"/>
    </row>
    <row r="298" spans="1:23" ht="15.75">
      <c r="A298" s="42"/>
      <c s="174">
        <f t="shared" si="0"/>
        <v>45488</v>
      </c>
      <c s="176"/>
      <c s="176"/>
      <c s="176"/>
      <c s="176"/>
      <c s="176" t="str">
        <v/>
      </c>
      <c s="176"/>
      <c s="176"/>
      <c s="183"/>
      <c r="L298" s="176"/>
      <c s="176"/>
      <c s="176"/>
      <c s="176"/>
      <c s="176"/>
      <c s="178" t="str">
        <v/>
      </c>
      <c s="42"/>
      <c s="42"/>
      <c s="42"/>
      <c s="42"/>
      <c s="42"/>
      <c s="42"/>
    </row>
    <row r="299" spans="1:23" ht="15.75">
      <c r="A299" s="42"/>
      <c s="179">
        <f t="shared" si="0"/>
        <v>45489</v>
      </c>
      <c s="181"/>
      <c s="181"/>
      <c s="181"/>
      <c s="181"/>
      <c s="181" t="str">
        <v/>
      </c>
      <c s="181"/>
      <c s="181"/>
      <c s="182"/>
      <c r="L299" s="181"/>
      <c s="181"/>
      <c s="181"/>
      <c s="181"/>
      <c s="181"/>
      <c s="178" t="str">
        <v/>
      </c>
      <c s="42"/>
      <c s="42"/>
      <c s="42"/>
      <c s="42"/>
      <c s="42"/>
      <c s="42"/>
    </row>
    <row r="300" spans="1:23" ht="15.75">
      <c r="A300" s="42"/>
      <c s="174">
        <f t="shared" si="0"/>
        <v>45490</v>
      </c>
      <c s="176"/>
      <c s="176"/>
      <c s="176"/>
      <c s="176"/>
      <c s="176" t="str">
        <v/>
      </c>
      <c s="176"/>
      <c s="176"/>
      <c s="183"/>
      <c r="L300" s="176"/>
      <c s="176"/>
      <c s="176"/>
      <c s="176"/>
      <c s="176"/>
      <c s="178" t="str">
        <v/>
      </c>
      <c s="42"/>
      <c s="42"/>
      <c s="42"/>
      <c s="42"/>
      <c s="42"/>
      <c s="42"/>
    </row>
    <row r="301" spans="1:23" ht="15.75">
      <c r="A301" s="42"/>
      <c s="179">
        <f t="shared" si="0"/>
        <v>45491</v>
      </c>
      <c s="181"/>
      <c s="181"/>
      <c s="181"/>
      <c s="181"/>
      <c s="181" t="str">
        <v/>
      </c>
      <c s="181"/>
      <c s="181"/>
      <c s="182"/>
      <c r="L301" s="181"/>
      <c s="181"/>
      <c s="181"/>
      <c s="181"/>
      <c s="181"/>
      <c s="178" t="str">
        <v/>
      </c>
      <c s="42"/>
      <c s="42"/>
      <c s="42"/>
      <c s="42"/>
      <c s="42"/>
      <c s="42"/>
    </row>
    <row r="302" spans="1:23" ht="15.75">
      <c r="A302" s="42"/>
      <c s="174">
        <f t="shared" si="0"/>
        <v>45492</v>
      </c>
      <c s="176"/>
      <c s="176"/>
      <c s="176"/>
      <c s="176"/>
      <c s="176" t="str">
        <v/>
      </c>
      <c s="176"/>
      <c s="176"/>
      <c s="183"/>
      <c r="L302" s="176"/>
      <c s="176"/>
      <c s="176"/>
      <c s="176"/>
      <c s="176"/>
      <c s="178" t="str">
        <v/>
      </c>
      <c s="42"/>
      <c s="42"/>
      <c s="42"/>
      <c s="42"/>
      <c s="42"/>
      <c s="42"/>
    </row>
    <row r="303" spans="1:23" ht="15.75">
      <c r="A303" s="42"/>
      <c s="179">
        <f t="shared" si="0"/>
        <v>45493</v>
      </c>
      <c s="181"/>
      <c s="181"/>
      <c s="181"/>
      <c s="181"/>
      <c s="181" t="str">
        <v/>
      </c>
      <c s="181"/>
      <c s="181"/>
      <c s="182"/>
      <c r="L303" s="181"/>
      <c s="181"/>
      <c s="181"/>
      <c s="181"/>
      <c s="181"/>
      <c s="178" t="str">
        <v/>
      </c>
      <c s="42"/>
      <c s="42"/>
      <c s="42"/>
      <c s="42"/>
      <c s="42"/>
      <c s="42"/>
    </row>
    <row r="304" spans="1:23" ht="15.75">
      <c r="A304" s="42"/>
      <c s="174">
        <f t="shared" si="0"/>
        <v>45494</v>
      </c>
      <c s="176"/>
      <c s="176"/>
      <c s="176"/>
      <c s="176"/>
      <c s="176" t="str">
        <v/>
      </c>
      <c s="176"/>
      <c s="176"/>
      <c s="183"/>
      <c r="L304" s="176"/>
      <c s="176"/>
      <c s="176"/>
      <c s="176"/>
      <c s="176"/>
      <c s="178" t="str">
        <v/>
      </c>
      <c s="42"/>
      <c s="42"/>
      <c s="42"/>
      <c s="42"/>
      <c s="42"/>
      <c s="42"/>
    </row>
    <row r="305" spans="1:23" ht="15.75">
      <c r="A305" s="42"/>
      <c s="179">
        <f t="shared" si="0"/>
        <v>45495</v>
      </c>
      <c s="181"/>
      <c s="181"/>
      <c s="181"/>
      <c s="181"/>
      <c s="181" t="str">
        <v/>
      </c>
      <c s="181"/>
      <c s="181"/>
      <c s="182"/>
      <c r="L305" s="181"/>
      <c s="181"/>
      <c s="181"/>
      <c s="181"/>
      <c s="181"/>
      <c s="178" t="str">
        <v/>
      </c>
      <c s="42"/>
      <c s="42"/>
      <c s="42"/>
      <c s="42"/>
      <c s="42"/>
      <c s="42"/>
    </row>
    <row r="306" spans="1:23" ht="15.75">
      <c r="A306" s="42"/>
      <c s="174">
        <f t="shared" si="0"/>
        <v>45496</v>
      </c>
      <c s="176"/>
      <c s="176"/>
      <c s="176"/>
      <c s="176"/>
      <c s="176" t="str">
        <v/>
      </c>
      <c s="176"/>
      <c s="176"/>
      <c s="183"/>
      <c r="L306" s="176"/>
      <c s="176"/>
      <c s="176"/>
      <c s="176"/>
      <c s="176"/>
      <c s="178" t="str">
        <v/>
      </c>
      <c s="42"/>
      <c s="42"/>
      <c s="42"/>
      <c s="42"/>
      <c s="42"/>
      <c s="42"/>
    </row>
    <row r="307" spans="1:23" ht="15.75">
      <c r="A307" s="42"/>
      <c s="179">
        <f t="shared" si="0"/>
        <v>45497</v>
      </c>
      <c s="181"/>
      <c s="181"/>
      <c s="181"/>
      <c s="181"/>
      <c s="181" t="str">
        <v/>
      </c>
      <c s="181"/>
      <c s="181"/>
      <c s="182"/>
      <c r="L307" s="181"/>
      <c s="181"/>
      <c s="181"/>
      <c s="181"/>
      <c s="181"/>
      <c s="178" t="str">
        <v/>
      </c>
      <c s="42"/>
      <c s="42"/>
      <c s="42"/>
      <c s="42"/>
      <c s="42"/>
      <c s="42"/>
    </row>
    <row r="308" spans="1:23" ht="15.75">
      <c r="A308" s="42"/>
      <c s="174">
        <f t="shared" si="0"/>
        <v>45498</v>
      </c>
      <c s="176"/>
      <c s="176"/>
      <c s="176"/>
      <c s="176"/>
      <c s="176" t="str">
        <v/>
      </c>
      <c s="176"/>
      <c s="176"/>
      <c s="183"/>
      <c r="L308" s="176"/>
      <c s="176"/>
      <c s="176"/>
      <c s="176"/>
      <c s="176"/>
      <c s="178" t="str">
        <v/>
      </c>
      <c s="42"/>
      <c s="42"/>
      <c s="42"/>
      <c s="42"/>
      <c s="42"/>
      <c s="42"/>
    </row>
    <row r="309" spans="1:23" ht="15.75">
      <c r="A309" s="42"/>
      <c s="179">
        <f t="shared" si="0"/>
        <v>45499</v>
      </c>
      <c s="181"/>
      <c s="181"/>
      <c s="181"/>
      <c s="181"/>
      <c s="181" t="str">
        <v/>
      </c>
      <c s="181"/>
      <c s="181"/>
      <c s="182"/>
      <c r="L309" s="181"/>
      <c s="181"/>
      <c s="181"/>
      <c s="181"/>
      <c s="181"/>
      <c s="178" t="str">
        <v/>
      </c>
      <c s="42"/>
      <c s="42"/>
      <c s="42"/>
      <c s="42"/>
      <c s="42"/>
      <c s="42"/>
    </row>
    <row r="310" spans="1:23" ht="15.75">
      <c r="A310" s="42"/>
      <c s="174">
        <f t="shared" si="0"/>
        <v>45500</v>
      </c>
      <c s="176"/>
      <c s="176"/>
      <c s="176"/>
      <c s="176"/>
      <c s="176" t="str">
        <v/>
      </c>
      <c s="176"/>
      <c s="176"/>
      <c s="183"/>
      <c r="L310" s="176"/>
      <c s="176"/>
      <c s="176"/>
      <c s="176"/>
      <c s="176"/>
      <c s="178" t="str">
        <v/>
      </c>
      <c s="42"/>
      <c s="42"/>
      <c s="42"/>
      <c s="42"/>
      <c s="42"/>
      <c s="42"/>
    </row>
    <row r="311" spans="1:23" ht="15.75">
      <c r="A311" s="42"/>
      <c s="179">
        <f t="shared" si="0"/>
        <v>45501</v>
      </c>
      <c s="181"/>
      <c s="181"/>
      <c s="181"/>
      <c s="181"/>
      <c s="181" t="str">
        <v/>
      </c>
      <c s="181"/>
      <c s="181"/>
      <c s="182"/>
      <c r="L311" s="181"/>
      <c s="181"/>
      <c s="181"/>
      <c s="181"/>
      <c s="181"/>
      <c s="178" t="str">
        <v/>
      </c>
      <c s="42"/>
      <c s="42"/>
      <c s="42"/>
      <c s="42"/>
      <c s="42"/>
      <c s="42"/>
    </row>
    <row r="312" spans="1:23" ht="15.75">
      <c r="A312" s="42"/>
      <c s="174">
        <f t="shared" si="0"/>
        <v>45502</v>
      </c>
      <c s="176"/>
      <c s="176"/>
      <c s="176"/>
      <c s="176"/>
      <c s="176" t="str">
        <v/>
      </c>
      <c s="176"/>
      <c s="176"/>
      <c s="183"/>
      <c r="L312" s="176"/>
      <c s="176"/>
      <c s="176"/>
      <c s="176"/>
      <c s="176"/>
      <c s="178" t="str">
        <v/>
      </c>
      <c s="42"/>
      <c s="42"/>
      <c s="42"/>
      <c s="42"/>
      <c s="42"/>
      <c s="42"/>
    </row>
    <row r="313" spans="1:23" ht="15.75">
      <c r="A313" s="42"/>
      <c s="179">
        <f t="shared" si="0"/>
        <v>45503</v>
      </c>
      <c s="181"/>
      <c s="181"/>
      <c s="181"/>
      <c s="181"/>
      <c s="181" t="str">
        <v/>
      </c>
      <c s="181"/>
      <c s="181"/>
      <c s="182"/>
      <c r="L313" s="181"/>
      <c s="181"/>
      <c s="181"/>
      <c s="181"/>
      <c s="181"/>
      <c s="178" t="str">
        <v/>
      </c>
      <c s="42"/>
      <c s="42"/>
      <c s="42"/>
      <c s="42"/>
      <c s="42"/>
      <c s="42"/>
    </row>
    <row r="314" spans="1:23" ht="15.75">
      <c r="A314" s="42"/>
      <c s="174">
        <f t="shared" si="0"/>
        <v>45504</v>
      </c>
      <c s="176"/>
      <c s="176"/>
      <c s="176"/>
      <c s="176"/>
      <c s="176" t="str">
        <v/>
      </c>
      <c s="176"/>
      <c s="176"/>
      <c s="183"/>
      <c r="L314" s="176"/>
      <c s="176"/>
      <c s="176"/>
      <c s="176"/>
      <c s="176"/>
      <c s="178" t="str">
        <v/>
      </c>
      <c s="42"/>
      <c s="42"/>
      <c s="42"/>
      <c s="42"/>
      <c s="42"/>
      <c s="42"/>
    </row>
    <row r="315" spans="1:23" ht="15.75">
      <c r="A315" s="42"/>
      <c s="179">
        <f t="shared" si="0"/>
        <v>45505</v>
      </c>
      <c s="181"/>
      <c s="181"/>
      <c s="181"/>
      <c s="181"/>
      <c s="181" t="str">
        <v/>
      </c>
      <c s="181"/>
      <c s="181"/>
      <c s="182"/>
      <c r="L315" s="181"/>
      <c s="181"/>
      <c s="181"/>
      <c s="181"/>
      <c s="181"/>
      <c s="178" t="str">
        <v/>
      </c>
      <c s="42"/>
      <c s="42"/>
      <c s="42"/>
      <c s="42"/>
      <c s="42"/>
      <c s="42"/>
    </row>
    <row r="316" spans="1:23" ht="15.75">
      <c r="A316" s="42"/>
      <c s="174">
        <f t="shared" si="0"/>
        <v>45506</v>
      </c>
      <c s="176"/>
      <c s="176"/>
      <c s="176"/>
      <c s="176"/>
      <c s="176" t="str">
        <v/>
      </c>
      <c s="176"/>
      <c s="176"/>
      <c s="183"/>
      <c r="L316" s="176"/>
      <c s="176"/>
      <c s="176"/>
      <c s="176"/>
      <c s="176"/>
      <c s="178" t="str">
        <v/>
      </c>
      <c s="42"/>
      <c s="42"/>
      <c s="42"/>
      <c s="42"/>
      <c s="42"/>
      <c s="42"/>
    </row>
    <row r="317" spans="1:23" ht="15.75">
      <c r="A317" s="42"/>
      <c s="179">
        <f t="shared" si="0"/>
        <v>45507</v>
      </c>
      <c s="181"/>
      <c s="181"/>
      <c s="181"/>
      <c s="181"/>
      <c s="181" t="str">
        <v/>
      </c>
      <c s="181"/>
      <c s="181"/>
      <c s="182"/>
      <c r="L317" s="181"/>
      <c s="181"/>
      <c s="181"/>
      <c s="181"/>
      <c s="181"/>
      <c s="178" t="str">
        <v/>
      </c>
      <c s="42"/>
      <c s="42"/>
      <c s="42"/>
      <c s="42"/>
      <c s="42"/>
      <c s="42"/>
    </row>
    <row r="318" spans="1:23" ht="15.75">
      <c r="A318" s="42"/>
      <c s="174">
        <f t="shared" si="0"/>
        <v>45508</v>
      </c>
      <c s="176"/>
      <c s="176"/>
      <c s="176"/>
      <c s="176"/>
      <c s="176" t="str">
        <v/>
      </c>
      <c s="176"/>
      <c s="176"/>
      <c s="183"/>
      <c r="L318" s="176"/>
      <c s="176"/>
      <c s="176"/>
      <c s="176"/>
      <c s="176"/>
      <c s="178" t="str">
        <v/>
      </c>
      <c s="42"/>
      <c s="42"/>
      <c s="42"/>
      <c s="42"/>
      <c s="42"/>
      <c s="42"/>
    </row>
    <row r="319" spans="1:23" ht="15.75">
      <c r="A319" s="42"/>
      <c s="179">
        <f t="shared" si="0"/>
        <v>45509</v>
      </c>
      <c s="181"/>
      <c s="181"/>
      <c s="181"/>
      <c s="181"/>
      <c s="181" t="str">
        <v/>
      </c>
      <c s="181"/>
      <c s="181"/>
      <c s="182"/>
      <c r="L319" s="181"/>
      <c s="181"/>
      <c s="181"/>
      <c s="181"/>
      <c s="181"/>
      <c s="178" t="str">
        <v/>
      </c>
      <c s="42"/>
      <c s="42"/>
      <c s="42"/>
      <c s="42"/>
      <c s="42"/>
      <c s="42"/>
    </row>
    <row r="320" spans="1:23" ht="15.75">
      <c r="A320" s="42"/>
      <c s="174">
        <f t="shared" si="0"/>
        <v>45510</v>
      </c>
      <c s="176"/>
      <c s="176"/>
      <c s="176"/>
      <c s="176"/>
      <c s="176" t="str">
        <v/>
      </c>
      <c s="176"/>
      <c s="176"/>
      <c s="183"/>
      <c r="L320" s="176"/>
      <c s="176"/>
      <c s="176"/>
      <c s="176"/>
      <c s="176"/>
      <c s="178" t="str">
        <v/>
      </c>
      <c s="42"/>
      <c s="42"/>
      <c s="42"/>
      <c s="42"/>
      <c s="42"/>
      <c s="42"/>
    </row>
    <row r="321" spans="1:23" ht="15.75">
      <c r="A321" s="42"/>
      <c s="179">
        <f t="shared" si="0"/>
        <v>45511</v>
      </c>
      <c s="181"/>
      <c s="181"/>
      <c s="181"/>
      <c s="181"/>
      <c s="181" t="str">
        <v/>
      </c>
      <c s="181"/>
      <c s="181"/>
      <c s="182"/>
      <c r="L321" s="181"/>
      <c s="181"/>
      <c s="181"/>
      <c s="181"/>
      <c s="181"/>
      <c s="178" t="str">
        <v/>
      </c>
      <c s="42"/>
      <c s="42"/>
      <c s="42"/>
      <c s="42"/>
      <c s="42"/>
      <c s="42"/>
    </row>
    <row r="322" spans="1:23" ht="15.75">
      <c r="A322" s="42"/>
      <c s="174">
        <f t="shared" si="0"/>
        <v>45512</v>
      </c>
      <c s="176"/>
      <c s="176"/>
      <c s="176"/>
      <c s="176"/>
      <c s="176" t="str">
        <v/>
      </c>
      <c s="176"/>
      <c s="176"/>
      <c s="183"/>
      <c r="L322" s="176"/>
      <c s="176"/>
      <c s="176"/>
      <c s="176"/>
      <c s="176"/>
      <c s="178" t="str">
        <v/>
      </c>
      <c s="42"/>
      <c s="42"/>
      <c s="42"/>
      <c s="42"/>
      <c s="42"/>
      <c s="42"/>
    </row>
    <row r="323" spans="1:23" ht="15.75">
      <c r="A323" s="42"/>
      <c s="179">
        <f t="shared" si="0"/>
        <v>45513</v>
      </c>
      <c s="181"/>
      <c s="181"/>
      <c s="181"/>
      <c s="181"/>
      <c s="181" t="str">
        <v/>
      </c>
      <c s="181"/>
      <c s="181"/>
      <c s="182"/>
      <c r="L323" s="181"/>
      <c s="181"/>
      <c s="181"/>
      <c s="181"/>
      <c s="181"/>
      <c s="178" t="str">
        <v/>
      </c>
      <c s="42"/>
      <c s="42"/>
      <c s="42"/>
      <c s="42"/>
      <c s="42"/>
      <c s="42"/>
    </row>
    <row r="324" spans="1:23" ht="15.75">
      <c r="A324" s="42"/>
      <c s="174">
        <f t="shared" si="0"/>
        <v>45514</v>
      </c>
      <c s="176"/>
      <c s="176"/>
      <c s="176"/>
      <c s="176"/>
      <c s="176" t="str">
        <v/>
      </c>
      <c s="176"/>
      <c s="176"/>
      <c s="183"/>
      <c r="L324" s="176"/>
      <c s="176"/>
      <c s="176"/>
      <c s="176"/>
      <c s="176"/>
      <c s="178" t="str">
        <v/>
      </c>
      <c s="42"/>
      <c s="42"/>
      <c s="42"/>
      <c s="42"/>
      <c s="42"/>
      <c s="42"/>
    </row>
    <row r="325" spans="1:23" ht="15.75">
      <c r="A325" s="42"/>
      <c s="179">
        <f t="shared" si="0"/>
        <v>45515</v>
      </c>
      <c s="181"/>
      <c s="181"/>
      <c s="181"/>
      <c s="181"/>
      <c s="181" t="str">
        <v/>
      </c>
      <c s="181"/>
      <c s="181"/>
      <c s="182"/>
      <c r="L325" s="181"/>
      <c s="181"/>
      <c s="181"/>
      <c s="181"/>
      <c s="181"/>
      <c s="178" t="str">
        <v/>
      </c>
      <c s="42"/>
      <c s="42"/>
      <c s="42"/>
      <c s="42"/>
      <c s="42"/>
      <c s="42"/>
    </row>
    <row r="326" spans="1:23" ht="15.75">
      <c r="A326" s="42"/>
      <c s="174">
        <f t="shared" si="0"/>
        <v>45516</v>
      </c>
      <c s="176"/>
      <c s="176"/>
      <c s="176"/>
      <c s="176"/>
      <c s="176" t="str">
        <v/>
      </c>
      <c s="176"/>
      <c s="176"/>
      <c s="183"/>
      <c r="L326" s="176"/>
      <c s="176"/>
      <c s="176"/>
      <c s="176"/>
      <c s="176"/>
      <c s="178" t="str">
        <v/>
      </c>
      <c s="42"/>
      <c s="42"/>
      <c s="42"/>
      <c s="42"/>
      <c s="42"/>
      <c s="42"/>
    </row>
    <row r="327" spans="1:23" ht="15.75">
      <c r="A327" s="42"/>
      <c s="179">
        <f t="shared" si="0"/>
        <v>45517</v>
      </c>
      <c s="181"/>
      <c s="181"/>
      <c s="181"/>
      <c s="181"/>
      <c s="181" t="str">
        <v/>
      </c>
      <c s="181"/>
      <c s="181"/>
      <c s="182"/>
      <c r="L327" s="181"/>
      <c s="181"/>
      <c s="181"/>
      <c s="181"/>
      <c s="181"/>
      <c s="178" t="str">
        <v/>
      </c>
      <c s="42"/>
      <c s="42"/>
      <c s="42"/>
      <c s="42"/>
      <c s="42"/>
      <c s="42"/>
    </row>
    <row r="328" spans="1:23" ht="15.75">
      <c r="A328" s="42"/>
      <c s="174">
        <f t="shared" si="0"/>
        <v>45518</v>
      </c>
      <c s="176"/>
      <c s="176"/>
      <c s="176"/>
      <c s="176"/>
      <c s="176" t="str">
        <v/>
      </c>
      <c s="176"/>
      <c s="176"/>
      <c s="183"/>
      <c r="L328" s="176"/>
      <c s="176"/>
      <c s="176"/>
      <c s="176"/>
      <c s="176"/>
      <c s="178" t="str">
        <v/>
      </c>
      <c s="42"/>
      <c s="42"/>
      <c s="42"/>
      <c s="42"/>
      <c s="42"/>
      <c s="42"/>
    </row>
    <row r="329" spans="1:23" ht="15.75">
      <c r="A329" s="42"/>
      <c s="179">
        <f t="shared" si="0"/>
        <v>45519</v>
      </c>
      <c s="181"/>
      <c s="181"/>
      <c s="181"/>
      <c s="181"/>
      <c s="181" t="str">
        <v/>
      </c>
      <c s="181"/>
      <c s="181"/>
      <c s="182"/>
      <c r="L329" s="181"/>
      <c s="181"/>
      <c s="181"/>
      <c s="181"/>
      <c s="181"/>
      <c s="178" t="str">
        <v/>
      </c>
      <c s="42"/>
      <c s="42"/>
      <c s="42"/>
      <c s="42"/>
      <c s="42"/>
      <c s="42"/>
    </row>
    <row r="330" spans="1:23" ht="15.75">
      <c r="A330" s="42"/>
      <c s="174">
        <f t="shared" si="0"/>
        <v>45520</v>
      </c>
      <c s="176"/>
      <c s="176"/>
      <c s="176"/>
      <c s="176"/>
      <c s="176" t="str">
        <v/>
      </c>
      <c s="176"/>
      <c s="176"/>
      <c s="183"/>
      <c r="L330" s="176"/>
      <c s="176"/>
      <c s="176"/>
      <c s="176"/>
      <c s="176"/>
      <c s="178" t="str">
        <v/>
      </c>
      <c s="42"/>
      <c s="42"/>
      <c s="42"/>
      <c s="42"/>
      <c s="42"/>
      <c s="42"/>
    </row>
    <row r="331" spans="1:23" ht="15.75">
      <c r="A331" s="42"/>
      <c s="179">
        <f t="shared" si="0"/>
        <v>45521</v>
      </c>
      <c s="181"/>
      <c s="181"/>
      <c s="181"/>
      <c s="181"/>
      <c s="181" t="str">
        <v/>
      </c>
      <c s="181"/>
      <c s="181"/>
      <c s="182"/>
      <c r="L331" s="181"/>
      <c s="181"/>
      <c s="181"/>
      <c s="181"/>
      <c s="181"/>
      <c s="178" t="str">
        <v/>
      </c>
      <c s="42"/>
      <c s="42"/>
      <c s="42"/>
      <c s="42"/>
      <c s="42"/>
      <c s="42"/>
    </row>
    <row r="332" spans="1:23" ht="15.75">
      <c r="A332" s="42"/>
      <c s="174">
        <f t="shared" si="0"/>
        <v>45522</v>
      </c>
      <c s="176"/>
      <c s="176"/>
      <c s="176"/>
      <c s="176"/>
      <c s="176" t="str">
        <v/>
      </c>
      <c s="176"/>
      <c s="176"/>
      <c s="183"/>
      <c r="L332" s="176"/>
      <c s="176"/>
      <c s="176"/>
      <c s="176"/>
      <c s="176"/>
      <c s="178" t="str">
        <v/>
      </c>
      <c s="42"/>
      <c s="42"/>
      <c s="42"/>
      <c s="42"/>
      <c s="42"/>
      <c s="42"/>
    </row>
    <row r="333" spans="1:23" ht="15.75">
      <c r="A333" s="42"/>
      <c s="179">
        <f t="shared" si="0"/>
        <v>45523</v>
      </c>
      <c s="181"/>
      <c s="181"/>
      <c s="181"/>
      <c s="181"/>
      <c s="181" t="str">
        <v/>
      </c>
      <c s="181"/>
      <c s="181"/>
      <c s="182"/>
      <c r="L333" s="181"/>
      <c s="181"/>
      <c s="181"/>
      <c s="181"/>
      <c s="181"/>
      <c s="178" t="str">
        <v/>
      </c>
      <c s="42"/>
      <c s="42"/>
      <c s="42"/>
      <c s="42"/>
      <c s="42"/>
      <c s="42"/>
    </row>
    <row r="334" spans="1:23" ht="15.75">
      <c r="A334" s="42"/>
      <c s="174">
        <f t="shared" si="0"/>
        <v>45524</v>
      </c>
      <c s="176"/>
      <c s="176"/>
      <c s="176"/>
      <c s="176"/>
      <c s="176" t="str">
        <v/>
      </c>
      <c s="176"/>
      <c s="176"/>
      <c s="183"/>
      <c r="L334" s="176"/>
      <c s="176"/>
      <c s="176"/>
      <c s="176"/>
      <c s="176"/>
      <c s="178" t="str">
        <v/>
      </c>
      <c s="42"/>
      <c s="42"/>
      <c s="42"/>
      <c s="42"/>
      <c s="42"/>
      <c s="42"/>
    </row>
    <row r="335" spans="1:23" ht="15.75">
      <c r="A335" s="42"/>
      <c s="179">
        <f t="shared" si="0"/>
        <v>45525</v>
      </c>
      <c s="181"/>
      <c s="181"/>
      <c s="181"/>
      <c s="181"/>
      <c s="181" t="str">
        <v/>
      </c>
      <c s="181"/>
      <c s="181"/>
      <c s="182"/>
      <c r="L335" s="181"/>
      <c s="181"/>
      <c s="181"/>
      <c s="181"/>
      <c s="181"/>
      <c s="178" t="str">
        <v/>
      </c>
      <c s="42"/>
      <c s="42"/>
      <c s="42"/>
      <c s="42"/>
      <c s="42"/>
      <c s="42"/>
    </row>
    <row r="336" spans="1:23" ht="15.75">
      <c r="A336" s="42"/>
      <c s="174">
        <f t="shared" si="0"/>
        <v>45526</v>
      </c>
      <c s="176"/>
      <c s="176"/>
      <c s="176"/>
      <c s="176"/>
      <c s="176" t="str">
        <v/>
      </c>
      <c s="176"/>
      <c s="176"/>
      <c s="183"/>
      <c r="L336" s="176"/>
      <c s="176"/>
      <c s="176"/>
      <c s="176"/>
      <c s="176"/>
      <c s="178" t="str">
        <v/>
      </c>
      <c s="42"/>
      <c s="42"/>
      <c s="42"/>
      <c s="42"/>
      <c s="42"/>
      <c s="42"/>
    </row>
    <row r="337" spans="1:23" ht="15.75">
      <c r="A337" s="42"/>
      <c s="179">
        <f t="shared" si="0"/>
        <v>45527</v>
      </c>
      <c s="181"/>
      <c s="181"/>
      <c s="181"/>
      <c s="181"/>
      <c s="181" t="str">
        <v/>
      </c>
      <c s="181"/>
      <c s="181"/>
      <c s="182"/>
      <c r="L337" s="181"/>
      <c s="181"/>
      <c s="181"/>
      <c s="181"/>
      <c s="181"/>
      <c s="178" t="str">
        <v/>
      </c>
      <c s="42"/>
      <c s="42"/>
      <c s="42"/>
      <c s="42"/>
      <c s="42"/>
      <c s="42"/>
    </row>
    <row r="338" spans="1:23" ht="15.75">
      <c r="A338" s="42"/>
      <c s="174">
        <f t="shared" si="0"/>
        <v>45528</v>
      </c>
      <c s="176"/>
      <c s="176"/>
      <c s="176"/>
      <c s="176"/>
      <c s="176" t="str">
        <v/>
      </c>
      <c s="176"/>
      <c s="176"/>
      <c s="183"/>
      <c r="L338" s="176"/>
      <c s="176"/>
      <c s="176"/>
      <c s="176"/>
      <c s="176"/>
      <c s="178" t="str">
        <v/>
      </c>
      <c s="42"/>
      <c s="42"/>
      <c s="42"/>
      <c s="42"/>
      <c s="42"/>
      <c s="42"/>
    </row>
    <row r="339" spans="1:23" ht="15.75">
      <c r="A339" s="42"/>
      <c s="179">
        <f t="shared" si="0"/>
        <v>45529</v>
      </c>
      <c s="181"/>
      <c s="181"/>
      <c s="181"/>
      <c s="181"/>
      <c s="181" t="str">
        <v/>
      </c>
      <c s="181"/>
      <c s="181"/>
      <c s="182"/>
      <c r="L339" s="181"/>
      <c s="181"/>
      <c s="181"/>
      <c s="181"/>
      <c s="181"/>
      <c s="178" t="str">
        <v/>
      </c>
      <c s="42"/>
      <c s="42"/>
      <c s="42"/>
      <c s="42"/>
      <c s="42"/>
      <c s="42"/>
    </row>
    <row r="340" spans="1:23" ht="15.75">
      <c r="A340" s="42"/>
      <c s="174">
        <f t="shared" si="0"/>
        <v>45530</v>
      </c>
      <c s="176"/>
      <c s="176"/>
      <c s="176"/>
      <c s="176"/>
      <c s="176" t="str">
        <v/>
      </c>
      <c s="176"/>
      <c s="176"/>
      <c s="183"/>
      <c r="L340" s="176"/>
      <c s="176"/>
      <c s="176"/>
      <c s="176"/>
      <c s="176"/>
      <c s="178" t="str">
        <v/>
      </c>
      <c s="42"/>
      <c s="42"/>
      <c s="42"/>
      <c s="42"/>
      <c s="42"/>
      <c s="42"/>
    </row>
    <row r="341" spans="1:23" ht="15.75">
      <c r="A341" s="42"/>
      <c s="179">
        <f t="shared" si="0"/>
        <v>45531</v>
      </c>
      <c s="181"/>
      <c s="181"/>
      <c s="181"/>
      <c s="181"/>
      <c s="181" t="str">
        <v/>
      </c>
      <c s="181"/>
      <c s="181"/>
      <c s="182"/>
      <c r="L341" s="181"/>
      <c s="181"/>
      <c s="181"/>
      <c s="181"/>
      <c s="181"/>
      <c s="178" t="str">
        <v/>
      </c>
      <c s="42"/>
      <c s="42"/>
      <c s="42"/>
      <c s="42"/>
      <c s="42"/>
      <c s="42"/>
    </row>
    <row r="342" spans="1:23" ht="15.75">
      <c r="A342" s="42"/>
      <c s="174">
        <f t="shared" si="0"/>
        <v>45532</v>
      </c>
      <c s="176"/>
      <c s="176"/>
      <c s="176"/>
      <c s="176"/>
      <c s="176" t="str">
        <v/>
      </c>
      <c s="176"/>
      <c s="176"/>
      <c s="183"/>
      <c r="L342" s="176"/>
      <c s="176"/>
      <c s="176"/>
      <c s="176"/>
      <c s="176"/>
      <c s="178" t="str">
        <v/>
      </c>
      <c s="42"/>
      <c s="42"/>
      <c s="42"/>
      <c s="42"/>
      <c s="42"/>
      <c s="42"/>
    </row>
    <row r="343" spans="1:23" ht="15.75">
      <c r="A343" s="42"/>
      <c s="179">
        <f t="shared" si="0"/>
        <v>45533</v>
      </c>
      <c s="181"/>
      <c s="181"/>
      <c s="181"/>
      <c s="181"/>
      <c s="181" t="str">
        <v/>
      </c>
      <c s="181"/>
      <c s="181"/>
      <c s="182"/>
      <c r="L343" s="181"/>
      <c s="181"/>
      <c s="181"/>
      <c s="181"/>
      <c s="181"/>
      <c s="178" t="str">
        <v/>
      </c>
      <c s="42"/>
      <c s="42"/>
      <c s="42"/>
      <c s="42"/>
      <c s="42"/>
      <c s="42"/>
    </row>
    <row r="344" spans="1:23" ht="15.75">
      <c r="A344" s="42"/>
      <c s="174">
        <f t="shared" si="0"/>
        <v>45534</v>
      </c>
      <c s="176"/>
      <c s="176"/>
      <c s="176"/>
      <c s="176"/>
      <c s="176" t="str">
        <v/>
      </c>
      <c s="176"/>
      <c s="176"/>
      <c s="183"/>
      <c r="L344" s="176"/>
      <c s="176"/>
      <c s="176"/>
      <c s="176"/>
      <c s="176"/>
      <c s="178" t="str">
        <v/>
      </c>
      <c s="42"/>
      <c s="42"/>
      <c s="42"/>
      <c s="42"/>
      <c s="42"/>
      <c s="42"/>
    </row>
    <row r="345" spans="1:23" ht="15.75">
      <c r="A345" s="42"/>
      <c s="179">
        <f t="shared" si="0"/>
        <v>45535</v>
      </c>
      <c s="181"/>
      <c s="181"/>
      <c s="181"/>
      <c s="181"/>
      <c s="181" t="str">
        <v/>
      </c>
      <c s="181"/>
      <c s="181"/>
      <c s="182"/>
      <c r="L345" s="181"/>
      <c s="181"/>
      <c s="181"/>
      <c s="181"/>
      <c s="181"/>
      <c s="178" t="str">
        <v/>
      </c>
      <c s="42"/>
      <c s="42"/>
      <c s="42"/>
      <c s="42"/>
      <c s="42"/>
      <c s="42"/>
    </row>
    <row r="346" spans="1:23" ht="15.75">
      <c r="A346" s="42"/>
      <c s="174">
        <f t="shared" si="0"/>
        <v>45536</v>
      </c>
      <c s="176"/>
      <c s="176"/>
      <c s="176"/>
      <c s="176"/>
      <c s="176" t="str">
        <v/>
      </c>
      <c s="176"/>
      <c s="176"/>
      <c s="183"/>
      <c r="L346" s="176"/>
      <c s="176"/>
      <c s="176"/>
      <c s="176"/>
      <c s="176"/>
      <c s="178" t="str">
        <v/>
      </c>
      <c s="42"/>
      <c s="42"/>
      <c s="42"/>
      <c s="42"/>
      <c s="42"/>
      <c s="42"/>
    </row>
    <row r="347" spans="1:23" ht="15.75">
      <c r="A347" s="42"/>
      <c s="179">
        <f t="shared" si="0"/>
        <v>45537</v>
      </c>
      <c s="181"/>
      <c s="181"/>
      <c s="181"/>
      <c s="181"/>
      <c s="181" t="str">
        <v/>
      </c>
      <c s="181"/>
      <c s="181"/>
      <c s="182"/>
      <c r="L347" s="181"/>
      <c s="181"/>
      <c s="181"/>
      <c s="181"/>
      <c s="181"/>
      <c s="178" t="str">
        <v/>
      </c>
      <c s="42"/>
      <c s="42"/>
      <c s="42"/>
      <c s="42"/>
      <c s="42"/>
      <c s="42"/>
    </row>
    <row r="348" spans="1:23" ht="15.75">
      <c r="A348" s="42"/>
      <c s="174">
        <f t="shared" si="0"/>
        <v>45538</v>
      </c>
      <c s="176"/>
      <c s="176"/>
      <c s="176"/>
      <c s="176"/>
      <c s="176" t="str">
        <v/>
      </c>
      <c s="176"/>
      <c s="176"/>
      <c s="183"/>
      <c r="L348" s="176"/>
      <c s="176"/>
      <c s="176"/>
      <c s="176"/>
      <c s="176"/>
      <c s="178" t="str">
        <v/>
      </c>
      <c s="42"/>
      <c s="42"/>
      <c s="42"/>
      <c s="42"/>
      <c s="42"/>
      <c s="42"/>
    </row>
    <row r="349" spans="1:23" ht="15.75">
      <c r="A349" s="42"/>
      <c s="179">
        <f t="shared" si="0"/>
        <v>45539</v>
      </c>
      <c s="181"/>
      <c s="181"/>
      <c s="181"/>
      <c s="181"/>
      <c s="181" t="str">
        <v/>
      </c>
      <c s="181"/>
      <c s="181"/>
      <c s="182"/>
      <c r="L349" s="181"/>
      <c s="181"/>
      <c s="181"/>
      <c s="181"/>
      <c s="181"/>
      <c s="178" t="str">
        <v/>
      </c>
      <c s="42"/>
      <c s="42"/>
      <c s="42"/>
      <c s="42"/>
      <c s="42"/>
      <c s="42"/>
    </row>
    <row r="350" spans="1:23" ht="15.75">
      <c r="A350" s="42"/>
      <c s="174">
        <f t="shared" si="0"/>
        <v>45540</v>
      </c>
      <c s="176"/>
      <c s="176"/>
      <c s="176"/>
      <c s="176"/>
      <c s="176" t="str">
        <v/>
      </c>
      <c s="176"/>
      <c s="176"/>
      <c s="183"/>
      <c r="L350" s="176"/>
      <c s="176"/>
      <c s="176"/>
      <c s="176"/>
      <c s="176"/>
      <c s="178" t="str">
        <v/>
      </c>
      <c s="42"/>
      <c s="42"/>
      <c s="42"/>
      <c s="42"/>
      <c s="42"/>
      <c s="42"/>
    </row>
    <row r="351" spans="1:23" ht="15.75">
      <c r="A351" s="42"/>
      <c s="179">
        <f t="shared" si="0"/>
        <v>45541</v>
      </c>
      <c s="181"/>
      <c s="181"/>
      <c s="181"/>
      <c s="181"/>
      <c s="181" t="str">
        <v/>
      </c>
      <c s="181"/>
      <c s="181"/>
      <c s="182"/>
      <c r="L351" s="181"/>
      <c s="181"/>
      <c s="181"/>
      <c s="181"/>
      <c s="181"/>
      <c s="178" t="str">
        <v/>
      </c>
      <c s="42"/>
      <c s="42"/>
      <c s="42"/>
      <c s="42"/>
      <c s="42"/>
      <c s="42"/>
    </row>
    <row r="352" spans="1:23" ht="15.75">
      <c r="A352" s="42"/>
      <c s="174">
        <f t="shared" si="0"/>
        <v>45542</v>
      </c>
      <c s="176"/>
      <c s="176"/>
      <c s="176"/>
      <c s="176"/>
      <c s="176" t="str">
        <v/>
      </c>
      <c s="176"/>
      <c s="176"/>
      <c s="183"/>
      <c r="L352" s="176"/>
      <c s="176"/>
      <c s="176"/>
      <c s="176"/>
      <c s="176"/>
      <c s="178" t="str">
        <v/>
      </c>
      <c s="42"/>
      <c s="42"/>
      <c s="42"/>
      <c s="42"/>
      <c s="42"/>
      <c s="42"/>
    </row>
    <row r="353" spans="1:23" ht="15.75">
      <c r="A353" s="42"/>
      <c s="179">
        <f t="shared" si="0"/>
        <v>45543</v>
      </c>
      <c s="181"/>
      <c s="181"/>
      <c s="181"/>
      <c s="181"/>
      <c s="181" t="str">
        <v/>
      </c>
      <c s="181"/>
      <c s="181"/>
      <c s="182"/>
      <c r="L353" s="181"/>
      <c s="181"/>
      <c s="181"/>
      <c s="181"/>
      <c s="181"/>
      <c s="178" t="str">
        <v/>
      </c>
      <c s="42"/>
      <c s="42"/>
      <c s="42"/>
      <c s="42"/>
      <c s="42"/>
      <c s="42"/>
    </row>
    <row r="354" spans="1:23" ht="15.75">
      <c r="A354" s="42"/>
      <c s="174">
        <f t="shared" si="0"/>
        <v>45544</v>
      </c>
      <c s="176"/>
      <c s="176"/>
      <c s="176"/>
      <c s="176"/>
      <c s="176" t="str">
        <v/>
      </c>
      <c s="176"/>
      <c s="176"/>
      <c s="183"/>
      <c r="L354" s="176"/>
      <c s="176"/>
      <c s="176"/>
      <c s="176"/>
      <c s="176"/>
      <c s="178" t="str">
        <v/>
      </c>
      <c s="42"/>
      <c s="42"/>
      <c s="42"/>
      <c s="42"/>
      <c s="42"/>
      <c s="42"/>
    </row>
    <row r="355" spans="1:23" ht="15.75">
      <c r="A355" s="42"/>
      <c s="179">
        <f t="shared" si="0"/>
        <v>45545</v>
      </c>
      <c s="181"/>
      <c s="181"/>
      <c s="181"/>
      <c s="181"/>
      <c s="181" t="str">
        <v/>
      </c>
      <c s="181"/>
      <c s="181"/>
      <c s="182"/>
      <c r="L355" s="181"/>
      <c s="181"/>
      <c s="181"/>
      <c s="181"/>
      <c s="181"/>
      <c s="178" t="str">
        <v/>
      </c>
      <c s="42"/>
      <c s="42"/>
      <c s="42"/>
      <c s="42"/>
      <c s="42"/>
      <c s="42"/>
    </row>
    <row r="356" spans="1:23" ht="15.75">
      <c r="A356" s="42"/>
      <c s="174">
        <f t="shared" si="0"/>
        <v>45546</v>
      </c>
      <c s="176"/>
      <c s="176"/>
      <c s="176"/>
      <c s="176"/>
      <c s="176" t="str">
        <v/>
      </c>
      <c s="176"/>
      <c s="176"/>
      <c s="183"/>
      <c r="L356" s="176"/>
      <c s="176"/>
      <c s="176"/>
      <c s="176"/>
      <c s="176"/>
      <c s="178" t="str">
        <v/>
      </c>
      <c s="42"/>
      <c s="42"/>
      <c s="42"/>
      <c s="42"/>
      <c s="42"/>
      <c s="42"/>
    </row>
    <row r="357" spans="1:23" ht="15.75">
      <c r="A357" s="42"/>
      <c s="179">
        <f t="shared" si="0"/>
        <v>45547</v>
      </c>
      <c s="181"/>
      <c s="181"/>
      <c s="181"/>
      <c s="181"/>
      <c s="181" t="str">
        <v/>
      </c>
      <c s="181"/>
      <c s="181"/>
      <c s="182"/>
      <c r="L357" s="181"/>
      <c s="181"/>
      <c s="181"/>
      <c s="181"/>
      <c s="181"/>
      <c s="178" t="str">
        <v/>
      </c>
      <c s="42"/>
      <c s="42"/>
      <c s="42"/>
      <c s="42"/>
      <c s="42"/>
      <c s="42"/>
    </row>
    <row r="358" spans="1:23" ht="15.75">
      <c r="A358" s="42"/>
      <c s="174">
        <f t="shared" si="0"/>
        <v>45548</v>
      </c>
      <c s="176"/>
      <c s="176"/>
      <c s="176"/>
      <c s="176"/>
      <c s="176" t="str">
        <v/>
      </c>
      <c s="176"/>
      <c s="176"/>
      <c s="183"/>
      <c r="L358" s="176"/>
      <c s="176"/>
      <c s="176"/>
      <c s="176"/>
      <c s="176"/>
      <c s="178" t="str">
        <v/>
      </c>
      <c s="42"/>
      <c s="42"/>
      <c s="42"/>
      <c s="42"/>
      <c s="42"/>
      <c s="42"/>
    </row>
    <row r="359" spans="1:23" ht="15.75">
      <c r="A359" s="42"/>
      <c s="179">
        <f t="shared" si="0"/>
        <v>45549</v>
      </c>
      <c s="181"/>
      <c s="181"/>
      <c s="181"/>
      <c s="181"/>
      <c s="181" t="str">
        <v/>
      </c>
      <c s="181"/>
      <c s="181"/>
      <c s="182"/>
      <c r="L359" s="181"/>
      <c s="181"/>
      <c s="181"/>
      <c s="181"/>
      <c s="181"/>
      <c s="178" t="str">
        <v/>
      </c>
      <c s="42"/>
      <c s="42"/>
      <c s="42"/>
      <c s="42"/>
      <c s="42"/>
      <c s="42"/>
    </row>
    <row r="360" spans="1:23" ht="15.75">
      <c r="A360" s="42"/>
      <c s="174">
        <f t="shared" si="0"/>
        <v>45550</v>
      </c>
      <c s="176"/>
      <c s="176"/>
      <c s="176"/>
      <c s="176"/>
      <c s="176" t="str">
        <v/>
      </c>
      <c s="176"/>
      <c s="176"/>
      <c s="183"/>
      <c r="L360" s="176"/>
      <c s="176"/>
      <c s="176"/>
      <c s="176"/>
      <c s="176"/>
      <c s="178" t="str">
        <v/>
      </c>
      <c s="42"/>
      <c s="42"/>
      <c s="42"/>
      <c s="42"/>
      <c s="42"/>
      <c s="42"/>
    </row>
    <row r="361" spans="1:23" ht="15.75">
      <c r="A361" s="42"/>
      <c s="179">
        <f t="shared" si="0"/>
        <v>45551</v>
      </c>
      <c s="181"/>
      <c s="181"/>
      <c s="181"/>
      <c s="181"/>
      <c s="181" t="str">
        <v/>
      </c>
      <c s="181"/>
      <c s="181"/>
      <c s="182"/>
      <c r="L361" s="181"/>
      <c s="181"/>
      <c s="181"/>
      <c s="181"/>
      <c s="181"/>
      <c s="178" t="str">
        <v/>
      </c>
      <c s="42"/>
      <c s="42"/>
      <c s="42"/>
      <c s="42"/>
      <c s="42"/>
      <c s="42"/>
    </row>
    <row r="362" spans="1:23" ht="15.75">
      <c r="A362" s="42"/>
      <c s="174">
        <f t="shared" si="0"/>
        <v>45552</v>
      </c>
      <c s="176"/>
      <c s="176"/>
      <c s="176"/>
      <c s="176"/>
      <c s="176" t="str">
        <v/>
      </c>
      <c s="176"/>
      <c s="176"/>
      <c s="183"/>
      <c r="L362" s="176"/>
      <c s="176"/>
      <c s="176"/>
      <c s="176"/>
      <c s="176"/>
      <c s="178" t="str">
        <v/>
      </c>
      <c s="42"/>
      <c s="42"/>
      <c s="42"/>
      <c s="42"/>
      <c s="42"/>
      <c s="42"/>
    </row>
    <row r="363" spans="1:23" ht="15.75">
      <c r="A363" s="42"/>
      <c s="179">
        <f t="shared" si="0"/>
        <v>45553</v>
      </c>
      <c s="181"/>
      <c s="181"/>
      <c s="181"/>
      <c s="181"/>
      <c s="181" t="str">
        <v/>
      </c>
      <c s="181"/>
      <c s="181"/>
      <c s="182"/>
      <c r="L363" s="181"/>
      <c s="181"/>
      <c s="181"/>
      <c s="181"/>
      <c s="181"/>
      <c s="178" t="str">
        <v/>
      </c>
      <c s="42"/>
      <c s="42"/>
      <c s="42"/>
      <c s="42"/>
      <c s="42"/>
      <c s="42"/>
    </row>
    <row r="364" spans="1:23" ht="15.75">
      <c r="A364" s="42"/>
      <c s="174">
        <f t="shared" si="0"/>
        <v>45554</v>
      </c>
      <c s="176"/>
      <c s="176"/>
      <c s="176"/>
      <c s="176"/>
      <c s="176" t="str">
        <v/>
      </c>
      <c s="176"/>
      <c s="176"/>
      <c s="183"/>
      <c r="L364" s="176"/>
      <c s="176"/>
      <c s="176"/>
      <c s="176"/>
      <c s="176"/>
      <c s="178" t="str">
        <v/>
      </c>
      <c s="42"/>
      <c s="42"/>
      <c s="42"/>
      <c s="42"/>
      <c s="42"/>
      <c s="42"/>
    </row>
    <row r="365" spans="1:23" ht="15.75">
      <c r="A365" s="42"/>
      <c s="179">
        <f t="shared" si="0"/>
        <v>45555</v>
      </c>
      <c s="181"/>
      <c s="181"/>
      <c s="181"/>
      <c s="181"/>
      <c s="181" t="str">
        <v/>
      </c>
      <c s="181"/>
      <c s="181"/>
      <c s="182"/>
      <c r="L365" s="181"/>
      <c s="181"/>
      <c s="181"/>
      <c s="181"/>
      <c s="181"/>
      <c s="178" t="str">
        <v/>
      </c>
      <c s="42"/>
      <c s="42"/>
      <c s="42"/>
      <c s="42"/>
      <c s="42"/>
      <c s="42"/>
    </row>
    <row r="366" spans="1:23" ht="15.75">
      <c r="A366" s="42"/>
      <c s="174">
        <f t="shared" si="0"/>
        <v>45556</v>
      </c>
      <c s="176"/>
      <c s="176"/>
      <c s="176"/>
      <c s="176"/>
      <c s="176" t="str">
        <v/>
      </c>
      <c s="176"/>
      <c s="176"/>
      <c s="183"/>
      <c r="L366" s="176"/>
      <c s="176"/>
      <c s="176"/>
      <c s="176"/>
      <c s="176"/>
      <c s="178" t="str">
        <v/>
      </c>
      <c s="42"/>
      <c s="42"/>
      <c s="42"/>
      <c s="42"/>
      <c s="42"/>
      <c s="42"/>
    </row>
    <row r="367" spans="1:23" ht="15.75">
      <c r="A367" s="42"/>
      <c s="179">
        <f t="shared" si="0"/>
        <v>45557</v>
      </c>
      <c s="181"/>
      <c s="181"/>
      <c s="181"/>
      <c s="181"/>
      <c s="181" t="str">
        <v/>
      </c>
      <c s="181"/>
      <c s="181"/>
      <c s="182"/>
      <c r="L367" s="181"/>
      <c s="181"/>
      <c s="181"/>
      <c s="181"/>
      <c s="181"/>
      <c s="178" t="str">
        <v/>
      </c>
      <c s="42"/>
      <c s="42"/>
      <c s="42"/>
      <c s="42"/>
      <c s="42"/>
      <c s="42"/>
    </row>
    <row r="368" spans="1:23" ht="15.75">
      <c r="A368" s="42"/>
      <c s="174">
        <f t="shared" si="0"/>
        <v>45558</v>
      </c>
      <c s="176"/>
      <c s="176"/>
      <c s="176"/>
      <c s="176"/>
      <c s="176" t="str">
        <v/>
      </c>
      <c s="176"/>
      <c s="176"/>
      <c s="183"/>
      <c r="L368" s="176"/>
      <c s="176"/>
      <c s="176"/>
      <c s="176"/>
      <c s="176"/>
      <c s="178" t="str">
        <v/>
      </c>
      <c s="42"/>
      <c s="42"/>
      <c s="42"/>
      <c s="42"/>
      <c s="42"/>
      <c s="42"/>
    </row>
    <row r="369" spans="1:23" ht="15.75">
      <c r="A369" s="42"/>
      <c s="179">
        <f t="shared" si="0"/>
        <v>45559</v>
      </c>
      <c s="181"/>
      <c s="181"/>
      <c s="181"/>
      <c s="181"/>
      <c s="181" t="str">
        <v/>
      </c>
      <c s="181"/>
      <c s="181"/>
      <c s="182"/>
      <c r="L369" s="181"/>
      <c s="181"/>
      <c s="181"/>
      <c s="181"/>
      <c s="181"/>
      <c s="178" t="str">
        <v/>
      </c>
      <c s="42"/>
      <c s="42"/>
      <c s="42"/>
      <c s="42"/>
      <c s="42"/>
      <c s="42"/>
    </row>
    <row r="370" spans="1:23" ht="15.75">
      <c r="A370" s="42"/>
      <c s="174">
        <f t="shared" si="0"/>
        <v>45560</v>
      </c>
      <c s="176"/>
      <c s="176"/>
      <c s="176"/>
      <c s="176"/>
      <c s="176" t="str">
        <v/>
      </c>
      <c s="176"/>
      <c s="176"/>
      <c s="183"/>
      <c r="L370" s="176"/>
      <c s="176"/>
      <c s="176"/>
      <c s="176"/>
      <c s="176"/>
      <c s="178" t="str">
        <v/>
      </c>
      <c s="42"/>
      <c s="42"/>
      <c s="42"/>
      <c s="42"/>
      <c s="42"/>
      <c s="42"/>
    </row>
    <row r="371" spans="1:23" ht="15.75">
      <c r="A371" s="42"/>
      <c s="179">
        <f t="shared" si="0"/>
        <v>45561</v>
      </c>
      <c s="181"/>
      <c s="181"/>
      <c s="181"/>
      <c s="181"/>
      <c s="181" t="str">
        <v/>
      </c>
      <c s="181"/>
      <c s="181"/>
      <c s="182"/>
      <c r="L371" s="181"/>
      <c s="181"/>
      <c s="181"/>
      <c s="181"/>
      <c s="181"/>
      <c s="178" t="str">
        <v/>
      </c>
      <c s="42"/>
      <c s="42"/>
      <c s="42"/>
      <c s="42"/>
      <c s="42"/>
      <c s="42"/>
    </row>
    <row r="372" spans="1:23" ht="15.75">
      <c r="A372" s="42"/>
      <c s="174">
        <f t="shared" si="0"/>
        <v>45562</v>
      </c>
      <c s="176"/>
      <c s="176"/>
      <c s="176"/>
      <c s="176"/>
      <c s="176" t="str">
        <v/>
      </c>
      <c s="176"/>
      <c s="176"/>
      <c s="183"/>
      <c r="L372" s="176"/>
      <c s="176"/>
      <c s="176"/>
      <c s="176"/>
      <c s="176"/>
      <c s="178" t="str">
        <v/>
      </c>
      <c s="42"/>
      <c s="42"/>
      <c s="42"/>
      <c s="42"/>
      <c s="42"/>
      <c s="42"/>
    </row>
    <row r="373" spans="1:23" ht="15.75">
      <c r="A373" s="42"/>
      <c s="179">
        <f t="shared" si="0"/>
        <v>45563</v>
      </c>
      <c s="181"/>
      <c s="181"/>
      <c s="181"/>
      <c s="181"/>
      <c s="181" t="str">
        <v/>
      </c>
      <c s="181"/>
      <c s="181"/>
      <c s="182"/>
      <c r="L373" s="181"/>
      <c s="181"/>
      <c s="181"/>
      <c s="181"/>
      <c s="181"/>
      <c s="178" t="str">
        <v/>
      </c>
      <c s="42"/>
      <c s="42"/>
      <c s="42"/>
      <c s="42"/>
      <c s="42"/>
      <c s="42"/>
    </row>
    <row r="374" spans="1:23" ht="15.75">
      <c r="A374" s="42"/>
      <c s="174">
        <f t="shared" si="0"/>
        <v>45564</v>
      </c>
      <c s="176"/>
      <c s="176"/>
      <c s="176"/>
      <c s="176"/>
      <c s="176" t="str">
        <v/>
      </c>
      <c s="176"/>
      <c s="176"/>
      <c s="183"/>
      <c r="L374" s="176"/>
      <c s="176"/>
      <c s="176"/>
      <c s="176"/>
      <c s="176"/>
      <c s="178" t="str">
        <v/>
      </c>
      <c s="42"/>
      <c s="42"/>
      <c s="42"/>
      <c s="42"/>
      <c s="42"/>
      <c s="42"/>
    </row>
    <row r="375" spans="1:23" ht="15.75">
      <c r="A375" s="42"/>
      <c s="179">
        <f t="shared" si="0"/>
        <v>45565</v>
      </c>
      <c s="181"/>
      <c s="181"/>
      <c s="181"/>
      <c s="181"/>
      <c s="181" t="str">
        <v/>
      </c>
      <c s="181"/>
      <c s="181"/>
      <c s="182"/>
      <c r="L375" s="181"/>
      <c s="181"/>
      <c s="181"/>
      <c s="181"/>
      <c s="181"/>
      <c s="178" t="str">
        <v/>
      </c>
      <c s="42"/>
      <c s="42"/>
      <c s="42"/>
      <c s="42"/>
      <c s="42"/>
      <c s="42"/>
    </row>
    <row r="376" spans="1:23" ht="15.75">
      <c r="A376" s="42"/>
      <c s="174">
        <f t="shared" si="0"/>
        <v>45566</v>
      </c>
      <c s="176"/>
      <c s="176"/>
      <c s="176"/>
      <c s="176"/>
      <c s="176" t="str">
        <v/>
      </c>
      <c s="176"/>
      <c s="176"/>
      <c s="183"/>
      <c r="L376" s="176"/>
      <c s="176"/>
      <c s="176"/>
      <c s="176"/>
      <c s="176"/>
      <c s="178" t="str">
        <v/>
      </c>
      <c s="42"/>
      <c s="42"/>
      <c s="42"/>
      <c s="42"/>
      <c s="42"/>
      <c s="42"/>
    </row>
    <row r="377" spans="1:23" ht="15.75">
      <c r="A377" s="42"/>
      <c s="179">
        <f t="shared" si="0"/>
        <v>45567</v>
      </c>
      <c s="181"/>
      <c s="181"/>
      <c s="181"/>
      <c s="181"/>
      <c s="181" t="str">
        <v/>
      </c>
      <c s="181"/>
      <c s="181"/>
      <c s="182"/>
      <c r="L377" s="181"/>
      <c s="181"/>
      <c s="181"/>
      <c s="181"/>
      <c s="181"/>
      <c s="178" t="str">
        <v/>
      </c>
      <c s="42"/>
      <c s="42"/>
      <c s="42"/>
      <c s="42"/>
      <c s="42"/>
      <c s="42"/>
    </row>
    <row r="378" spans="1:23" ht="15.75">
      <c r="A378" s="42"/>
      <c s="174">
        <f t="shared" si="0"/>
        <v>45568</v>
      </c>
      <c s="176"/>
      <c s="176"/>
      <c s="176"/>
      <c s="176"/>
      <c s="176" t="str">
        <v/>
      </c>
      <c s="176"/>
      <c s="176"/>
      <c s="183"/>
      <c r="L378" s="176"/>
      <c s="176"/>
      <c s="176"/>
      <c s="176"/>
      <c s="176"/>
      <c s="178" t="str">
        <v/>
      </c>
      <c s="42"/>
      <c s="42"/>
      <c s="42"/>
      <c s="42"/>
      <c s="42"/>
      <c s="42"/>
    </row>
    <row r="379" spans="1:23" ht="15.75">
      <c r="A379" s="42"/>
      <c s="179">
        <f t="shared" si="0"/>
        <v>45569</v>
      </c>
      <c s="181"/>
      <c s="181"/>
      <c s="181"/>
      <c s="181"/>
      <c s="181" t="str">
        <v/>
      </c>
      <c s="181"/>
      <c s="181"/>
      <c s="182"/>
      <c r="L379" s="181"/>
      <c s="181"/>
      <c s="181"/>
      <c s="181"/>
      <c s="181"/>
      <c s="178" t="str">
        <v/>
      </c>
      <c s="42"/>
      <c s="42"/>
      <c s="42"/>
      <c s="42"/>
      <c s="42"/>
      <c s="42"/>
    </row>
    <row r="380" spans="1:23" ht="15.75">
      <c r="A380" s="42"/>
      <c s="174">
        <f t="shared" si="0"/>
        <v>45570</v>
      </c>
      <c s="176"/>
      <c s="176"/>
      <c s="176"/>
      <c s="176"/>
      <c s="176" t="str">
        <v/>
      </c>
      <c s="176"/>
      <c s="176"/>
      <c s="183"/>
      <c r="L380" s="176"/>
      <c s="176"/>
      <c s="176"/>
      <c s="176"/>
      <c s="176"/>
      <c s="178" t="str">
        <v/>
      </c>
      <c s="42"/>
      <c s="42"/>
      <c s="42"/>
      <c s="42"/>
      <c s="42"/>
      <c s="42"/>
    </row>
    <row r="381" spans="1:23" ht="15.75">
      <c r="A381" s="42"/>
      <c s="179">
        <f t="shared" si="0"/>
        <v>45571</v>
      </c>
      <c s="181"/>
      <c s="181"/>
      <c s="181"/>
      <c s="181"/>
      <c s="181" t="str">
        <v/>
      </c>
      <c s="181"/>
      <c s="181"/>
      <c s="182"/>
      <c r="L381" s="181"/>
      <c s="181"/>
      <c s="181"/>
      <c s="181"/>
      <c s="181"/>
      <c s="178" t="str">
        <v/>
      </c>
      <c s="42"/>
      <c s="42"/>
      <c s="42"/>
      <c s="42"/>
      <c s="42"/>
      <c s="42"/>
    </row>
    <row r="382" spans="1:23" ht="15.75">
      <c r="A382" s="42"/>
      <c s="174">
        <f t="shared" si="0"/>
        <v>45572</v>
      </c>
      <c s="176"/>
      <c s="176"/>
      <c s="176"/>
      <c s="176"/>
      <c s="176" t="str">
        <v/>
      </c>
      <c s="176"/>
      <c s="176"/>
      <c s="183"/>
      <c r="L382" s="176"/>
      <c s="176"/>
      <c s="176"/>
      <c s="176"/>
      <c s="176"/>
      <c s="178" t="str">
        <v/>
      </c>
      <c s="42"/>
      <c s="42"/>
      <c s="42"/>
      <c s="42"/>
      <c s="42"/>
      <c s="42"/>
    </row>
    <row r="383" spans="1:23" ht="15.75">
      <c r="A383" s="42"/>
      <c s="179">
        <f t="shared" si="0"/>
        <v>45573</v>
      </c>
      <c s="181"/>
      <c s="181"/>
      <c s="181"/>
      <c s="181"/>
      <c s="181" t="str">
        <v/>
      </c>
      <c s="181"/>
      <c s="181"/>
      <c s="182"/>
      <c r="L383" s="181"/>
      <c s="181"/>
      <c s="181"/>
      <c s="181"/>
      <c s="181"/>
      <c s="178" t="str">
        <v/>
      </c>
      <c s="42"/>
      <c s="42"/>
      <c s="42"/>
      <c s="42"/>
      <c s="42"/>
      <c s="42"/>
    </row>
    <row r="384" spans="1:23" ht="15.75">
      <c r="A384" s="42"/>
      <c s="174">
        <f t="shared" si="0"/>
        <v>45574</v>
      </c>
      <c s="176"/>
      <c s="176"/>
      <c s="176"/>
      <c s="176"/>
      <c s="176" t="str">
        <v/>
      </c>
      <c s="176"/>
      <c s="176"/>
      <c s="183"/>
      <c r="L384" s="176"/>
      <c s="176"/>
      <c s="176"/>
      <c s="176"/>
      <c s="176"/>
      <c s="178" t="str">
        <v/>
      </c>
      <c s="42"/>
      <c s="42"/>
      <c s="42"/>
      <c s="42"/>
      <c s="42"/>
      <c s="42"/>
    </row>
    <row r="385" spans="1:23" ht="15.75">
      <c r="A385" s="42"/>
      <c s="179">
        <f t="shared" si="0"/>
        <v>45575</v>
      </c>
      <c s="181"/>
      <c s="181"/>
      <c s="181"/>
      <c s="181"/>
      <c s="181" t="str">
        <v/>
      </c>
      <c s="181"/>
      <c s="181"/>
      <c s="182"/>
      <c r="L385" s="181"/>
      <c s="181"/>
      <c s="181"/>
      <c s="181"/>
      <c s="181"/>
      <c s="178" t="str">
        <v/>
      </c>
      <c s="42"/>
      <c s="42"/>
      <c s="42"/>
      <c s="42"/>
      <c s="42"/>
      <c s="42"/>
    </row>
    <row r="386" spans="1:23" ht="15.75">
      <c r="A386" s="42"/>
      <c s="174">
        <f t="shared" si="0"/>
        <v>45576</v>
      </c>
      <c s="176"/>
      <c s="176"/>
      <c s="176"/>
      <c s="176"/>
      <c s="176" t="str">
        <v/>
      </c>
      <c s="176"/>
      <c s="176"/>
      <c s="183"/>
      <c r="L386" s="176"/>
      <c s="176"/>
      <c s="176"/>
      <c s="176"/>
      <c s="176"/>
      <c s="178" t="str">
        <v/>
      </c>
      <c s="42"/>
      <c s="42"/>
      <c s="42"/>
      <c s="42"/>
      <c s="42"/>
      <c s="42"/>
    </row>
    <row r="387" spans="1:23" ht="15.75">
      <c r="A387" s="42"/>
      <c s="179">
        <f t="shared" si="0"/>
        <v>45577</v>
      </c>
      <c s="181"/>
      <c s="181"/>
      <c s="181"/>
      <c s="181"/>
      <c s="181" t="str">
        <v/>
      </c>
      <c s="181"/>
      <c s="181"/>
      <c s="182"/>
      <c r="L387" s="181"/>
      <c s="181"/>
      <c s="181"/>
      <c s="181"/>
      <c s="181"/>
      <c s="178" t="str">
        <v/>
      </c>
      <c s="42"/>
      <c s="42"/>
      <c s="42"/>
      <c s="42"/>
      <c s="42"/>
      <c s="42"/>
    </row>
    <row r="388" spans="1:23" ht="15.75">
      <c r="A388" s="42"/>
      <c s="174">
        <f t="shared" si="0"/>
        <v>45578</v>
      </c>
      <c s="176"/>
      <c s="176"/>
      <c s="176"/>
      <c s="176"/>
      <c s="176" t="str">
        <v/>
      </c>
      <c s="176"/>
      <c s="176"/>
      <c s="183"/>
      <c r="L388" s="176"/>
      <c s="176"/>
      <c s="176"/>
      <c s="176"/>
      <c s="176"/>
      <c s="178" t="str">
        <v/>
      </c>
      <c s="42"/>
      <c s="42"/>
      <c s="42"/>
      <c s="42"/>
      <c s="42"/>
      <c s="42"/>
    </row>
    <row r="389" spans="1:23" ht="15.75">
      <c r="A389" s="42"/>
      <c s="179">
        <f t="shared" si="0"/>
        <v>45579</v>
      </c>
      <c s="181"/>
      <c s="181"/>
      <c s="181"/>
      <c s="181"/>
      <c s="181" t="str">
        <v/>
      </c>
      <c s="181"/>
      <c s="181"/>
      <c s="182"/>
      <c r="L389" s="181"/>
      <c s="181"/>
      <c s="181"/>
      <c s="181"/>
      <c s="181"/>
      <c s="178" t="str">
        <v/>
      </c>
      <c s="42"/>
      <c s="42"/>
      <c s="42"/>
      <c s="42"/>
      <c s="42"/>
      <c s="42"/>
    </row>
    <row r="390" spans="1:23" ht="15.75">
      <c r="A390" s="42"/>
      <c s="174">
        <f t="shared" si="0"/>
        <v>45580</v>
      </c>
      <c s="176"/>
      <c s="176"/>
      <c s="176"/>
      <c s="176"/>
      <c s="176" t="str">
        <v/>
      </c>
      <c s="176"/>
      <c s="176"/>
      <c s="183"/>
      <c r="L390" s="176"/>
      <c s="176"/>
      <c s="176"/>
      <c s="176"/>
      <c s="176"/>
      <c s="178" t="str">
        <v/>
      </c>
      <c s="42"/>
      <c s="42"/>
      <c s="42"/>
      <c s="42"/>
      <c s="42"/>
      <c s="42"/>
    </row>
    <row r="391" spans="1:23" ht="15.75">
      <c r="A391" s="42"/>
      <c s="179">
        <f t="shared" si="0"/>
        <v>45581</v>
      </c>
      <c s="181"/>
      <c s="181"/>
      <c s="181"/>
      <c s="181"/>
      <c s="181" t="str">
        <v/>
      </c>
      <c s="181"/>
      <c s="181"/>
      <c s="182"/>
      <c r="L391" s="181"/>
      <c s="181"/>
      <c s="181"/>
      <c s="181"/>
      <c s="181"/>
      <c s="178" t="str">
        <v/>
      </c>
      <c s="42"/>
      <c s="42"/>
      <c s="42"/>
      <c s="42"/>
      <c s="42"/>
      <c s="42"/>
    </row>
    <row r="392" spans="1:23" ht="15.75">
      <c r="A392" s="42"/>
      <c s="174">
        <f t="shared" si="0"/>
        <v>45582</v>
      </c>
      <c s="176"/>
      <c s="176"/>
      <c s="176"/>
      <c s="176"/>
      <c s="176" t="str">
        <v/>
      </c>
      <c s="176"/>
      <c s="176"/>
      <c s="183"/>
      <c r="L392" s="176"/>
      <c s="176"/>
      <c s="176"/>
      <c s="176"/>
      <c s="176"/>
      <c s="178" t="str">
        <v/>
      </c>
      <c s="42"/>
      <c s="42"/>
      <c s="42"/>
      <c s="42"/>
      <c s="42"/>
      <c s="42"/>
    </row>
    <row r="393" spans="1:23" ht="15.75">
      <c r="A393" s="42"/>
      <c s="179">
        <f t="shared" si="0"/>
        <v>45583</v>
      </c>
      <c s="181"/>
      <c s="181"/>
      <c s="181"/>
      <c s="181"/>
      <c s="181" t="str">
        <v/>
      </c>
      <c s="181"/>
      <c s="181"/>
      <c s="182"/>
      <c r="L393" s="181"/>
      <c s="181"/>
      <c s="181"/>
      <c s="181"/>
      <c s="181"/>
      <c s="178" t="str">
        <v/>
      </c>
      <c s="42"/>
      <c s="42"/>
      <c s="42"/>
      <c s="42"/>
      <c s="42"/>
      <c s="42"/>
    </row>
    <row r="394" spans="1:23" ht="15.75">
      <c r="A394" s="42"/>
      <c s="174">
        <f t="shared" si="0"/>
        <v>45584</v>
      </c>
      <c s="176"/>
      <c s="176"/>
      <c s="176"/>
      <c s="176"/>
      <c s="176" t="str">
        <v/>
      </c>
      <c s="176"/>
      <c s="176"/>
      <c s="183"/>
      <c r="L394" s="176"/>
      <c s="176"/>
      <c s="176"/>
      <c s="176"/>
      <c s="176"/>
      <c s="178" t="str">
        <v/>
      </c>
      <c s="42"/>
      <c s="42"/>
      <c s="42"/>
      <c s="42"/>
      <c s="42"/>
      <c s="42"/>
    </row>
    <row r="395" spans="1:23" ht="15.75">
      <c r="A395" s="42"/>
      <c s="179">
        <f t="shared" si="0"/>
        <v>45585</v>
      </c>
      <c s="181"/>
      <c s="181"/>
      <c s="181"/>
      <c s="181"/>
      <c s="181" t="str">
        <v/>
      </c>
      <c s="181"/>
      <c s="181"/>
      <c s="182"/>
      <c r="L395" s="181"/>
      <c s="181"/>
      <c s="181"/>
      <c s="181"/>
      <c s="181"/>
      <c s="178" t="str">
        <v/>
      </c>
      <c s="42"/>
      <c s="42"/>
      <c s="42"/>
      <c s="42"/>
      <c s="42"/>
      <c s="42"/>
    </row>
    <row r="396" spans="1:23" ht="15.75">
      <c r="A396" s="42"/>
      <c s="174">
        <f t="shared" si="0"/>
        <v>45586</v>
      </c>
      <c s="176"/>
      <c s="176"/>
      <c s="176"/>
      <c s="176"/>
      <c s="176" t="str">
        <v/>
      </c>
      <c s="176"/>
      <c s="176"/>
      <c s="183"/>
      <c r="L396" s="176"/>
      <c s="176"/>
      <c s="176"/>
      <c s="176"/>
      <c s="176"/>
      <c s="178" t="str">
        <v/>
      </c>
      <c s="42"/>
      <c s="42"/>
      <c s="42"/>
      <c s="42"/>
      <c s="42"/>
      <c s="42"/>
    </row>
    <row r="397" spans="1:23" ht="15.75">
      <c r="A397" s="42"/>
      <c s="179">
        <f t="shared" si="0"/>
        <v>45587</v>
      </c>
      <c s="181"/>
      <c s="181"/>
      <c s="181"/>
      <c s="181"/>
      <c s="181" t="str">
        <v/>
      </c>
      <c s="181"/>
      <c s="181"/>
      <c s="182"/>
      <c r="L397" s="181"/>
      <c s="181"/>
      <c s="181"/>
      <c s="181"/>
      <c s="181"/>
      <c s="178" t="str">
        <v/>
      </c>
      <c s="42"/>
      <c s="42"/>
      <c s="42"/>
      <c s="42"/>
      <c s="42"/>
      <c s="42"/>
    </row>
    <row r="398" spans="1:23" ht="15.75">
      <c r="A398" s="42"/>
      <c s="174">
        <f t="shared" si="0"/>
        <v>45588</v>
      </c>
      <c s="176"/>
      <c s="176"/>
      <c s="176"/>
      <c s="176"/>
      <c s="176" t="str">
        <v/>
      </c>
      <c s="176"/>
      <c s="176"/>
      <c s="183"/>
      <c r="L398" s="176"/>
      <c s="176"/>
      <c s="176"/>
      <c s="176"/>
      <c s="176"/>
      <c s="178" t="str">
        <v/>
      </c>
      <c s="42"/>
      <c s="42"/>
      <c s="42"/>
      <c s="42"/>
      <c s="42"/>
      <c s="42"/>
    </row>
    <row r="399" spans="1:23" ht="15.75">
      <c r="A399" s="42"/>
      <c s="179">
        <f t="shared" si="0"/>
        <v>45589</v>
      </c>
      <c s="181"/>
      <c s="181"/>
      <c s="181"/>
      <c s="181"/>
      <c s="181" t="str">
        <v/>
      </c>
      <c s="181"/>
      <c s="181"/>
      <c s="182"/>
      <c r="L399" s="181"/>
      <c s="181"/>
      <c s="181"/>
      <c s="181"/>
      <c s="181"/>
      <c s="178" t="str">
        <v/>
      </c>
      <c s="42"/>
      <c s="42"/>
      <c s="42"/>
      <c s="42"/>
      <c s="42"/>
      <c s="42"/>
    </row>
    <row r="400" spans="1:23" ht="15.75">
      <c r="A400" s="42"/>
      <c s="174">
        <f t="shared" si="0"/>
        <v>45590</v>
      </c>
      <c s="176"/>
      <c s="176"/>
      <c s="176"/>
      <c s="176"/>
      <c s="176" t="str">
        <v/>
      </c>
      <c s="176"/>
      <c s="176"/>
      <c s="183"/>
      <c r="L400" s="176"/>
      <c s="176"/>
      <c s="176"/>
      <c s="176"/>
      <c s="176"/>
      <c s="178" t="str">
        <v/>
      </c>
      <c s="42"/>
      <c s="42"/>
      <c s="42"/>
      <c s="42"/>
      <c s="42"/>
      <c s="42"/>
    </row>
    <row r="401" spans="1:23" ht="15.75">
      <c r="A401" s="42"/>
      <c s="179">
        <f t="shared" si="0"/>
        <v>45591</v>
      </c>
      <c s="181"/>
      <c s="181"/>
      <c s="181"/>
      <c s="181"/>
      <c s="181" t="str">
        <v/>
      </c>
      <c s="181"/>
      <c s="181"/>
      <c s="182"/>
      <c r="L401" s="181"/>
      <c s="181"/>
      <c s="181"/>
      <c s="181"/>
      <c s="181"/>
      <c s="178" t="str">
        <v/>
      </c>
      <c s="42"/>
      <c s="42"/>
      <c s="42"/>
      <c s="42"/>
      <c s="42"/>
      <c s="42"/>
    </row>
    <row r="402" spans="1:23" ht="15.75">
      <c r="A402" s="42"/>
      <c s="174">
        <f t="shared" si="0"/>
        <v>45592</v>
      </c>
      <c s="176"/>
      <c s="176"/>
      <c s="176"/>
      <c s="176"/>
      <c s="176" t="str">
        <v/>
      </c>
      <c s="176"/>
      <c s="176"/>
      <c s="183"/>
      <c r="L402" s="176"/>
      <c s="176"/>
      <c s="176"/>
      <c s="176"/>
      <c s="176"/>
      <c s="178" t="str">
        <v/>
      </c>
      <c s="42"/>
      <c s="42"/>
      <c s="42"/>
      <c s="42"/>
      <c s="42"/>
      <c s="42"/>
    </row>
    <row r="403" spans="1:23" ht="15.75">
      <c r="A403" s="42"/>
      <c s="190"/>
      <c s="190"/>
      <c s="190"/>
      <c s="190"/>
      <c s="190"/>
      <c s="190" t="str">
        <v/>
      </c>
      <c s="190"/>
      <c s="190"/>
      <c s="190"/>
      <c s="190"/>
      <c s="191"/>
      <c s="191"/>
      <c s="191"/>
      <c s="191"/>
      <c s="191"/>
      <c s="192" t="str">
        <v/>
      </c>
      <c s="42"/>
      <c s="42"/>
      <c s="42"/>
      <c s="42"/>
      <c s="42"/>
      <c s="42"/>
    </row>
    <row r="404" spans="1:23" ht="15.75">
      <c r="A404" s="42"/>
      <c s="42"/>
      <c s="42"/>
      <c s="42"/>
      <c s="42"/>
      <c s="42"/>
      <c s="42" t="str">
        <v/>
      </c>
      <c s="42"/>
      <c s="42"/>
      <c s="42"/>
      <c s="42"/>
      <c s="193"/>
      <c s="193"/>
      <c s="193"/>
      <c s="193"/>
      <c s="193"/>
      <c s="38" t="str">
        <v/>
      </c>
      <c s="42"/>
      <c s="42"/>
      <c s="42"/>
      <c s="42"/>
      <c s="42"/>
      <c s="42"/>
    </row>
  </sheetData>
  <mergeCells count="391">
    <mergeCell ref="M3:P4"/>
    <mergeCell ref="M5:P5"/>
    <mergeCell ref="M6:P6"/>
    <mergeCell ref="M7:P7"/>
    <mergeCell ref="G10:H10"/>
    <mergeCell ref="C12:D12"/>
    <mergeCell ref="G12:H12"/>
    <mergeCell ref="C17:D17"/>
    <mergeCell ref="G17:H17"/>
    <mergeCell ref="N17:O17"/>
    <mergeCell ref="J22:K22"/>
    <mergeCell ref="J23:K23"/>
    <mergeCell ref="J24:K24"/>
    <mergeCell ref="J25:K25"/>
    <mergeCell ref="J26:K26"/>
    <mergeCell ref="J27:K27"/>
    <mergeCell ref="J28:K28"/>
    <mergeCell ref="J29:K29"/>
    <mergeCell ref="J30:K30"/>
    <mergeCell ref="J31:K31"/>
    <mergeCell ref="J32:K32"/>
    <mergeCell ref="J33:K33"/>
    <mergeCell ref="J34:K34"/>
    <mergeCell ref="J35:K35"/>
    <mergeCell ref="J36:K36"/>
    <mergeCell ref="J37:K37"/>
    <mergeCell ref="J38:K38"/>
    <mergeCell ref="J39:K39"/>
    <mergeCell ref="J40:K40"/>
    <mergeCell ref="J41:K41"/>
    <mergeCell ref="J42:K42"/>
    <mergeCell ref="J43:K43"/>
    <mergeCell ref="J44:K44"/>
    <mergeCell ref="J45:K45"/>
    <mergeCell ref="J46:K46"/>
    <mergeCell ref="J47:K47"/>
    <mergeCell ref="J48:K48"/>
    <mergeCell ref="J49:K49"/>
    <mergeCell ref="J50:K50"/>
    <mergeCell ref="J51:K51"/>
    <mergeCell ref="J52:K52"/>
    <mergeCell ref="J53:K53"/>
    <mergeCell ref="J54:K54"/>
    <mergeCell ref="J55:K55"/>
    <mergeCell ref="J56:K56"/>
    <mergeCell ref="J57:K57"/>
    <mergeCell ref="J58:K58"/>
    <mergeCell ref="J59:K59"/>
    <mergeCell ref="J60:K60"/>
    <mergeCell ref="J61:K61"/>
    <mergeCell ref="J62:K62"/>
    <mergeCell ref="J63:K63"/>
    <mergeCell ref="J64:K64"/>
    <mergeCell ref="J65:K65"/>
    <mergeCell ref="J66:K66"/>
    <mergeCell ref="J67:K67"/>
    <mergeCell ref="J68:K68"/>
    <mergeCell ref="J69:K69"/>
    <mergeCell ref="J70:K70"/>
    <mergeCell ref="J71:K71"/>
    <mergeCell ref="J72:K72"/>
    <mergeCell ref="J73:K73"/>
    <mergeCell ref="J74:K74"/>
    <mergeCell ref="J75:K75"/>
    <mergeCell ref="J76:K76"/>
    <mergeCell ref="J77:K77"/>
    <mergeCell ref="J78:K78"/>
    <mergeCell ref="J79:K79"/>
    <mergeCell ref="J80:K80"/>
    <mergeCell ref="J81:K81"/>
    <mergeCell ref="J82:K82"/>
    <mergeCell ref="J83:K83"/>
    <mergeCell ref="J84:K84"/>
    <mergeCell ref="J85:K85"/>
    <mergeCell ref="J86:K86"/>
    <mergeCell ref="J87:K87"/>
    <mergeCell ref="J88:K88"/>
    <mergeCell ref="J89:K89"/>
    <mergeCell ref="J90:K90"/>
    <mergeCell ref="J91:K91"/>
    <mergeCell ref="J92:K92"/>
    <mergeCell ref="J93:K93"/>
    <mergeCell ref="J94:K94"/>
    <mergeCell ref="J95:K95"/>
    <mergeCell ref="J96:K96"/>
    <mergeCell ref="J97:K97"/>
    <mergeCell ref="J98:K98"/>
    <mergeCell ref="J99:K99"/>
    <mergeCell ref="J100:K100"/>
    <mergeCell ref="J101:K101"/>
    <mergeCell ref="J102:K102"/>
    <mergeCell ref="J103:K103"/>
    <mergeCell ref="J104:K104"/>
    <mergeCell ref="J105:K105"/>
    <mergeCell ref="J106:K106"/>
    <mergeCell ref="J107:K107"/>
    <mergeCell ref="J108:K108"/>
    <mergeCell ref="J109:K109"/>
    <mergeCell ref="J110:K110"/>
    <mergeCell ref="J111:K111"/>
    <mergeCell ref="J112:K112"/>
    <mergeCell ref="J113:K113"/>
    <mergeCell ref="J114:K114"/>
    <mergeCell ref="J115:K115"/>
    <mergeCell ref="J116:K116"/>
    <mergeCell ref="J117:K117"/>
    <mergeCell ref="J118:K118"/>
    <mergeCell ref="J119:K119"/>
    <mergeCell ref="J120:K120"/>
    <mergeCell ref="J121:K121"/>
    <mergeCell ref="J122:K122"/>
    <mergeCell ref="J123:K123"/>
    <mergeCell ref="J124:K124"/>
    <mergeCell ref="J125:K125"/>
    <mergeCell ref="J126:K126"/>
    <mergeCell ref="J127:K127"/>
    <mergeCell ref="J128:K128"/>
    <mergeCell ref="J129:K129"/>
    <mergeCell ref="J130:K130"/>
    <mergeCell ref="J131:K131"/>
    <mergeCell ref="J132:K132"/>
    <mergeCell ref="J133:K133"/>
    <mergeCell ref="J134:K134"/>
    <mergeCell ref="J135:K135"/>
    <mergeCell ref="J136:K136"/>
    <mergeCell ref="J137:K137"/>
    <mergeCell ref="J138:K138"/>
    <mergeCell ref="J139:K139"/>
    <mergeCell ref="J140:K140"/>
    <mergeCell ref="J141:K141"/>
    <mergeCell ref="J142:K142"/>
    <mergeCell ref="J143:K143"/>
    <mergeCell ref="J144:K144"/>
    <mergeCell ref="J145:K145"/>
    <mergeCell ref="J146:K146"/>
    <mergeCell ref="J147:K147"/>
    <mergeCell ref="J148:K148"/>
    <mergeCell ref="J149:K149"/>
    <mergeCell ref="J150:K150"/>
    <mergeCell ref="J151:K151"/>
    <mergeCell ref="J152:K152"/>
    <mergeCell ref="J153:K153"/>
    <mergeCell ref="J154:K154"/>
    <mergeCell ref="J155:K155"/>
    <mergeCell ref="J156:K156"/>
    <mergeCell ref="J157:K157"/>
    <mergeCell ref="J158:K158"/>
    <mergeCell ref="J159:K159"/>
    <mergeCell ref="J160:K160"/>
    <mergeCell ref="J161:K161"/>
    <mergeCell ref="J162:K162"/>
    <mergeCell ref="J163:K163"/>
    <mergeCell ref="J164:K164"/>
    <mergeCell ref="J165:K165"/>
    <mergeCell ref="J166:K166"/>
    <mergeCell ref="J167:K167"/>
    <mergeCell ref="J168:K168"/>
    <mergeCell ref="J169:K169"/>
    <mergeCell ref="J170:K170"/>
    <mergeCell ref="J171:K171"/>
    <mergeCell ref="J172:K172"/>
    <mergeCell ref="J173:K173"/>
    <mergeCell ref="J174:K174"/>
    <mergeCell ref="J175:K175"/>
    <mergeCell ref="J176:K176"/>
    <mergeCell ref="J177:K177"/>
    <mergeCell ref="J178:K178"/>
    <mergeCell ref="J179:K179"/>
    <mergeCell ref="J180:K180"/>
    <mergeCell ref="J181:K181"/>
    <mergeCell ref="J182:K182"/>
    <mergeCell ref="J183:K183"/>
    <mergeCell ref="J184:K184"/>
    <mergeCell ref="J185:K185"/>
    <mergeCell ref="J186:K186"/>
    <mergeCell ref="J187:K187"/>
    <mergeCell ref="J188:K188"/>
    <mergeCell ref="J189:K189"/>
    <mergeCell ref="J190:K190"/>
    <mergeCell ref="J191:K191"/>
    <mergeCell ref="J192:K192"/>
    <mergeCell ref="J193:K193"/>
    <mergeCell ref="J194:K194"/>
    <mergeCell ref="J195:K195"/>
    <mergeCell ref="J196:K196"/>
    <mergeCell ref="J197:K197"/>
    <mergeCell ref="J198:K198"/>
    <mergeCell ref="J199:K199"/>
    <mergeCell ref="J200:K200"/>
    <mergeCell ref="J201:K201"/>
    <mergeCell ref="J202:K202"/>
    <mergeCell ref="J203:K203"/>
    <mergeCell ref="J204:K204"/>
    <mergeCell ref="J205:K205"/>
    <mergeCell ref="J206:K206"/>
    <mergeCell ref="J207:K207"/>
    <mergeCell ref="J208:K208"/>
    <mergeCell ref="J209:K209"/>
    <mergeCell ref="J210:K210"/>
    <mergeCell ref="J211:K211"/>
    <mergeCell ref="J212:K212"/>
    <mergeCell ref="J213:K213"/>
    <mergeCell ref="J214:K214"/>
    <mergeCell ref="J215:K215"/>
    <mergeCell ref="J216:K216"/>
    <mergeCell ref="J217:K217"/>
    <mergeCell ref="J218:K218"/>
    <mergeCell ref="J219:K219"/>
    <mergeCell ref="J220:K220"/>
    <mergeCell ref="J221:K221"/>
    <mergeCell ref="J222:K222"/>
    <mergeCell ref="J223:K223"/>
    <mergeCell ref="J224:K224"/>
    <mergeCell ref="J225:K225"/>
    <mergeCell ref="J226:K226"/>
    <mergeCell ref="J227:K227"/>
    <mergeCell ref="J228:K228"/>
    <mergeCell ref="J229:K229"/>
    <mergeCell ref="J230:K230"/>
    <mergeCell ref="J231:K231"/>
    <mergeCell ref="J232:K232"/>
    <mergeCell ref="J233:K233"/>
    <mergeCell ref="J234:K234"/>
    <mergeCell ref="J235:K235"/>
    <mergeCell ref="J236:K236"/>
    <mergeCell ref="J237:K237"/>
    <mergeCell ref="J238:K238"/>
    <mergeCell ref="J239:K239"/>
    <mergeCell ref="J240:K240"/>
    <mergeCell ref="J241:K241"/>
    <mergeCell ref="J242:K242"/>
    <mergeCell ref="J243:K243"/>
    <mergeCell ref="J244:K244"/>
    <mergeCell ref="J245:K245"/>
    <mergeCell ref="J246:K246"/>
    <mergeCell ref="J247:K247"/>
    <mergeCell ref="J248:K248"/>
    <mergeCell ref="J249:K249"/>
    <mergeCell ref="J250:K250"/>
    <mergeCell ref="J251:K251"/>
    <mergeCell ref="J252:K252"/>
    <mergeCell ref="J253:K253"/>
    <mergeCell ref="J254:K254"/>
    <mergeCell ref="J255:K255"/>
    <mergeCell ref="J256:K256"/>
    <mergeCell ref="J257:K257"/>
    <mergeCell ref="J258:K258"/>
    <mergeCell ref="J259:K259"/>
    <mergeCell ref="J260:K260"/>
    <mergeCell ref="J261:K261"/>
    <mergeCell ref="J262:K262"/>
    <mergeCell ref="J263:K263"/>
    <mergeCell ref="J264:K264"/>
    <mergeCell ref="J265:K265"/>
    <mergeCell ref="J266:K266"/>
    <mergeCell ref="J267:K267"/>
    <mergeCell ref="J268:K268"/>
    <mergeCell ref="J269:K269"/>
    <mergeCell ref="J270:K270"/>
    <mergeCell ref="J271:K271"/>
    <mergeCell ref="J272:K272"/>
    <mergeCell ref="J273:K273"/>
    <mergeCell ref="J274:K274"/>
    <mergeCell ref="J275:K275"/>
    <mergeCell ref="J276:K276"/>
    <mergeCell ref="J277:K277"/>
    <mergeCell ref="J278:K278"/>
    <mergeCell ref="J279:K279"/>
    <mergeCell ref="J280:K280"/>
    <mergeCell ref="J281:K281"/>
    <mergeCell ref="J282:K282"/>
    <mergeCell ref="J283:K283"/>
    <mergeCell ref="J284:K284"/>
    <mergeCell ref="J285:K285"/>
    <mergeCell ref="J286:K286"/>
    <mergeCell ref="J287:K287"/>
    <mergeCell ref="J288:K288"/>
    <mergeCell ref="J289:K289"/>
    <mergeCell ref="J290:K290"/>
    <mergeCell ref="J291:K291"/>
    <mergeCell ref="J292:K292"/>
    <mergeCell ref="J293:K293"/>
    <mergeCell ref="J294:K294"/>
    <mergeCell ref="J295:K295"/>
    <mergeCell ref="J296:K296"/>
    <mergeCell ref="J297:K297"/>
    <mergeCell ref="J298:K298"/>
    <mergeCell ref="J299:K299"/>
    <mergeCell ref="J300:K300"/>
    <mergeCell ref="J301:K301"/>
    <mergeCell ref="J302:K302"/>
    <mergeCell ref="J303:K303"/>
    <mergeCell ref="J304:K304"/>
    <mergeCell ref="J305:K305"/>
    <mergeCell ref="J355:K355"/>
    <mergeCell ref="J356:K356"/>
    <mergeCell ref="J357:K357"/>
    <mergeCell ref="J358:K358"/>
    <mergeCell ref="J359:K359"/>
    <mergeCell ref="J360:K360"/>
    <mergeCell ref="J361:K361"/>
    <mergeCell ref="J362:K362"/>
    <mergeCell ref="J363:K363"/>
    <mergeCell ref="J364:K364"/>
    <mergeCell ref="J365:K365"/>
    <mergeCell ref="J366:K366"/>
    <mergeCell ref="J367:K367"/>
    <mergeCell ref="J368:K368"/>
    <mergeCell ref="J369:K369"/>
    <mergeCell ref="J370:K370"/>
    <mergeCell ref="J371:K371"/>
    <mergeCell ref="J372:K372"/>
    <mergeCell ref="J373:K373"/>
    <mergeCell ref="J374:K374"/>
    <mergeCell ref="J375:K375"/>
    <mergeCell ref="J376:K376"/>
    <mergeCell ref="J377:K377"/>
    <mergeCell ref="J378:K378"/>
    <mergeCell ref="J379:K379"/>
    <mergeCell ref="J380:K380"/>
    <mergeCell ref="J381:K381"/>
    <mergeCell ref="J382:K382"/>
    <mergeCell ref="J383:K383"/>
    <mergeCell ref="J384:K384"/>
    <mergeCell ref="J385:K385"/>
    <mergeCell ref="J386:K386"/>
    <mergeCell ref="J387:K387"/>
    <mergeCell ref="J388:K388"/>
    <mergeCell ref="J389:K389"/>
    <mergeCell ref="J397:K397"/>
    <mergeCell ref="J398:K398"/>
    <mergeCell ref="J399:K399"/>
    <mergeCell ref="J400:K400"/>
    <mergeCell ref="J401:K401"/>
    <mergeCell ref="J402:K402"/>
    <mergeCell ref="J390:K390"/>
    <mergeCell ref="J391:K391"/>
    <mergeCell ref="J392:K392"/>
    <mergeCell ref="J393:K393"/>
    <mergeCell ref="J394:K394"/>
    <mergeCell ref="J395:K395"/>
    <mergeCell ref="J396:K396"/>
    <mergeCell ref="J306:K306"/>
    <mergeCell ref="J307:K307"/>
    <mergeCell ref="J308:K308"/>
    <mergeCell ref="J309:K309"/>
    <mergeCell ref="J310:K310"/>
    <mergeCell ref="J311:K311"/>
    <mergeCell ref="J312:K312"/>
    <mergeCell ref="J313:K313"/>
    <mergeCell ref="J314:K314"/>
    <mergeCell ref="J315:K315"/>
    <mergeCell ref="J316:K316"/>
    <mergeCell ref="J317:K317"/>
    <mergeCell ref="J318:K318"/>
    <mergeCell ref="J319:K319"/>
    <mergeCell ref="J320:K320"/>
    <mergeCell ref="J321:K321"/>
    <mergeCell ref="J322:K322"/>
    <mergeCell ref="J323:K323"/>
    <mergeCell ref="J324:K324"/>
    <mergeCell ref="J325:K325"/>
    <mergeCell ref="J326:K326"/>
    <mergeCell ref="J327:K327"/>
    <mergeCell ref="J328:K328"/>
    <mergeCell ref="J329:K329"/>
    <mergeCell ref="J330:K330"/>
    <mergeCell ref="J331:K331"/>
    <mergeCell ref="J332:K332"/>
    <mergeCell ref="J333:K333"/>
    <mergeCell ref="J334:K334"/>
    <mergeCell ref="J335:K335"/>
    <mergeCell ref="J336:K336"/>
    <mergeCell ref="J337:K337"/>
    <mergeCell ref="J338:K338"/>
    <mergeCell ref="J339:K339"/>
    <mergeCell ref="J340:K340"/>
    <mergeCell ref="J341:K341"/>
    <mergeCell ref="J342:K342"/>
    <mergeCell ref="J343:K343"/>
    <mergeCell ref="J344:K344"/>
    <mergeCell ref="J345:K345"/>
    <mergeCell ref="J346:K346"/>
    <mergeCell ref="J347:K347"/>
    <mergeCell ref="J348:K348"/>
    <mergeCell ref="J349:K349"/>
    <mergeCell ref="J350:K350"/>
    <mergeCell ref="J351:K351"/>
    <mergeCell ref="J352:K352"/>
    <mergeCell ref="J353:K353"/>
    <mergeCell ref="J354:K354"/>
  </mergeCells>
  <conditionalFormatting sqref="B22:P402">
    <cfRule type="expression" priority="1" dxfId="7">
      <formula>$B22=TODAY()</formula>
    </cfRule>
  </conditionalFormatting>
  <conditionalFormatting sqref="B22:P402">
    <cfRule type="expression" priority="2" dxfId="7">
      <formula>$B22=TODAY()</formula>
    </cfRule>
  </conditionalFormatting>
  <pageMargins left="0.75" right="0.75" top="1" bottom="1" header="0.5" footer="0.5"/>
  <pageSetup orientation="portrait"/>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mx="http://schemas.microsoft.com/office/mac/excel/2008/main" xmlns:mv="urn:schemas-microsoft-com:mac:vml" xmlns:x15="http://schemas.microsoft.com/office/spreadsheetml/2010/11/main" xmlns:x14ac="http://schemas.microsoft.com/office/spreadsheetml/2009/9/ac">
  <sheetPr>
    <outlinePr summaryBelow="0" summaryRight="0"/>
  </sheetPr>
  <dimension ref="A1:AH300"/>
  <sheetViews>
    <sheetView showGridLines="0" workbookViewId="0" topLeftCell="A1"/>
  </sheetViews>
  <sheetFormatPr defaultColWidth="12.6342857142857" defaultRowHeight="15.75" customHeight="1"/>
  <cols>
    <col min="1" max="1" width="4.42857142857143" customWidth="1"/>
    <col min="2" max="2" width="4.57142857142857" customWidth="1"/>
    <col min="3" max="3" width="3.28571428571429" customWidth="1"/>
    <col min="4" max="5" width="4.57142857142857" customWidth="1"/>
    <col min="6" max="6" width="5.28571428571429" customWidth="1"/>
    <col min="7" max="7" width="11" customWidth="1"/>
    <col min="8" max="8" width="10" customWidth="1"/>
    <col min="9" max="9" width="12.1428571428571" customWidth="1"/>
    <col min="10" max="18" width="10" customWidth="1"/>
    <col min="20" max="20" width="29.1428571428571" hidden="1" customWidth="1"/>
    <col min="21" max="21" width="46.4285714285714" hidden="1" customWidth="1"/>
    <col min="22" max="22" width="12.5714285714286" hidden="1"/>
    <col min="23" max="23" width="18.4285714285714" hidden="1" customWidth="1"/>
    <col min="24" max="32" width="12.5714285714286" hidden="1"/>
  </cols>
  <sheetData>
    <row r="1" spans="1:34" ht="15.75">
      <c r="A1" s="42"/>
      <c s="42"/>
      <c s="42"/>
      <c s="42"/>
      <c s="42"/>
      <c s="42"/>
      <c s="42"/>
      <c s="42"/>
      <c s="42"/>
      <c s="42"/>
      <c s="42"/>
      <c s="42"/>
      <c s="42"/>
      <c s="42"/>
      <c s="42"/>
      <c s="42"/>
      <c s="42"/>
      <c s="42"/>
      <c s="42"/>
      <c s="42"/>
      <c s="42"/>
      <c s="42"/>
      <c s="42"/>
      <c s="42"/>
      <c s="42"/>
      <c s="42"/>
      <c s="42"/>
      <c s="42"/>
      <c s="42"/>
      <c s="42"/>
      <c s="42"/>
      <c s="42"/>
      <c s="42"/>
      <c s="42"/>
    </row>
    <row r="2" spans="1:34" ht="20.25" customHeight="1">
      <c r="A2" s="42"/>
      <c s="42"/>
      <c s="42"/>
      <c s="42"/>
      <c s="194" t="s">
        <v>295</v>
      </c>
      <c s="42"/>
      <c s="42"/>
      <c s="42"/>
      <c s="42"/>
      <c s="42"/>
      <c s="42"/>
      <c s="42"/>
      <c s="42"/>
      <c s="42"/>
      <c s="42"/>
      <c s="42"/>
      <c s="42"/>
      <c s="42"/>
      <c s="42"/>
      <c s="42"/>
      <c s="42"/>
      <c s="42"/>
      <c s="42"/>
      <c s="42"/>
      <c s="42"/>
      <c s="42"/>
      <c s="42"/>
      <c s="42"/>
      <c s="42"/>
      <c s="42"/>
      <c s="42"/>
      <c s="42"/>
      <c s="42"/>
      <c s="42"/>
    </row>
    <row r="3" spans="1:34" ht="12" customHeight="1">
      <c r="A3" s="42"/>
      <c s="42"/>
      <c s="42"/>
      <c s="42"/>
      <c s="195" t="s">
        <v>296</v>
      </c>
      <c s="42"/>
      <c s="42"/>
      <c s="42"/>
      <c s="42"/>
      <c s="42"/>
      <c s="42"/>
      <c s="42"/>
      <c s="42"/>
      <c s="42"/>
      <c s="42"/>
      <c s="42"/>
      <c s="42"/>
      <c s="42"/>
      <c s="42"/>
      <c s="42"/>
      <c s="42"/>
      <c s="42"/>
      <c s="42"/>
      <c s="42"/>
      <c s="42"/>
      <c s="42"/>
      <c s="42"/>
      <c s="42"/>
      <c s="42"/>
      <c s="42"/>
      <c s="42"/>
      <c s="42"/>
      <c s="42"/>
      <c s="42"/>
    </row>
    <row r="4" spans="1:34" ht="15" customHeight="1">
      <c r="A4" s="62"/>
      <c s="62"/>
      <c s="62"/>
      <c s="62"/>
      <c s="196"/>
      <c s="62"/>
      <c s="62"/>
      <c s="62"/>
      <c s="62"/>
      <c s="62"/>
      <c s="62"/>
      <c s="62"/>
      <c s="62"/>
      <c s="62"/>
      <c s="62"/>
      <c s="62"/>
      <c s="62"/>
      <c s="62"/>
      <c s="62"/>
      <c s="62"/>
      <c s="62"/>
      <c s="62"/>
      <c s="62"/>
      <c s="62"/>
      <c s="62"/>
      <c s="62"/>
      <c s="62"/>
      <c s="62"/>
      <c s="62"/>
      <c s="62"/>
      <c s="62"/>
      <c s="62"/>
      <c s="62"/>
      <c s="62"/>
    </row>
    <row r="5" spans="1:34" ht="15.75" thickBot="1">
      <c r="A5" s="63"/>
      <c s="63"/>
      <c s="63"/>
      <c s="65"/>
      <c s="63"/>
      <c s="63"/>
      <c s="63"/>
      <c s="63"/>
      <c s="63"/>
      <c s="63"/>
      <c s="63"/>
      <c s="63"/>
      <c s="63"/>
      <c s="63"/>
      <c s="63"/>
      <c s="63"/>
      <c s="63"/>
      <c s="63"/>
      <c s="63"/>
      <c s="63"/>
      <c s="63"/>
      <c s="63"/>
      <c s="63"/>
      <c s="63"/>
      <c s="63"/>
      <c s="63"/>
      <c s="63"/>
      <c s="63"/>
      <c s="63"/>
      <c s="63"/>
      <c s="63"/>
      <c s="63"/>
      <c s="63"/>
      <c s="63"/>
    </row>
    <row r="6" spans="1:34" ht="15.75">
      <c r="A6" s="63"/>
      <c s="63"/>
      <c s="63"/>
      <c s="63"/>
      <c s="63"/>
      <c s="6" t="s">
        <v>297</v>
      </c>
      <c s="197"/>
      <c s="197"/>
      <c s="197"/>
      <c s="197"/>
      <c s="197"/>
      <c s="197"/>
      <c s="197"/>
      <c s="197"/>
      <c s="197"/>
      <c s="197"/>
      <c s="197"/>
      <c s="197"/>
      <c s="63"/>
      <c s="63"/>
      <c s="63"/>
      <c s="63"/>
      <c s="63"/>
      <c s="63"/>
      <c s="63"/>
      <c s="63"/>
      <c s="63"/>
      <c s="63"/>
      <c s="63"/>
      <c s="63"/>
      <c s="63"/>
      <c s="63"/>
      <c s="63"/>
      <c s="63"/>
    </row>
    <row r="7" spans="1:34" ht="15.75">
      <c r="A7" s="63"/>
      <c s="63"/>
      <c s="63"/>
      <c s="63"/>
      <c s="63"/>
      <c s="8"/>
      <c s="197"/>
      <c s="197"/>
      <c s="197"/>
      <c s="197"/>
      <c s="197"/>
      <c s="198" t="s">
        <v>298</v>
      </c>
      <c s="197"/>
      <c s="197"/>
      <c s="197"/>
      <c s="197"/>
      <c s="197"/>
      <c s="197"/>
      <c s="63"/>
      <c s="63"/>
      <c s="63"/>
      <c s="63"/>
      <c s="63"/>
      <c s="63"/>
      <c s="63"/>
      <c s="63"/>
      <c s="63"/>
      <c s="63"/>
      <c s="63"/>
      <c s="63"/>
      <c s="63"/>
      <c s="63"/>
      <c s="63"/>
      <c s="63"/>
    </row>
    <row r="8" spans="1:34" ht="15.75">
      <c r="A8" s="63"/>
      <c s="199"/>
      <c s="199"/>
      <c s="199"/>
      <c s="200" t="s">
        <v>63</v>
      </c>
      <c s="201" t="s">
        <v>299</v>
      </c>
      <c s="202" t="s">
        <v>300</v>
      </c>
      <c s="202" t="s">
        <v>301</v>
      </c>
      <c s="202" t="s">
        <v>302</v>
      </c>
      <c s="202" t="s">
        <v>303</v>
      </c>
      <c s="202" t="s">
        <v>304</v>
      </c>
      <c s="202" t="s">
        <v>305</v>
      </c>
      <c s="202" t="s">
        <v>306</v>
      </c>
      <c s="202" t="s">
        <v>307</v>
      </c>
      <c s="202" t="s">
        <v>308</v>
      </c>
      <c s="202" t="s">
        <v>309</v>
      </c>
      <c s="202" t="s">
        <v>310</v>
      </c>
      <c s="202" t="s">
        <v>311</v>
      </c>
      <c s="63"/>
      <c s="63"/>
      <c s="63"/>
      <c s="63"/>
      <c s="63"/>
      <c s="63"/>
      <c s="63"/>
      <c s="63"/>
      <c s="63"/>
      <c s="63"/>
      <c s="63"/>
      <c s="63"/>
      <c s="63"/>
      <c s="63"/>
      <c s="63"/>
      <c s="63"/>
    </row>
    <row r="9" spans="1:34" ht="15.75">
      <c r="A9" s="63"/>
      <c s="199"/>
      <c s="199"/>
      <c s="199"/>
      <c r="F9" s="201">
        <v>10</v>
      </c>
      <c s="203">
        <v>1</v>
      </c>
      <c s="203">
        <v>0.95499999999999996</v>
      </c>
      <c s="203">
        <v>0.92200000000000004</v>
      </c>
      <c s="203">
        <v>0.89200000000000002</v>
      </c>
      <c s="203">
        <v>0.86299999999999999</v>
      </c>
      <c s="203">
        <v>0.83699999999999997</v>
      </c>
      <c s="203">
        <v>0.81100000000000005</v>
      </c>
      <c s="203">
        <v>0.78600000000000003</v>
      </c>
      <c s="203">
        <v>0.76200000000000001</v>
      </c>
      <c s="203">
        <v>0.73899999999999999</v>
      </c>
      <c s="203">
        <v>0.70699999999999996</v>
      </c>
      <c s="203">
        <v>0.68000000000000005</v>
      </c>
      <c s="63"/>
      <c s="63"/>
      <c s="63"/>
      <c s="63"/>
      <c s="63"/>
      <c s="63"/>
      <c s="63"/>
      <c s="63"/>
      <c s="63"/>
      <c s="63"/>
      <c s="63"/>
      <c s="63"/>
      <c s="63"/>
      <c s="63"/>
      <c s="63"/>
      <c s="63"/>
    </row>
    <row r="10" spans="1:34" ht="15.75">
      <c r="A10" s="63"/>
      <c s="199"/>
      <c s="199"/>
      <c s="199"/>
      <c r="F10" s="201">
        <v>9.5</v>
      </c>
      <c s="203">
        <v>0.97799999999999998</v>
      </c>
      <c s="203">
        <v>0.93899999999999995</v>
      </c>
      <c s="203">
        <v>0.90700000000000003</v>
      </c>
      <c s="203">
        <v>0.878</v>
      </c>
      <c s="203">
        <v>0.84999999999999998</v>
      </c>
      <c s="203">
        <v>0.82399999999999995</v>
      </c>
      <c s="203">
        <v>0.79900000000000004</v>
      </c>
      <c s="203">
        <v>0.77400000000000002</v>
      </c>
      <c s="203">
        <v>0.751</v>
      </c>
      <c s="203">
        <v>0.72299999999999998</v>
      </c>
      <c s="203">
        <v>0.69399999999999995</v>
      </c>
      <c s="203">
        <v>0.66700000000000004</v>
      </c>
      <c s="63"/>
      <c s="63"/>
      <c s="63"/>
      <c s="63"/>
      <c s="63"/>
      <c s="63"/>
      <c s="63"/>
      <c s="63"/>
      <c s="63"/>
      <c s="63"/>
      <c s="63"/>
      <c s="63"/>
      <c s="63"/>
      <c s="63"/>
      <c s="63"/>
      <c s="63"/>
    </row>
    <row r="11" spans="1:34" ht="15.75">
      <c r="A11" s="63"/>
      <c s="199"/>
      <c s="199"/>
      <c s="199"/>
      <c r="F11" s="201">
        <v>9</v>
      </c>
      <c s="203">
        <v>0.95499999999999996</v>
      </c>
      <c s="203">
        <v>0.92200000000000004</v>
      </c>
      <c s="203">
        <v>0.89200000000000002</v>
      </c>
      <c s="203">
        <v>0.86299999999999999</v>
      </c>
      <c s="203">
        <v>0.83699999999999997</v>
      </c>
      <c s="203">
        <v>0.81100000000000005</v>
      </c>
      <c s="203">
        <v>0.78600000000000003</v>
      </c>
      <c s="203">
        <v>0.76200000000000001</v>
      </c>
      <c s="203">
        <v>0.73899999999999999</v>
      </c>
      <c s="203">
        <v>0.70699999999999996</v>
      </c>
      <c s="203">
        <v>0.68000000000000005</v>
      </c>
      <c s="203">
        <v>0.65300000000000002</v>
      </c>
      <c s="63"/>
      <c s="63"/>
      <c s="63"/>
      <c s="63"/>
      <c s="63"/>
      <c s="63"/>
      <c s="63"/>
      <c s="63"/>
      <c s="63"/>
      <c s="63"/>
      <c s="63"/>
      <c s="63"/>
      <c s="63"/>
      <c s="63"/>
      <c s="63"/>
      <c s="63"/>
    </row>
    <row r="12" spans="1:34" ht="15.75">
      <c r="A12" s="63"/>
      <c s="199"/>
      <c s="199"/>
      <c s="199"/>
      <c r="F12" s="201">
        <v>8.5</v>
      </c>
      <c s="203">
        <v>0.93899999999999995</v>
      </c>
      <c s="203">
        <v>0.90700000000000003</v>
      </c>
      <c s="203">
        <v>0.878</v>
      </c>
      <c s="203">
        <v>0.84999999999999998</v>
      </c>
      <c s="203">
        <v>0.82399999999999995</v>
      </c>
      <c s="203">
        <v>0.79900000000000004</v>
      </c>
      <c s="203">
        <v>0.77400000000000002</v>
      </c>
      <c s="203">
        <v>0.751</v>
      </c>
      <c s="203">
        <v>0.72299999999999998</v>
      </c>
      <c s="203">
        <v>0.69399999999999995</v>
      </c>
      <c s="203">
        <v>0.66700000000000004</v>
      </c>
      <c s="203">
        <v>0.64000000000000001</v>
      </c>
      <c s="63"/>
      <c s="63"/>
      <c s="63"/>
      <c s="63"/>
      <c s="63"/>
      <c s="63"/>
      <c s="63"/>
      <c s="63"/>
      <c s="63"/>
      <c s="63"/>
      <c s="63"/>
      <c s="63"/>
      <c s="63"/>
      <c s="63"/>
      <c s="63"/>
      <c s="63"/>
    </row>
    <row r="13" spans="1:34" ht="15.75">
      <c r="A13" s="63"/>
      <c s="199"/>
      <c s="199"/>
      <c s="199"/>
      <c r="F13" s="201">
        <v>8</v>
      </c>
      <c s="203">
        <v>0.92200000000000004</v>
      </c>
      <c s="203">
        <v>0.89200000000000002</v>
      </c>
      <c s="203">
        <v>0.86299999999999999</v>
      </c>
      <c s="203">
        <v>0.83699999999999997</v>
      </c>
      <c s="203">
        <v>0.81100000000000005</v>
      </c>
      <c s="203">
        <v>0.78600000000000003</v>
      </c>
      <c s="203">
        <v>0.76200000000000001</v>
      </c>
      <c s="203">
        <v>0.73899999999999999</v>
      </c>
      <c s="203">
        <v>0.70699999999999996</v>
      </c>
      <c s="203">
        <v>0.68000000000000005</v>
      </c>
      <c s="203">
        <v>0.65300000000000002</v>
      </c>
      <c s="203">
        <v>0.626</v>
      </c>
      <c s="63"/>
      <c s="63"/>
      <c s="63"/>
      <c s="63"/>
      <c s="63"/>
      <c s="63"/>
      <c s="63"/>
      <c s="63"/>
      <c s="63"/>
      <c s="63"/>
      <c s="63"/>
      <c s="63"/>
      <c s="63"/>
      <c s="63"/>
      <c s="63"/>
      <c s="63"/>
    </row>
    <row r="14" spans="1:34" ht="15.75">
      <c r="A14" s="63"/>
      <c s="199"/>
      <c s="199"/>
      <c s="199"/>
      <c r="F14" s="201">
        <v>7.5</v>
      </c>
      <c s="203">
        <v>0.90700000000000003</v>
      </c>
      <c s="203">
        <v>0.878</v>
      </c>
      <c s="203">
        <v>0.84999999999999998</v>
      </c>
      <c s="203">
        <v>0.82399999999999995</v>
      </c>
      <c s="203">
        <v>0.79900000000000004</v>
      </c>
      <c s="203">
        <v>0.77400000000000002</v>
      </c>
      <c s="203">
        <v>0.751</v>
      </c>
      <c s="203">
        <v>0.72299999999999998</v>
      </c>
      <c s="203">
        <v>0.69399999999999995</v>
      </c>
      <c s="203">
        <v>0.66700000000000004</v>
      </c>
      <c s="203">
        <v>0.64000000000000001</v>
      </c>
      <c s="203">
        <v>0.61299999999999999</v>
      </c>
      <c s="63"/>
      <c s="63"/>
      <c s="63"/>
      <c s="63"/>
      <c s="63"/>
      <c s="63"/>
      <c s="63"/>
      <c s="63"/>
      <c s="63"/>
      <c s="63"/>
      <c s="63"/>
      <c s="63"/>
      <c s="63"/>
      <c s="63"/>
      <c s="63"/>
      <c s="63"/>
    </row>
    <row r="15" spans="1:34" ht="15.75">
      <c r="A15" s="63"/>
      <c s="199"/>
      <c s="199"/>
      <c s="199"/>
      <c r="F15" s="201">
        <v>7</v>
      </c>
      <c s="203">
        <v>0.89200000000000002</v>
      </c>
      <c s="203">
        <v>0.86299999999999999</v>
      </c>
      <c s="203">
        <v>0.83699999999999997</v>
      </c>
      <c s="203">
        <v>0.81100000000000005</v>
      </c>
      <c s="203">
        <v>0.78600000000000003</v>
      </c>
      <c s="203">
        <v>0.76200000000000001</v>
      </c>
      <c s="203">
        <v>0.73899999999999999</v>
      </c>
      <c s="203">
        <v>0.70699999999999996</v>
      </c>
      <c s="203">
        <v>0.68000000000000005</v>
      </c>
      <c s="203">
        <v>0.65300000000000002</v>
      </c>
      <c s="203">
        <v>0.626</v>
      </c>
      <c s="203">
        <v>0.59899999999999998</v>
      </c>
      <c s="63"/>
      <c s="63"/>
      <c s="63"/>
      <c s="63"/>
      <c s="63"/>
      <c s="63"/>
      <c s="63"/>
      <c s="63"/>
      <c s="63"/>
      <c s="63"/>
      <c s="63"/>
      <c s="63"/>
      <c s="63"/>
      <c s="63"/>
      <c s="63"/>
      <c s="63"/>
    </row>
    <row r="16" spans="1:34" ht="15.75">
      <c r="A16" s="63"/>
      <c s="199"/>
      <c s="199"/>
      <c s="199"/>
      <c r="F16" s="201">
        <v>6.5</v>
      </c>
      <c s="203">
        <v>0.878</v>
      </c>
      <c s="203">
        <v>0.84999999999999998</v>
      </c>
      <c s="203">
        <v>0.82399999999999995</v>
      </c>
      <c s="203">
        <v>0.79900000000000004</v>
      </c>
      <c s="203">
        <v>0.77400000000000002</v>
      </c>
      <c s="203">
        <v>0.751</v>
      </c>
      <c s="203">
        <v>0.72299999999999998</v>
      </c>
      <c s="203">
        <v>0.69399999999999995</v>
      </c>
      <c s="203">
        <v>0.66700000000000004</v>
      </c>
      <c s="203">
        <v>0.64000000000000001</v>
      </c>
      <c s="203">
        <v>0.61299999999999999</v>
      </c>
      <c s="203">
        <v>0.58599999999999997</v>
      </c>
      <c s="63"/>
      <c s="63"/>
      <c s="63"/>
      <c s="63"/>
      <c s="63"/>
      <c s="63"/>
      <c s="63"/>
      <c s="63"/>
      <c s="63"/>
      <c s="63"/>
      <c s="63"/>
      <c s="63"/>
      <c s="63"/>
      <c s="63"/>
      <c s="63"/>
      <c s="63"/>
    </row>
    <row r="17" spans="1:34" ht="15.75" thickBot="1">
      <c r="A17" s="63"/>
      <c s="63"/>
      <c s="63"/>
      <c s="63"/>
      <c s="63"/>
      <c s="204"/>
      <c s="205"/>
      <c s="205"/>
      <c s="205"/>
      <c s="205"/>
      <c s="205"/>
      <c s="205"/>
      <c s="205"/>
      <c s="205"/>
      <c s="205"/>
      <c s="205"/>
      <c s="205"/>
      <c s="205"/>
      <c s="63"/>
      <c s="63"/>
      <c s="63"/>
      <c s="63"/>
      <c s="63"/>
      <c s="63"/>
      <c s="63"/>
      <c s="63"/>
      <c s="63"/>
      <c s="63"/>
      <c s="63"/>
      <c s="63"/>
      <c s="63"/>
      <c s="63"/>
      <c s="63"/>
      <c s="63"/>
    </row>
    <row r="18" spans="1:34" ht="24" customHeight="1">
      <c r="A18" s="63"/>
      <c s="63"/>
      <c s="63"/>
      <c s="63"/>
      <c s="63"/>
      <c s="6" t="s">
        <v>312</v>
      </c>
      <c s="63"/>
      <c s="63"/>
      <c s="63"/>
      <c s="63"/>
      <c s="63"/>
      <c s="63"/>
      <c s="63"/>
      <c s="63"/>
      <c s="63"/>
      <c s="63"/>
      <c s="63"/>
      <c s="63"/>
      <c s="63"/>
      <c s="63"/>
      <c s="63"/>
      <c s="63"/>
      <c s="63"/>
      <c s="63"/>
      <c s="63"/>
      <c s="63"/>
      <c s="63"/>
      <c s="63"/>
      <c s="63"/>
      <c s="63"/>
      <c s="63"/>
      <c s="63"/>
      <c s="63"/>
      <c s="63"/>
    </row>
    <row r="19" spans="1:34" ht="15.75">
      <c r="A19" s="63"/>
      <c s="63"/>
      <c s="63"/>
      <c s="63"/>
      <c s="63"/>
      <c s="63"/>
      <c s="65"/>
      <c s="63"/>
      <c s="65"/>
      <c s="63"/>
      <c s="63"/>
      <c s="63"/>
      <c s="63"/>
      <c s="63"/>
      <c s="63"/>
      <c s="63"/>
      <c s="63"/>
      <c s="63"/>
      <c s="63"/>
      <c s="63"/>
      <c s="63"/>
      <c s="63"/>
      <c s="63"/>
      <c s="63"/>
      <c s="63"/>
      <c s="63"/>
      <c s="63"/>
      <c s="63"/>
      <c s="63"/>
      <c s="63"/>
      <c s="63"/>
      <c s="63"/>
      <c s="63"/>
      <c s="63"/>
    </row>
    <row r="20" spans="1:34" ht="15.75">
      <c r="A20" s="63"/>
      <c s="63"/>
      <c s="63"/>
      <c s="63"/>
      <c s="63"/>
      <c s="206" t="s">
        <v>313</v>
      </c>
      <c s="207"/>
      <c s="208" t="str">
        <f>Home!V6&amp;" L/day"</f>
        <v>3.5 - 7.5 L/day</v>
      </c>
      <c s="209"/>
      <c s="81"/>
      <c s="81"/>
      <c s="81"/>
      <c s="63"/>
      <c s="63"/>
      <c s="63"/>
      <c s="63"/>
      <c s="63"/>
      <c s="63"/>
      <c s="63"/>
      <c s="63"/>
      <c s="63"/>
      <c s="63"/>
      <c s="63"/>
      <c s="63"/>
      <c s="63"/>
      <c s="63"/>
      <c s="63"/>
      <c s="63"/>
      <c s="63"/>
      <c s="63"/>
      <c s="63"/>
      <c s="63"/>
      <c s="63"/>
      <c s="63"/>
    </row>
    <row r="21" spans="1:34" ht="15.75">
      <c r="A21" s="63"/>
      <c s="63"/>
      <c s="63"/>
      <c s="63"/>
      <c s="63"/>
      <c s="206" t="s">
        <v>314</v>
      </c>
      <c s="208"/>
      <c s="208" t="s">
        <v>315</v>
      </c>
      <c s="209"/>
      <c s="81"/>
      <c s="81"/>
      <c s="81"/>
      <c s="63"/>
      <c s="63"/>
      <c s="63"/>
      <c s="63"/>
      <c s="63"/>
      <c s="63"/>
      <c s="63"/>
      <c s="63"/>
      <c s="63"/>
      <c s="63"/>
      <c s="63"/>
      <c s="63"/>
      <c s="63"/>
      <c s="63"/>
      <c s="63"/>
      <c s="63"/>
      <c s="63"/>
      <c s="63"/>
      <c s="63"/>
      <c s="63"/>
      <c s="63"/>
      <c s="63"/>
    </row>
    <row r="22" spans="1:34" ht="15.75">
      <c r="A22" s="63"/>
      <c s="63"/>
      <c s="63"/>
      <c s="63"/>
      <c s="63"/>
      <c s="206" t="s">
        <v>316</v>
      </c>
      <c s="208"/>
      <c s="208" t="s">
        <v>317</v>
      </c>
      <c s="209"/>
      <c s="81"/>
      <c s="81"/>
      <c s="81"/>
      <c s="63"/>
      <c s="63"/>
      <c s="63"/>
      <c s="63"/>
      <c s="63"/>
      <c s="63"/>
      <c s="63"/>
      <c s="63"/>
      <c s="63"/>
      <c s="63"/>
      <c s="63"/>
      <c s="63"/>
      <c s="63"/>
      <c s="63"/>
      <c s="63"/>
      <c s="63"/>
      <c s="63"/>
      <c s="63"/>
      <c s="63"/>
      <c s="63"/>
      <c s="63"/>
      <c s="63"/>
    </row>
    <row r="23" spans="1:34" ht="15.75">
      <c r="A23" s="63"/>
      <c s="63"/>
      <c s="63"/>
      <c s="63"/>
      <c s="63"/>
      <c s="206" t="s">
        <v>318</v>
      </c>
      <c s="208"/>
      <c s="208" t="s">
        <v>319</v>
      </c>
      <c s="209"/>
      <c s="81"/>
      <c s="81"/>
      <c s="81"/>
      <c s="63"/>
      <c s="63"/>
      <c s="63"/>
      <c s="63"/>
      <c s="63"/>
      <c s="63"/>
      <c s="63"/>
      <c s="63"/>
      <c s="63"/>
      <c s="63"/>
      <c s="63"/>
      <c s="63"/>
      <c s="63"/>
      <c s="63"/>
      <c s="63"/>
      <c s="63"/>
      <c s="63"/>
      <c s="63"/>
      <c s="63"/>
      <c s="63"/>
      <c s="63"/>
      <c s="63"/>
    </row>
    <row r="24" spans="1:34" ht="15.75">
      <c r="A24" s="63"/>
      <c s="63"/>
      <c s="63"/>
      <c s="63"/>
      <c s="63"/>
      <c s="206" t="s">
        <v>320</v>
      </c>
      <c s="207"/>
      <c s="208" t="s">
        <v>321</v>
      </c>
      <c s="209"/>
      <c s="81"/>
      <c s="81"/>
      <c s="81"/>
      <c s="63"/>
      <c s="63"/>
      <c s="63"/>
      <c s="63"/>
      <c s="63"/>
      <c s="63"/>
      <c s="63"/>
      <c s="63"/>
      <c s="63"/>
      <c s="63"/>
      <c s="63"/>
      <c s="63"/>
      <c s="63"/>
      <c s="63"/>
      <c s="63"/>
      <c s="63"/>
      <c s="63"/>
      <c s="63"/>
      <c s="63"/>
      <c s="63"/>
      <c s="63"/>
      <c s="63"/>
    </row>
    <row r="25" spans="1:34" ht="15.75">
      <c r="A25" s="63"/>
      <c s="63"/>
      <c s="63"/>
      <c s="63"/>
      <c s="63"/>
      <c s="63"/>
      <c s="63"/>
      <c s="63"/>
      <c s="81"/>
      <c s="81"/>
      <c s="81"/>
      <c s="81"/>
      <c s="63"/>
      <c s="63"/>
      <c s="63"/>
      <c s="63"/>
      <c s="63"/>
      <c s="63"/>
      <c s="63"/>
      <c s="63"/>
      <c s="63"/>
      <c s="63"/>
      <c s="63"/>
      <c s="63"/>
      <c s="63"/>
      <c s="63"/>
      <c s="63"/>
      <c s="63"/>
      <c s="63"/>
      <c s="63"/>
      <c s="63"/>
      <c s="63"/>
      <c s="63"/>
      <c s="63"/>
    </row>
    <row r="26" spans="1:34" ht="15.75" hidden="1">
      <c r="A26" s="63"/>
      <c s="63"/>
      <c s="63"/>
      <c s="63"/>
      <c s="63"/>
      <c s="63"/>
      <c s="63"/>
      <c s="63"/>
      <c s="81"/>
      <c s="81"/>
      <c s="81"/>
      <c s="81"/>
      <c s="63"/>
      <c s="63"/>
      <c s="63"/>
      <c s="63"/>
      <c s="63"/>
      <c s="63"/>
      <c s="63"/>
      <c s="63"/>
      <c s="63"/>
      <c s="63"/>
      <c s="63"/>
      <c s="63"/>
      <c s="63"/>
      <c s="63"/>
      <c s="63"/>
      <c s="63"/>
      <c s="63"/>
      <c s="63"/>
      <c s="63"/>
      <c s="63"/>
      <c s="63"/>
      <c s="63"/>
    </row>
    <row r="27" spans="1:34" ht="15.75" hidden="1">
      <c r="A27" s="63"/>
      <c s="63"/>
      <c s="63"/>
      <c s="63"/>
      <c s="63"/>
      <c s="63"/>
      <c s="63"/>
      <c s="63"/>
      <c s="81"/>
      <c s="81"/>
      <c s="81"/>
      <c s="81"/>
      <c s="63"/>
      <c s="63"/>
      <c s="63"/>
      <c s="63"/>
      <c s="63"/>
      <c s="63"/>
      <c s="63"/>
      <c s="63"/>
      <c s="63"/>
      <c s="63"/>
      <c s="63"/>
      <c s="63"/>
      <c s="63"/>
      <c s="63"/>
      <c s="63"/>
      <c s="63"/>
      <c s="63"/>
      <c s="63"/>
      <c s="63"/>
      <c s="63"/>
      <c s="63"/>
      <c s="63"/>
    </row>
    <row r="28" spans="1:34" ht="15.75" hidden="1">
      <c r="A28" s="63"/>
      <c s="63"/>
      <c s="63"/>
      <c s="63"/>
      <c s="63"/>
      <c s="63"/>
      <c s="63"/>
      <c s="63"/>
      <c s="81"/>
      <c s="81"/>
      <c s="81"/>
      <c s="81"/>
      <c s="63"/>
      <c s="63"/>
      <c s="63"/>
      <c s="63"/>
      <c s="63"/>
      <c s="63"/>
      <c s="63"/>
      <c s="63"/>
      <c s="63"/>
      <c s="63"/>
      <c s="63"/>
      <c s="63"/>
      <c s="63"/>
      <c s="63"/>
      <c s="63"/>
      <c s="63"/>
      <c s="63"/>
      <c s="63"/>
      <c s="63"/>
      <c s="63"/>
      <c s="63"/>
      <c s="63"/>
    </row>
    <row r="29" spans="1:34" ht="15.75" hidden="1">
      <c r="A29" s="63"/>
      <c s="63"/>
      <c s="63"/>
      <c s="63"/>
      <c s="63"/>
      <c s="63"/>
      <c s="63"/>
      <c s="63"/>
      <c s="81"/>
      <c s="81"/>
      <c s="81"/>
      <c s="81"/>
      <c s="63"/>
      <c s="63"/>
      <c s="63"/>
      <c s="63"/>
      <c s="63"/>
      <c s="63"/>
      <c s="63"/>
      <c s="63"/>
      <c s="63"/>
      <c s="63"/>
      <c s="63"/>
      <c s="63"/>
      <c s="63"/>
      <c s="63"/>
      <c s="63"/>
      <c s="63"/>
      <c s="63"/>
      <c s="63"/>
      <c s="63"/>
      <c s="63"/>
      <c s="63"/>
      <c s="63"/>
    </row>
    <row r="30" spans="1:34" ht="15.75" thickBot="1">
      <c r="A30" s="63"/>
      <c s="63"/>
      <c s="63"/>
      <c s="63"/>
      <c s="63"/>
      <c s="63"/>
      <c s="63"/>
      <c s="63"/>
      <c s="63"/>
      <c s="63"/>
      <c s="63"/>
      <c s="63"/>
      <c s="63"/>
      <c s="63"/>
      <c s="63"/>
      <c s="63"/>
      <c s="63"/>
      <c s="63"/>
      <c s="63"/>
      <c s="63"/>
      <c s="63"/>
      <c s="63"/>
      <c s="63"/>
      <c s="63"/>
      <c s="63"/>
      <c s="63"/>
      <c s="63"/>
      <c s="63"/>
      <c s="63"/>
      <c s="63"/>
      <c s="63"/>
      <c s="63"/>
      <c s="63"/>
      <c s="63"/>
    </row>
    <row r="31" spans="1:34" ht="15.75">
      <c r="A31" s="63"/>
      <c s="63"/>
      <c s="63"/>
      <c s="63"/>
      <c s="63"/>
      <c s="6" t="s">
        <v>322</v>
      </c>
      <c s="65"/>
      <c s="63"/>
      <c s="63"/>
      <c s="63"/>
      <c s="63"/>
      <c s="63"/>
      <c s="63"/>
      <c s="6" t="s">
        <v>323</v>
      </c>
      <c s="63"/>
      <c s="63"/>
      <c s="63"/>
      <c s="63"/>
      <c s="210"/>
      <c s="63"/>
      <c s="63"/>
      <c s="63"/>
      <c s="63"/>
      <c s="63"/>
      <c s="63"/>
      <c s="63"/>
      <c s="63"/>
      <c s="63"/>
      <c s="63"/>
      <c s="63"/>
      <c s="63"/>
      <c s="63"/>
      <c s="63"/>
      <c s="63"/>
    </row>
    <row r="32" spans="1:34" ht="12" customHeight="1">
      <c r="A32" s="63"/>
      <c s="63"/>
      <c s="63"/>
      <c s="63"/>
      <c s="63"/>
      <c s="211"/>
      <c s="211"/>
      <c s="211"/>
      <c s="212"/>
      <c s="213"/>
      <c s="213"/>
      <c s="213"/>
      <c s="63"/>
      <c s="214"/>
      <c s="214"/>
      <c s="214"/>
      <c s="214"/>
      <c s="214"/>
      <c s="63"/>
      <c s="63"/>
      <c s="63"/>
      <c s="63"/>
      <c s="63"/>
      <c s="63"/>
      <c s="63"/>
      <c s="63"/>
      <c s="63"/>
      <c s="63"/>
      <c s="63"/>
      <c s="63"/>
      <c s="63"/>
      <c s="63"/>
      <c s="63"/>
      <c s="63"/>
    </row>
    <row r="33" spans="1:34" ht="19.5" customHeight="1">
      <c r="A33" s="63"/>
      <c s="63"/>
      <c s="63"/>
      <c s="63"/>
      <c s="63"/>
      <c s="215" t="s">
        <v>324</v>
      </c>
      <c r="I33" s="216" t="str">
        <f>TEXT(MROUND(IF(_uom="kgs",'Personal Info'!$L$30*2.20462,'Personal Info'!$L$30)*9,50),"0")&amp;" - "&amp;TEXT(MROUND(IF(_uom="kgs",'Personal Info'!$L$30*2.20462,'Personal Info'!$L$30)*36,50),"0")&amp;" IU"</f>
        <v>1600 - 6500 IU</v>
      </c>
      <c s="217" t="s">
        <v>325</v>
      </c>
      <c r="M33" s="63"/>
      <c s="218" t="s">
        <v>326</v>
      </c>
      <c r="S33" s="63"/>
      <c s="63"/>
      <c s="63"/>
      <c s="63"/>
      <c s="63"/>
      <c s="63"/>
      <c s="63"/>
      <c s="63"/>
      <c s="63"/>
      <c s="63"/>
      <c s="63"/>
      <c s="63"/>
      <c s="63"/>
      <c s="63"/>
      <c s="63"/>
      <c s="63"/>
    </row>
    <row r="34" spans="1:34" ht="19.5" customHeight="1">
      <c r="A34" s="63"/>
      <c s="63"/>
      <c s="63"/>
      <c s="63"/>
      <c s="63"/>
      <c s="219" t="s">
        <v>327</v>
      </c>
      <c r="I34" s="220" t="str">
        <f>TEXT(IF(_uom="kgs",'Personal Info'!$L$30*2.20462,'Personal Info'!$L$30)*0.02,"0.0")&amp;" g"</f>
        <v>3.6 g</v>
      </c>
      <c s="218" t="s">
        <v>328</v>
      </c>
      <c r="M34" s="63"/>
      <c s="218" t="s">
        <v>329</v>
      </c>
      <c r="S34" s="63"/>
      <c s="63"/>
      <c s="63"/>
      <c s="63"/>
      <c s="63"/>
      <c s="63"/>
      <c s="63"/>
      <c s="63"/>
      <c s="63"/>
      <c s="63"/>
      <c s="63"/>
      <c s="63"/>
      <c s="63"/>
      <c s="63"/>
      <c s="63"/>
      <c s="63"/>
    </row>
    <row r="35" spans="1:34" ht="19.5" customHeight="1">
      <c r="A35" s="63"/>
      <c s="63"/>
      <c s="63"/>
      <c s="63"/>
      <c s="63"/>
      <c s="219" t="s">
        <v>330</v>
      </c>
      <c r="I35" s="219" t="s">
        <v>331</v>
      </c>
      <c s="218" t="s">
        <v>332</v>
      </c>
      <c r="M35" s="63"/>
      <c s="218" t="s">
        <v>333</v>
      </c>
      <c r="S35" s="63"/>
      <c s="63"/>
      <c s="63"/>
      <c s="63"/>
      <c s="63"/>
      <c s="63"/>
      <c s="63"/>
      <c s="63"/>
      <c s="63"/>
      <c s="63"/>
      <c s="63"/>
      <c s="63"/>
      <c s="63"/>
      <c s="63"/>
      <c s="63"/>
      <c s="63"/>
    </row>
    <row r="36" spans="1:34" ht="19.5" customHeight="1">
      <c r="A36" s="63"/>
      <c s="63"/>
      <c s="63"/>
      <c s="63"/>
      <c s="63"/>
      <c s="219" t="s">
        <v>334</v>
      </c>
      <c r="I36" s="219" t="s">
        <v>335</v>
      </c>
      <c s="218" t="s">
        <v>336</v>
      </c>
      <c r="M36" s="63"/>
      <c s="218" t="s">
        <v>337</v>
      </c>
      <c r="S36" s="63"/>
      <c s="65"/>
      <c s="63"/>
      <c s="63"/>
      <c s="63"/>
      <c s="63"/>
      <c s="63"/>
      <c s="63"/>
      <c s="63"/>
      <c s="63"/>
      <c s="63"/>
      <c s="63"/>
      <c s="63"/>
      <c s="63"/>
      <c s="63"/>
      <c s="63"/>
    </row>
    <row r="37" spans="1:34" ht="19.5" customHeight="1">
      <c r="A37" s="63"/>
      <c s="63"/>
      <c s="63"/>
      <c s="63"/>
      <c s="63"/>
      <c s="219" t="s">
        <v>338</v>
      </c>
      <c r="I37" s="220" t="str">
        <f>TEXT(MROUND(IF(_uom="kgs",'Personal Info'!$L$30*2.20462,'Personal Info'!$L$30)*0.5,25),"0")&amp;" - "&amp;TEXT(MROUND(IF(_uom="kgs",'Personal Info'!$L$30*2.20462,'Personal Info'!$L$30)*1.4,25),"0")&amp;" mg"</f>
        <v>100 - 250 mg</v>
      </c>
      <c s="218" t="s">
        <v>339</v>
      </c>
      <c r="M37" s="63"/>
      <c s="218" t="s">
        <v>340</v>
      </c>
      <c r="S37" s="63"/>
      <c s="63"/>
      <c s="63"/>
      <c s="63"/>
      <c s="63"/>
      <c s="63"/>
      <c s="63"/>
      <c s="63"/>
      <c s="63"/>
      <c s="63"/>
      <c s="63"/>
      <c s="63"/>
      <c s="63"/>
      <c s="63"/>
      <c s="63"/>
      <c s="63"/>
    </row>
    <row r="38" spans="1:34" ht="19.5" customHeight="1">
      <c r="A38" s="63"/>
      <c s="63"/>
      <c s="63"/>
      <c s="63"/>
      <c s="63"/>
      <c s="219" t="s">
        <v>341</v>
      </c>
      <c r="I38" s="220" t="str">
        <f>TEXT(IF(_uom="kgs",'Personal Info'!$L$30*2.20462,'Personal Info'!$L$30)*0.02,"0.0")&amp;" g"</f>
        <v>3.6 g</v>
      </c>
      <c s="218" t="s">
        <v>342</v>
      </c>
      <c r="M38" s="63"/>
      <c s="218" t="s">
        <v>343</v>
      </c>
      <c r="S38" s="63"/>
      <c s="63"/>
      <c s="63"/>
      <c s="63"/>
      <c s="63"/>
      <c s="63"/>
      <c s="63"/>
      <c s="63"/>
      <c s="63"/>
      <c s="63"/>
      <c s="63"/>
      <c s="63"/>
      <c s="63"/>
      <c s="63"/>
      <c s="63"/>
      <c s="63"/>
    </row>
    <row r="39" spans="1:34" ht="19.5" customHeight="1">
      <c r="A39" s="63"/>
      <c s="63"/>
      <c s="63"/>
      <c s="63"/>
      <c s="63"/>
      <c s="219" t="s">
        <v>344</v>
      </c>
      <c r="I39" s="221" t="s">
        <v>345</v>
      </c>
      <c s="218" t="s">
        <v>346</v>
      </c>
      <c r="M39" s="63"/>
      <c s="81"/>
      <c s="81"/>
      <c s="81"/>
      <c s="81"/>
      <c s="81"/>
      <c s="63"/>
      <c s="63"/>
      <c s="63"/>
      <c s="63"/>
      <c s="63"/>
      <c s="63"/>
      <c s="63"/>
      <c s="63"/>
      <c s="63"/>
      <c s="63"/>
      <c s="63"/>
      <c s="63"/>
      <c s="63"/>
      <c s="63"/>
      <c s="63"/>
      <c s="63"/>
    </row>
    <row r="40" spans="1:34" ht="19.5" customHeight="1">
      <c r="A40" s="63"/>
      <c s="63"/>
      <c s="63"/>
      <c s="63"/>
      <c s="63"/>
      <c s="222"/>
      <c r="I40" s="222"/>
      <c s="214"/>
      <c r="M40" s="63"/>
      <c s="65"/>
      <c s="63"/>
      <c s="63"/>
      <c s="63"/>
      <c s="63"/>
      <c s="63"/>
      <c s="63"/>
      <c s="63"/>
      <c s="63"/>
      <c s="63"/>
      <c s="63"/>
      <c s="63"/>
      <c s="63"/>
      <c s="63"/>
      <c s="63"/>
      <c s="63"/>
      <c s="63"/>
      <c s="63"/>
      <c s="63"/>
      <c s="63"/>
      <c s="63"/>
    </row>
    <row r="41" spans="1:34" ht="15.75">
      <c r="A41" s="63"/>
      <c s="63"/>
      <c s="63"/>
      <c s="63"/>
      <c s="63"/>
      <c s="90"/>
      <c r="I41" s="90"/>
      <c s="223"/>
      <c r="M41" s="63"/>
      <c s="65"/>
      <c s="224"/>
      <c s="63"/>
      <c s="63"/>
      <c s="63"/>
      <c s="63"/>
      <c s="63"/>
      <c s="63"/>
      <c s="63"/>
      <c s="63"/>
      <c s="63"/>
      <c s="63"/>
      <c s="63"/>
      <c s="63"/>
      <c s="63"/>
      <c s="63"/>
      <c s="63"/>
      <c s="63"/>
      <c s="63"/>
      <c s="63"/>
      <c s="63"/>
    </row>
    <row r="42" spans="1:34" ht="15.75">
      <c r="A42" s="63"/>
      <c s="63"/>
      <c s="63"/>
      <c s="63"/>
      <c s="63"/>
      <c s="63"/>
      <c s="65"/>
      <c s="65"/>
      <c s="65"/>
      <c s="63"/>
      <c s="63"/>
      <c s="63"/>
      <c s="63"/>
      <c s="63"/>
      <c s="63"/>
      <c s="63"/>
      <c s="63"/>
      <c s="63"/>
      <c s="63"/>
      <c s="63"/>
      <c s="63"/>
      <c s="63"/>
      <c s="63"/>
      <c s="63"/>
      <c s="63"/>
      <c s="63"/>
      <c s="63"/>
      <c s="63"/>
      <c s="63"/>
      <c s="63"/>
      <c s="63"/>
      <c s="63"/>
      <c s="63"/>
      <c s="63"/>
    </row>
    <row r="43" spans="1:34" ht="15.75" thickBot="1">
      <c r="A43" s="63"/>
      <c s="63"/>
      <c s="63"/>
      <c s="63"/>
      <c s="63"/>
      <c s="104"/>
      <c s="63"/>
      <c s="63"/>
      <c s="63"/>
      <c s="63"/>
      <c s="63"/>
      <c s="63"/>
      <c s="63"/>
      <c s="63"/>
      <c s="63"/>
      <c s="63"/>
      <c s="63"/>
      <c s="63"/>
      <c s="63"/>
      <c s="225" t="s">
        <v>347</v>
      </c>
      <c s="225" t="s">
        <v>348</v>
      </c>
      <c s="225" t="s">
        <v>349</v>
      </c>
      <c s="225" t="s">
        <v>350</v>
      </c>
      <c s="225" t="s">
        <v>351</v>
      </c>
      <c s="63"/>
      <c s="63"/>
      <c s="63"/>
      <c s="63"/>
      <c s="63"/>
      <c s="65"/>
      <c s="65"/>
      <c s="65"/>
      <c s="63"/>
      <c s="63"/>
    </row>
    <row r="44" spans="1:34" ht="15.75">
      <c r="A44" s="63"/>
      <c s="63"/>
      <c s="63"/>
      <c s="63"/>
      <c s="63"/>
      <c s="6" t="s">
        <v>352</v>
      </c>
      <c s="63"/>
      <c s="63"/>
      <c s="63"/>
      <c s="65"/>
      <c s="63"/>
      <c s="63"/>
      <c s="63"/>
      <c s="6" t="s">
        <v>353</v>
      </c>
      <c s="63"/>
      <c s="63"/>
      <c s="63"/>
      <c s="63"/>
      <c s="63"/>
      <c s="226" t="s">
        <v>354</v>
      </c>
      <c s="225" t="s">
        <v>355</v>
      </c>
      <c s="225" t="s">
        <v>356</v>
      </c>
      <c s="225" t="s">
        <v>357</v>
      </c>
      <c s="225"/>
      <c s="63"/>
      <c s="65" t="s">
        <v>358</v>
      </c>
      <c s="65" t="s">
        <v>359</v>
      </c>
      <c s="65" t="s">
        <v>360</v>
      </c>
      <c s="65" t="s">
        <v>361</v>
      </c>
      <c s="65" t="s">
        <v>362</v>
      </c>
      <c s="65" t="s">
        <v>147</v>
      </c>
      <c s="65" t="s">
        <v>71</v>
      </c>
      <c s="63"/>
      <c s="63"/>
    </row>
    <row r="45" spans="1:34" ht="15.75">
      <c r="A45" s="63"/>
      <c s="63"/>
      <c s="63"/>
      <c s="63"/>
      <c s="63"/>
      <c s="211"/>
      <c s="63"/>
      <c s="63"/>
      <c s="63"/>
      <c s="65"/>
      <c s="63"/>
      <c s="63"/>
      <c s="227"/>
      <c s="228"/>
      <c s="63"/>
      <c s="63"/>
      <c s="63"/>
      <c s="63"/>
      <c s="63"/>
      <c s="225" t="s">
        <v>363</v>
      </c>
      <c s="225" t="s">
        <v>364</v>
      </c>
      <c s="225" t="s">
        <v>365</v>
      </c>
      <c s="225" t="s">
        <v>350</v>
      </c>
      <c s="225" t="s">
        <v>351</v>
      </c>
      <c s="63"/>
      <c s="63" t="str">
        <f ca="1">OFFSET($U$43,MATCH(VLOOKUP(1,$M$46:$N$131,2,FALSE),$U$43:$U300,0),-1,COUNTIF($U$43:$U300,VLOOKUP(1,$M$46:$N$131,2,FALSE)),1)</f>
        <v>SIT IN A HEATED CAR WHILE YOU DRIVE TO THE GYM</v>
      </c>
      <c s="63" t="str">
        <f ca="1">OFFSET($U$43,MATCH(VLOOKUP(2,$M$46:$N$131,2,FALSE),$U$43:$U300,0),-1,COUNTIF($U$43:$U300,VLOOKUP(2,$M$46:$N$131,2,FALSE)),1)</f>
        <v>BARBELL COMPLEX</v>
      </c>
      <c s="63" t="str">
        <f ca="1">OFFSET($U$43,MATCH(VLOOKUP(3,$M$46:$N$131,2,FALSE),$U$43:$U300,0),-1,COUNTIF($U$43:$U300,VLOOKUP(3,$M$46:$N$131,2,FALSE)),1)</f>
        <v>BOX JUMP/DEPTH DROP</v>
      </c>
      <c s="63" t="str">
        <f ca="1">OFFSET($U$43,MATCH(VLOOKUP(4,$M$46:$N$131,2,FALSE),$U$43:$U300,0),-1,COUNTIF($U$43:$U300,VLOOKUP(4,$M$46:$N$131,2,FALSE)),1)</f>
        <v>(IF BENCHING) BAND CIRCLES</v>
      </c>
      <c s="63" t="str">
        <f ca="1">OFFSET($U$42,MATCH(VLOOKUP(5,$M$46:$N$130,2,FALSE),$U$43:$U300,0),-1,COUNTIF($U$43:$U300,VLOOKUP(5,$M$46:$N$130,2,FALSE)),1)</f>
        <v>--</v>
      </c>
      <c s="63" t="str">
        <f ca="1">OFFSET($U$42,MATCH(VLOOKUP(6,$M$46:$N$130,2,FALSE),$U$43:$U300,0),-1,COUNTIF($U$43:$U300,VLOOKUP(6,$M$46:$N$130,2,FALSE)),1)</f>
        <v>--</v>
      </c>
      <c s="63" t="str">
        <f ca="1">OFFSET($U$42,MATCH(VLOOKUP(7,$M$46:$N$130,2,FALSE),$U$43:$U300,0),-1,COUNTIF($U$43:$U300,VLOOKUP(7,$M$46:$N$130,2,FALSE)),1)</f>
        <v>BARBELL WARMUP</v>
      </c>
      <c s="63"/>
      <c s="63"/>
    </row>
    <row r="46" spans="1:34" ht="15.75">
      <c r="A46" s="63"/>
      <c s="63"/>
      <c s="63"/>
      <c s="63"/>
      <c s="63"/>
      <c s="211" t="s">
        <v>366</v>
      </c>
      <c s="63"/>
      <c s="63"/>
      <c s="63"/>
      <c s="65"/>
      <c s="63"/>
      <c s="63"/>
      <c s="227">
        <v>1</v>
      </c>
      <c s="229" t="s">
        <v>364</v>
      </c>
      <c s="190"/>
      <c s="190"/>
      <c s="190"/>
      <c s="190"/>
      <c s="63"/>
      <c s="226" t="s">
        <v>367</v>
      </c>
      <c s="225" t="s">
        <v>364</v>
      </c>
      <c s="225" t="s">
        <v>365</v>
      </c>
      <c s="225" t="s">
        <v>368</v>
      </c>
      <c s="225"/>
      <c s="63"/>
      <c s="63" t="s">
        <v>369</v>
      </c>
      <c s="63" t="s">
        <v>370</v>
      </c>
      <c s="63" t="s">
        <v>371</v>
      </c>
      <c s="63" t="s">
        <v>372</v>
      </c>
      <c s="63" t="s">
        <v>373</v>
      </c>
      <c s="63" t="s">
        <v>374</v>
      </c>
      <c s="63"/>
      <c s="63"/>
      <c s="63"/>
    </row>
    <row r="47" spans="1:34" ht="19.5" customHeight="1">
      <c r="A47" s="63"/>
      <c s="63"/>
      <c s="63"/>
      <c s="63"/>
      <c s="63"/>
      <c s="230" t="s">
        <v>375</v>
      </c>
      <c r="M47" s="63"/>
      <c s="231" t="s">
        <v>376</v>
      </c>
      <c s="190"/>
      <c s="190"/>
      <c s="190"/>
      <c s="190"/>
      <c s="63"/>
      <c s="226" t="s">
        <v>369</v>
      </c>
      <c s="225" t="s">
        <v>364</v>
      </c>
      <c s="225" t="s">
        <v>365</v>
      </c>
      <c s="225" t="s">
        <v>377</v>
      </c>
      <c s="225"/>
      <c s="63"/>
      <c s="63" t="s">
        <v>378</v>
      </c>
      <c s="63" t="s">
        <v>379</v>
      </c>
      <c s="63" t="s">
        <v>380</v>
      </c>
      <c s="63" t="s">
        <v>381</v>
      </c>
      <c s="63" t="s">
        <v>382</v>
      </c>
      <c s="63" t="s">
        <v>383</v>
      </c>
      <c s="63"/>
      <c s="63"/>
      <c s="63"/>
    </row>
    <row r="48" spans="1:34" ht="19.5" customHeight="1">
      <c r="A48" s="63"/>
      <c s="63"/>
      <c s="63"/>
      <c s="63"/>
      <c s="63"/>
      <c r="M48" s="65"/>
      <c s="232" t="s">
        <v>378</v>
      </c>
      <c r="R48" s="233"/>
      <c s="63"/>
      <c s="226" t="s">
        <v>378</v>
      </c>
      <c s="225" t="s">
        <v>364</v>
      </c>
      <c s="225" t="s">
        <v>365</v>
      </c>
      <c s="225" t="s">
        <v>384</v>
      </c>
      <c s="225"/>
      <c s="63"/>
      <c s="63" t="s">
        <v>385</v>
      </c>
      <c s="63" t="s">
        <v>386</v>
      </c>
      <c s="63" t="s">
        <v>387</v>
      </c>
      <c s="63" t="s">
        <v>388</v>
      </c>
      <c s="63" t="s">
        <v>382</v>
      </c>
      <c s="63" t="s">
        <v>389</v>
      </c>
      <c s="63"/>
      <c s="63"/>
      <c s="63"/>
    </row>
    <row r="49" spans="1:34" ht="15.75">
      <c r="A49" s="63"/>
      <c s="63"/>
      <c s="63"/>
      <c s="63"/>
      <c s="63"/>
      <c r="M49" s="63"/>
      <c s="217" t="str">
        <f>VLOOKUP(N48,$T$44:$X300,4,FALSE)</f>
        <v>Training in a warm environment, within reason, decreases blood lactate and increases skeletal muscle force. It is also likely to lead to faster warmups and more ready joints and muscles.</v>
      </c>
      <c r="S49" s="63"/>
      <c s="226" t="s">
        <v>385</v>
      </c>
      <c s="225" t="s">
        <v>364</v>
      </c>
      <c s="225" t="s">
        <v>365</v>
      </c>
      <c s="225" t="s">
        <v>390</v>
      </c>
      <c s="225"/>
      <c s="63"/>
      <c s="63" t="s">
        <v>391</v>
      </c>
      <c s="63" t="s">
        <v>392</v>
      </c>
      <c s="63" t="s">
        <v>393</v>
      </c>
      <c s="63" t="s">
        <v>394</v>
      </c>
      <c s="63" t="s">
        <v>382</v>
      </c>
      <c s="63" t="s">
        <v>395</v>
      </c>
      <c s="63"/>
      <c s="63"/>
      <c s="63"/>
    </row>
    <row r="50" spans="1:34" ht="15.75">
      <c r="A50" s="63"/>
      <c s="63"/>
      <c s="63"/>
      <c s="63"/>
      <c s="63"/>
      <c r="M50" s="63"/>
      <c r="S50" s="63"/>
      <c s="226" t="s">
        <v>391</v>
      </c>
      <c s="225" t="s">
        <v>364</v>
      </c>
      <c s="225" t="s">
        <v>365</v>
      </c>
      <c s="225" t="s">
        <v>396</v>
      </c>
      <c s="225"/>
      <c s="63"/>
      <c s="63" t="s">
        <v>363</v>
      </c>
      <c s="63"/>
      <c s="63" t="s">
        <v>397</v>
      </c>
      <c s="63" t="s">
        <v>398</v>
      </c>
      <c s="63" t="s">
        <v>382</v>
      </c>
      <c s="63" t="s">
        <v>399</v>
      </c>
      <c s="63"/>
      <c s="63"/>
      <c s="63"/>
    </row>
    <row r="51" spans="1:34" ht="15.75" thickBot="1">
      <c r="A51" s="63"/>
      <c s="63"/>
      <c s="63"/>
      <c s="63"/>
      <c s="63"/>
      <c s="65"/>
      <c s="63"/>
      <c s="63"/>
      <c s="63"/>
      <c s="65"/>
      <c s="63"/>
      <c s="63"/>
      <c s="63"/>
      <c s="234"/>
      <c s="190"/>
      <c s="190"/>
      <c s="190"/>
      <c s="190"/>
      <c s="63"/>
      <c s="226" t="s">
        <v>363</v>
      </c>
      <c s="225" t="s">
        <v>400</v>
      </c>
      <c s="225" t="s">
        <v>401</v>
      </c>
      <c s="225" t="s">
        <v>350</v>
      </c>
      <c s="225" t="s">
        <v>351</v>
      </c>
      <c s="63"/>
      <c s="63"/>
      <c s="63"/>
      <c s="63" t="s">
        <v>363</v>
      </c>
      <c s="63" t="s">
        <v>402</v>
      </c>
      <c s="63" t="s">
        <v>403</v>
      </c>
      <c s="63" t="s">
        <v>404</v>
      </c>
      <c s="63"/>
      <c s="63"/>
      <c s="63"/>
    </row>
    <row r="52" spans="1:34" ht="15.75">
      <c r="A52" s="63"/>
      <c s="63"/>
      <c s="63"/>
      <c s="63"/>
      <c s="63"/>
      <c s="6" t="s">
        <v>405</v>
      </c>
      <c s="211"/>
      <c s="211"/>
      <c s="211"/>
      <c s="211"/>
      <c s="211"/>
      <c s="211"/>
      <c s="227">
        <v>2</v>
      </c>
      <c s="229" t="s">
        <v>406</v>
      </c>
      <c s="190"/>
      <c s="190"/>
      <c s="190"/>
      <c s="190"/>
      <c s="63"/>
      <c s="226" t="s">
        <v>373</v>
      </c>
      <c s="225" t="s">
        <v>400</v>
      </c>
      <c s="225" t="s">
        <v>407</v>
      </c>
      <c s="225" t="s">
        <v>350</v>
      </c>
      <c s="235" t="s">
        <v>408</v>
      </c>
      <c s="63"/>
      <c s="63"/>
      <c s="63"/>
      <c s="63"/>
      <c s="63" t="s">
        <v>409</v>
      </c>
      <c s="63" t="s">
        <v>410</v>
      </c>
      <c s="63" t="s">
        <v>411</v>
      </c>
      <c s="63"/>
      <c s="63"/>
      <c s="63"/>
    </row>
    <row r="53" spans="1:34" ht="15.75">
      <c r="A53" s="63"/>
      <c s="63"/>
      <c s="63"/>
      <c s="63"/>
      <c s="63"/>
      <c s="211"/>
      <c s="211"/>
      <c s="211"/>
      <c s="211"/>
      <c s="211"/>
      <c s="211"/>
      <c s="211"/>
      <c s="63"/>
      <c s="231" t="s">
        <v>412</v>
      </c>
      <c s="190"/>
      <c s="190"/>
      <c s="190"/>
      <c s="190"/>
      <c s="63"/>
      <c s="226" t="s">
        <v>382</v>
      </c>
      <c s="225" t="s">
        <v>400</v>
      </c>
      <c s="225" t="s">
        <v>401</v>
      </c>
      <c s="225" t="s">
        <v>350</v>
      </c>
      <c s="225" t="s">
        <v>351</v>
      </c>
      <c s="63"/>
      <c s="81"/>
      <c s="63"/>
      <c s="63"/>
      <c s="63" t="s">
        <v>363</v>
      </c>
      <c s="63"/>
      <c s="63" t="s">
        <v>413</v>
      </c>
      <c s="63"/>
      <c s="63"/>
      <c s="63"/>
    </row>
    <row r="54" spans="1:34" ht="15.75">
      <c r="A54" s="63"/>
      <c s="63"/>
      <c s="63"/>
      <c s="63"/>
      <c s="63"/>
      <c s="236" t="s">
        <v>414</v>
      </c>
      <c s="236"/>
      <c s="236"/>
      <c s="236"/>
      <c s="236"/>
      <c s="236"/>
      <c s="236"/>
      <c s="63"/>
      <c s="232" t="s">
        <v>415</v>
      </c>
      <c r="R54" s="237" t="str">
        <f>HYPERLINK(VLOOKUP(N54,$T$44:$X$116,5,FALSE),"WATCH VIDEO")</f>
        <v>WATCH VIDEO</v>
      </c>
      <c s="63"/>
      <c s="226" t="s">
        <v>382</v>
      </c>
      <c s="225" t="s">
        <v>400</v>
      </c>
      <c s="225" t="s">
        <v>401</v>
      </c>
      <c s="225" t="s">
        <v>350</v>
      </c>
      <c s="225" t="s">
        <v>351</v>
      </c>
      <c s="63"/>
      <c s="81"/>
      <c s="63"/>
      <c s="63"/>
      <c s="63"/>
      <c s="63"/>
      <c s="63" t="s">
        <v>416</v>
      </c>
      <c s="63"/>
      <c s="63"/>
      <c s="63"/>
    </row>
    <row r="55" spans="1:34" ht="15.75">
      <c r="A55" s="63"/>
      <c s="63"/>
      <c s="63"/>
      <c s="63"/>
      <c s="63"/>
      <c s="238" t="s">
        <v>417</v>
      </c>
      <c r="M55" s="63"/>
      <c s="217" t="str">
        <f>VLOOKUP(N54,$T$44:$X300,4,FALSE)</f>
        <v>Perform the following with an empty bar: 10x BB Row, 10x RDL, 10x Hang Clean, 10x OHP, 10x Good Morning, 10x Back Squat/Front Squat. May repeat for 1-2 cycles. Some variation of this is perfectly acceptable.</v>
      </c>
      <c r="S55" s="63"/>
      <c s="226" t="s">
        <v>382</v>
      </c>
      <c s="225" t="s">
        <v>400</v>
      </c>
      <c s="225" t="s">
        <v>401</v>
      </c>
      <c s="225" t="s">
        <v>350</v>
      </c>
      <c s="225" t="s">
        <v>351</v>
      </c>
      <c s="63"/>
      <c s="63"/>
      <c s="63"/>
      <c s="63"/>
      <c s="63"/>
      <c s="63"/>
      <c s="63" t="s">
        <v>418</v>
      </c>
      <c s="63"/>
      <c s="63"/>
      <c s="63"/>
    </row>
    <row r="56" spans="1:34" ht="15.75">
      <c r="A56" s="63"/>
      <c s="63"/>
      <c s="63"/>
      <c s="63"/>
      <c s="63"/>
      <c s="239" t="s">
        <v>419</v>
      </c>
      <c s="236"/>
      <c s="236"/>
      <c s="236"/>
      <c s="236"/>
      <c s="236"/>
      <c s="236"/>
      <c s="63"/>
      <c r="S56" s="63"/>
      <c s="226" t="s">
        <v>382</v>
      </c>
      <c s="225" t="s">
        <v>400</v>
      </c>
      <c s="225" t="s">
        <v>401</v>
      </c>
      <c s="225" t="s">
        <v>350</v>
      </c>
      <c s="225" t="s">
        <v>351</v>
      </c>
      <c s="63"/>
      <c s="63"/>
      <c s="63"/>
      <c s="63"/>
      <c s="63"/>
      <c s="63"/>
      <c s="63"/>
      <c s="63"/>
      <c s="63"/>
      <c s="63"/>
    </row>
    <row r="57" spans="1:34" ht="15.75">
      <c r="A57" s="63"/>
      <c s="63"/>
      <c s="63"/>
      <c s="63"/>
      <c s="63"/>
      <c s="239" t="s">
        <v>420</v>
      </c>
      <c s="236"/>
      <c s="236"/>
      <c s="236"/>
      <c s="236"/>
      <c s="236"/>
      <c s="236"/>
      <c s="63"/>
      <c s="234"/>
      <c s="190"/>
      <c s="190"/>
      <c s="190"/>
      <c s="190"/>
      <c s="63"/>
      <c s="226" t="s">
        <v>403</v>
      </c>
      <c s="225" t="s">
        <v>400</v>
      </c>
      <c s="225" t="s">
        <v>401</v>
      </c>
      <c s="225" t="s">
        <v>421</v>
      </c>
      <c s="235" t="s">
        <v>422</v>
      </c>
      <c s="63"/>
      <c s="63"/>
      <c s="63"/>
      <c s="63"/>
      <c s="63"/>
      <c s="63"/>
      <c s="63"/>
      <c s="63"/>
      <c s="63"/>
      <c s="63"/>
    </row>
    <row r="58" spans="1:34" ht="15.75">
      <c r="A58" s="63"/>
      <c s="63"/>
      <c s="63"/>
      <c s="63"/>
      <c s="63"/>
      <c s="236"/>
      <c s="236"/>
      <c s="236"/>
      <c s="236"/>
      <c s="236"/>
      <c s="236"/>
      <c s="236"/>
      <c s="227">
        <v>3</v>
      </c>
      <c s="229" t="s">
        <v>423</v>
      </c>
      <c s="190"/>
      <c s="190"/>
      <c s="190"/>
      <c s="190"/>
      <c s="63"/>
      <c s="226" t="s">
        <v>410</v>
      </c>
      <c s="225" t="s">
        <v>400</v>
      </c>
      <c s="225" t="s">
        <v>424</v>
      </c>
      <c s="225" t="s">
        <v>425</v>
      </c>
      <c s="235" t="s">
        <v>426</v>
      </c>
      <c s="63"/>
      <c s="63"/>
      <c s="63"/>
      <c s="63"/>
      <c s="63"/>
      <c s="63"/>
      <c s="63"/>
      <c s="63"/>
      <c s="63"/>
      <c s="63"/>
    </row>
    <row r="59" spans="1:34" ht="15.75">
      <c r="A59" s="63"/>
      <c s="63"/>
      <c s="63"/>
      <c s="63"/>
      <c s="63"/>
      <c s="236" t="s">
        <v>427</v>
      </c>
      <c s="236"/>
      <c s="236"/>
      <c s="236"/>
      <c s="236"/>
      <c s="236"/>
      <c s="236"/>
      <c s="63"/>
      <c s="231" t="s">
        <v>376</v>
      </c>
      <c s="190"/>
      <c s="190"/>
      <c s="190"/>
      <c s="190"/>
      <c s="63"/>
      <c s="240" t="s">
        <v>363</v>
      </c>
      <c s="240" t="s">
        <v>428</v>
      </c>
      <c s="240" t="s">
        <v>429</v>
      </c>
      <c s="240" t="s">
        <v>350</v>
      </c>
      <c s="240" t="s">
        <v>351</v>
      </c>
      <c s="63"/>
      <c s="63"/>
      <c s="63"/>
      <c s="63"/>
      <c s="63"/>
      <c s="63"/>
      <c s="63"/>
      <c s="63"/>
      <c s="63"/>
      <c s="63"/>
    </row>
    <row r="60" spans="1:34" ht="15.75">
      <c r="A60" s="63"/>
      <c s="63"/>
      <c s="63"/>
      <c s="63"/>
      <c s="63"/>
      <c s="241" t="s">
        <v>430</v>
      </c>
      <c r="M60" s="63"/>
      <c s="242" t="s">
        <v>380</v>
      </c>
      <c r="R60" s="243" t="str">
        <f>HYPERLINK(VLOOKUP(N60,$T$44:$X$116,5,FALSE),"WATCH VIDEO")</f>
        <v>WATCH VIDEO</v>
      </c>
      <c s="63"/>
      <c s="226" t="s">
        <v>374</v>
      </c>
      <c s="225" t="s">
        <v>428</v>
      </c>
      <c s="225" t="s">
        <v>168</v>
      </c>
      <c s="225" t="s">
        <v>431</v>
      </c>
      <c s="235" t="s">
        <v>432</v>
      </c>
      <c s="63"/>
      <c s="63"/>
      <c s="63"/>
      <c s="63"/>
      <c s="63"/>
      <c s="63"/>
      <c s="63"/>
      <c s="63"/>
      <c s="63"/>
      <c s="63"/>
    </row>
    <row r="61" spans="1:34" ht="15.75">
      <c r="A61" s="63"/>
      <c s="63"/>
      <c s="63"/>
      <c s="63"/>
      <c s="63"/>
      <c r="M61" s="63"/>
      <c s="217" t="str">
        <f>VLOOKUP(N60,$T$44:$X300,4,FALSE)</f>
        <v>Maintain a stacked spine with minimal flexion/extension and swing the leg front/back, aiming to keep the leg in a single plane. Avoid letting the low back arch. 5-10 swings. Then face a wall and swing the leg side to side, opening the hips in a dynamic fashion. 5-10 swings per side.</v>
      </c>
      <c r="S61" s="63"/>
      <c s="226" t="s">
        <v>383</v>
      </c>
      <c s="225" t="s">
        <v>428</v>
      </c>
      <c s="225" t="s">
        <v>433</v>
      </c>
      <c s="225" t="s">
        <v>434</v>
      </c>
      <c s="235" t="s">
        <v>435</v>
      </c>
      <c s="63"/>
      <c s="63"/>
      <c s="63"/>
      <c s="63"/>
      <c s="63"/>
      <c s="63"/>
      <c s="63"/>
      <c s="63"/>
      <c s="63"/>
      <c s="63"/>
    </row>
    <row r="62" spans="1:34" ht="15.75">
      <c r="A62" s="63"/>
      <c s="63"/>
      <c s="63"/>
      <c s="63"/>
      <c s="63"/>
      <c r="M62" s="63"/>
      <c r="S62" s="63"/>
      <c s="226" t="s">
        <v>389</v>
      </c>
      <c s="225" t="s">
        <v>428</v>
      </c>
      <c s="225" t="s">
        <v>433</v>
      </c>
      <c s="225" t="s">
        <v>436</v>
      </c>
      <c s="235" t="s">
        <v>437</v>
      </c>
      <c s="63"/>
      <c s="81"/>
      <c s="63"/>
      <c s="63"/>
      <c s="63"/>
      <c s="63"/>
      <c s="63"/>
      <c s="63"/>
      <c s="63"/>
      <c s="63"/>
    </row>
    <row r="63" spans="1:34" ht="15.75">
      <c r="A63" s="63"/>
      <c s="63"/>
      <c s="63"/>
      <c s="63"/>
      <c s="63"/>
      <c s="241"/>
      <c s="241"/>
      <c s="241"/>
      <c s="241"/>
      <c s="241"/>
      <c s="241"/>
      <c s="241"/>
      <c s="63"/>
      <c s="244"/>
      <c s="190"/>
      <c s="190"/>
      <c s="190"/>
      <c s="190"/>
      <c s="63"/>
      <c s="226" t="s">
        <v>395</v>
      </c>
      <c s="225" t="s">
        <v>428</v>
      </c>
      <c s="225" t="s">
        <v>429</v>
      </c>
      <c s="225" t="s">
        <v>438</v>
      </c>
      <c s="235" t="s">
        <v>439</v>
      </c>
      <c s="63"/>
      <c s="81"/>
      <c s="63"/>
      <c s="63"/>
      <c s="63"/>
      <c s="63"/>
      <c s="63"/>
      <c s="63"/>
      <c s="63"/>
      <c s="63"/>
    </row>
    <row r="64" spans="1:34" ht="15.75">
      <c r="A64" s="63"/>
      <c s="63"/>
      <c s="63"/>
      <c s="63"/>
      <c s="63"/>
      <c s="239" t="s">
        <v>440</v>
      </c>
      <c s="241"/>
      <c s="241"/>
      <c s="241"/>
      <c s="241"/>
      <c s="241"/>
      <c s="241"/>
      <c s="63"/>
      <c s="242" t="s">
        <v>441</v>
      </c>
      <c r="R64" s="243" t="str">
        <f>HYPERLINK(VLOOKUP(N64,$T$44:$X$116,5,FALSE),"WATCH VIDEO")</f>
        <v>WATCH VIDEO</v>
      </c>
      <c s="63"/>
      <c s="65" t="s">
        <v>399</v>
      </c>
      <c s="240" t="s">
        <v>428</v>
      </c>
      <c s="240" t="s">
        <v>442</v>
      </c>
      <c s="240" t="s">
        <v>443</v>
      </c>
      <c s="245" t="s">
        <v>444</v>
      </c>
      <c s="63"/>
      <c s="63"/>
      <c s="63"/>
      <c s="63"/>
      <c s="63"/>
      <c s="63"/>
      <c s="63"/>
      <c s="63"/>
      <c s="63"/>
      <c s="63"/>
    </row>
    <row r="65" spans="1:34" ht="15.75">
      <c r="A65" s="63"/>
      <c s="63"/>
      <c s="63"/>
      <c s="63"/>
      <c s="63"/>
      <c s="246" t="s">
        <v>445</v>
      </c>
      <c s="241"/>
      <c s="241"/>
      <c s="241"/>
      <c s="241"/>
      <c s="241"/>
      <c s="241"/>
      <c s="63"/>
      <c s="217" t="str">
        <f>VLOOKUP(N64,$T$44:$X300,4,FALSE)</f>
        <v>5-10x low height depth drop. Stop all motion within one second of landing. 5-10x box jump low height. Progressively land box jumps in lower and lower squat.</v>
      </c>
      <c r="S65" s="63"/>
      <c s="65" t="s">
        <v>404</v>
      </c>
      <c s="240" t="s">
        <v>428</v>
      </c>
      <c s="240" t="s">
        <v>446</v>
      </c>
      <c s="240" t="s">
        <v>447</v>
      </c>
      <c s="245" t="s">
        <v>448</v>
      </c>
      <c s="63"/>
      <c s="63"/>
      <c s="63"/>
      <c s="63"/>
      <c s="63"/>
      <c s="63"/>
      <c s="63"/>
      <c s="63"/>
      <c s="63"/>
      <c s="63"/>
    </row>
    <row r="66" spans="1:34" ht="15.75">
      <c r="A66" s="63"/>
      <c s="63"/>
      <c s="63"/>
      <c s="63"/>
      <c s="63"/>
      <c s="246" t="s">
        <v>449</v>
      </c>
      <c s="138"/>
      <c s="138"/>
      <c s="138"/>
      <c s="138"/>
      <c s="138"/>
      <c s="138"/>
      <c s="63"/>
      <c r="S66" s="63"/>
      <c s="65" t="s">
        <v>411</v>
      </c>
      <c s="240" t="s">
        <v>428</v>
      </c>
      <c s="240" t="s">
        <v>429</v>
      </c>
      <c s="240" t="s">
        <v>450</v>
      </c>
      <c s="245" t="s">
        <v>451</v>
      </c>
      <c s="63"/>
      <c s="63"/>
      <c s="63"/>
      <c s="63"/>
      <c s="63"/>
      <c s="63"/>
      <c s="63"/>
      <c s="63"/>
      <c s="63"/>
      <c s="63"/>
    </row>
    <row r="67" spans="1:34" ht="15.75">
      <c r="A67" s="63"/>
      <c s="63"/>
      <c s="63"/>
      <c s="63"/>
      <c s="63"/>
      <c s="246" t="s">
        <v>452</v>
      </c>
      <c s="138"/>
      <c s="138"/>
      <c s="138"/>
      <c s="138"/>
      <c s="138"/>
      <c s="138"/>
      <c s="63"/>
      <c s="234"/>
      <c s="190"/>
      <c s="190"/>
      <c s="190"/>
      <c s="190"/>
      <c s="63"/>
      <c s="226" t="s">
        <v>413</v>
      </c>
      <c s="225" t="s">
        <v>428</v>
      </c>
      <c s="225" t="s">
        <v>453</v>
      </c>
      <c s="225" t="s">
        <v>454</v>
      </c>
      <c s="235" t="s">
        <v>455</v>
      </c>
      <c s="63"/>
      <c s="63"/>
      <c s="63"/>
      <c s="63"/>
      <c s="63"/>
      <c s="63"/>
      <c s="63"/>
      <c s="63"/>
      <c s="63"/>
      <c s="63"/>
    </row>
    <row r="68" spans="1:34" ht="15.75">
      <c r="A68" s="63"/>
      <c s="63"/>
      <c s="63"/>
      <c s="63"/>
      <c s="63"/>
      <c s="239" t="s">
        <v>456</v>
      </c>
      <c s="138"/>
      <c s="138"/>
      <c s="138"/>
      <c s="138"/>
      <c s="138"/>
      <c s="138"/>
      <c s="63"/>
      <c s="242" t="s">
        <v>387</v>
      </c>
      <c r="R68" s="243" t="str">
        <f>HYPERLINK(VLOOKUP(N68,$T$44:$X$116,5,FALSE),"WATCH VIDEO")</f>
        <v>WATCH VIDEO</v>
      </c>
      <c s="63"/>
      <c s="240" t="s">
        <v>416</v>
      </c>
      <c s="240" t="s">
        <v>428</v>
      </c>
      <c s="240" t="s">
        <v>457</v>
      </c>
      <c s="240" t="s">
        <v>458</v>
      </c>
      <c s="240"/>
      <c s="63"/>
      <c s="63"/>
      <c s="63"/>
      <c s="63"/>
      <c s="63"/>
      <c s="63"/>
      <c s="63"/>
      <c s="63"/>
      <c s="63"/>
      <c s="63"/>
    </row>
    <row r="69" spans="1:34" ht="15.75">
      <c r="A69" s="63"/>
      <c s="63"/>
      <c s="63"/>
      <c s="63"/>
      <c s="63"/>
      <c s="247"/>
      <c s="138"/>
      <c s="138"/>
      <c s="138"/>
      <c s="138"/>
      <c s="138"/>
      <c s="138"/>
      <c s="63"/>
      <c s="217" t="str">
        <f>VLOOKUP(N68,$T$44:$X300,4,FALSE)</f>
        <v>From the quadruped position, retract the scapula, shrug and roll the shoulders in a circular motion 5-15 times. Then, bridge the thoracic spine and press the hips towards the shoulders. Then, arch the back and reach the shin toawrd the ceiling. Repeat 5x. Next, widen the knee support on the floor, tuck the pelvis and sit back into the hips, taking deep full breaths into your back and expanding your midsection. Repeat 3-5x. Returning to the quadruped position, drive the heel outward and upwards, activating the glutes. Perform 5-10x per side. Flip over on your back and lie down on the ground. Draw the knees upward and drive your heels down into the floor and press the hips up toward the ceiling. Contract the glutes. This may be performed single or double-leg, with your back on a bench as well. Repeat 5-10x. Finally, lie down on your back, keep the ankles together and the hands together and pointed toward the ceiling. Maintain a slightly elevated position with the legs and rock forward and backward, engaging the abs. The movement can be made easier or harder by changing the bend of the knees and location of the hands.</v>
      </c>
      <c r="S69" s="63"/>
      <c s="226" t="s">
        <v>418</v>
      </c>
      <c s="225" t="s">
        <v>428</v>
      </c>
      <c s="225" t="s">
        <v>168</v>
      </c>
      <c s="225" t="s">
        <v>459</v>
      </c>
      <c s="235" t="s">
        <v>460</v>
      </c>
      <c s="63"/>
      <c s="63"/>
      <c s="63"/>
      <c s="63"/>
      <c s="63"/>
      <c s="63"/>
      <c s="63"/>
      <c s="63"/>
      <c s="63"/>
      <c s="63"/>
    </row>
    <row r="70" spans="1:34" ht="15.75">
      <c r="A70" s="63"/>
      <c s="63"/>
      <c s="116"/>
      <c s="248"/>
      <c s="116"/>
      <c s="249"/>
      <c s="250"/>
      <c s="250"/>
      <c s="250"/>
      <c s="250"/>
      <c s="251"/>
      <c s="138"/>
      <c s="63"/>
      <c r="S70" s="63"/>
      <c s="226" t="s">
        <v>363</v>
      </c>
      <c s="225" t="s">
        <v>423</v>
      </c>
      <c s="225" t="s">
        <v>461</v>
      </c>
      <c s="225" t="s">
        <v>350</v>
      </c>
      <c s="225" t="s">
        <v>351</v>
      </c>
      <c s="63"/>
      <c s="63"/>
      <c s="63"/>
      <c s="63"/>
      <c s="63"/>
      <c s="63"/>
      <c s="63"/>
      <c s="63"/>
      <c s="63"/>
      <c s="63"/>
    </row>
    <row r="71" spans="1:34" ht="15.75">
      <c r="A71" s="63"/>
      <c s="63"/>
      <c s="116"/>
      <c s="252" t="s">
        <v>462</v>
      </c>
      <c r="K71" s="253"/>
      <c s="138"/>
      <c s="63"/>
      <c s="234"/>
      <c s="190"/>
      <c s="190"/>
      <c s="190"/>
      <c s="190"/>
      <c s="63"/>
      <c s="226" t="s">
        <v>441</v>
      </c>
      <c s="225" t="s">
        <v>423</v>
      </c>
      <c s="225" t="s">
        <v>461</v>
      </c>
      <c s="225" t="s">
        <v>463</v>
      </c>
      <c s="235" t="s">
        <v>464</v>
      </c>
      <c s="63"/>
      <c s="81"/>
      <c s="63"/>
      <c s="63"/>
      <c s="63"/>
      <c s="63"/>
      <c s="63"/>
      <c s="63"/>
      <c s="63"/>
      <c s="63"/>
    </row>
    <row r="72" spans="1:34" ht="15.75">
      <c r="A72" s="63"/>
      <c s="63"/>
      <c s="116"/>
      <c r="K72" s="253"/>
      <c s="138"/>
      <c s="227">
        <v>4</v>
      </c>
      <c s="229" t="s">
        <v>465</v>
      </c>
      <c s="190"/>
      <c s="190"/>
      <c s="190"/>
      <c s="190"/>
      <c s="63"/>
      <c s="226" t="s">
        <v>371</v>
      </c>
      <c s="225" t="s">
        <v>423</v>
      </c>
      <c s="225" t="s">
        <v>424</v>
      </c>
      <c s="225" t="s">
        <v>466</v>
      </c>
      <c s="235" t="s">
        <v>467</v>
      </c>
      <c s="63"/>
      <c s="81"/>
      <c s="63"/>
      <c s="63"/>
      <c s="63"/>
      <c s="63"/>
      <c s="63"/>
      <c s="63"/>
      <c s="63"/>
      <c s="63"/>
    </row>
    <row r="73" spans="1:34" ht="15.75">
      <c r="A73" s="63"/>
      <c s="63"/>
      <c s="116"/>
      <c r="K73" s="253"/>
      <c s="138"/>
      <c s="227"/>
      <c s="231" t="s">
        <v>468</v>
      </c>
      <c s="190"/>
      <c s="190"/>
      <c s="190"/>
      <c s="190"/>
      <c s="63"/>
      <c s="226" t="s">
        <v>380</v>
      </c>
      <c s="225" t="s">
        <v>423</v>
      </c>
      <c s="225" t="s">
        <v>461</v>
      </c>
      <c s="225" t="s">
        <v>469</v>
      </c>
      <c s="235" t="s">
        <v>470</v>
      </c>
      <c s="63"/>
      <c s="63"/>
      <c s="63"/>
      <c s="63"/>
      <c s="63"/>
      <c s="63"/>
      <c s="63"/>
      <c s="63"/>
      <c s="63"/>
      <c s="63"/>
    </row>
    <row r="74" spans="1:34" ht="15.75">
      <c r="A74" s="63"/>
      <c s="63"/>
      <c s="116"/>
      <c s="116"/>
      <c s="116"/>
      <c s="254"/>
      <c s="255"/>
      <c s="255"/>
      <c s="255"/>
      <c s="255"/>
      <c s="256"/>
      <c s="138"/>
      <c s="63"/>
      <c s="242" t="s">
        <v>398</v>
      </c>
      <c r="R74" s="243" t="str">
        <f>HYPERLINK(VLOOKUP(N74,$T$44:$X$116,5,FALSE),"WATCH VIDEO")</f>
        <v>WATCH VIDEO</v>
      </c>
      <c s="63"/>
      <c s="226" t="s">
        <v>387</v>
      </c>
      <c s="225" t="s">
        <v>423</v>
      </c>
      <c s="225" t="s">
        <v>424</v>
      </c>
      <c s="225" t="s">
        <v>471</v>
      </c>
      <c s="235" t="s">
        <v>472</v>
      </c>
      <c s="63"/>
      <c s="63"/>
      <c s="63"/>
      <c s="63"/>
      <c s="63"/>
      <c s="63"/>
      <c s="63"/>
      <c s="63"/>
      <c s="63"/>
      <c s="63"/>
    </row>
    <row r="75" spans="1:34" ht="15.75">
      <c r="A75" s="63"/>
      <c s="63"/>
      <c s="63"/>
      <c s="63"/>
      <c s="63"/>
      <c s="239"/>
      <c s="138"/>
      <c s="138"/>
      <c s="138"/>
      <c s="138"/>
      <c s="138"/>
      <c s="138"/>
      <c s="63"/>
      <c s="217" t="str">
        <f>VLOOKUP(N74,$T$44:$X300,4,FALSE)</f>
        <v>Attach a light or medium band around a post, step inside and place the band around the butt. Step back with a fair amount of band tension and squat for 5-15 reps. Follow with 5-15 reps of RDL or sumo deadlift.</v>
      </c>
      <c r="S75" s="63"/>
      <c s="226" t="s">
        <v>393</v>
      </c>
      <c s="225" t="s">
        <v>423</v>
      </c>
      <c s="225" t="s">
        <v>424</v>
      </c>
      <c s="225" t="s">
        <v>473</v>
      </c>
      <c s="235" t="s">
        <v>474</v>
      </c>
      <c s="63"/>
      <c s="63"/>
      <c s="63"/>
      <c s="63"/>
      <c s="63"/>
      <c s="63"/>
      <c s="63"/>
      <c s="63"/>
      <c s="63"/>
      <c s="63"/>
    </row>
    <row r="76" spans="1:34" ht="15.75">
      <c r="A76" s="63"/>
      <c s="63"/>
      <c s="63"/>
      <c s="63"/>
      <c s="63"/>
      <c s="257" t="s">
        <v>475</v>
      </c>
      <c r="M76" s="63"/>
      <c r="S76" s="63"/>
      <c s="225" t="s">
        <v>397</v>
      </c>
      <c s="225" t="s">
        <v>423</v>
      </c>
      <c s="225" t="s">
        <v>461</v>
      </c>
      <c s="225" t="s">
        <v>476</v>
      </c>
      <c s="235" t="s">
        <v>477</v>
      </c>
      <c s="63"/>
      <c s="63"/>
      <c s="63"/>
      <c s="63"/>
      <c s="63"/>
      <c s="63"/>
      <c s="63"/>
      <c s="63"/>
      <c s="63"/>
      <c s="63"/>
    </row>
    <row r="77" spans="1:34" ht="15.75">
      <c r="A77" s="63"/>
      <c s="63"/>
      <c s="63"/>
      <c s="63"/>
      <c s="63"/>
      <c r="M77" s="63"/>
      <c s="234"/>
      <c s="190"/>
      <c s="190"/>
      <c s="190"/>
      <c s="190"/>
      <c s="63"/>
      <c s="226" t="s">
        <v>363</v>
      </c>
      <c s="225" t="s">
        <v>478</v>
      </c>
      <c s="225" t="s">
        <v>479</v>
      </c>
      <c s="225" t="s">
        <v>350</v>
      </c>
      <c s="225" t="s">
        <v>351</v>
      </c>
      <c s="63"/>
      <c s="63"/>
      <c s="63"/>
      <c s="63"/>
      <c s="63"/>
      <c s="63"/>
      <c s="63"/>
      <c s="63"/>
      <c s="63"/>
      <c s="63"/>
    </row>
    <row r="78" spans="1:34" ht="15.75">
      <c r="A78" s="63"/>
      <c s="63"/>
      <c s="63"/>
      <c s="63"/>
      <c s="63"/>
      <c r="M78" s="63"/>
      <c s="242" t="s">
        <v>372</v>
      </c>
      <c r="R78" s="243" t="str">
        <f>HYPERLINK(VLOOKUP(N78,$T$44:$X$116,5,FALSE),"WATCH VIDEO")</f>
        <v>WATCH VIDEO</v>
      </c>
      <c s="63"/>
      <c s="226" t="s">
        <v>480</v>
      </c>
      <c s="225" t="s">
        <v>478</v>
      </c>
      <c s="225" t="s">
        <v>479</v>
      </c>
      <c s="225" t="s">
        <v>481</v>
      </c>
      <c s="235" t="s">
        <v>482</v>
      </c>
      <c s="63"/>
      <c s="63"/>
      <c s="63"/>
      <c s="63"/>
      <c s="63"/>
      <c s="63"/>
      <c s="63"/>
      <c s="63"/>
      <c s="63"/>
      <c s="63"/>
    </row>
    <row r="79" spans="1:34" ht="24" customHeight="1">
      <c r="A79" s="63"/>
      <c s="63"/>
      <c s="63"/>
      <c s="63"/>
      <c s="63"/>
      <c s="258" t="s">
        <v>483</v>
      </c>
      <c r="H79" s="259">
        <v>0</v>
      </c>
      <c s="138"/>
      <c s="138"/>
      <c s="138"/>
      <c s="138"/>
      <c s="63"/>
      <c s="217" t="str">
        <f>VLOOKUP(N78,$T$44:$X300,4,FALSE)</f>
        <v>Use a theraband, voodoo floss, etc and wrap around a post with low to moderate tension, one end in each hand. Perform with as many reps as desired. band Pullapart, band pullover, band front raise, single arm cross body (rear delt), band flye, band overhead triceps extension, band stretches.</v>
      </c>
      <c r="S79" s="63"/>
      <c s="226" t="s">
        <v>484</v>
      </c>
      <c s="225" t="s">
        <v>478</v>
      </c>
      <c s="225" t="s">
        <v>485</v>
      </c>
      <c s="225" t="s">
        <v>486</v>
      </c>
      <c s="235" t="s">
        <v>487</v>
      </c>
      <c s="63"/>
      <c s="63"/>
      <c s="63"/>
      <c s="63"/>
      <c s="63"/>
      <c s="63"/>
      <c s="63"/>
      <c s="63"/>
      <c s="63"/>
      <c s="63"/>
    </row>
    <row r="80" spans="1:34" ht="24" customHeight="1">
      <c r="A80" s="63"/>
      <c s="63"/>
      <c s="63"/>
      <c s="63"/>
      <c s="260"/>
      <c s="261" t="s">
        <v>488</v>
      </c>
      <c s="262"/>
      <c s="259">
        <v>0</v>
      </c>
      <c s="138"/>
      <c s="138"/>
      <c s="138"/>
      <c s="138"/>
      <c s="63"/>
      <c r="S80" s="63"/>
      <c s="226" t="s">
        <v>489</v>
      </c>
      <c s="225" t="s">
        <v>478</v>
      </c>
      <c s="225" t="s">
        <v>485</v>
      </c>
      <c s="225" t="s">
        <v>490</v>
      </c>
      <c s="235" t="s">
        <v>467</v>
      </c>
      <c s="63"/>
      <c s="63"/>
      <c s="63"/>
      <c s="63"/>
      <c s="63"/>
      <c s="63"/>
      <c s="63"/>
      <c s="63"/>
      <c s="63"/>
      <c s="63"/>
    </row>
    <row r="81" spans="1:34" ht="15.75">
      <c r="A81" s="63"/>
      <c s="63"/>
      <c s="63"/>
      <c s="63"/>
      <c s="260"/>
      <c s="261" t="s">
        <v>491</v>
      </c>
      <c s="262"/>
      <c s="259">
        <v>0</v>
      </c>
      <c s="138"/>
      <c s="138"/>
      <c s="138"/>
      <c s="138"/>
      <c s="63"/>
      <c s="190"/>
      <c s="190"/>
      <c s="190"/>
      <c s="190"/>
      <c s="190"/>
      <c s="63"/>
      <c s="226" t="s">
        <v>492</v>
      </c>
      <c s="225" t="s">
        <v>478</v>
      </c>
      <c s="225" t="s">
        <v>493</v>
      </c>
      <c s="225" t="s">
        <v>494</v>
      </c>
      <c s="235" t="s">
        <v>495</v>
      </c>
      <c s="63"/>
      <c s="63"/>
      <c s="63"/>
      <c s="63"/>
      <c s="63"/>
      <c s="63"/>
      <c s="63"/>
      <c s="63"/>
      <c s="63"/>
      <c s="63"/>
    </row>
    <row r="82" spans="1:34" ht="15.75">
      <c r="A82" s="63"/>
      <c s="63"/>
      <c s="63"/>
      <c s="63"/>
      <c s="260"/>
      <c s="261" t="s">
        <v>496</v>
      </c>
      <c s="262"/>
      <c s="259">
        <v>0</v>
      </c>
      <c s="138"/>
      <c s="138"/>
      <c s="138"/>
      <c s="138"/>
      <c s="63"/>
      <c s="242" t="s">
        <v>394</v>
      </c>
      <c r="R82" s="243" t="str">
        <f>HYPERLINK(VLOOKUP(N82,$T$44:$X$116,5,FALSE),"WATCH VIDEO")</f>
        <v>WATCH VIDEO</v>
      </c>
      <c s="63"/>
      <c s="226"/>
      <c s="225" t="s">
        <v>478</v>
      </c>
      <c s="225"/>
      <c s="263"/>
      <c s="263"/>
      <c s="63"/>
      <c s="81"/>
      <c s="63"/>
      <c s="63"/>
      <c s="63"/>
      <c s="63"/>
      <c s="63"/>
      <c s="63"/>
      <c s="63"/>
      <c s="63"/>
    </row>
    <row r="83" spans="1:34" ht="34.5" customHeight="1">
      <c r="A83" s="63"/>
      <c s="63"/>
      <c s="63"/>
      <c s="63"/>
      <c s="264"/>
      <c s="265" t="s">
        <v>497</v>
      </c>
      <c s="262"/>
      <c s="259">
        <v>0</v>
      </c>
      <c s="42"/>
      <c s="42"/>
      <c s="42"/>
      <c s="42"/>
      <c s="63"/>
      <c s="217" t="str">
        <f>VLOOKUP(N82,$T$44:$X300,4,FALSE)</f>
        <v>Raise one arm upward in front of you. Make sure that as you flex at the shoulder that you’re shoulder blade moves with your arm. Turn your arm over and find the biggest possible range “behind” you. Reverse the rep—start by extending the arm backward, max out extension, then turn your arm and find as much overhead range as possible before maxing anterior range and returning your arm to your side.</v>
      </c>
      <c r="S83" s="63"/>
      <c s="226" t="s">
        <v>498</v>
      </c>
      <c s="225" t="s">
        <v>478</v>
      </c>
      <c s="225" t="s">
        <v>185</v>
      </c>
      <c s="225" t="s">
        <v>499</v>
      </c>
      <c s="235" t="s">
        <v>500</v>
      </c>
      <c s="63"/>
      <c s="81"/>
      <c s="63"/>
      <c s="63"/>
      <c s="63"/>
      <c s="63"/>
      <c s="63"/>
      <c s="63"/>
      <c s="63"/>
      <c s="63"/>
    </row>
    <row r="84" spans="1:34" ht="34.5" customHeight="1">
      <c r="A84" s="63"/>
      <c s="63"/>
      <c s="63"/>
      <c s="63"/>
      <c s="264"/>
      <c s="265" t="s">
        <v>501</v>
      </c>
      <c s="262"/>
      <c s="259">
        <v>0</v>
      </c>
      <c s="42"/>
      <c s="42"/>
      <c s="42"/>
      <c s="42"/>
      <c s="63"/>
      <c r="S84" s="63"/>
      <c s="226" t="s">
        <v>502</v>
      </c>
      <c s="225" t="s">
        <v>478</v>
      </c>
      <c s="225" t="s">
        <v>503</v>
      </c>
      <c s="225" t="s">
        <v>504</v>
      </c>
      <c s="235" t="s">
        <v>505</v>
      </c>
      <c s="63"/>
      <c s="63"/>
      <c s="63"/>
      <c s="63"/>
      <c s="63"/>
      <c s="63"/>
      <c s="63"/>
      <c s="63"/>
      <c s="63"/>
      <c s="63"/>
    </row>
    <row r="85" spans="1:34" ht="15.75">
      <c r="A85" s="63"/>
      <c s="63"/>
      <c s="63"/>
      <c s="63"/>
      <c s="264"/>
      <c s="265" t="s">
        <v>506</v>
      </c>
      <c s="262"/>
      <c s="259">
        <v>0</v>
      </c>
      <c s="42"/>
      <c s="42"/>
      <c s="42"/>
      <c s="42"/>
      <c s="63"/>
      <c s="190"/>
      <c s="190"/>
      <c s="190"/>
      <c s="190"/>
      <c s="190"/>
      <c s="63"/>
      <c s="226" t="s">
        <v>507</v>
      </c>
      <c s="225" t="s">
        <v>478</v>
      </c>
      <c s="225" t="s">
        <v>479</v>
      </c>
      <c s="225" t="s">
        <v>508</v>
      </c>
      <c s="235" t="s">
        <v>509</v>
      </c>
      <c s="63"/>
      <c s="63"/>
      <c s="63"/>
      <c s="63"/>
      <c s="63"/>
      <c s="63"/>
      <c s="63"/>
      <c s="63"/>
      <c s="63"/>
      <c s="63"/>
    </row>
    <row r="86" spans="1:34" ht="15.75">
      <c r="A86" s="63"/>
      <c s="63"/>
      <c s="63"/>
      <c s="63"/>
      <c s="264"/>
      <c s="265" t="s">
        <v>510</v>
      </c>
      <c s="262"/>
      <c s="259">
        <v>0</v>
      </c>
      <c s="42"/>
      <c s="42"/>
      <c s="42"/>
      <c s="42"/>
      <c s="63"/>
      <c s="242" t="s">
        <v>388</v>
      </c>
      <c r="R86" s="243" t="str">
        <f>HYPERLINK(VLOOKUP(N86,$T$44:$X$116,5,FALSE),"WATCH VIDEO")</f>
        <v>WATCH VIDEO</v>
      </c>
      <c s="63"/>
      <c s="226" t="s">
        <v>363</v>
      </c>
      <c s="225" t="s">
        <v>465</v>
      </c>
      <c s="225" t="s">
        <v>511</v>
      </c>
      <c s="225" t="s">
        <v>350</v>
      </c>
      <c s="225" t="s">
        <v>351</v>
      </c>
      <c s="63"/>
      <c s="63"/>
      <c s="63"/>
      <c s="63"/>
      <c s="63"/>
      <c s="63"/>
      <c s="63"/>
      <c s="63"/>
      <c s="63"/>
      <c s="63"/>
    </row>
    <row r="87" spans="1:34" ht="15.75">
      <c r="A87" s="63"/>
      <c s="63"/>
      <c s="63"/>
      <c s="63"/>
      <c s="264"/>
      <c s="265" t="s">
        <v>512</v>
      </c>
      <c s="262"/>
      <c s="259">
        <v>0</v>
      </c>
      <c s="42"/>
      <c s="42"/>
      <c s="42"/>
      <c s="42"/>
      <c s="63"/>
      <c s="217" t="str">
        <f>VLOOKUP(N86,$T$44:$X300,4,FALSE)</f>
        <v>Use a low to moderate load and do 5-12 reps on a lat pulldown in a dynamic fashion. Focus on a forceful pull.</v>
      </c>
      <c r="S87" s="63"/>
      <c s="226" t="s">
        <v>513</v>
      </c>
      <c s="225" t="s">
        <v>465</v>
      </c>
      <c s="225" t="s">
        <v>511</v>
      </c>
      <c s="225" t="s">
        <v>514</v>
      </c>
      <c s="235" t="s">
        <v>515</v>
      </c>
      <c s="63"/>
      <c s="63"/>
      <c s="63"/>
      <c s="63"/>
      <c s="63"/>
      <c s="63"/>
      <c s="63"/>
      <c s="63"/>
      <c s="63"/>
      <c s="63"/>
    </row>
    <row r="88" spans="1:34" ht="15.75">
      <c r="A88" s="63"/>
      <c s="63"/>
      <c s="63"/>
      <c s="63"/>
      <c s="264"/>
      <c s="265" t="s">
        <v>516</v>
      </c>
      <c s="262"/>
      <c s="259">
        <v>0</v>
      </c>
      <c s="42"/>
      <c s="42"/>
      <c s="42"/>
      <c s="42"/>
      <c s="63"/>
      <c r="S88" s="63"/>
      <c s="226" t="s">
        <v>372</v>
      </c>
      <c s="225" t="s">
        <v>465</v>
      </c>
      <c s="225" t="s">
        <v>511</v>
      </c>
      <c s="225" t="s">
        <v>517</v>
      </c>
      <c s="235" t="s">
        <v>518</v>
      </c>
      <c s="63"/>
      <c s="63"/>
      <c s="63"/>
      <c s="63"/>
      <c s="63"/>
      <c s="63"/>
      <c s="63"/>
      <c s="63"/>
      <c s="63"/>
      <c s="63"/>
    </row>
    <row r="89" spans="1:34" ht="15.75">
      <c r="A89" s="63"/>
      <c s="63"/>
      <c s="63"/>
      <c s="63"/>
      <c s="264"/>
      <c s="265" t="s">
        <v>519</v>
      </c>
      <c s="262"/>
      <c s="259">
        <v>0</v>
      </c>
      <c s="42"/>
      <c s="42"/>
      <c s="42"/>
      <c s="42"/>
      <c s="63"/>
      <c s="190"/>
      <c s="190"/>
      <c s="190"/>
      <c s="190"/>
      <c s="190"/>
      <c s="63"/>
      <c s="226" t="s">
        <v>381</v>
      </c>
      <c s="225" t="s">
        <v>465</v>
      </c>
      <c s="225" t="s">
        <v>520</v>
      </c>
      <c s="225" t="s">
        <v>521</v>
      </c>
      <c s="235" t="s">
        <v>522</v>
      </c>
      <c s="63"/>
      <c s="63"/>
      <c s="63"/>
      <c s="63"/>
      <c s="63"/>
      <c s="63"/>
      <c s="63"/>
      <c s="63"/>
      <c s="63"/>
      <c s="63"/>
    </row>
    <row r="90" spans="1:34" ht="15.75">
      <c r="A90" s="63"/>
      <c s="63"/>
      <c s="63"/>
      <c s="63"/>
      <c s="264"/>
      <c s="265" t="s">
        <v>523</v>
      </c>
      <c s="262"/>
      <c s="259">
        <v>0</v>
      </c>
      <c s="42"/>
      <c s="42"/>
      <c s="42"/>
      <c s="42"/>
      <c s="63"/>
      <c s="242" t="s">
        <v>381</v>
      </c>
      <c r="R90" s="243" t="str">
        <f>HYPERLINK(VLOOKUP(N90,$T$44:$X$116,5,FALSE),"WATCH VIDEO")</f>
        <v>WATCH VIDEO</v>
      </c>
      <c s="63"/>
      <c s="226" t="s">
        <v>388</v>
      </c>
      <c s="225" t="s">
        <v>465</v>
      </c>
      <c s="225" t="s">
        <v>520</v>
      </c>
      <c s="225" t="s">
        <v>524</v>
      </c>
      <c s="235" t="s">
        <v>525</v>
      </c>
      <c s="63"/>
      <c s="63"/>
      <c s="63"/>
      <c s="63"/>
      <c s="63"/>
      <c s="63"/>
      <c s="63"/>
      <c s="63"/>
      <c s="63"/>
      <c s="63"/>
    </row>
    <row r="91" spans="1:34" ht="15.75">
      <c r="A91" s="63"/>
      <c s="63"/>
      <c s="63"/>
      <c s="63"/>
      <c s="63"/>
      <c s="42"/>
      <c s="42"/>
      <c s="42"/>
      <c s="42"/>
      <c s="42"/>
      <c s="42"/>
      <c s="42"/>
      <c s="63"/>
      <c s="217" t="str">
        <f>VLOOKUP(N90,$T$44:$X300,4,FALSE)</f>
        <v>Using a barbell in a rack/smith machine or a pair of hanging rings, set your feet on on object at such a height you can be parallel to the floor at completion of the movement. Grab the bar/rings and pull yourself up, holding a brief contraction at the top. Repeat for 5-10 reps.</v>
      </c>
      <c r="S91" s="63"/>
      <c s="226" t="s">
        <v>394</v>
      </c>
      <c s="225" t="s">
        <v>465</v>
      </c>
      <c s="225" t="s">
        <v>511</v>
      </c>
      <c s="225" t="s">
        <v>526</v>
      </c>
      <c s="235" t="s">
        <v>527</v>
      </c>
      <c s="63"/>
      <c s="63"/>
      <c s="63"/>
      <c s="63"/>
      <c s="63"/>
      <c s="63"/>
      <c s="63"/>
      <c s="63"/>
      <c s="63"/>
      <c s="63"/>
    </row>
    <row r="92" spans="1:34" ht="36.75" customHeight="1">
      <c r="A92" s="63"/>
      <c s="63"/>
      <c s="63"/>
      <c s="63"/>
      <c s="63"/>
      <c s="257" t="s">
        <v>528</v>
      </c>
      <c r="M92" s="63"/>
      <c r="S92" s="63"/>
      <c s="226" t="s">
        <v>398</v>
      </c>
      <c s="225" t="s">
        <v>465</v>
      </c>
      <c s="225" t="s">
        <v>461</v>
      </c>
      <c s="225" t="s">
        <v>529</v>
      </c>
      <c s="235" t="s">
        <v>530</v>
      </c>
      <c s="63"/>
      <c s="63"/>
      <c s="63"/>
      <c s="63"/>
      <c s="63"/>
      <c s="63"/>
      <c s="63"/>
      <c s="63"/>
      <c s="63"/>
      <c s="63"/>
    </row>
    <row r="93" spans="1:34" ht="15.75">
      <c r="A93" s="63"/>
      <c s="63"/>
      <c s="63"/>
      <c s="63"/>
      <c s="63"/>
      <c s="257"/>
      <c s="257"/>
      <c s="257"/>
      <c s="257"/>
      <c s="257"/>
      <c s="257"/>
      <c s="257"/>
      <c s="63"/>
      <c s="190"/>
      <c s="190"/>
      <c s="190"/>
      <c s="190"/>
      <c s="190"/>
      <c s="63"/>
      <c s="226" t="s">
        <v>402</v>
      </c>
      <c s="225" t="s">
        <v>465</v>
      </c>
      <c s="225" t="s">
        <v>461</v>
      </c>
      <c s="225" t="s">
        <v>531</v>
      </c>
      <c s="235" t="s">
        <v>532</v>
      </c>
      <c s="63"/>
      <c s="81"/>
      <c s="63"/>
      <c s="63"/>
      <c s="63"/>
      <c s="63"/>
      <c s="63"/>
      <c s="63"/>
      <c s="63"/>
      <c s="63"/>
    </row>
    <row r="94" spans="1:34" ht="15.75">
      <c r="A94" s="63"/>
      <c s="63"/>
      <c s="63"/>
      <c s="63"/>
      <c s="63"/>
      <c s="266"/>
      <c s="266"/>
      <c s="266"/>
      <c s="266"/>
      <c s="266"/>
      <c s="266"/>
      <c s="266"/>
      <c s="227">
        <v>5</v>
      </c>
      <c s="229" t="s">
        <v>400</v>
      </c>
      <c s="190"/>
      <c s="190"/>
      <c s="190"/>
      <c s="190"/>
      <c s="63"/>
      <c s="226" t="s">
        <v>409</v>
      </c>
      <c s="225" t="s">
        <v>465</v>
      </c>
      <c s="225"/>
      <c s="225"/>
      <c s="225"/>
      <c s="63"/>
      <c s="81"/>
      <c s="63"/>
      <c s="63"/>
      <c s="63"/>
      <c s="63"/>
      <c s="63"/>
      <c s="63"/>
      <c s="63"/>
      <c s="63"/>
    </row>
    <row r="95" spans="1:34" ht="15.75">
      <c r="A95" s="63"/>
      <c s="63"/>
      <c s="63"/>
      <c s="63"/>
      <c s="63"/>
      <c s="92"/>
      <c s="63"/>
      <c s="63"/>
      <c s="63"/>
      <c s="63"/>
      <c s="63"/>
      <c s="63"/>
      <c s="227"/>
      <c s="231" t="s">
        <v>533</v>
      </c>
      <c s="190"/>
      <c s="190"/>
      <c s="190"/>
      <c s="190"/>
      <c s="63"/>
      <c s="226" t="s">
        <v>363</v>
      </c>
      <c s="225" t="s">
        <v>406</v>
      </c>
      <c s="225" t="s">
        <v>534</v>
      </c>
      <c s="225" t="s">
        <v>350</v>
      </c>
      <c s="225" t="s">
        <v>351</v>
      </c>
      <c s="63"/>
      <c s="63"/>
      <c s="63"/>
      <c s="63"/>
      <c s="63"/>
      <c s="63"/>
      <c s="63"/>
      <c s="63"/>
      <c s="63"/>
      <c s="63"/>
    </row>
    <row r="96" spans="1:34" ht="15.75">
      <c r="A96" s="63"/>
      <c s="63"/>
      <c s="63"/>
      <c s="63"/>
      <c s="63"/>
      <c s="236" t="s">
        <v>535</v>
      </c>
      <c s="42"/>
      <c s="42"/>
      <c s="42"/>
      <c s="42"/>
      <c s="42"/>
      <c s="42"/>
      <c s="63"/>
      <c s="242" t="s">
        <v>363</v>
      </c>
      <c r="R96" s="243" t="str">
        <f>HYPERLINK(VLOOKUP(N96,$T$44:$X$116,5,FALSE),"WATCH VIDEO")</f>
        <v>WATCH VIDEO</v>
      </c>
      <c s="63"/>
      <c s="226" t="s">
        <v>415</v>
      </c>
      <c s="225" t="s">
        <v>406</v>
      </c>
      <c s="225" t="s">
        <v>536</v>
      </c>
      <c s="225" t="s">
        <v>537</v>
      </c>
      <c s="235" t="s">
        <v>538</v>
      </c>
      <c s="63"/>
      <c s="63"/>
      <c s="63"/>
      <c s="63"/>
      <c s="63"/>
      <c s="63"/>
      <c s="63"/>
      <c s="63"/>
      <c s="63"/>
      <c s="63"/>
    </row>
    <row r="97" spans="1:34" ht="15.75">
      <c r="A97" s="63"/>
      <c s="63"/>
      <c s="63"/>
      <c s="63"/>
      <c s="63"/>
      <c s="267" t="s">
        <v>539</v>
      </c>
      <c r="M97" s="63"/>
      <c s="217" t="str">
        <f>VLOOKUP(N96,$T$44:$X300,4,FALSE)</f>
        <v>description</v>
      </c>
      <c r="S97" s="63"/>
      <c s="226" t="s">
        <v>370</v>
      </c>
      <c s="225" t="s">
        <v>406</v>
      </c>
      <c s="225" t="s">
        <v>536</v>
      </c>
      <c s="225" t="s">
        <v>540</v>
      </c>
      <c s="225"/>
      <c s="63"/>
      <c s="63"/>
      <c s="63"/>
      <c s="63"/>
      <c s="63"/>
      <c s="63"/>
      <c s="63"/>
      <c s="63"/>
      <c s="63"/>
      <c s="63"/>
    </row>
    <row r="98" spans="1:34" ht="15.75">
      <c r="A98" s="63"/>
      <c s="63"/>
      <c s="63"/>
      <c s="63"/>
      <c s="63"/>
      <c r="M98" s="63"/>
      <c r="S98" s="63"/>
      <c s="226" t="s">
        <v>379</v>
      </c>
      <c s="225" t="s">
        <v>406</v>
      </c>
      <c s="225" t="s">
        <v>534</v>
      </c>
      <c s="225" t="s">
        <v>541</v>
      </c>
      <c s="225"/>
      <c s="63"/>
      <c s="63"/>
      <c s="63"/>
      <c s="63"/>
      <c s="63"/>
      <c s="63"/>
      <c s="63"/>
      <c s="63"/>
      <c s="63"/>
      <c s="63"/>
    </row>
    <row r="99" spans="1:34" ht="15.75">
      <c r="A99" s="63"/>
      <c s="63"/>
      <c s="63"/>
      <c s="63"/>
      <c s="63"/>
      <c r="M99" s="63"/>
      <c s="234"/>
      <c s="190"/>
      <c s="190"/>
      <c s="190"/>
      <c s="190"/>
      <c s="63"/>
      <c s="226" t="s">
        <v>386</v>
      </c>
      <c s="225" t="s">
        <v>406</v>
      </c>
      <c s="225" t="s">
        <v>534</v>
      </c>
      <c s="225" t="s">
        <v>542</v>
      </c>
      <c s="225"/>
      <c s="63"/>
      <c s="63"/>
      <c s="63"/>
      <c s="63"/>
      <c s="63"/>
      <c s="63"/>
      <c s="63"/>
      <c s="63"/>
      <c s="63"/>
      <c s="63"/>
    </row>
    <row r="100" spans="1:34" ht="15.75">
      <c r="A100" s="63"/>
      <c s="63"/>
      <c s="63"/>
      <c s="63"/>
      <c s="63"/>
      <c r="M100" s="227">
        <v>6</v>
      </c>
      <c s="229" t="s">
        <v>428</v>
      </c>
      <c s="190"/>
      <c s="190"/>
      <c s="190"/>
      <c s="190"/>
      <c s="63"/>
      <c s="226" t="s">
        <v>392</v>
      </c>
      <c s="225" t="s">
        <v>406</v>
      </c>
      <c s="225" t="s">
        <v>534</v>
      </c>
      <c s="225" t="s">
        <v>543</v>
      </c>
      <c s="225"/>
      <c s="63"/>
      <c s="63"/>
      <c s="63"/>
      <c s="63"/>
      <c s="63"/>
      <c s="63"/>
      <c s="63"/>
      <c s="63"/>
      <c s="63"/>
      <c s="63"/>
    </row>
    <row r="101" spans="1:34" ht="15.75">
      <c r="A101" s="63"/>
      <c s="63"/>
      <c s="63"/>
      <c s="63"/>
      <c s="63"/>
      <c r="M101" s="227"/>
      <c s="231" t="s">
        <v>544</v>
      </c>
      <c s="190"/>
      <c s="190"/>
      <c s="190"/>
      <c s="190"/>
      <c s="63"/>
      <c s="63"/>
      <c s="63"/>
      <c s="63"/>
      <c s="63"/>
      <c s="63"/>
      <c s="63"/>
      <c s="63"/>
      <c s="63"/>
      <c s="63"/>
      <c s="63"/>
      <c s="63"/>
      <c s="63"/>
      <c s="63"/>
      <c s="63"/>
      <c s="63"/>
    </row>
    <row r="102" spans="1:34" ht="15.75">
      <c r="A102" s="63"/>
      <c s="63"/>
      <c s="63"/>
      <c s="63"/>
      <c s="63"/>
      <c s="268" t="s">
        <v>545</v>
      </c>
      <c s="267"/>
      <c s="267"/>
      <c s="267"/>
      <c s="267"/>
      <c s="267"/>
      <c s="267"/>
      <c s="63"/>
      <c s="242" t="s">
        <v>383</v>
      </c>
      <c r="R102" s="243" t="str">
        <f>HYPERLINK(VLOOKUP(N102,$T$44:$X$116,5,FALSE),"WATCH VIDEO")</f>
        <v>WATCH VIDEO</v>
      </c>
      <c s="63"/>
      <c s="63"/>
      <c s="63"/>
      <c s="63"/>
      <c s="63"/>
      <c s="63"/>
      <c s="63"/>
      <c s="63"/>
      <c s="63"/>
      <c s="63"/>
      <c s="63"/>
      <c s="63"/>
      <c s="63"/>
      <c s="63"/>
      <c s="63"/>
      <c s="63"/>
    </row>
    <row r="103" spans="1:34" ht="15.75">
      <c r="A103" s="63"/>
      <c s="63"/>
      <c s="63"/>
      <c s="63"/>
      <c s="63"/>
      <c s="268"/>
      <c s="42"/>
      <c s="42"/>
      <c s="42"/>
      <c s="42"/>
      <c s="42"/>
      <c s="42"/>
      <c s="63"/>
      <c s="217" t="str">
        <f>VLOOKUP(N102,$T$44:$X300,4,FALSE)</f>
        <v>From a quadruped position, sweep the opposite arm and leg out away from you in front and behind, maintaining finger and toe connection with the floor. Raise both the arm and leg in unison and hold the extended position for a moment. Reverse and return to base position and repeat with the opposite side.</v>
      </c>
      <c r="S103" s="63"/>
      <c s="63"/>
      <c s="63"/>
      <c s="63"/>
      <c s="63"/>
      <c s="63"/>
      <c s="63"/>
      <c s="63"/>
      <c s="63"/>
      <c s="63"/>
      <c s="63"/>
      <c s="63"/>
      <c s="63"/>
      <c s="63"/>
      <c s="63"/>
      <c s="63"/>
    </row>
    <row r="104" spans="1:34" ht="35.25" customHeight="1">
      <c r="A104" s="63"/>
      <c s="63"/>
      <c s="63"/>
      <c s="63"/>
      <c s="63"/>
      <c s="63"/>
      <c s="63"/>
      <c s="63"/>
      <c s="63"/>
      <c s="63"/>
      <c s="63"/>
      <c s="63"/>
      <c s="63"/>
      <c r="S104" s="63"/>
      <c s="63"/>
      <c s="63"/>
      <c s="63"/>
      <c s="63"/>
      <c s="63"/>
      <c s="63"/>
      <c s="81"/>
      <c s="63"/>
      <c s="63"/>
      <c s="63"/>
      <c s="63"/>
      <c s="63"/>
      <c s="63"/>
      <c s="63"/>
      <c s="63"/>
    </row>
    <row r="105" spans="1:34" ht="15.75">
      <c r="A105" s="63"/>
      <c s="63"/>
      <c s="63"/>
      <c s="63"/>
      <c s="63"/>
      <c s="93" t="s">
        <v>546</v>
      </c>
      <c s="42"/>
      <c s="42"/>
      <c s="42"/>
      <c s="42"/>
      <c s="42"/>
      <c s="42"/>
      <c s="63"/>
      <c s="190"/>
      <c s="190"/>
      <c s="190"/>
      <c s="190"/>
      <c s="190"/>
      <c s="63"/>
      <c s="63"/>
      <c s="63"/>
      <c s="63"/>
      <c s="63"/>
      <c s="63"/>
      <c s="63"/>
      <c s="81"/>
      <c s="63"/>
      <c s="63"/>
      <c s="63"/>
      <c s="63"/>
      <c s="63"/>
      <c s="63"/>
      <c s="63"/>
      <c s="63"/>
    </row>
    <row r="106" spans="1:34" ht="15.75">
      <c r="A106" s="63"/>
      <c s="63"/>
      <c s="63"/>
      <c s="63"/>
      <c s="63"/>
      <c s="269" t="s">
        <v>547</v>
      </c>
      <c r="M106" s="63"/>
      <c s="242" t="s">
        <v>389</v>
      </c>
      <c r="R106" s="243" t="str">
        <f>HYPERLINK(VLOOKUP(N106,$T$44:$X$116,5,FALSE),"WATCH VIDEO")</f>
        <v>WATCH VIDEO</v>
      </c>
      <c s="63"/>
      <c s="63"/>
      <c s="63"/>
      <c s="63"/>
      <c s="63"/>
      <c s="63"/>
      <c s="63"/>
      <c s="63"/>
      <c s="63"/>
      <c s="63"/>
      <c s="63"/>
      <c s="63"/>
      <c s="63"/>
      <c s="63"/>
      <c s="63"/>
      <c s="63"/>
    </row>
    <row r="107" spans="1:34" ht="15.75">
      <c r="A107" s="63"/>
      <c s="63"/>
      <c s="63"/>
      <c s="63"/>
      <c s="63"/>
      <c r="M107" s="63"/>
      <c s="217" t="str">
        <f>VLOOKUP(N106,$T$44:$X300,4,FALSE)</f>
        <v>From a supine position, elevate one knee so that your foot is flat on the floor. Tuck the chin and as you do, blow air out and squeeze the abs down into yourself. Repeat for 3-7 reps, before switching to the opposite leg and repeating.</v>
      </c>
      <c r="S107" s="63"/>
      <c s="63"/>
      <c s="63"/>
      <c s="63"/>
      <c s="63"/>
      <c s="63"/>
      <c s="63"/>
      <c s="63"/>
      <c s="63"/>
      <c s="63"/>
      <c s="63"/>
      <c s="63"/>
      <c s="63"/>
      <c s="63"/>
      <c s="63"/>
      <c s="63"/>
    </row>
    <row r="108" spans="1:34" ht="21.75" customHeight="1">
      <c r="A108" s="63"/>
      <c s="63"/>
      <c s="63"/>
      <c s="63"/>
      <c s="63"/>
      <c r="M108" s="63"/>
      <c r="S108" s="63"/>
      <c s="63"/>
      <c s="63"/>
      <c s="63"/>
      <c s="63"/>
      <c s="63"/>
      <c s="63"/>
      <c s="63"/>
      <c s="63"/>
      <c s="63"/>
      <c s="63"/>
      <c s="63"/>
      <c s="63"/>
      <c s="63"/>
      <c s="63"/>
      <c s="63"/>
    </row>
    <row r="109" spans="1:34" ht="15.75">
      <c r="A109" s="63"/>
      <c s="63"/>
      <c s="63"/>
      <c s="63"/>
      <c s="63"/>
      <c s="93" t="s">
        <v>548</v>
      </c>
      <c s="42"/>
      <c s="42"/>
      <c s="42"/>
      <c s="42"/>
      <c s="42"/>
      <c s="42"/>
      <c s="63"/>
      <c r="O109" s="190"/>
      <c s="190"/>
      <c s="190"/>
      <c s="190"/>
      <c s="63"/>
      <c s="63"/>
      <c s="63"/>
      <c s="63"/>
      <c s="63"/>
      <c s="63"/>
      <c s="63"/>
      <c s="63"/>
      <c s="63"/>
      <c s="63"/>
      <c s="63"/>
      <c s="63"/>
      <c s="63"/>
      <c s="63"/>
      <c s="63"/>
      <c s="63"/>
    </row>
    <row r="110" spans="1:34" ht="15.75">
      <c r="A110" s="63"/>
      <c s="63"/>
      <c s="63"/>
      <c s="63"/>
      <c s="63"/>
      <c s="268" t="s">
        <v>549</v>
      </c>
      <c s="189"/>
      <c s="189"/>
      <c s="268"/>
      <c s="268" t="s">
        <v>550</v>
      </c>
      <c s="42"/>
      <c s="42"/>
      <c s="63"/>
      <c s="242" t="s">
        <v>413</v>
      </c>
      <c r="R110" s="243" t="str">
        <f>HYPERLINK(VLOOKUP(N110,$T$44:$X$116,5,FALSE),"WATCH VIDEO")</f>
        <v>WATCH VIDEO</v>
      </c>
      <c s="63"/>
      <c s="63"/>
      <c s="63"/>
      <c s="63"/>
      <c s="63"/>
      <c s="63"/>
      <c s="63"/>
      <c s="63"/>
      <c s="63"/>
      <c s="63"/>
      <c s="63"/>
      <c s="63"/>
      <c s="63"/>
      <c s="63"/>
      <c s="63"/>
      <c s="63"/>
    </row>
    <row r="111" spans="1:34" ht="18" customHeight="1">
      <c r="A111" s="63"/>
      <c s="63"/>
      <c s="63"/>
      <c s="63"/>
      <c s="63"/>
      <c s="268" t="s">
        <v>551</v>
      </c>
      <c s="189"/>
      <c s="189"/>
      <c s="268"/>
      <c s="268" t="s">
        <v>552</v>
      </c>
      <c s="42"/>
      <c s="42"/>
      <c s="63"/>
      <c s="217" t="str">
        <f>VLOOKUP(N110,$T$44:$X300,4,FALSE)</f>
        <v>From a plank position with shoulder-width feet, rotate so that your feet are edge-contact with the floor and you're on only one forearm, bracing firmly. Rotate back to neutral and repeat with the other side for 3-5 repetitions.</v>
      </c>
      <c r="S111" s="63"/>
      <c s="63"/>
      <c s="63"/>
      <c s="63"/>
      <c s="63"/>
      <c s="63"/>
      <c s="63"/>
      <c s="63"/>
      <c s="63"/>
      <c s="63"/>
      <c s="63"/>
      <c s="63"/>
      <c s="63"/>
      <c s="63"/>
      <c s="63"/>
      <c s="63"/>
    </row>
    <row r="112" spans="1:34" ht="18" customHeight="1">
      <c r="A112" s="63"/>
      <c s="63"/>
      <c s="63"/>
      <c s="63"/>
      <c s="63"/>
      <c s="268" t="s">
        <v>553</v>
      </c>
      <c s="189"/>
      <c s="189"/>
      <c s="268"/>
      <c s="268" t="s">
        <v>554</v>
      </c>
      <c s="42"/>
      <c s="42"/>
      <c s="63"/>
      <c r="S112" s="63"/>
      <c s="63"/>
      <c s="63"/>
      <c s="63"/>
      <c s="63"/>
      <c s="63"/>
      <c s="63"/>
      <c s="63"/>
      <c s="63"/>
      <c s="63"/>
      <c s="63"/>
      <c s="63"/>
      <c s="63"/>
      <c s="63"/>
      <c s="63"/>
      <c s="63"/>
    </row>
    <row r="113" spans="1:34" ht="15.75">
      <c r="A113" s="63"/>
      <c s="63"/>
      <c s="63"/>
      <c s="63"/>
      <c s="63"/>
      <c s="268" t="s">
        <v>555</v>
      </c>
      <c s="189"/>
      <c s="189"/>
      <c s="268"/>
      <c s="268" t="s">
        <v>556</v>
      </c>
      <c s="42"/>
      <c s="42"/>
      <c s="63"/>
      <c s="190"/>
      <c s="190"/>
      <c s="190"/>
      <c s="190"/>
      <c s="190"/>
      <c s="63"/>
      <c s="63"/>
      <c s="63"/>
      <c s="63"/>
      <c s="63"/>
      <c s="63"/>
      <c s="63"/>
      <c s="63"/>
      <c s="63"/>
      <c s="63"/>
      <c s="63"/>
      <c s="63"/>
      <c s="63"/>
      <c s="63"/>
      <c s="63"/>
      <c s="63"/>
    </row>
    <row r="114" spans="1:34" ht="15.75">
      <c r="A114" s="63"/>
      <c s="63"/>
      <c s="63"/>
      <c s="63"/>
      <c s="63"/>
      <c s="268" t="s">
        <v>557</v>
      </c>
      <c s="189"/>
      <c s="189"/>
      <c s="268"/>
      <c s="268" t="s">
        <v>558</v>
      </c>
      <c s="42"/>
      <c s="42"/>
      <c s="63"/>
      <c s="242" t="s">
        <v>418</v>
      </c>
      <c r="R114" s="243" t="str">
        <f>HYPERLINK(VLOOKUP(N114,$T$44:$X$116,5,FALSE),"WATCH VIDEO")</f>
        <v>WATCH VIDEO</v>
      </c>
      <c s="63"/>
      <c s="63"/>
      <c s="63"/>
      <c s="63"/>
      <c s="63"/>
      <c s="63"/>
      <c s="63"/>
      <c s="63"/>
      <c s="63"/>
      <c s="63"/>
      <c s="63"/>
      <c s="63"/>
      <c s="63"/>
      <c s="63"/>
      <c s="63"/>
      <c s="63"/>
    </row>
    <row r="115" spans="1:34" ht="15.75">
      <c r="A115" s="63"/>
      <c s="63"/>
      <c s="63"/>
      <c s="63"/>
      <c s="63"/>
      <c s="42"/>
      <c s="42"/>
      <c s="42"/>
      <c s="42"/>
      <c s="42"/>
      <c s="42"/>
      <c s="42"/>
      <c s="63"/>
      <c s="217" t="str">
        <f>VLOOKUP(N114,$T$44:$X300,4,FALSE)</f>
        <v>With your shoulders on a bench, begin with your hips on the floor and your feet flat on the ground and close to your hips. Press just one heel through the ground while driving the hips up toward the ceiling. Repeat for 5-10 reps each side.</v>
      </c>
      <c r="S115" s="63"/>
      <c s="63"/>
      <c s="63"/>
      <c s="63"/>
      <c s="63"/>
      <c s="63"/>
      <c s="63"/>
      <c s="63"/>
      <c s="63"/>
      <c s="63"/>
      <c s="63"/>
      <c s="63"/>
      <c s="63"/>
      <c s="63"/>
      <c s="63"/>
      <c s="63"/>
    </row>
    <row r="116" spans="1:34" ht="24.75" customHeight="1">
      <c r="A116" s="63"/>
      <c s="63"/>
      <c s="63"/>
      <c s="63"/>
      <c s="63"/>
      <c s="93" t="s">
        <v>559</v>
      </c>
      <c s="42"/>
      <c s="42"/>
      <c s="42"/>
      <c s="93" t="s">
        <v>560</v>
      </c>
      <c s="42"/>
      <c s="42"/>
      <c s="63"/>
      <c r="S116" s="63"/>
      <c s="63"/>
      <c s="63"/>
      <c s="63"/>
      <c s="63"/>
      <c s="63"/>
      <c s="63"/>
      <c s="63"/>
      <c s="63"/>
      <c s="63"/>
      <c s="63"/>
      <c s="63"/>
      <c s="63"/>
      <c s="63"/>
      <c s="63"/>
      <c s="63"/>
    </row>
    <row r="117" spans="1:34" ht="15.75">
      <c r="A117" s="63"/>
      <c s="63"/>
      <c s="63"/>
      <c s="63"/>
      <c s="63"/>
      <c s="40" t="s">
        <v>561</v>
      </c>
      <c s="42"/>
      <c s="42"/>
      <c s="42"/>
      <c s="40" t="s">
        <v>561</v>
      </c>
      <c s="42"/>
      <c s="42"/>
      <c s="63"/>
      <c s="190"/>
      <c s="190"/>
      <c s="190"/>
      <c s="190"/>
      <c s="190"/>
      <c s="63"/>
      <c s="63"/>
      <c s="63"/>
      <c s="63"/>
      <c s="63"/>
      <c s="63"/>
      <c s="63"/>
      <c s="63"/>
      <c s="63"/>
      <c s="63"/>
      <c s="63"/>
      <c s="63"/>
      <c s="63"/>
      <c s="63"/>
      <c s="63"/>
      <c s="63"/>
    </row>
    <row r="118" spans="1:34" ht="15.75">
      <c r="A118" s="63"/>
      <c s="63"/>
      <c s="63"/>
      <c s="63"/>
      <c s="63"/>
      <c s="270"/>
      <c s="271"/>
      <c s="272"/>
      <c s="42"/>
      <c s="273"/>
      <c s="271"/>
      <c s="272"/>
      <c s="63"/>
      <c s="242" t="s">
        <v>374</v>
      </c>
      <c r="R118" s="243" t="str">
        <f>HYPERLINK(VLOOKUP(N118,$T$44:$X$116,5,FALSE),"WATCH VIDEO")</f>
        <v>WATCH VIDEO</v>
      </c>
      <c s="63"/>
      <c s="63"/>
      <c s="63"/>
      <c s="63"/>
      <c s="63"/>
      <c s="63"/>
      <c s="63"/>
      <c s="63"/>
      <c s="63"/>
      <c s="63"/>
      <c s="63"/>
      <c s="63"/>
      <c s="63"/>
      <c s="63"/>
      <c s="63"/>
      <c s="63"/>
    </row>
    <row r="119" spans="1:34" ht="24" customHeight="1">
      <c r="A119" s="63"/>
      <c s="63"/>
      <c s="63"/>
      <c s="63"/>
      <c s="63"/>
      <c s="274"/>
      <c s="275"/>
      <c s="276"/>
      <c s="42"/>
      <c s="274"/>
      <c s="275"/>
      <c s="276"/>
      <c s="63"/>
      <c s="217" t="str">
        <f>VLOOKUP(N118,$T$44:$X300,4,FALSE)</f>
        <v>Use a 1 foot long flat band, place the band around the middle of the foot. Maintain a shoulder width or wider stance and take lateral steps, leading with the edge of the foot. Make sure to step in both directions, left-leading and right-leading. 10-15 meters each direction.</v>
      </c>
      <c r="S119" s="63"/>
      <c s="63"/>
      <c s="63"/>
      <c s="63"/>
      <c s="63"/>
      <c s="63"/>
      <c s="63"/>
      <c s="63"/>
      <c s="63"/>
      <c s="63"/>
      <c s="63"/>
      <c s="63"/>
      <c s="63"/>
      <c s="63"/>
      <c s="63"/>
      <c s="63"/>
    </row>
    <row r="120" spans="1:34" ht="27" customHeight="1">
      <c r="A120" s="63"/>
      <c s="63"/>
      <c s="63"/>
      <c s="63"/>
      <c s="63"/>
      <c s="40" t="s">
        <v>562</v>
      </c>
      <c s="42"/>
      <c s="42"/>
      <c s="42"/>
      <c s="40" t="s">
        <v>562</v>
      </c>
      <c s="42"/>
      <c s="42"/>
      <c s="63"/>
      <c r="S120" s="63"/>
      <c s="63"/>
      <c s="63"/>
      <c s="63"/>
      <c s="63"/>
      <c s="63"/>
      <c s="63"/>
      <c s="63"/>
      <c s="63"/>
      <c s="63"/>
      <c s="63"/>
      <c s="63"/>
      <c s="63"/>
      <c s="63"/>
      <c s="63"/>
      <c s="63"/>
    </row>
    <row r="121" spans="1:34" ht="15.75">
      <c r="A121" s="63"/>
      <c s="63"/>
      <c s="63"/>
      <c s="63"/>
      <c s="63"/>
      <c s="273"/>
      <c s="271"/>
      <c s="272"/>
      <c s="42"/>
      <c s="273"/>
      <c s="271"/>
      <c s="272"/>
      <c s="63"/>
      <c s="190"/>
      <c s="190"/>
      <c s="190"/>
      <c s="190"/>
      <c s="190"/>
      <c s="63"/>
      <c s="63"/>
      <c s="63"/>
      <c s="63"/>
      <c s="63"/>
      <c s="63"/>
      <c s="63"/>
      <c s="63"/>
      <c s="63"/>
      <c s="63"/>
      <c s="63"/>
      <c s="63"/>
      <c s="63"/>
      <c s="63"/>
      <c s="63"/>
      <c s="63"/>
    </row>
    <row r="122" spans="1:34" ht="15.75">
      <c r="A122" s="63"/>
      <c s="63"/>
      <c s="63"/>
      <c s="63"/>
      <c s="63"/>
      <c s="274"/>
      <c s="275"/>
      <c s="276"/>
      <c s="42"/>
      <c s="274"/>
      <c s="275"/>
      <c s="276"/>
      <c s="63"/>
      <c s="242" t="s">
        <v>404</v>
      </c>
      <c r="R122" s="243" t="str">
        <f>HYPERLINK(VLOOKUP(N122,$T$44:$X$116,5,FALSE),"WATCH VIDEO")</f>
        <v>WATCH VIDEO</v>
      </c>
      <c s="63"/>
      <c s="63"/>
      <c s="63"/>
      <c s="63"/>
      <c s="63"/>
      <c s="63"/>
      <c s="63"/>
      <c s="63"/>
      <c s="63"/>
      <c s="63"/>
      <c s="63"/>
      <c s="63"/>
      <c s="63"/>
      <c s="63"/>
      <c s="63"/>
      <c s="63"/>
    </row>
    <row r="123" spans="1:34" ht="15.75">
      <c r="A123" s="63"/>
      <c s="63"/>
      <c s="63"/>
      <c s="63"/>
      <c s="63"/>
      <c s="40" t="s">
        <v>563</v>
      </c>
      <c s="42"/>
      <c s="42"/>
      <c s="42"/>
      <c s="40" t="s">
        <v>563</v>
      </c>
      <c s="42"/>
      <c s="42"/>
      <c s="63"/>
      <c s="217" t="str">
        <f>VLOOKUP(N122,$T$44:$X300,4,FALSE)</f>
        <v>Wrap a theraband or voodoo floss around a post, and get on the floor in a standing kneel. Set the band at belly button height.</v>
      </c>
      <c r="S123" s="63"/>
      <c s="63"/>
      <c s="63"/>
      <c s="63"/>
      <c s="63"/>
      <c s="63"/>
      <c s="63"/>
      <c s="63"/>
      <c s="63"/>
      <c s="63"/>
      <c s="63"/>
      <c s="63"/>
      <c s="63"/>
      <c s="63"/>
      <c s="63"/>
      <c s="63"/>
    </row>
    <row r="124" spans="1:34" ht="15.75">
      <c r="A124" s="63"/>
      <c s="63"/>
      <c s="63"/>
      <c s="63"/>
      <c s="63"/>
      <c s="273"/>
      <c s="271"/>
      <c s="272"/>
      <c s="42"/>
      <c s="273"/>
      <c s="271"/>
      <c s="272"/>
      <c s="63"/>
      <c r="S124" s="63"/>
      <c s="63"/>
      <c s="63"/>
      <c s="63"/>
      <c s="63"/>
      <c s="63"/>
      <c s="63"/>
      <c s="63"/>
      <c s="63"/>
      <c s="63"/>
      <c s="63"/>
      <c s="63"/>
      <c s="63"/>
      <c s="63"/>
      <c s="63"/>
      <c s="63"/>
    </row>
    <row r="125" spans="1:34" ht="15.75">
      <c r="A125" s="63"/>
      <c s="63"/>
      <c s="63"/>
      <c s="63"/>
      <c s="63"/>
      <c s="277"/>
      <c r="H125" s="278"/>
      <c s="42"/>
      <c s="277"/>
      <c r="L125" s="278"/>
      <c s="63"/>
      <c s="190"/>
      <c s="190"/>
      <c s="190"/>
      <c s="190"/>
      <c s="190"/>
      <c s="63"/>
      <c s="63"/>
      <c s="63"/>
      <c s="63"/>
      <c s="63"/>
      <c s="63"/>
      <c s="63"/>
      <c s="63"/>
      <c s="63"/>
      <c s="63"/>
      <c s="63"/>
      <c s="63"/>
      <c s="63"/>
      <c s="63"/>
      <c s="63"/>
      <c s="63"/>
    </row>
    <row r="126" spans="1:34" ht="15.75">
      <c r="A126" s="63"/>
      <c s="63"/>
      <c s="63"/>
      <c s="63"/>
      <c s="63"/>
      <c s="274"/>
      <c s="275"/>
      <c s="276"/>
      <c s="42"/>
      <c s="274"/>
      <c s="275"/>
      <c s="276"/>
      <c s="227">
        <v>7</v>
      </c>
      <c s="229" t="s">
        <v>355</v>
      </c>
      <c s="190"/>
      <c s="190"/>
      <c s="190"/>
      <c s="190"/>
      <c s="63"/>
      <c s="63"/>
      <c s="63"/>
      <c s="63"/>
      <c s="63"/>
      <c s="63"/>
      <c s="63"/>
      <c s="63"/>
      <c s="63"/>
      <c s="63"/>
      <c s="63"/>
      <c s="63"/>
      <c s="63"/>
      <c s="63"/>
      <c s="63"/>
      <c s="63"/>
    </row>
    <row r="127" spans="1:34" ht="18.75" customHeight="1">
      <c r="A127" s="63"/>
      <c s="63"/>
      <c s="63"/>
      <c s="63"/>
      <c s="63"/>
      <c s="40"/>
      <c s="42"/>
      <c s="42"/>
      <c s="42"/>
      <c s="42"/>
      <c s="42"/>
      <c s="279" t="s">
        <v>564</v>
      </c>
      <c s="227"/>
      <c s="231" t="s">
        <v>565</v>
      </c>
      <c s="190"/>
      <c s="190"/>
      <c s="190"/>
      <c s="190"/>
      <c s="63"/>
      <c s="63"/>
      <c s="63"/>
      <c s="63"/>
      <c s="63"/>
      <c s="63"/>
      <c s="63"/>
      <c s="63"/>
      <c s="63"/>
      <c s="63"/>
      <c s="63"/>
      <c s="63"/>
      <c s="63"/>
      <c s="63"/>
      <c s="63"/>
      <c s="63"/>
    </row>
    <row r="128" spans="1:34" ht="19.5" customHeight="1">
      <c r="A128" s="63"/>
      <c s="63"/>
      <c s="63"/>
      <c s="63"/>
      <c s="63"/>
      <c s="42"/>
      <c s="42"/>
      <c s="42"/>
      <c s="42"/>
      <c s="42"/>
      <c s="42"/>
      <c s="42"/>
      <c s="63"/>
      <c s="242" t="s">
        <v>354</v>
      </c>
      <c r="R128" s="243" t="str">
        <f>HYPERLINK(VLOOKUP(N128,$T$44:$X$116,5,FALSE),"WATCH VIDEO")</f>
        <v>WATCH VIDEO</v>
      </c>
      <c s="63"/>
      <c s="63"/>
      <c s="63"/>
      <c s="63"/>
      <c s="63"/>
      <c s="63"/>
      <c s="63"/>
      <c s="63"/>
      <c s="63"/>
      <c s="63"/>
      <c s="63"/>
      <c s="63"/>
      <c s="63"/>
      <c s="63"/>
      <c s="63"/>
      <c s="63"/>
    </row>
    <row r="129" spans="1:34" ht="15.75">
      <c r="A129" s="63"/>
      <c s="63"/>
      <c s="63"/>
      <c s="63"/>
      <c s="63"/>
      <c s="280"/>
      <c s="42"/>
      <c s="42"/>
      <c s="281" t="s">
        <v>566</v>
      </c>
      <c s="42"/>
      <c s="42"/>
      <c s="42"/>
      <c s="63"/>
      <c s="217" t="str">
        <f>VLOOKUP(N128,$T$44:$X300,4,FALSE)</f>
        <v>Take a look at the main lift rep count and load. If reps are 8-10, start with warmup sets at 6-8, then 3-5, then 2-4 until you are ready to begin. If reps are 3-5, start with warmup sets of 6-8, then 2-4, then 1-3, repeating 1-3 until you are within range. For 1-3, start with 3-5, then 1-3, repeating sets until you are within range. Combine with autoregulation to determine the appropriate load and sensible jump sizes.</v>
      </c>
      <c r="S129" s="63"/>
      <c s="63"/>
      <c s="63"/>
      <c s="63"/>
      <c s="63"/>
      <c s="63"/>
      <c s="63"/>
      <c s="63"/>
      <c s="63"/>
      <c s="63"/>
      <c s="63"/>
      <c s="63"/>
      <c s="63"/>
      <c s="63"/>
      <c s="63"/>
      <c s="63"/>
    </row>
    <row r="130" spans="1:34" ht="15.75">
      <c r="A130" s="63"/>
      <c s="63"/>
      <c s="63"/>
      <c s="63"/>
      <c s="63"/>
      <c s="280"/>
      <c s="42"/>
      <c s="42"/>
      <c s="281" t="s">
        <v>567</v>
      </c>
      <c s="42"/>
      <c s="42"/>
      <c s="42"/>
      <c s="63"/>
      <c r="S130" s="63"/>
      <c s="63"/>
      <c s="63"/>
      <c s="63"/>
      <c s="63"/>
      <c s="63"/>
      <c s="63"/>
      <c s="63"/>
      <c s="63"/>
      <c s="63"/>
      <c s="63"/>
      <c s="63"/>
      <c s="63"/>
      <c s="63"/>
      <c s="63"/>
      <c s="63"/>
    </row>
    <row r="131" spans="1:34" ht="15.75">
      <c r="A131" s="63"/>
      <c s="63"/>
      <c s="63"/>
      <c s="63"/>
      <c s="63"/>
      <c s="280"/>
      <c s="42"/>
      <c s="42"/>
      <c s="282"/>
      <c s="42"/>
      <c s="42"/>
      <c s="42"/>
      <c s="63"/>
      <c r="S131" s="63"/>
      <c s="63"/>
      <c s="63"/>
      <c s="63"/>
      <c s="63"/>
      <c s="63"/>
      <c s="63"/>
      <c s="63"/>
      <c s="63"/>
      <c s="63"/>
      <c s="63"/>
      <c s="63"/>
      <c s="63"/>
      <c s="63"/>
      <c s="63"/>
      <c s="63"/>
    </row>
    <row r="132" spans="1:34" ht="15.75">
      <c r="A132" s="63"/>
      <c s="63"/>
      <c s="63"/>
      <c s="63"/>
      <c s="63"/>
      <c s="42"/>
      <c s="42"/>
      <c s="42"/>
      <c s="42"/>
      <c s="42"/>
      <c s="42"/>
      <c s="42"/>
      <c s="63"/>
      <c r="S132" s="63"/>
      <c s="63"/>
      <c s="63"/>
      <c s="63"/>
      <c s="63"/>
      <c s="63"/>
      <c s="63"/>
      <c s="63"/>
      <c s="63"/>
      <c s="63"/>
      <c s="63"/>
      <c s="63"/>
      <c s="63"/>
      <c s="63"/>
      <c s="63"/>
      <c s="63"/>
    </row>
    <row r="133" spans="1:34" ht="15.75">
      <c r="A133" s="63"/>
      <c s="63"/>
      <c s="63"/>
      <c s="63"/>
      <c s="63"/>
      <c s="63"/>
      <c s="63"/>
      <c s="63"/>
      <c s="63"/>
      <c s="63"/>
      <c s="63"/>
      <c s="63"/>
      <c s="63"/>
      <c r="S133" s="63"/>
      <c s="63"/>
      <c s="63"/>
      <c s="63"/>
      <c s="63"/>
      <c s="63"/>
      <c s="63"/>
      <c s="63"/>
      <c s="63"/>
      <c s="63"/>
      <c s="63"/>
      <c s="63"/>
      <c s="63"/>
      <c s="63"/>
      <c s="63"/>
      <c s="63"/>
    </row>
    <row r="134" spans="1:34" ht="18" customHeight="1">
      <c r="A134" s="63"/>
      <c s="63"/>
      <c s="63"/>
      <c s="63"/>
      <c s="63"/>
      <c s="283"/>
      <c s="283"/>
      <c s="283"/>
      <c s="283"/>
      <c s="283"/>
      <c s="283"/>
      <c s="283"/>
      <c s="283"/>
      <c s="283"/>
      <c s="283"/>
      <c s="283"/>
      <c s="284"/>
      <c s="284"/>
      <c s="63"/>
      <c s="63"/>
      <c s="63"/>
      <c s="63"/>
      <c s="63"/>
      <c s="63"/>
      <c s="63"/>
      <c s="63"/>
      <c s="63"/>
      <c s="63"/>
      <c s="63"/>
      <c s="63"/>
      <c s="63"/>
      <c s="63"/>
      <c s="63"/>
      <c s="63"/>
    </row>
    <row r="135" spans="1:34" ht="18" customHeight="1">
      <c r="A135" s="63"/>
      <c s="63"/>
      <c s="63"/>
      <c s="63"/>
      <c s="63"/>
      <c s="283"/>
      <c s="283"/>
      <c s="283"/>
      <c s="283"/>
      <c s="283"/>
      <c s="283"/>
      <c s="283"/>
      <c s="283"/>
      <c s="283"/>
      <c s="283"/>
      <c s="283"/>
      <c s="284"/>
      <c s="284"/>
      <c s="63"/>
      <c s="63"/>
      <c s="63"/>
      <c s="63"/>
      <c s="63"/>
      <c s="63"/>
      <c s="63"/>
      <c s="63"/>
      <c s="63"/>
      <c s="63"/>
      <c s="63"/>
      <c s="63"/>
      <c s="63"/>
      <c s="63"/>
      <c s="63"/>
      <c s="63"/>
    </row>
    <row r="136" spans="1:34" ht="15.75">
      <c r="A136" s="63"/>
      <c s="63"/>
      <c s="63"/>
      <c s="63"/>
      <c s="63"/>
      <c s="283"/>
      <c s="283"/>
      <c s="283"/>
      <c s="283"/>
      <c s="283"/>
      <c s="283"/>
      <c s="283"/>
      <c s="283"/>
      <c s="283"/>
      <c s="283"/>
      <c s="283"/>
      <c s="284"/>
      <c s="284"/>
      <c s="63"/>
      <c s="63"/>
      <c s="63"/>
      <c s="63"/>
      <c s="63"/>
      <c s="63"/>
      <c s="63"/>
      <c s="63"/>
      <c s="63"/>
      <c s="63"/>
      <c s="63"/>
      <c s="63"/>
      <c s="63"/>
      <c s="63"/>
      <c s="63"/>
      <c s="63"/>
    </row>
    <row r="137" spans="1:34" ht="15.75">
      <c r="A137" s="63"/>
      <c s="63"/>
      <c s="63"/>
      <c s="63"/>
      <c s="63"/>
      <c s="283"/>
      <c s="283"/>
      <c s="283"/>
      <c s="283"/>
      <c s="283"/>
      <c s="283"/>
      <c s="283"/>
      <c s="283"/>
      <c s="283"/>
      <c s="283"/>
      <c s="283"/>
      <c s="284"/>
      <c s="284"/>
      <c s="63"/>
      <c s="63"/>
      <c s="63"/>
      <c s="63"/>
      <c s="63"/>
      <c s="63"/>
      <c s="63"/>
      <c s="63"/>
      <c s="63"/>
      <c s="63"/>
      <c s="63"/>
      <c s="63"/>
      <c s="63"/>
      <c s="63"/>
      <c s="63"/>
      <c s="63"/>
    </row>
    <row r="138" spans="1:34" ht="15.75">
      <c r="A138" s="63"/>
      <c s="63"/>
      <c s="63"/>
      <c s="63"/>
      <c s="63"/>
      <c s="283"/>
      <c s="283"/>
      <c s="283"/>
      <c s="283"/>
      <c s="283"/>
      <c s="283"/>
      <c s="283"/>
      <c s="283"/>
      <c s="283"/>
      <c s="283"/>
      <c s="283"/>
      <c s="284"/>
      <c s="284"/>
      <c s="63"/>
      <c s="63"/>
      <c s="63"/>
      <c s="63"/>
      <c s="63"/>
      <c s="63"/>
      <c s="63"/>
      <c s="63"/>
      <c s="63"/>
      <c s="63"/>
      <c s="63"/>
      <c s="63"/>
      <c s="63"/>
      <c s="63"/>
      <c s="63"/>
      <c s="63"/>
    </row>
    <row r="139" spans="1:34" ht="15.75">
      <c r="A139" s="63"/>
      <c s="63"/>
      <c s="63"/>
      <c s="63"/>
      <c s="63"/>
      <c s="283"/>
      <c s="283"/>
      <c s="283"/>
      <c s="283"/>
      <c s="283"/>
      <c s="283"/>
      <c s="283"/>
      <c s="283"/>
      <c s="283"/>
      <c s="283"/>
      <c s="283"/>
      <c s="284"/>
      <c s="284"/>
      <c s="63"/>
      <c s="63"/>
      <c s="63"/>
      <c s="63"/>
      <c s="63"/>
      <c s="63"/>
      <c s="63"/>
      <c s="63"/>
      <c s="63"/>
      <c s="63"/>
      <c s="63"/>
      <c s="63"/>
      <c s="63"/>
      <c s="63"/>
      <c s="63"/>
      <c s="63"/>
    </row>
    <row r="140" spans="1:34" ht="15.75">
      <c r="A140" s="63"/>
      <c s="63"/>
      <c s="63"/>
      <c s="63"/>
      <c s="63"/>
      <c s="283"/>
      <c s="283"/>
      <c s="283"/>
      <c s="283"/>
      <c s="283"/>
      <c s="283"/>
      <c s="283"/>
      <c s="283"/>
      <c s="283"/>
      <c s="283"/>
      <c s="283"/>
      <c s="284"/>
      <c s="284"/>
      <c s="63"/>
      <c s="63"/>
      <c s="63"/>
      <c s="63"/>
      <c s="63"/>
      <c s="63"/>
      <c s="63"/>
      <c s="63"/>
      <c s="63"/>
      <c s="63"/>
      <c s="63"/>
      <c s="63"/>
      <c s="63"/>
      <c s="63"/>
      <c s="63"/>
      <c s="63"/>
    </row>
    <row r="141" spans="1:34" ht="15.75">
      <c r="A141" s="63"/>
      <c s="63"/>
      <c s="63"/>
      <c s="63"/>
      <c s="63"/>
      <c s="283"/>
      <c s="283"/>
      <c s="283"/>
      <c s="283"/>
      <c s="283"/>
      <c s="283"/>
      <c s="283"/>
      <c s="283"/>
      <c s="283"/>
      <c s="283"/>
      <c s="283"/>
      <c s="284"/>
      <c s="284"/>
      <c s="63"/>
      <c s="63"/>
      <c s="63"/>
      <c s="63"/>
      <c s="63"/>
      <c s="63"/>
      <c s="63"/>
      <c s="63"/>
      <c s="63"/>
      <c s="63"/>
      <c s="63"/>
      <c s="63"/>
      <c s="63"/>
      <c s="63"/>
      <c s="63"/>
      <c s="63"/>
    </row>
    <row r="142" spans="1:34" ht="15.75">
      <c r="A142" s="63"/>
      <c s="63"/>
      <c s="63"/>
      <c s="63"/>
      <c s="63"/>
      <c s="63"/>
      <c s="63"/>
      <c s="63"/>
      <c s="63"/>
      <c s="63"/>
      <c s="63"/>
      <c s="63"/>
      <c s="63"/>
      <c s="63"/>
      <c s="63"/>
      <c s="63"/>
      <c s="110"/>
      <c s="110"/>
      <c s="63"/>
      <c s="63"/>
      <c s="63"/>
      <c s="63"/>
      <c s="63"/>
      <c s="63"/>
      <c s="63"/>
      <c s="63"/>
      <c s="63"/>
      <c s="63"/>
      <c s="63"/>
      <c s="63"/>
      <c s="63"/>
      <c s="63"/>
      <c s="63"/>
      <c s="63"/>
    </row>
    <row r="143" spans="1:34" ht="15.75">
      <c r="A143" s="63"/>
      <c s="63"/>
      <c s="63"/>
      <c s="63"/>
      <c s="63"/>
      <c s="63"/>
      <c s="63"/>
      <c s="63"/>
      <c s="63"/>
      <c s="63"/>
      <c s="63"/>
      <c s="63"/>
      <c s="63"/>
      <c s="63"/>
      <c s="63"/>
      <c s="63"/>
      <c s="110"/>
      <c s="110"/>
      <c s="63"/>
      <c s="63"/>
      <c s="63"/>
      <c s="63"/>
      <c s="63"/>
      <c s="63"/>
      <c s="63"/>
      <c s="63"/>
      <c s="63"/>
      <c s="63"/>
      <c s="63"/>
      <c s="63"/>
      <c s="63"/>
      <c s="63"/>
      <c s="63"/>
      <c s="63"/>
    </row>
    <row r="144" spans="1:34" ht="15.75">
      <c r="A144" s="63"/>
      <c s="63"/>
      <c s="63"/>
      <c s="63"/>
      <c s="63"/>
      <c s="63"/>
      <c s="63"/>
      <c s="63"/>
      <c s="63"/>
      <c s="63"/>
      <c s="63"/>
      <c s="63"/>
      <c s="63"/>
      <c s="63"/>
      <c s="63"/>
      <c s="63"/>
      <c s="63"/>
      <c s="63"/>
      <c s="63"/>
      <c s="63"/>
      <c s="63"/>
      <c s="63"/>
      <c s="63"/>
      <c s="63"/>
      <c s="63"/>
      <c s="63"/>
      <c s="63"/>
      <c s="63"/>
      <c s="63"/>
      <c s="63"/>
      <c s="63"/>
      <c s="63"/>
      <c s="63"/>
      <c s="63"/>
    </row>
    <row r="145" spans="1:34" ht="15.75">
      <c r="A145" s="63"/>
      <c s="63"/>
      <c s="63"/>
      <c s="63"/>
      <c s="63"/>
      <c s="63"/>
      <c s="63"/>
      <c s="63"/>
      <c s="63"/>
      <c s="63"/>
      <c s="63"/>
      <c s="63"/>
      <c s="63"/>
      <c s="63"/>
      <c s="63"/>
      <c s="63"/>
      <c s="63"/>
      <c s="63"/>
      <c s="63"/>
      <c s="63"/>
      <c s="63"/>
      <c s="63"/>
      <c s="63"/>
      <c s="63"/>
      <c s="63"/>
      <c s="63"/>
      <c s="63"/>
      <c s="63"/>
      <c s="63"/>
      <c s="63"/>
      <c s="63"/>
      <c s="63"/>
      <c s="63"/>
      <c s="63"/>
    </row>
    <row r="146" spans="1:34" ht="15.75">
      <c r="A146" s="63"/>
      <c s="63"/>
      <c s="63"/>
      <c s="63"/>
      <c s="63"/>
      <c s="63"/>
      <c s="63"/>
      <c s="63"/>
      <c s="63"/>
      <c s="63"/>
      <c s="63"/>
      <c s="63"/>
      <c s="63"/>
      <c s="63"/>
      <c s="63"/>
      <c s="63"/>
      <c s="63"/>
      <c s="63"/>
      <c s="63"/>
      <c s="63"/>
      <c s="63"/>
      <c s="63"/>
      <c s="63"/>
      <c s="63"/>
      <c s="63"/>
      <c s="63"/>
      <c s="63"/>
      <c s="63"/>
      <c s="63"/>
      <c s="63"/>
      <c s="63"/>
      <c s="63"/>
      <c s="63"/>
      <c s="63"/>
    </row>
    <row r="147" spans="1:34" ht="15.75">
      <c r="A147" s="63"/>
      <c s="63"/>
      <c s="63"/>
      <c s="63"/>
      <c s="63"/>
      <c s="63"/>
      <c s="63"/>
      <c s="63"/>
      <c s="63"/>
      <c s="63"/>
      <c s="63"/>
      <c s="63"/>
      <c s="63"/>
      <c s="63"/>
      <c s="63"/>
      <c s="63"/>
      <c s="63"/>
      <c s="63"/>
      <c s="63"/>
      <c s="63"/>
      <c s="63"/>
      <c s="63"/>
      <c s="63"/>
      <c s="63"/>
      <c s="63"/>
      <c s="63"/>
      <c s="63"/>
      <c s="63"/>
      <c s="63"/>
      <c s="63"/>
      <c s="63"/>
      <c s="63"/>
      <c s="63"/>
      <c s="63"/>
    </row>
    <row r="148" spans="1:34" ht="15.75">
      <c r="A148" s="63"/>
      <c s="63"/>
      <c s="63"/>
      <c s="63"/>
      <c s="63"/>
      <c s="63"/>
      <c s="63"/>
      <c s="63"/>
      <c s="63"/>
      <c s="63"/>
      <c s="63"/>
      <c s="63"/>
      <c s="63"/>
      <c s="63"/>
      <c s="63"/>
      <c s="63"/>
      <c s="63"/>
      <c s="63"/>
      <c s="63"/>
      <c s="63"/>
      <c s="63"/>
      <c s="63"/>
      <c s="63"/>
      <c s="63"/>
      <c s="63"/>
      <c s="63"/>
      <c s="63"/>
      <c s="63"/>
      <c s="63"/>
      <c s="63"/>
      <c s="63"/>
      <c s="63"/>
      <c s="63"/>
      <c s="63"/>
    </row>
    <row r="149" spans="1:34" ht="15.75">
      <c r="A149" s="63"/>
      <c s="63"/>
      <c s="63"/>
      <c s="63"/>
      <c s="63"/>
      <c s="63"/>
      <c s="63"/>
      <c s="63"/>
      <c s="63"/>
      <c s="63"/>
      <c s="63"/>
      <c s="63"/>
      <c s="63"/>
      <c s="63"/>
      <c s="63"/>
      <c s="63"/>
      <c s="63"/>
      <c s="63"/>
      <c s="63"/>
      <c s="63"/>
      <c s="63"/>
      <c s="63"/>
      <c s="63"/>
      <c s="63"/>
      <c s="63"/>
      <c s="63"/>
      <c s="63"/>
      <c s="63"/>
      <c s="63"/>
      <c s="63"/>
      <c s="63"/>
      <c s="63"/>
      <c s="63"/>
      <c s="63"/>
    </row>
    <row r="150" spans="1:34" ht="15.75">
      <c r="A150" s="63"/>
      <c s="63"/>
      <c s="63"/>
      <c s="63"/>
      <c s="63"/>
      <c s="63"/>
      <c s="63"/>
      <c s="63"/>
      <c s="63"/>
      <c s="63"/>
      <c s="63"/>
      <c s="63"/>
      <c s="63"/>
      <c s="63"/>
      <c s="63"/>
      <c s="63"/>
      <c s="63"/>
      <c s="63"/>
      <c s="63"/>
      <c s="63"/>
      <c s="63"/>
      <c s="63"/>
      <c s="63"/>
      <c s="63"/>
      <c s="63"/>
      <c s="63"/>
      <c s="63"/>
      <c s="63"/>
      <c s="63"/>
      <c s="63"/>
      <c s="63"/>
      <c s="63"/>
      <c s="63"/>
      <c s="63"/>
    </row>
    <row r="151" spans="1:34" ht="15.75">
      <c r="A151" s="63"/>
      <c s="63"/>
      <c s="63"/>
      <c s="63"/>
      <c s="63"/>
      <c s="63"/>
      <c s="63"/>
      <c s="63"/>
      <c s="63"/>
      <c s="63"/>
      <c s="63"/>
      <c s="63"/>
      <c s="63"/>
      <c s="63"/>
      <c s="63"/>
      <c s="63"/>
      <c s="63"/>
      <c s="63"/>
      <c s="63"/>
      <c s="63"/>
      <c s="63"/>
      <c s="63"/>
      <c s="63"/>
      <c s="63"/>
      <c s="63"/>
      <c s="63"/>
      <c s="63"/>
      <c s="63"/>
      <c s="63"/>
      <c s="63"/>
      <c s="63"/>
      <c s="63"/>
      <c s="63"/>
      <c s="63"/>
    </row>
    <row r="152" spans="1:34" ht="15.75">
      <c r="A152" s="63"/>
      <c s="63"/>
      <c s="63"/>
      <c s="63"/>
      <c s="63"/>
      <c s="63"/>
      <c s="63"/>
      <c s="63"/>
      <c s="63"/>
      <c s="63"/>
      <c s="63"/>
      <c s="63"/>
      <c s="63"/>
      <c s="63"/>
      <c s="63"/>
      <c s="63"/>
      <c s="63"/>
      <c s="63"/>
      <c s="63"/>
      <c s="63"/>
      <c s="63"/>
      <c s="63"/>
      <c s="63"/>
      <c s="63"/>
      <c s="63"/>
      <c s="63"/>
      <c s="63"/>
      <c s="63"/>
      <c s="63"/>
      <c s="63"/>
      <c s="63"/>
      <c s="63"/>
      <c s="63"/>
      <c s="63"/>
    </row>
    <row r="153" spans="1:34" ht="15.75">
      <c r="A153" s="63"/>
      <c s="63"/>
      <c s="63"/>
      <c s="63"/>
      <c s="63"/>
      <c s="63"/>
      <c s="63"/>
      <c s="63"/>
      <c s="63"/>
      <c s="63"/>
      <c s="63"/>
      <c s="63"/>
      <c s="63"/>
      <c s="63"/>
      <c s="63"/>
      <c s="63"/>
      <c s="63"/>
      <c s="63"/>
      <c s="63"/>
      <c s="63"/>
      <c s="63"/>
      <c s="63"/>
      <c s="63"/>
      <c s="63"/>
      <c s="63"/>
      <c s="63"/>
      <c s="63"/>
      <c s="63"/>
      <c s="63"/>
      <c s="63"/>
      <c s="63"/>
      <c s="63"/>
      <c s="63"/>
      <c s="63"/>
    </row>
    <row r="154" spans="1:34" ht="15.75">
      <c r="A154" s="63"/>
      <c s="63"/>
      <c s="63"/>
      <c s="63"/>
      <c s="63"/>
      <c s="63"/>
      <c s="63"/>
      <c s="63"/>
      <c s="63"/>
      <c s="63"/>
      <c s="63"/>
      <c s="63"/>
      <c s="63"/>
      <c s="63"/>
      <c s="63"/>
      <c s="63"/>
      <c s="63"/>
      <c s="63"/>
      <c s="63"/>
      <c s="63"/>
      <c s="63"/>
      <c s="63"/>
      <c s="63"/>
      <c s="63"/>
      <c s="63"/>
      <c s="63"/>
      <c s="63"/>
      <c s="63"/>
      <c s="63"/>
      <c s="63"/>
      <c s="63"/>
      <c s="63"/>
      <c s="63"/>
      <c s="63"/>
    </row>
    <row r="155" spans="1:34" ht="15.75">
      <c r="A155" s="63"/>
      <c s="63"/>
      <c s="63"/>
      <c s="63"/>
      <c s="63"/>
      <c s="63"/>
      <c s="63"/>
      <c s="63"/>
      <c s="63"/>
      <c s="63"/>
      <c s="63"/>
      <c s="63"/>
      <c s="63"/>
      <c s="63"/>
      <c s="63"/>
      <c s="63"/>
      <c s="63"/>
      <c s="63"/>
      <c s="63"/>
      <c s="63"/>
      <c s="63"/>
      <c s="63"/>
      <c s="63"/>
      <c s="63"/>
      <c s="63"/>
      <c s="63"/>
      <c s="63"/>
      <c s="63"/>
      <c s="63"/>
      <c s="63"/>
      <c s="63"/>
      <c s="63"/>
      <c s="63"/>
      <c s="63"/>
    </row>
    <row r="156" spans="1:34" ht="15.75">
      <c r="A156" s="63"/>
      <c s="63"/>
      <c s="63"/>
      <c s="63"/>
      <c s="63"/>
      <c s="63"/>
      <c s="63"/>
      <c s="63"/>
      <c s="63"/>
      <c s="63"/>
      <c s="63"/>
      <c s="63"/>
      <c s="63"/>
      <c s="63"/>
      <c s="63"/>
      <c s="63"/>
      <c s="63"/>
      <c s="63"/>
      <c s="63"/>
      <c s="63"/>
      <c s="63"/>
      <c s="63"/>
      <c s="63"/>
      <c s="63"/>
      <c s="63"/>
      <c s="63"/>
      <c s="63"/>
      <c s="63"/>
      <c s="63"/>
      <c s="63"/>
      <c s="63"/>
      <c s="63"/>
      <c s="63"/>
      <c s="63"/>
    </row>
    <row r="157" spans="1:34" ht="15.75">
      <c r="A157" s="63"/>
      <c s="63"/>
      <c s="63"/>
      <c s="63"/>
      <c s="63"/>
      <c s="63"/>
      <c s="63"/>
      <c s="63"/>
      <c s="63"/>
      <c s="63"/>
      <c s="63"/>
      <c s="63"/>
      <c s="63"/>
      <c s="63"/>
      <c s="63"/>
      <c s="63"/>
      <c s="63"/>
      <c s="63"/>
      <c s="63"/>
      <c s="63"/>
      <c s="63"/>
      <c s="63"/>
      <c s="63"/>
      <c s="63"/>
      <c s="63"/>
      <c s="63"/>
      <c s="63"/>
      <c s="63"/>
      <c s="63"/>
      <c s="63"/>
      <c s="63"/>
      <c s="63"/>
      <c s="63"/>
      <c s="63"/>
    </row>
    <row r="158" spans="1:34" ht="15.75">
      <c r="A158" s="63"/>
      <c s="63"/>
      <c s="63"/>
      <c s="63"/>
      <c s="63"/>
      <c s="63"/>
      <c s="63"/>
      <c s="63"/>
      <c s="63"/>
      <c s="63"/>
      <c s="63"/>
      <c s="63"/>
      <c s="63"/>
      <c s="63"/>
      <c s="63"/>
      <c s="63"/>
      <c s="63"/>
      <c s="63"/>
      <c s="63"/>
      <c s="63"/>
      <c s="63"/>
      <c s="63"/>
      <c s="63"/>
      <c s="63"/>
      <c s="63"/>
      <c s="63"/>
      <c s="63"/>
      <c s="63"/>
      <c s="63"/>
      <c s="63"/>
      <c s="63"/>
      <c s="63"/>
      <c s="63"/>
      <c s="63"/>
    </row>
    <row r="159" spans="1:34" ht="15.75">
      <c r="A159" s="63"/>
      <c s="63"/>
      <c s="63"/>
      <c s="63"/>
      <c s="63"/>
      <c s="63"/>
      <c s="63"/>
      <c s="63"/>
      <c s="63"/>
      <c s="63"/>
      <c s="63"/>
      <c s="63"/>
      <c s="63"/>
      <c s="63"/>
      <c s="63"/>
      <c s="63"/>
      <c s="63"/>
      <c s="63"/>
      <c s="63"/>
      <c s="63"/>
      <c s="63"/>
      <c s="63"/>
      <c s="63"/>
      <c s="63"/>
      <c s="63"/>
      <c s="63"/>
      <c s="63"/>
      <c s="63"/>
      <c s="63"/>
      <c s="63"/>
      <c s="63"/>
      <c s="63"/>
      <c s="63"/>
      <c s="63"/>
    </row>
    <row r="160" spans="1:34" ht="15.75">
      <c r="A160" s="63"/>
      <c s="63"/>
      <c s="63"/>
      <c s="63"/>
      <c s="63"/>
      <c s="63"/>
      <c s="63"/>
      <c s="63"/>
      <c s="63"/>
      <c s="63"/>
      <c s="63"/>
      <c s="63"/>
      <c s="63"/>
      <c s="63"/>
      <c s="63"/>
      <c s="63"/>
      <c s="63"/>
      <c s="63"/>
      <c s="63"/>
      <c s="63"/>
      <c s="63"/>
      <c s="63"/>
      <c s="63"/>
      <c s="63"/>
      <c s="63"/>
      <c s="63"/>
      <c s="63"/>
      <c s="63"/>
      <c s="63"/>
      <c s="63"/>
      <c s="63"/>
      <c s="63"/>
      <c s="63"/>
      <c s="63"/>
    </row>
    <row r="161" spans="1:34" ht="15.75">
      <c r="A161" s="63"/>
      <c s="63"/>
      <c s="63"/>
      <c s="63"/>
      <c s="63"/>
      <c s="63"/>
      <c s="63"/>
      <c s="63"/>
      <c s="63"/>
      <c s="63"/>
      <c s="63"/>
      <c s="63"/>
      <c s="63"/>
      <c s="63"/>
      <c s="63"/>
      <c s="63"/>
      <c s="63"/>
      <c s="63"/>
      <c s="63"/>
      <c s="63"/>
      <c s="63"/>
      <c s="63"/>
      <c s="63"/>
      <c s="63"/>
      <c s="63"/>
      <c s="63"/>
      <c s="63"/>
      <c s="63"/>
      <c s="63"/>
      <c s="63"/>
      <c s="63"/>
      <c s="63"/>
      <c s="63"/>
      <c s="63"/>
    </row>
    <row r="162" spans="1:34" ht="15.75">
      <c r="A162" s="63"/>
      <c s="63"/>
      <c s="63"/>
      <c s="63"/>
      <c s="63"/>
      <c s="63"/>
      <c s="63"/>
      <c s="63"/>
      <c s="63"/>
      <c s="63"/>
      <c s="63"/>
      <c s="63"/>
      <c s="63"/>
      <c s="63"/>
      <c s="63"/>
      <c s="63"/>
      <c s="63"/>
      <c s="63"/>
      <c s="63"/>
      <c s="63"/>
      <c s="63"/>
      <c s="63"/>
      <c s="63"/>
      <c s="63"/>
      <c s="63"/>
      <c s="63"/>
      <c s="63"/>
      <c s="63"/>
      <c s="63"/>
      <c s="63"/>
      <c s="63"/>
      <c s="63"/>
      <c s="63"/>
      <c s="63"/>
    </row>
    <row r="163" spans="1:34" ht="15.75">
      <c r="A163" s="63"/>
      <c s="63"/>
      <c s="63"/>
      <c s="63"/>
      <c s="63"/>
      <c s="63"/>
      <c s="63"/>
      <c s="63"/>
      <c s="63"/>
      <c s="63"/>
      <c s="63"/>
      <c s="63"/>
      <c s="63"/>
      <c s="63"/>
      <c s="63"/>
      <c s="63"/>
      <c s="63"/>
      <c s="63"/>
      <c s="63"/>
      <c s="63"/>
      <c s="63"/>
      <c s="63"/>
      <c s="63"/>
      <c s="63"/>
      <c s="63"/>
      <c s="63"/>
      <c s="63"/>
      <c s="63"/>
      <c s="63"/>
      <c s="63"/>
      <c s="63"/>
      <c s="63"/>
      <c s="63"/>
      <c s="63"/>
    </row>
    <row r="164" spans="1:34" ht="15.75">
      <c r="A164" s="63"/>
      <c s="63"/>
      <c s="63"/>
      <c s="63"/>
      <c s="63"/>
      <c s="63"/>
      <c s="63"/>
      <c s="63"/>
      <c s="63"/>
      <c s="63"/>
      <c s="63"/>
      <c s="63"/>
      <c s="63"/>
      <c s="63"/>
      <c s="63"/>
      <c s="63"/>
      <c s="63"/>
      <c s="63"/>
      <c s="63"/>
      <c s="63"/>
      <c s="63"/>
      <c s="63"/>
      <c s="63"/>
      <c s="63"/>
      <c s="63"/>
      <c s="63"/>
      <c s="63"/>
      <c s="63"/>
      <c s="63"/>
      <c s="63"/>
      <c s="63"/>
      <c s="63"/>
      <c s="63"/>
      <c s="63"/>
    </row>
    <row r="165" spans="1:34" ht="15.75">
      <c r="A165" s="63"/>
      <c s="63"/>
      <c s="63"/>
      <c s="63"/>
      <c s="63"/>
      <c s="63"/>
      <c s="63"/>
      <c s="63"/>
      <c s="63"/>
      <c s="63"/>
      <c s="63"/>
      <c s="63"/>
      <c s="63"/>
      <c s="63"/>
      <c s="63"/>
      <c s="63"/>
      <c s="63"/>
      <c s="63"/>
      <c s="63"/>
      <c s="63"/>
      <c s="63"/>
      <c s="63"/>
      <c s="63"/>
      <c s="63"/>
      <c s="63"/>
      <c s="63"/>
      <c s="63"/>
      <c s="63"/>
      <c s="63"/>
      <c s="63"/>
      <c s="63"/>
      <c s="63"/>
      <c s="63"/>
      <c s="63"/>
    </row>
    <row r="166" spans="1:34" ht="15.75">
      <c r="A166" s="63"/>
      <c s="63"/>
      <c s="63"/>
      <c s="63"/>
      <c s="63"/>
      <c s="63"/>
      <c s="63"/>
      <c s="63"/>
      <c s="63"/>
      <c s="63"/>
      <c s="63"/>
      <c s="63"/>
      <c s="63"/>
      <c s="63"/>
      <c s="63"/>
      <c s="63"/>
      <c s="63"/>
      <c s="63"/>
      <c s="63"/>
      <c s="63"/>
      <c s="63"/>
      <c s="63"/>
      <c s="63"/>
      <c s="63"/>
      <c s="63"/>
      <c s="63"/>
      <c s="63"/>
      <c s="63"/>
      <c s="63"/>
      <c s="63"/>
      <c s="63"/>
      <c s="63"/>
      <c s="63"/>
      <c s="63"/>
    </row>
    <row r="167" spans="1:34" ht="15.75">
      <c r="A167" s="63"/>
      <c s="63"/>
      <c s="63"/>
      <c s="63"/>
      <c s="63"/>
      <c s="63"/>
      <c s="63"/>
      <c s="63"/>
      <c s="63"/>
      <c s="63"/>
      <c s="63"/>
      <c s="63"/>
      <c s="63"/>
      <c s="63"/>
      <c s="63"/>
      <c s="63"/>
      <c s="63"/>
      <c s="63"/>
      <c s="63"/>
      <c s="63"/>
      <c s="63"/>
      <c s="63"/>
      <c s="63"/>
      <c s="63"/>
      <c s="63"/>
      <c s="63"/>
      <c s="63"/>
      <c s="63"/>
      <c s="63"/>
      <c s="63"/>
      <c s="63"/>
      <c s="63"/>
      <c s="63"/>
      <c s="63"/>
    </row>
    <row r="168" spans="1:34" ht="15.75">
      <c r="A168" s="63"/>
      <c s="63"/>
      <c s="63"/>
      <c s="63"/>
      <c s="63"/>
      <c s="63"/>
      <c s="63"/>
      <c s="63"/>
      <c s="63"/>
      <c s="63"/>
      <c s="63"/>
      <c s="63"/>
      <c s="63"/>
      <c s="63"/>
      <c s="63"/>
      <c s="63"/>
      <c s="63"/>
      <c s="63"/>
      <c s="63"/>
      <c s="63"/>
      <c s="63"/>
      <c s="63"/>
      <c s="63"/>
      <c s="63"/>
      <c s="63"/>
      <c s="63"/>
      <c s="63"/>
      <c s="63"/>
      <c s="63"/>
      <c s="63"/>
      <c s="63"/>
      <c s="63"/>
      <c s="63"/>
      <c s="63"/>
    </row>
    <row r="169" spans="1:34" ht="15.75">
      <c r="A169" s="63"/>
      <c s="63"/>
      <c s="63"/>
      <c s="63"/>
      <c s="63"/>
      <c s="63"/>
      <c s="63"/>
      <c s="63"/>
      <c s="63"/>
      <c s="63"/>
      <c s="63"/>
      <c s="63"/>
      <c s="63"/>
      <c s="63"/>
      <c s="63"/>
      <c s="63"/>
      <c s="63"/>
      <c s="63"/>
      <c s="63"/>
      <c s="63"/>
      <c s="63"/>
      <c s="63"/>
      <c s="63"/>
      <c s="63"/>
      <c s="63"/>
      <c s="63"/>
      <c s="63"/>
      <c s="63"/>
      <c s="63"/>
      <c s="63"/>
      <c s="63"/>
      <c s="63"/>
      <c s="63"/>
      <c s="63"/>
    </row>
    <row r="170" spans="1:34" ht="15.75">
      <c r="A170" s="63"/>
      <c s="63"/>
      <c s="63"/>
      <c s="63"/>
      <c s="63"/>
      <c s="63"/>
      <c s="63"/>
      <c s="63"/>
      <c s="63"/>
      <c s="63"/>
      <c s="63"/>
      <c s="63"/>
      <c s="63"/>
      <c s="63"/>
      <c s="63"/>
      <c s="63"/>
      <c s="63"/>
      <c s="63"/>
      <c s="63"/>
      <c s="63"/>
      <c s="63"/>
      <c s="63"/>
      <c s="63"/>
      <c s="63"/>
      <c s="63"/>
      <c s="63"/>
      <c s="63"/>
      <c s="63"/>
      <c s="63"/>
      <c s="63"/>
      <c s="63"/>
      <c s="63"/>
      <c s="63"/>
      <c s="63"/>
    </row>
    <row r="171" spans="1:34" ht="15.75">
      <c r="A171" s="63"/>
      <c s="63"/>
      <c s="63"/>
      <c s="63"/>
      <c s="63"/>
      <c s="63"/>
      <c s="63"/>
      <c s="63"/>
      <c s="63"/>
      <c s="63"/>
      <c s="63"/>
      <c s="63"/>
      <c s="63"/>
      <c s="63"/>
      <c s="63"/>
      <c s="63"/>
      <c s="63"/>
      <c s="63"/>
      <c s="63"/>
      <c s="63"/>
      <c s="63"/>
      <c s="63"/>
      <c s="63"/>
      <c s="63"/>
      <c s="63"/>
      <c s="63"/>
      <c s="63"/>
      <c s="63"/>
      <c s="63"/>
      <c s="63"/>
      <c s="63"/>
      <c s="63"/>
      <c s="63"/>
      <c s="63"/>
    </row>
    <row r="172" spans="1:34" ht="15.75">
      <c r="A172" s="63"/>
      <c s="63"/>
      <c s="63"/>
      <c s="63"/>
      <c s="63"/>
      <c s="63"/>
      <c s="63"/>
      <c s="63"/>
      <c s="63"/>
      <c s="63"/>
      <c s="63"/>
      <c s="63"/>
      <c s="63"/>
      <c s="63"/>
      <c s="63"/>
      <c s="63"/>
      <c s="63"/>
      <c s="63"/>
      <c s="63"/>
      <c s="63"/>
      <c s="63"/>
      <c s="63"/>
      <c s="63"/>
      <c s="63"/>
      <c s="63"/>
      <c s="63"/>
      <c s="63"/>
      <c s="63"/>
      <c s="63"/>
      <c s="63"/>
      <c s="63"/>
      <c s="63"/>
      <c s="63"/>
      <c s="63"/>
    </row>
    <row r="173" spans="1:34" ht="15.75">
      <c r="A173" s="63"/>
      <c s="63"/>
      <c s="63"/>
      <c s="63"/>
      <c s="63"/>
      <c s="63"/>
      <c s="63"/>
      <c s="63"/>
      <c s="63"/>
      <c s="63"/>
      <c s="63"/>
      <c s="63"/>
      <c s="63"/>
      <c s="63"/>
      <c s="63"/>
      <c s="63"/>
      <c s="63"/>
      <c s="63"/>
      <c s="63"/>
      <c s="63"/>
      <c s="63"/>
      <c s="63"/>
      <c s="63"/>
      <c s="63"/>
      <c s="63"/>
      <c s="63"/>
      <c s="63"/>
      <c s="63"/>
      <c s="63"/>
      <c s="63"/>
      <c s="63"/>
      <c s="63"/>
      <c s="63"/>
      <c s="63"/>
    </row>
    <row r="174" spans="1:34" ht="15.75">
      <c r="A174" s="63"/>
      <c s="63"/>
      <c s="63"/>
      <c s="63"/>
      <c s="63"/>
      <c s="63"/>
      <c s="63"/>
      <c s="63"/>
      <c s="63"/>
      <c s="63"/>
      <c s="63"/>
      <c s="63"/>
      <c s="63"/>
      <c s="63"/>
      <c s="63"/>
      <c s="63"/>
      <c s="63"/>
      <c s="63"/>
      <c s="63"/>
      <c s="63"/>
      <c s="63"/>
      <c s="63"/>
      <c s="63"/>
      <c s="63"/>
      <c s="63"/>
      <c s="63"/>
      <c s="63"/>
      <c s="63"/>
      <c s="63"/>
      <c s="63"/>
      <c s="63"/>
      <c s="63"/>
      <c s="63"/>
      <c s="63"/>
    </row>
    <row r="175" spans="1:34" ht="15.75">
      <c r="A175" s="63"/>
      <c s="63"/>
      <c s="63"/>
      <c s="63"/>
      <c s="63"/>
      <c s="63"/>
      <c s="63"/>
      <c s="63"/>
      <c s="63"/>
      <c s="63"/>
      <c s="63"/>
      <c s="63"/>
      <c s="63"/>
      <c s="63"/>
      <c s="63"/>
      <c s="63"/>
      <c s="63"/>
      <c s="63"/>
      <c s="63"/>
      <c s="63"/>
      <c s="63"/>
      <c s="63"/>
      <c s="63"/>
      <c s="63"/>
      <c s="63"/>
      <c s="63"/>
      <c s="63"/>
      <c s="63"/>
      <c s="63"/>
      <c s="63"/>
      <c s="63"/>
      <c s="63"/>
      <c s="63"/>
      <c s="63"/>
    </row>
    <row r="176" spans="1:34" ht="15.75">
      <c r="A176" s="63"/>
      <c s="63"/>
      <c s="63"/>
      <c s="63"/>
      <c s="63"/>
      <c s="63"/>
      <c s="63"/>
      <c s="63"/>
      <c s="63"/>
      <c s="63"/>
      <c s="63"/>
      <c s="63"/>
      <c s="63"/>
      <c s="63"/>
      <c s="63"/>
      <c s="63"/>
      <c s="63"/>
      <c s="63"/>
      <c s="63"/>
      <c s="63"/>
      <c s="63"/>
      <c s="63"/>
      <c s="63"/>
      <c s="63"/>
      <c s="63"/>
      <c s="63"/>
      <c s="63"/>
      <c s="63"/>
      <c s="63"/>
      <c s="63"/>
      <c s="63"/>
      <c s="63"/>
      <c s="63"/>
      <c s="63"/>
    </row>
    <row r="177" spans="1:34" ht="15.75">
      <c r="A177" s="63"/>
      <c s="63"/>
      <c s="63"/>
      <c s="63"/>
      <c s="63"/>
      <c s="63"/>
      <c s="63"/>
      <c s="63"/>
      <c s="63"/>
      <c s="63"/>
      <c s="63"/>
      <c s="63"/>
      <c s="63"/>
      <c s="63"/>
      <c s="63"/>
      <c s="63"/>
      <c s="63"/>
      <c s="63"/>
      <c s="63"/>
      <c s="63"/>
      <c s="63"/>
      <c s="63"/>
      <c s="63"/>
      <c s="63"/>
      <c s="63"/>
      <c s="63"/>
      <c s="63"/>
      <c s="63"/>
      <c s="63"/>
      <c s="63"/>
      <c s="63"/>
      <c s="63"/>
      <c s="63"/>
      <c s="63"/>
    </row>
    <row r="178" spans="1:34" ht="15.75">
      <c r="A178" s="63"/>
      <c s="63"/>
      <c s="63"/>
      <c s="63"/>
      <c s="63"/>
      <c s="63"/>
      <c s="63"/>
      <c s="63"/>
      <c s="63"/>
      <c s="63"/>
      <c s="63"/>
      <c s="63"/>
      <c s="63"/>
      <c s="63"/>
      <c s="63"/>
      <c s="63"/>
      <c s="63"/>
      <c s="63"/>
      <c s="63"/>
      <c s="63"/>
      <c s="63"/>
      <c s="63"/>
      <c s="63"/>
      <c s="63"/>
      <c s="63"/>
      <c s="63"/>
      <c s="63"/>
      <c s="63"/>
      <c s="63"/>
      <c s="63"/>
      <c s="63"/>
      <c s="63"/>
      <c s="63"/>
      <c s="63"/>
    </row>
    <row r="179" spans="1:34" ht="15.75">
      <c r="A179" s="63"/>
      <c s="63"/>
      <c s="63"/>
      <c s="63"/>
      <c s="63"/>
      <c s="63"/>
      <c s="63"/>
      <c s="63"/>
      <c s="63"/>
      <c s="63"/>
      <c s="63"/>
      <c s="63"/>
      <c s="63"/>
      <c s="63"/>
      <c s="63"/>
      <c s="63"/>
      <c s="63"/>
      <c s="63"/>
      <c s="63"/>
      <c s="63"/>
      <c s="63"/>
      <c s="63"/>
      <c s="63"/>
      <c s="63"/>
      <c s="63"/>
      <c s="63"/>
      <c s="63"/>
      <c s="63"/>
      <c s="63"/>
      <c s="63"/>
      <c s="63"/>
      <c s="63"/>
      <c s="63"/>
      <c s="63"/>
    </row>
    <row r="180" spans="1:34" ht="15.75">
      <c r="A180" s="63"/>
      <c s="63"/>
      <c s="63"/>
      <c s="63"/>
      <c s="63"/>
      <c s="63"/>
      <c s="63"/>
      <c s="63"/>
      <c s="63"/>
      <c s="63"/>
      <c s="63"/>
      <c s="63"/>
      <c s="63"/>
      <c s="63"/>
      <c s="63"/>
      <c s="63"/>
      <c s="63"/>
      <c s="63"/>
      <c s="63"/>
      <c s="63"/>
      <c s="63"/>
      <c s="63"/>
      <c s="63"/>
      <c s="63"/>
      <c s="63"/>
      <c s="63"/>
      <c s="63"/>
      <c s="63"/>
      <c s="63"/>
      <c s="63"/>
      <c s="63"/>
      <c s="63"/>
      <c s="63"/>
      <c s="63"/>
    </row>
    <row r="181" spans="1:34" ht="15.75">
      <c r="A181" s="63"/>
      <c s="63"/>
      <c s="63"/>
      <c s="63"/>
      <c s="63"/>
      <c s="63"/>
      <c s="63"/>
      <c s="63"/>
      <c s="63"/>
      <c s="63"/>
      <c s="63"/>
      <c s="63"/>
      <c s="63"/>
      <c s="63"/>
      <c s="63"/>
      <c s="63"/>
      <c s="63"/>
      <c s="63"/>
      <c s="63"/>
      <c s="63"/>
      <c s="63"/>
      <c s="63"/>
      <c s="63"/>
      <c s="63"/>
      <c s="63"/>
      <c s="63"/>
      <c s="63"/>
      <c s="63"/>
      <c s="63"/>
      <c s="63"/>
      <c s="63"/>
      <c s="63"/>
      <c s="63"/>
      <c s="63"/>
    </row>
    <row r="182" spans="1:34" ht="15.75">
      <c r="A182" s="63"/>
      <c s="63"/>
      <c s="63"/>
      <c s="63"/>
      <c s="63"/>
      <c s="63"/>
      <c s="63"/>
      <c s="63"/>
      <c s="63"/>
      <c s="63"/>
      <c s="63"/>
      <c s="63"/>
      <c s="63"/>
      <c s="63"/>
      <c s="63"/>
      <c s="63"/>
      <c s="63"/>
      <c s="63"/>
      <c s="63"/>
      <c s="63"/>
      <c s="63"/>
      <c s="63"/>
      <c s="63"/>
      <c s="63"/>
      <c s="63"/>
      <c s="63"/>
      <c s="63"/>
      <c s="63"/>
      <c s="63"/>
      <c s="63"/>
      <c s="63"/>
      <c s="63"/>
      <c s="63"/>
      <c s="63"/>
    </row>
    <row r="183" spans="1:34" ht="15.75">
      <c r="A183" s="63"/>
      <c s="63"/>
      <c s="63"/>
      <c s="63"/>
      <c s="63"/>
      <c s="63"/>
      <c s="63"/>
      <c s="63"/>
      <c s="63"/>
      <c s="63"/>
      <c s="63"/>
      <c s="63"/>
      <c s="63"/>
      <c s="63"/>
      <c s="63"/>
      <c s="63"/>
      <c s="63"/>
      <c s="63"/>
      <c s="63"/>
      <c s="63"/>
      <c s="63"/>
      <c s="63"/>
      <c s="63"/>
      <c s="63"/>
      <c s="63"/>
      <c s="63"/>
      <c s="63"/>
      <c s="63"/>
      <c s="63"/>
      <c s="63"/>
      <c s="63"/>
      <c s="63"/>
      <c s="63"/>
      <c s="63"/>
    </row>
    <row r="184" spans="1:34" ht="15.75">
      <c r="A184" s="63"/>
      <c s="63"/>
      <c s="63"/>
      <c s="63"/>
      <c s="63"/>
      <c s="63"/>
      <c s="63"/>
      <c s="63"/>
      <c s="63"/>
      <c s="63"/>
      <c s="63"/>
      <c s="63"/>
      <c s="63"/>
      <c s="63"/>
      <c s="63"/>
      <c s="63"/>
      <c s="63"/>
      <c s="63"/>
      <c s="63"/>
      <c s="63"/>
      <c s="63"/>
      <c s="63"/>
      <c s="63"/>
      <c s="63"/>
      <c s="63"/>
      <c s="63"/>
      <c s="63"/>
      <c s="63"/>
      <c s="63"/>
      <c s="63"/>
      <c s="63"/>
      <c s="63"/>
      <c s="63"/>
      <c s="63"/>
    </row>
    <row r="185" spans="1:34" ht="15.75">
      <c r="A185" s="63"/>
      <c s="63"/>
      <c s="63"/>
      <c s="63"/>
      <c s="63"/>
      <c s="63"/>
      <c s="63"/>
      <c s="63"/>
      <c s="63"/>
      <c s="63"/>
      <c s="63"/>
      <c s="63"/>
      <c s="63"/>
      <c s="63"/>
      <c s="63"/>
      <c s="63"/>
      <c s="63"/>
      <c s="63"/>
      <c s="63"/>
      <c s="63"/>
      <c s="63"/>
      <c s="63"/>
      <c s="63"/>
      <c s="63"/>
      <c s="63"/>
      <c s="63"/>
      <c s="63"/>
      <c s="63"/>
      <c s="63"/>
      <c s="63"/>
      <c s="63"/>
      <c s="63"/>
      <c s="63"/>
      <c s="63"/>
    </row>
    <row r="186" spans="1:34" ht="15.75">
      <c r="A186" s="63"/>
      <c s="63"/>
      <c s="63"/>
      <c s="63"/>
      <c s="63"/>
      <c s="63"/>
      <c s="63"/>
      <c s="63"/>
      <c s="63"/>
      <c s="63"/>
      <c s="63"/>
      <c s="63"/>
      <c s="63"/>
      <c s="63"/>
      <c s="63"/>
      <c s="63"/>
      <c s="63"/>
      <c s="63"/>
      <c s="63"/>
      <c s="63"/>
      <c s="63"/>
      <c s="63"/>
      <c s="63"/>
      <c s="63"/>
      <c s="63"/>
      <c s="63"/>
      <c s="63"/>
      <c s="63"/>
      <c s="63"/>
      <c s="63"/>
      <c s="63"/>
      <c s="63"/>
      <c s="63"/>
      <c s="63"/>
    </row>
    <row r="187" spans="1:34" ht="15.75">
      <c r="A187" s="63"/>
      <c s="63"/>
      <c s="63"/>
      <c s="63"/>
      <c s="63"/>
      <c s="63"/>
      <c s="63"/>
      <c s="63"/>
      <c s="63"/>
      <c s="63"/>
      <c s="63"/>
      <c s="63"/>
      <c s="63"/>
      <c s="63"/>
      <c s="63"/>
      <c s="63"/>
      <c s="63"/>
      <c s="63"/>
      <c s="63"/>
      <c s="63"/>
      <c s="63"/>
      <c s="63"/>
      <c s="63"/>
      <c s="63"/>
      <c s="63"/>
      <c s="63"/>
      <c s="63"/>
      <c s="63"/>
      <c s="63"/>
      <c s="63"/>
      <c s="63"/>
      <c s="63"/>
      <c s="63"/>
      <c s="63"/>
    </row>
    <row r="188" spans="1:34" ht="15.75">
      <c r="A188" s="63"/>
      <c s="63"/>
      <c s="63"/>
      <c s="63"/>
      <c s="63"/>
      <c s="63"/>
      <c s="63"/>
      <c s="63"/>
      <c s="63"/>
      <c s="63"/>
      <c s="63"/>
      <c s="63"/>
      <c s="63"/>
      <c s="63"/>
      <c s="63"/>
      <c s="63"/>
      <c s="63"/>
      <c s="63"/>
      <c s="63"/>
      <c s="63"/>
      <c s="63"/>
      <c s="63"/>
      <c s="63"/>
      <c s="63"/>
      <c s="63"/>
      <c s="63"/>
      <c s="63"/>
      <c s="63"/>
      <c s="63"/>
      <c s="63"/>
      <c s="63"/>
      <c s="63"/>
      <c s="63"/>
      <c s="63"/>
    </row>
    <row r="189" spans="1:34" ht="15.75">
      <c r="A189" s="63"/>
      <c s="63"/>
      <c s="63"/>
      <c s="63"/>
      <c s="63"/>
      <c s="63"/>
      <c s="63"/>
      <c s="63"/>
      <c s="63"/>
      <c s="63"/>
      <c s="63"/>
      <c s="63"/>
      <c s="63"/>
      <c s="63"/>
      <c s="63"/>
      <c s="63"/>
      <c s="63"/>
      <c s="63"/>
      <c s="63"/>
      <c s="63"/>
      <c s="63"/>
      <c s="63"/>
      <c s="63"/>
      <c s="63"/>
      <c s="63"/>
      <c s="63"/>
      <c s="63"/>
      <c s="63"/>
      <c s="63"/>
      <c s="63"/>
      <c s="63"/>
      <c s="63"/>
      <c s="63"/>
      <c s="63"/>
    </row>
    <row r="190" spans="1:34" ht="15.75">
      <c r="A190" s="63"/>
      <c s="63"/>
      <c s="63"/>
      <c s="63"/>
      <c s="63"/>
      <c s="63"/>
      <c s="63"/>
      <c s="63"/>
      <c s="63"/>
      <c s="63"/>
      <c s="63"/>
      <c s="63"/>
      <c s="63"/>
      <c s="63"/>
      <c s="63"/>
      <c s="63"/>
      <c s="63"/>
      <c s="63"/>
      <c s="63"/>
      <c s="63"/>
      <c s="63"/>
      <c s="63"/>
      <c s="63"/>
      <c s="63"/>
      <c s="63"/>
      <c s="63"/>
      <c s="63"/>
      <c s="63"/>
      <c s="63"/>
      <c s="63"/>
      <c s="63"/>
      <c s="63"/>
      <c s="63"/>
      <c s="63"/>
    </row>
    <row r="191" spans="1:34" ht="15.75">
      <c r="A191" s="63"/>
      <c s="63"/>
      <c s="63"/>
      <c s="63"/>
      <c s="63"/>
      <c s="63"/>
      <c s="63"/>
      <c s="63"/>
      <c s="63"/>
      <c s="63"/>
      <c s="63"/>
      <c s="63"/>
      <c s="63"/>
      <c s="63"/>
      <c s="63"/>
      <c s="63"/>
      <c s="63"/>
      <c s="63"/>
      <c s="63"/>
      <c s="63"/>
      <c s="63"/>
      <c s="63"/>
      <c s="63"/>
      <c s="63"/>
      <c s="63"/>
      <c s="63"/>
      <c s="63"/>
      <c s="63"/>
      <c s="63"/>
      <c s="63"/>
      <c s="63"/>
      <c s="63"/>
      <c s="63"/>
      <c s="63"/>
    </row>
    <row r="192" spans="1:34" ht="15.75">
      <c r="A192" s="63"/>
      <c s="63"/>
      <c s="63"/>
      <c s="63"/>
      <c s="63"/>
      <c s="63"/>
      <c s="63"/>
      <c s="63"/>
      <c s="63"/>
      <c s="63"/>
      <c s="63"/>
      <c s="63"/>
      <c s="63"/>
      <c s="63"/>
      <c s="63"/>
      <c s="63"/>
      <c s="63"/>
      <c s="63"/>
      <c s="63"/>
      <c s="63"/>
      <c s="63"/>
      <c s="63"/>
      <c s="63"/>
      <c s="63"/>
      <c s="63"/>
      <c s="63"/>
      <c s="63"/>
      <c s="63"/>
      <c s="63"/>
      <c s="63"/>
      <c s="63"/>
      <c s="63"/>
      <c s="63"/>
      <c s="63"/>
    </row>
    <row r="193" spans="1:34" ht="15.75">
      <c r="A193" s="63"/>
      <c s="63"/>
      <c s="63"/>
      <c s="63"/>
      <c s="63"/>
      <c s="63"/>
      <c s="63"/>
      <c s="63"/>
      <c s="63"/>
      <c s="63"/>
      <c s="63"/>
      <c s="63"/>
      <c s="63"/>
      <c s="63"/>
      <c s="63"/>
      <c s="63"/>
      <c s="63"/>
      <c s="63"/>
      <c s="63"/>
      <c s="63"/>
      <c s="63"/>
      <c s="63"/>
      <c s="63"/>
      <c s="63"/>
      <c s="63"/>
      <c s="63"/>
      <c s="63"/>
      <c s="63"/>
      <c s="63"/>
      <c s="63"/>
      <c s="63"/>
      <c s="63"/>
      <c s="63"/>
      <c s="63"/>
    </row>
    <row r="194" spans="1:34" ht="15.75">
      <c r="A194" s="63"/>
      <c s="63"/>
      <c s="63"/>
      <c s="63"/>
      <c s="63"/>
      <c s="63"/>
      <c s="63"/>
      <c s="63"/>
      <c s="63"/>
      <c s="63"/>
      <c s="63"/>
      <c s="63"/>
      <c s="63"/>
      <c s="63"/>
      <c s="63"/>
      <c s="63"/>
      <c s="63"/>
      <c s="63"/>
      <c s="63"/>
      <c s="63"/>
      <c s="63"/>
      <c s="63"/>
      <c s="63"/>
      <c s="63"/>
      <c s="63"/>
      <c s="63"/>
      <c s="63"/>
      <c s="63"/>
      <c s="63"/>
      <c s="63"/>
      <c s="63"/>
      <c s="63"/>
      <c s="63"/>
      <c s="63"/>
    </row>
    <row r="195" spans="1:34" ht="15.75">
      <c r="A195" s="63"/>
      <c s="63"/>
      <c s="63"/>
      <c s="63"/>
      <c s="63"/>
      <c s="63"/>
      <c s="63"/>
      <c s="63"/>
      <c s="63"/>
      <c s="63"/>
      <c s="63"/>
      <c s="63"/>
      <c s="63"/>
      <c s="63"/>
      <c s="63"/>
      <c s="63"/>
      <c s="63"/>
      <c s="63"/>
      <c s="63"/>
      <c s="63"/>
      <c s="63"/>
      <c s="63"/>
      <c s="63"/>
      <c s="63"/>
      <c s="63"/>
      <c s="63"/>
      <c s="63"/>
      <c s="63"/>
      <c s="63"/>
      <c s="63"/>
      <c s="63"/>
      <c s="63"/>
      <c s="63"/>
      <c s="63"/>
    </row>
    <row r="196" spans="1:34" ht="15.75">
      <c r="A196" s="63"/>
      <c s="63"/>
      <c s="63"/>
      <c s="63"/>
      <c s="63"/>
      <c s="63"/>
      <c s="63"/>
      <c s="63"/>
      <c s="63"/>
      <c s="63"/>
      <c s="63"/>
      <c s="63"/>
      <c s="63"/>
      <c s="63"/>
      <c s="63"/>
      <c s="63"/>
      <c s="63"/>
      <c s="63"/>
      <c s="63"/>
      <c s="63"/>
      <c s="63"/>
      <c s="63"/>
      <c s="63"/>
      <c s="63"/>
      <c s="63"/>
      <c s="63"/>
      <c s="63"/>
      <c s="63"/>
      <c s="63"/>
      <c s="63"/>
      <c s="63"/>
      <c s="63"/>
      <c s="63"/>
      <c s="63"/>
    </row>
    <row r="197" spans="1:34" ht="15.75">
      <c r="A197" s="63"/>
      <c s="63"/>
      <c s="63"/>
      <c s="63"/>
      <c s="63"/>
      <c s="63"/>
      <c s="63"/>
      <c s="63"/>
      <c s="63"/>
      <c s="63"/>
      <c s="63"/>
      <c s="63"/>
      <c s="63"/>
      <c s="63"/>
      <c s="63"/>
      <c s="63"/>
      <c s="63"/>
      <c s="63"/>
      <c s="63"/>
      <c s="63"/>
      <c s="63"/>
      <c s="63"/>
      <c s="63"/>
      <c s="63"/>
      <c s="63"/>
      <c s="63"/>
      <c s="63"/>
      <c s="63"/>
      <c s="63"/>
      <c s="63"/>
      <c s="63"/>
      <c s="63"/>
      <c s="63"/>
      <c s="63"/>
    </row>
    <row r="198" spans="1:34" ht="15.75">
      <c r="A198" s="63"/>
      <c s="63"/>
      <c s="63"/>
      <c s="63"/>
      <c s="63"/>
      <c s="63"/>
      <c s="63"/>
      <c s="63"/>
      <c s="63"/>
      <c s="63"/>
      <c s="63"/>
      <c s="63"/>
      <c s="63"/>
      <c s="63"/>
      <c s="63"/>
      <c s="63"/>
      <c s="63"/>
      <c s="63"/>
      <c s="63"/>
      <c s="63"/>
      <c s="63"/>
      <c s="63"/>
      <c s="63"/>
      <c s="63"/>
      <c s="63"/>
      <c s="63"/>
      <c s="63"/>
      <c s="63"/>
      <c s="63"/>
      <c s="63"/>
      <c s="63"/>
      <c s="63"/>
      <c s="63"/>
      <c s="63"/>
    </row>
    <row r="199" spans="1:34" ht="15.75">
      <c r="A199" s="63"/>
      <c s="63"/>
      <c s="63"/>
      <c s="63"/>
      <c s="63"/>
      <c s="63"/>
      <c s="63"/>
      <c s="63"/>
      <c s="63"/>
      <c s="63"/>
      <c s="63"/>
      <c s="63"/>
      <c s="63"/>
      <c s="63"/>
      <c s="63"/>
      <c s="63"/>
      <c s="63"/>
      <c s="63"/>
      <c s="63"/>
      <c s="63"/>
      <c s="63"/>
      <c s="63"/>
      <c s="63"/>
      <c s="63"/>
      <c s="63"/>
      <c s="63"/>
      <c s="63"/>
      <c s="63"/>
      <c s="63"/>
      <c s="63"/>
      <c s="63"/>
      <c s="63"/>
      <c s="63"/>
      <c s="63"/>
    </row>
    <row r="200" spans="1:34" ht="15.75">
      <c r="A200" s="63"/>
      <c s="63"/>
      <c s="63"/>
      <c s="63"/>
      <c s="63"/>
      <c s="63"/>
      <c s="63"/>
      <c s="63"/>
      <c s="63"/>
      <c s="63"/>
      <c s="63"/>
      <c s="63"/>
      <c s="63"/>
      <c s="63"/>
      <c s="63"/>
      <c s="63"/>
      <c s="63"/>
      <c s="63"/>
      <c s="63"/>
      <c s="63"/>
      <c s="63"/>
      <c s="63"/>
      <c s="63"/>
      <c s="63"/>
      <c s="63"/>
      <c s="63"/>
      <c s="63"/>
      <c s="63"/>
      <c s="63"/>
      <c s="63"/>
      <c s="63"/>
      <c s="63"/>
      <c s="63"/>
      <c s="63"/>
    </row>
    <row r="201" spans="1:34" ht="15.75">
      <c r="A201" s="63"/>
      <c s="63"/>
      <c s="63"/>
      <c s="63"/>
      <c s="63"/>
      <c s="63"/>
      <c s="63"/>
      <c s="63"/>
      <c s="63"/>
      <c s="63"/>
      <c s="63"/>
      <c s="63"/>
      <c s="63"/>
      <c s="63"/>
      <c s="63"/>
      <c s="63"/>
      <c s="63"/>
      <c s="63"/>
      <c s="63"/>
      <c s="63"/>
      <c s="63"/>
      <c s="63"/>
      <c s="63"/>
      <c s="63"/>
      <c s="63"/>
      <c s="63"/>
      <c s="63"/>
      <c s="63"/>
      <c s="63"/>
      <c s="63"/>
      <c s="63"/>
      <c s="63"/>
      <c s="63"/>
      <c s="63"/>
    </row>
    <row r="202" spans="1:34" ht="15.75" thickBot="1">
      <c r="A202" s="63"/>
      <c s="63"/>
      <c s="63"/>
      <c s="63"/>
      <c s="63"/>
      <c s="63"/>
      <c s="63"/>
      <c s="63"/>
      <c s="63"/>
      <c s="63"/>
      <c s="63"/>
      <c s="63"/>
      <c s="63"/>
      <c s="63"/>
      <c s="63"/>
      <c s="63"/>
      <c s="63"/>
      <c s="63"/>
      <c s="63"/>
      <c s="63"/>
      <c s="63"/>
      <c s="63"/>
      <c s="63"/>
      <c s="63"/>
      <c s="63"/>
      <c s="63"/>
      <c s="63"/>
      <c s="63"/>
      <c s="63"/>
      <c s="63"/>
      <c s="63"/>
      <c s="63"/>
      <c s="63"/>
      <c s="63"/>
    </row>
    <row r="203" spans="1:34" ht="15.75">
      <c r="A203" s="63"/>
      <c s="63"/>
      <c s="63"/>
      <c s="63"/>
      <c s="63"/>
      <c s="63"/>
      <c s="6" t="s">
        <v>568</v>
      </c>
      <c s="63"/>
      <c s="63"/>
      <c s="63"/>
      <c s="63"/>
      <c s="63"/>
      <c s="63"/>
      <c s="63"/>
      <c s="63"/>
      <c s="63"/>
      <c s="63"/>
      <c s="63"/>
      <c s="63"/>
      <c s="63"/>
      <c s="63"/>
      <c s="63"/>
      <c s="63"/>
      <c s="63"/>
      <c s="63"/>
      <c s="63"/>
      <c s="63"/>
      <c s="63"/>
      <c s="63"/>
      <c s="63"/>
      <c s="63"/>
      <c s="63"/>
      <c s="63"/>
      <c s="63"/>
    </row>
    <row r="204" spans="1:34" ht="15.75">
      <c r="A204" s="63"/>
      <c s="63"/>
      <c s="63"/>
      <c s="63"/>
      <c s="63"/>
      <c s="63"/>
      <c s="63"/>
      <c s="63"/>
      <c s="63"/>
      <c s="63"/>
      <c s="63"/>
      <c s="63"/>
      <c s="63"/>
      <c s="63"/>
      <c s="63"/>
      <c s="63"/>
      <c s="63"/>
      <c s="63"/>
      <c s="63"/>
      <c s="63"/>
      <c s="63"/>
      <c s="63"/>
      <c s="63"/>
      <c s="63"/>
      <c s="63"/>
      <c s="63"/>
      <c s="63"/>
      <c s="63"/>
      <c s="63"/>
      <c s="63"/>
      <c s="63"/>
      <c s="63"/>
      <c s="63"/>
      <c s="63"/>
    </row>
    <row r="205" spans="1:34" ht="15.75">
      <c r="A205" s="63"/>
      <c s="63"/>
      <c s="63"/>
      <c s="63"/>
      <c s="63"/>
      <c s="63"/>
      <c s="268" t="s">
        <v>569</v>
      </c>
      <c s="42"/>
      <c s="42"/>
      <c s="285" t="s">
        <v>570</v>
      </c>
      <c r="M205" s="63"/>
      <c s="63"/>
      <c s="63"/>
      <c s="63"/>
      <c s="63"/>
      <c s="63"/>
      <c s="63"/>
      <c s="63"/>
      <c s="63"/>
      <c s="63"/>
      <c s="63"/>
      <c s="63"/>
      <c s="63"/>
      <c s="63"/>
      <c s="63"/>
      <c s="63"/>
      <c s="63"/>
      <c s="63"/>
      <c s="63"/>
      <c s="63"/>
      <c s="63"/>
      <c s="63"/>
    </row>
    <row r="206" spans="1:34" ht="43.5" customHeight="1">
      <c r="A206" s="63"/>
      <c s="63"/>
      <c s="63"/>
      <c s="63"/>
      <c s="63"/>
      <c s="63"/>
      <c s="286"/>
      <c s="287"/>
      <c s="287"/>
      <c s="287"/>
      <c s="287"/>
      <c s="288"/>
      <c s="63"/>
      <c s="63"/>
      <c s="63"/>
      <c s="63"/>
      <c s="63"/>
      <c s="63"/>
      <c s="63"/>
      <c s="63"/>
      <c s="63"/>
      <c s="63"/>
      <c s="63"/>
      <c s="63"/>
      <c s="63"/>
      <c s="63"/>
      <c s="63"/>
      <c s="63"/>
      <c s="63"/>
      <c s="63"/>
      <c s="63"/>
      <c s="63"/>
      <c s="63"/>
      <c s="63"/>
    </row>
    <row r="207" spans="1:34" ht="15.75">
      <c r="A207" s="63"/>
      <c s="63"/>
      <c s="63"/>
      <c s="63"/>
      <c s="63"/>
      <c s="63"/>
      <c s="268" t="s">
        <v>571</v>
      </c>
      <c s="42"/>
      <c s="42"/>
      <c s="42"/>
      <c s="42"/>
      <c s="42"/>
      <c s="63"/>
      <c s="63"/>
      <c s="63"/>
      <c s="63"/>
      <c s="63"/>
      <c s="63"/>
      <c s="63"/>
      <c s="63"/>
      <c s="63"/>
      <c s="63"/>
      <c s="63"/>
      <c s="63"/>
      <c s="63"/>
      <c s="63"/>
      <c s="63"/>
      <c s="63"/>
      <c s="63"/>
      <c s="63"/>
      <c s="63"/>
      <c s="63"/>
      <c s="63"/>
      <c s="63"/>
    </row>
    <row r="208" spans="1:34" ht="45" customHeight="1">
      <c r="A208" s="63"/>
      <c s="63"/>
      <c s="63"/>
      <c s="63"/>
      <c s="63"/>
      <c s="63"/>
      <c s="286"/>
      <c s="287"/>
      <c s="287"/>
      <c s="287"/>
      <c s="287"/>
      <c s="288"/>
      <c s="63"/>
      <c s="63"/>
      <c s="63"/>
      <c s="63"/>
      <c s="63"/>
      <c s="63"/>
      <c s="63"/>
      <c s="63"/>
      <c s="63"/>
      <c s="63"/>
      <c s="63"/>
      <c s="63"/>
      <c s="63"/>
      <c s="63"/>
      <c s="63"/>
      <c s="63"/>
      <c s="63"/>
      <c s="63"/>
      <c s="63"/>
      <c s="63"/>
      <c s="63"/>
      <c s="63"/>
    </row>
    <row r="209" spans="1:34" ht="15.75">
      <c r="A209" s="63"/>
      <c s="63"/>
      <c s="63"/>
      <c s="63"/>
      <c s="63"/>
      <c s="63"/>
      <c s="268" t="s">
        <v>572</v>
      </c>
      <c s="42"/>
      <c s="42"/>
      <c s="42"/>
      <c s="42"/>
      <c s="42"/>
      <c s="63"/>
      <c s="63"/>
      <c s="63"/>
      <c s="63"/>
      <c s="63"/>
      <c s="63"/>
      <c s="63"/>
      <c s="63"/>
      <c s="63"/>
      <c s="63"/>
      <c s="63"/>
      <c s="63"/>
      <c s="63"/>
      <c s="63"/>
      <c s="63"/>
      <c s="63"/>
      <c s="63"/>
      <c s="63"/>
      <c s="63"/>
      <c s="63"/>
      <c s="63"/>
      <c s="63"/>
    </row>
    <row r="210" spans="1:34" ht="43.5" customHeight="1">
      <c r="A210" s="63"/>
      <c s="63"/>
      <c s="63"/>
      <c s="63"/>
      <c s="63"/>
      <c s="63"/>
      <c s="286"/>
      <c s="287"/>
      <c s="287"/>
      <c s="287"/>
      <c s="287"/>
      <c s="288"/>
      <c s="63"/>
      <c s="63"/>
      <c s="63"/>
      <c s="63"/>
      <c s="63"/>
      <c s="63"/>
      <c s="63"/>
      <c s="63"/>
      <c s="63"/>
      <c s="63"/>
      <c s="63"/>
      <c s="63"/>
      <c s="63"/>
      <c s="63"/>
      <c s="63"/>
      <c s="63"/>
      <c s="63"/>
      <c s="63"/>
      <c s="63"/>
      <c s="63"/>
      <c s="63"/>
      <c s="63"/>
    </row>
    <row r="211" spans="1:34" ht="15.75">
      <c r="A211" s="63"/>
      <c s="63"/>
      <c s="63"/>
      <c s="63"/>
      <c s="63"/>
      <c s="63"/>
      <c s="268" t="s">
        <v>573</v>
      </c>
      <c s="42"/>
      <c s="42"/>
      <c s="42"/>
      <c s="42"/>
      <c s="42"/>
      <c s="63"/>
      <c s="63"/>
      <c s="63"/>
      <c s="63"/>
      <c s="63"/>
      <c s="63"/>
      <c s="63"/>
      <c s="63"/>
      <c s="63"/>
      <c s="63"/>
      <c s="63"/>
      <c s="63"/>
      <c s="63"/>
      <c s="63"/>
      <c s="63"/>
      <c s="63"/>
      <c s="63"/>
      <c s="63"/>
      <c s="63"/>
      <c s="63"/>
      <c s="63"/>
      <c s="63"/>
    </row>
    <row r="212" spans="1:34" ht="33" customHeight="1">
      <c r="A212" s="63"/>
      <c s="63"/>
      <c s="63"/>
      <c s="63"/>
      <c s="63"/>
      <c s="63"/>
      <c s="286"/>
      <c s="287"/>
      <c s="287"/>
      <c s="287"/>
      <c s="287"/>
      <c s="288"/>
      <c s="63"/>
      <c s="63"/>
      <c s="63"/>
      <c s="63"/>
      <c s="63"/>
      <c s="63"/>
      <c s="63"/>
      <c s="63"/>
      <c s="63"/>
      <c s="63"/>
      <c s="63"/>
      <c s="63"/>
      <c s="63"/>
      <c s="63"/>
      <c s="63"/>
      <c s="63"/>
      <c s="63"/>
      <c s="63"/>
      <c s="63"/>
      <c s="63"/>
      <c s="63"/>
      <c s="63"/>
    </row>
    <row r="213" spans="1:34" ht="15.75">
      <c r="A213" s="63"/>
      <c s="63"/>
      <c s="63"/>
      <c s="63"/>
      <c s="63"/>
      <c s="63"/>
      <c s="268" t="s">
        <v>574</v>
      </c>
      <c s="42"/>
      <c s="42"/>
      <c s="42"/>
      <c s="42"/>
      <c s="42"/>
      <c s="63"/>
      <c s="63"/>
      <c s="63"/>
      <c s="63"/>
      <c s="63"/>
      <c s="63"/>
      <c s="63"/>
      <c s="63"/>
      <c s="63"/>
      <c s="63"/>
      <c s="63"/>
      <c s="63"/>
      <c s="63"/>
      <c s="63"/>
      <c s="63"/>
      <c s="63"/>
      <c s="63"/>
      <c s="63"/>
      <c s="63"/>
      <c s="63"/>
      <c s="63"/>
      <c s="63"/>
    </row>
    <row r="214" spans="1:34" ht="42" customHeight="1">
      <c r="A214" s="63"/>
      <c s="63"/>
      <c s="63"/>
      <c s="63"/>
      <c s="63"/>
      <c s="63"/>
      <c s="286"/>
      <c s="287"/>
      <c s="287"/>
      <c s="287"/>
      <c s="287"/>
      <c s="288"/>
      <c s="63"/>
      <c s="63"/>
      <c s="63"/>
      <c s="63"/>
      <c s="63"/>
      <c s="63"/>
      <c s="63"/>
      <c s="63"/>
      <c s="63"/>
      <c s="63"/>
      <c s="63"/>
      <c s="63"/>
      <c s="63"/>
      <c s="63"/>
      <c s="63"/>
      <c s="63"/>
      <c s="63"/>
      <c s="63"/>
      <c s="63"/>
      <c s="63"/>
      <c s="63"/>
      <c s="63"/>
    </row>
    <row r="215" spans="1:34" ht="15.75">
      <c r="A215" s="63"/>
      <c s="63"/>
      <c s="63"/>
      <c s="63"/>
      <c s="63"/>
      <c s="63"/>
      <c s="268" t="s">
        <v>575</v>
      </c>
      <c s="42"/>
      <c s="42"/>
      <c s="42"/>
      <c s="42"/>
      <c s="42"/>
      <c s="63"/>
      <c s="63"/>
      <c s="63"/>
      <c s="63"/>
      <c s="63"/>
      <c s="63"/>
      <c s="63"/>
      <c s="63"/>
      <c s="63"/>
      <c s="63"/>
      <c s="63"/>
      <c s="63"/>
      <c s="63"/>
      <c s="63"/>
      <c s="63"/>
      <c s="63"/>
      <c s="63"/>
      <c s="63"/>
      <c s="63"/>
      <c s="63"/>
      <c s="63"/>
      <c s="63"/>
    </row>
    <row r="216" spans="1:34" ht="50.25" customHeight="1">
      <c r="A216" s="63"/>
      <c s="63"/>
      <c s="63"/>
      <c s="63"/>
      <c s="63"/>
      <c s="63"/>
      <c s="286"/>
      <c s="287"/>
      <c s="287"/>
      <c s="287"/>
      <c s="287"/>
      <c s="288"/>
      <c s="63"/>
      <c s="63"/>
      <c s="63"/>
      <c s="63"/>
      <c s="63"/>
      <c s="63"/>
      <c s="63"/>
      <c s="63"/>
      <c s="63"/>
      <c s="63"/>
      <c s="63"/>
      <c s="63"/>
      <c s="63"/>
      <c s="63"/>
      <c s="63"/>
      <c s="63"/>
      <c s="63"/>
      <c s="63"/>
      <c s="63"/>
      <c s="63"/>
      <c s="63"/>
      <c s="63"/>
    </row>
    <row r="217" spans="1:34" ht="15.75">
      <c r="A217" s="63"/>
      <c s="63"/>
      <c s="63"/>
      <c s="63"/>
      <c s="63"/>
      <c s="63"/>
      <c s="42"/>
      <c s="42"/>
      <c s="42"/>
      <c s="42"/>
      <c s="42"/>
      <c s="42"/>
      <c s="63"/>
      <c s="63"/>
      <c s="63"/>
      <c s="63"/>
      <c s="63"/>
      <c s="63"/>
      <c s="63"/>
      <c s="63"/>
      <c s="63"/>
      <c s="63"/>
      <c s="63"/>
      <c s="63"/>
      <c s="63"/>
      <c s="63"/>
      <c s="63"/>
      <c s="63"/>
      <c s="63"/>
      <c s="63"/>
      <c s="63"/>
      <c s="63"/>
      <c s="63"/>
      <c s="63"/>
    </row>
    <row r="218" spans="1:34" ht="15.75">
      <c r="A218" s="63"/>
      <c s="63"/>
      <c s="63"/>
      <c s="63"/>
      <c s="63"/>
      <c s="63"/>
      <c s="93" t="s">
        <v>576</v>
      </c>
      <c s="42"/>
      <c s="42"/>
      <c s="42"/>
      <c s="42"/>
      <c s="42"/>
      <c s="63"/>
      <c s="63"/>
      <c s="63"/>
      <c s="63"/>
      <c s="63"/>
      <c s="63"/>
      <c s="63"/>
      <c s="63"/>
      <c s="63"/>
      <c s="63"/>
      <c s="63"/>
      <c s="63"/>
      <c s="63"/>
      <c s="63"/>
      <c s="63"/>
      <c s="63"/>
      <c s="63"/>
      <c s="63"/>
      <c s="63"/>
      <c s="63"/>
      <c s="63"/>
      <c s="63"/>
    </row>
    <row r="219" spans="1:34" ht="15.75">
      <c r="A219" s="63"/>
      <c s="63"/>
      <c s="63"/>
      <c s="63"/>
      <c s="63"/>
      <c s="63"/>
      <c s="289" t="s">
        <v>577</v>
      </c>
      <c r="M219" s="63"/>
      <c s="63"/>
      <c s="63"/>
      <c s="63"/>
      <c s="63"/>
      <c s="63"/>
      <c s="63"/>
      <c s="63"/>
      <c s="63"/>
      <c s="63"/>
      <c s="63"/>
      <c s="63"/>
      <c s="63"/>
      <c s="63"/>
      <c s="63"/>
      <c s="63"/>
      <c s="63"/>
      <c s="63"/>
      <c s="63"/>
      <c s="63"/>
      <c s="63"/>
      <c s="63"/>
    </row>
    <row r="220" spans="1:34" ht="15.75">
      <c r="A220" s="63"/>
      <c s="63"/>
      <c s="63"/>
      <c s="63"/>
      <c s="63"/>
      <c s="63"/>
      <c s="93"/>
      <c s="42"/>
      <c s="42"/>
      <c s="42"/>
      <c s="42"/>
      <c s="42"/>
      <c s="63"/>
      <c s="63"/>
      <c s="63"/>
      <c s="63"/>
      <c s="63"/>
      <c s="63"/>
      <c s="63"/>
      <c s="63"/>
      <c s="63"/>
      <c s="63"/>
      <c s="63"/>
      <c s="63"/>
      <c s="63"/>
      <c s="63"/>
      <c s="63"/>
      <c s="63"/>
      <c s="63"/>
      <c s="63"/>
      <c s="63"/>
      <c s="63"/>
      <c s="63"/>
      <c s="63"/>
    </row>
    <row r="221" spans="1:34" ht="15.75">
      <c r="A221" s="63"/>
      <c s="63"/>
      <c s="63"/>
      <c s="63"/>
      <c s="63"/>
      <c s="63"/>
      <c s="93" t="s">
        <v>578</v>
      </c>
      <c s="42"/>
      <c s="42"/>
      <c s="42"/>
      <c s="42"/>
      <c s="42"/>
      <c s="63"/>
      <c s="63"/>
      <c s="63"/>
      <c s="63"/>
      <c s="63"/>
      <c s="63"/>
      <c s="63"/>
      <c s="63"/>
      <c s="63"/>
      <c s="63"/>
      <c s="63"/>
      <c s="63"/>
      <c s="63"/>
      <c s="63"/>
      <c s="63"/>
      <c s="63"/>
      <c s="63"/>
      <c s="63"/>
      <c s="63"/>
      <c s="63"/>
      <c s="63"/>
      <c s="63"/>
    </row>
    <row r="222" spans="1:34" ht="70.5" customHeight="1">
      <c r="A222" s="63"/>
      <c s="63"/>
      <c s="63"/>
      <c s="63"/>
      <c s="63"/>
      <c s="63"/>
      <c s="289" t="s">
        <v>579</v>
      </c>
      <c r="M222" s="63"/>
      <c s="63"/>
      <c s="63"/>
      <c s="63"/>
      <c s="63"/>
      <c s="63"/>
      <c s="63"/>
      <c s="63"/>
      <c s="63"/>
      <c s="63"/>
      <c s="63"/>
      <c s="63"/>
      <c s="63"/>
      <c s="63"/>
      <c s="63"/>
      <c s="63"/>
      <c s="63"/>
      <c s="63"/>
      <c s="63"/>
      <c s="63"/>
      <c s="63"/>
      <c s="63"/>
    </row>
    <row r="223" spans="1:34" ht="10.5" customHeight="1">
      <c r="A223" s="63"/>
      <c s="63"/>
      <c s="63"/>
      <c s="63"/>
      <c s="63"/>
      <c s="63"/>
      <c s="289"/>
      <c s="289"/>
      <c s="289"/>
      <c s="289"/>
      <c s="289"/>
      <c s="289"/>
      <c s="63"/>
      <c s="63"/>
      <c s="63"/>
      <c s="63"/>
      <c s="63"/>
      <c s="63"/>
      <c s="63"/>
      <c s="63"/>
      <c s="63"/>
      <c s="63"/>
      <c s="63"/>
      <c s="63"/>
      <c s="63"/>
      <c s="63"/>
      <c s="63"/>
      <c s="63"/>
      <c s="63"/>
      <c s="63"/>
      <c s="63"/>
      <c s="63"/>
      <c s="63"/>
      <c s="63"/>
    </row>
    <row r="224" spans="1:34" ht="15.75">
      <c r="A224" s="63"/>
      <c s="63"/>
      <c s="63"/>
      <c s="63"/>
      <c s="63"/>
      <c s="63"/>
      <c s="289" t="s">
        <v>580</v>
      </c>
      <c r="M224" s="63"/>
      <c s="63"/>
      <c s="63"/>
      <c s="63"/>
      <c s="63"/>
      <c s="63"/>
      <c s="63"/>
      <c s="63"/>
      <c s="63"/>
      <c s="63"/>
      <c s="63"/>
      <c s="63"/>
      <c s="63"/>
      <c s="63"/>
      <c s="63"/>
      <c s="63"/>
      <c s="63"/>
      <c s="63"/>
      <c s="63"/>
      <c s="63"/>
      <c s="63"/>
      <c s="63"/>
    </row>
    <row r="225" spans="1:34" ht="15.75">
      <c r="A225" s="63"/>
      <c s="63"/>
      <c s="63"/>
      <c s="63"/>
      <c s="63"/>
      <c s="63"/>
      <c s="93"/>
      <c s="42"/>
      <c s="42"/>
      <c s="42"/>
      <c s="42"/>
      <c s="42"/>
      <c s="63"/>
      <c s="63"/>
      <c s="63"/>
      <c s="63"/>
      <c s="63"/>
      <c s="63"/>
      <c s="63"/>
      <c s="63"/>
      <c s="63"/>
      <c s="63"/>
      <c s="63"/>
      <c s="63"/>
      <c s="63"/>
      <c s="63"/>
      <c s="63"/>
      <c s="63"/>
      <c s="63"/>
      <c s="63"/>
      <c s="63"/>
      <c s="63"/>
      <c s="63"/>
      <c s="63"/>
    </row>
    <row r="226" spans="1:34" ht="15.75">
      <c r="A226" s="63"/>
      <c s="63"/>
      <c s="63"/>
      <c s="63"/>
      <c s="63"/>
      <c s="63"/>
      <c s="93" t="s">
        <v>581</v>
      </c>
      <c s="42"/>
      <c s="42"/>
      <c s="42"/>
      <c s="42"/>
      <c s="42"/>
      <c s="63"/>
      <c s="63"/>
      <c s="63"/>
      <c s="63"/>
      <c s="63"/>
      <c s="63"/>
      <c s="63"/>
      <c s="63"/>
      <c s="63"/>
      <c s="63"/>
      <c s="63"/>
      <c s="63"/>
      <c s="63"/>
      <c s="63"/>
      <c s="63"/>
      <c s="63"/>
      <c s="63"/>
      <c s="63"/>
      <c s="63"/>
      <c s="63"/>
      <c s="63"/>
      <c s="63"/>
    </row>
    <row r="227" spans="1:34" ht="10.5" customHeight="1">
      <c r="A227" s="63"/>
      <c s="63"/>
      <c s="63"/>
      <c s="63"/>
      <c s="63"/>
      <c s="63"/>
      <c s="289"/>
      <c s="289"/>
      <c s="289"/>
      <c s="289"/>
      <c s="289"/>
      <c s="289"/>
      <c s="63"/>
      <c s="63"/>
      <c s="63"/>
      <c s="63"/>
      <c s="63"/>
      <c s="63"/>
      <c s="63"/>
      <c s="63"/>
      <c s="63"/>
      <c s="63"/>
      <c s="63"/>
      <c s="63"/>
      <c s="63"/>
      <c s="63"/>
      <c s="63"/>
      <c s="63"/>
      <c s="63"/>
      <c s="63"/>
      <c s="63"/>
      <c s="63"/>
      <c s="63"/>
      <c s="63"/>
    </row>
    <row r="228" spans="1:34" ht="15.75">
      <c r="A228" s="63"/>
      <c s="63"/>
      <c s="63"/>
      <c s="63"/>
      <c s="63"/>
      <c s="63"/>
      <c s="289" t="s">
        <v>582</v>
      </c>
      <c r="M228" s="63"/>
      <c s="63"/>
      <c s="63"/>
      <c s="63"/>
      <c s="63"/>
      <c s="63"/>
      <c s="63"/>
      <c s="63"/>
      <c s="63"/>
      <c s="63"/>
      <c s="63"/>
      <c s="63"/>
      <c s="63"/>
      <c s="63"/>
      <c s="63"/>
      <c s="63"/>
      <c s="63"/>
      <c s="63"/>
      <c s="63"/>
      <c s="63"/>
      <c s="63"/>
      <c s="63"/>
    </row>
    <row r="229" spans="1:34" ht="11.25" customHeight="1">
      <c r="A229" s="63"/>
      <c s="63"/>
      <c s="63"/>
      <c s="63"/>
      <c s="63"/>
      <c s="63"/>
      <c s="289"/>
      <c s="289"/>
      <c s="289"/>
      <c s="289"/>
      <c s="289"/>
      <c s="289"/>
      <c s="63"/>
      <c s="63"/>
      <c s="63"/>
      <c s="63"/>
      <c s="63"/>
      <c s="63"/>
      <c s="63"/>
      <c s="63"/>
      <c s="63"/>
      <c s="63"/>
      <c s="63"/>
      <c s="63"/>
      <c s="63"/>
      <c s="63"/>
      <c s="63"/>
      <c s="63"/>
      <c s="63"/>
      <c s="63"/>
      <c s="63"/>
      <c s="63"/>
      <c s="63"/>
      <c s="63"/>
    </row>
    <row r="230" spans="1:34" ht="15.75">
      <c r="A230" s="63"/>
      <c s="63"/>
      <c s="63"/>
      <c s="63"/>
      <c s="63"/>
      <c s="63"/>
      <c s="289" t="s">
        <v>583</v>
      </c>
      <c r="M230" s="63"/>
      <c s="63"/>
      <c s="63"/>
      <c s="63"/>
      <c s="63"/>
      <c s="63"/>
      <c s="63"/>
      <c s="63"/>
      <c s="63"/>
      <c s="63"/>
      <c s="63"/>
      <c s="63"/>
      <c s="63"/>
      <c s="63"/>
      <c s="63"/>
      <c s="63"/>
      <c s="63"/>
      <c s="63"/>
      <c s="63"/>
      <c s="63"/>
      <c s="63"/>
      <c s="63"/>
    </row>
    <row r="231" spans="1:34" ht="10.5" customHeight="1">
      <c r="A231" s="63"/>
      <c s="63"/>
      <c s="63"/>
      <c s="63"/>
      <c s="63"/>
      <c s="63"/>
      <c s="289"/>
      <c s="289"/>
      <c s="289"/>
      <c s="289"/>
      <c s="289"/>
      <c s="289"/>
      <c s="63"/>
      <c s="63"/>
      <c s="63"/>
      <c s="63"/>
      <c s="63"/>
      <c s="63"/>
      <c s="63"/>
      <c s="63"/>
      <c s="63"/>
      <c s="63"/>
      <c s="63"/>
      <c s="63"/>
      <c s="63"/>
      <c s="63"/>
      <c s="63"/>
      <c s="63"/>
      <c s="63"/>
      <c s="63"/>
      <c s="63"/>
      <c s="63"/>
      <c s="63"/>
      <c s="63"/>
    </row>
    <row r="232" spans="1:34" ht="15.75">
      <c r="A232" s="63"/>
      <c s="63"/>
      <c s="63"/>
      <c s="63"/>
      <c s="63"/>
      <c s="63"/>
      <c s="289" t="s">
        <v>584</v>
      </c>
      <c r="M232" s="63"/>
      <c s="63"/>
      <c s="63"/>
      <c s="63"/>
      <c s="63"/>
      <c s="63"/>
      <c s="63"/>
      <c s="63"/>
      <c s="63"/>
      <c s="63"/>
      <c s="63"/>
      <c s="63"/>
      <c s="63"/>
      <c s="63"/>
      <c s="63"/>
      <c s="63"/>
      <c s="63"/>
      <c s="63"/>
      <c s="63"/>
      <c s="63"/>
      <c s="63"/>
      <c s="63"/>
    </row>
    <row r="233" spans="1:34" ht="15.75">
      <c r="A233" s="63"/>
      <c s="63"/>
      <c s="63"/>
      <c s="63"/>
      <c s="63"/>
      <c s="63"/>
      <c s="42"/>
      <c s="42"/>
      <c s="42"/>
      <c s="42"/>
      <c s="42"/>
      <c s="42"/>
      <c s="63"/>
      <c s="63"/>
      <c s="63"/>
      <c s="63"/>
      <c s="63"/>
      <c s="63"/>
      <c s="63"/>
      <c s="63"/>
      <c s="63"/>
      <c s="63"/>
      <c s="63"/>
      <c s="63"/>
      <c s="63"/>
      <c s="63"/>
      <c s="63"/>
      <c s="63"/>
      <c s="63"/>
      <c s="63"/>
      <c s="63"/>
      <c s="63"/>
      <c s="63"/>
      <c s="63"/>
    </row>
    <row r="234" spans="1:34" ht="15.75">
      <c r="A234" s="63"/>
      <c s="63"/>
      <c s="63"/>
      <c s="63"/>
      <c s="63"/>
      <c s="63"/>
      <c s="63"/>
      <c s="63"/>
      <c s="63"/>
      <c s="63"/>
      <c s="63"/>
      <c s="63"/>
      <c s="63"/>
      <c s="63"/>
      <c s="63"/>
      <c s="63"/>
      <c s="63"/>
      <c s="63"/>
      <c s="63"/>
      <c s="63"/>
      <c s="63"/>
      <c s="63"/>
      <c s="63"/>
      <c s="63"/>
      <c s="63"/>
      <c s="63"/>
      <c s="63"/>
      <c s="63"/>
      <c s="63"/>
      <c s="63"/>
      <c s="63"/>
      <c s="63"/>
      <c s="63"/>
      <c s="63"/>
    </row>
    <row r="235" spans="1:34" ht="15.75">
      <c r="A235" s="63"/>
      <c s="63"/>
      <c s="63"/>
      <c s="63"/>
      <c s="63"/>
      <c s="63"/>
      <c s="63"/>
      <c s="63"/>
      <c s="63"/>
      <c s="63"/>
      <c s="63"/>
      <c s="63"/>
      <c s="63"/>
      <c s="63"/>
      <c s="63"/>
      <c s="63"/>
      <c s="63"/>
      <c s="63"/>
      <c s="63"/>
      <c s="63"/>
      <c s="63"/>
      <c s="63"/>
      <c s="63"/>
      <c s="63"/>
      <c s="63"/>
      <c s="63"/>
      <c s="63"/>
      <c s="63"/>
      <c s="63"/>
      <c s="63"/>
      <c s="63"/>
      <c s="63"/>
      <c s="63"/>
      <c s="63"/>
    </row>
    <row r="236" spans="1:34" ht="15.75" thickBot="1">
      <c r="A236" s="63"/>
      <c s="63"/>
      <c s="63"/>
      <c s="63"/>
      <c s="63"/>
      <c s="63"/>
      <c s="63"/>
      <c s="63"/>
      <c s="63"/>
      <c s="63"/>
      <c s="63"/>
      <c s="63"/>
      <c s="63"/>
      <c s="63"/>
      <c s="63"/>
      <c s="63"/>
      <c s="63"/>
      <c s="63"/>
      <c s="63"/>
      <c s="63"/>
      <c s="63"/>
      <c s="63"/>
      <c s="63"/>
      <c s="63"/>
      <c s="63"/>
      <c s="63"/>
      <c s="63"/>
      <c s="63"/>
      <c s="63"/>
      <c s="63"/>
      <c s="63"/>
      <c s="63"/>
      <c s="63"/>
      <c s="63"/>
    </row>
    <row r="237" spans="1:34" ht="15.75">
      <c r="A237" s="63"/>
      <c s="63"/>
      <c s="63"/>
      <c s="63"/>
      <c s="63"/>
      <c s="63"/>
      <c s="6" t="s">
        <v>585</v>
      </c>
      <c s="63"/>
      <c s="63"/>
      <c s="63"/>
      <c s="63"/>
      <c s="63"/>
      <c s="63"/>
      <c s="63"/>
      <c s="63"/>
      <c s="63"/>
      <c s="63"/>
      <c s="63"/>
      <c s="63"/>
      <c s="63"/>
      <c s="63"/>
      <c s="63"/>
      <c s="63"/>
      <c s="63"/>
      <c s="63"/>
      <c s="63"/>
      <c s="63"/>
      <c s="63"/>
      <c s="63"/>
      <c s="63"/>
      <c s="63"/>
      <c s="63"/>
      <c s="63"/>
      <c s="63"/>
    </row>
    <row r="238" spans="1:34" ht="15.75">
      <c r="A238" s="63"/>
      <c s="63"/>
      <c s="63"/>
      <c s="63"/>
      <c s="63"/>
      <c s="63"/>
      <c s="63"/>
      <c s="63"/>
      <c s="63"/>
      <c s="63"/>
      <c s="63"/>
      <c s="63"/>
      <c s="63"/>
      <c s="63"/>
      <c s="63"/>
      <c s="63"/>
      <c s="63"/>
      <c s="63"/>
      <c s="63"/>
      <c s="63"/>
      <c s="63"/>
      <c s="63"/>
      <c s="63"/>
      <c s="63"/>
      <c s="63"/>
      <c s="63"/>
      <c s="63"/>
      <c s="63"/>
      <c s="63"/>
      <c s="63"/>
      <c s="63"/>
      <c s="63"/>
      <c s="63"/>
      <c s="63"/>
    </row>
    <row r="239" spans="1:34" ht="47.25" customHeight="1">
      <c r="A239" s="63"/>
      <c s="63"/>
      <c s="63"/>
      <c s="63"/>
      <c s="63"/>
      <c s="63"/>
      <c s="290" t="s">
        <v>586</v>
      </c>
      <c r="M239" s="63"/>
      <c s="63"/>
      <c s="63"/>
      <c s="63"/>
      <c s="63"/>
      <c s="63"/>
      <c s="63"/>
      <c s="63"/>
      <c s="63"/>
      <c s="63"/>
      <c s="63"/>
      <c s="63"/>
      <c s="63"/>
      <c s="63"/>
      <c s="63"/>
      <c s="63"/>
      <c s="63"/>
      <c s="63"/>
      <c s="63"/>
      <c s="63"/>
      <c s="63"/>
      <c s="63"/>
    </row>
    <row r="240" spans="1:34" ht="15.75">
      <c r="A240" s="63"/>
      <c s="63"/>
      <c s="63"/>
      <c s="63"/>
      <c s="63"/>
      <c s="63"/>
      <c s="268" t="s">
        <v>587</v>
      </c>
      <c s="189"/>
      <c s="189"/>
      <c s="189"/>
      <c s="189"/>
      <c s="189"/>
      <c s="63"/>
      <c s="63"/>
      <c s="63"/>
      <c s="63"/>
      <c s="63"/>
      <c s="63"/>
      <c s="63"/>
      <c s="63"/>
      <c s="63"/>
      <c s="63"/>
      <c s="63"/>
      <c s="63"/>
      <c s="63"/>
      <c s="63"/>
      <c s="63"/>
      <c s="63"/>
      <c s="63"/>
      <c s="63"/>
      <c s="63"/>
      <c s="63"/>
      <c s="63"/>
      <c s="63"/>
    </row>
    <row r="241" spans="1:34" ht="36.75" customHeight="1">
      <c r="A241" s="63"/>
      <c s="63"/>
      <c s="63"/>
      <c s="63"/>
      <c s="63"/>
      <c s="63"/>
      <c s="291"/>
      <c s="287"/>
      <c s="287"/>
      <c s="287"/>
      <c s="287"/>
      <c s="288"/>
      <c s="63"/>
      <c s="63"/>
      <c s="63"/>
      <c s="63"/>
      <c s="63"/>
      <c s="63"/>
      <c s="63"/>
      <c s="63"/>
      <c s="63"/>
      <c s="63"/>
      <c s="63"/>
      <c s="63"/>
      <c s="63"/>
      <c s="63"/>
      <c s="63"/>
      <c s="63"/>
      <c s="63"/>
      <c s="63"/>
      <c s="63"/>
      <c s="63"/>
      <c s="63"/>
      <c s="63"/>
    </row>
    <row r="242" spans="1:34" ht="15.75">
      <c r="A242" s="63"/>
      <c s="63"/>
      <c s="63"/>
      <c s="63"/>
      <c s="63"/>
      <c s="63"/>
      <c s="268" t="s">
        <v>588</v>
      </c>
      <c s="189"/>
      <c s="189"/>
      <c s="189"/>
      <c s="268" t="s">
        <v>589</v>
      </c>
      <c r="M242" s="63"/>
      <c s="63"/>
      <c s="63"/>
      <c s="63"/>
      <c s="63"/>
      <c s="63"/>
      <c s="63"/>
      <c s="63"/>
      <c s="63"/>
      <c s="63"/>
      <c s="63"/>
      <c s="63"/>
      <c s="63"/>
      <c s="63"/>
      <c s="63"/>
      <c s="63"/>
      <c s="63"/>
      <c s="63"/>
      <c s="63"/>
      <c s="63"/>
      <c s="63"/>
      <c s="63"/>
    </row>
    <row r="243" spans="1:34" ht="15.75">
      <c r="A243" s="63"/>
      <c s="63"/>
      <c s="63"/>
      <c s="63"/>
      <c s="63"/>
      <c s="63"/>
      <c s="268" t="s">
        <v>590</v>
      </c>
      <c s="189"/>
      <c s="189"/>
      <c s="189"/>
      <c s="189"/>
      <c s="189"/>
      <c s="63"/>
      <c s="63"/>
      <c s="63"/>
      <c s="63"/>
      <c s="63"/>
      <c s="63"/>
      <c s="63"/>
      <c s="63"/>
      <c s="63"/>
      <c s="63"/>
      <c s="63"/>
      <c s="63"/>
      <c s="63"/>
      <c s="63"/>
      <c s="63"/>
      <c s="63"/>
      <c s="63"/>
      <c s="63"/>
      <c s="63"/>
      <c s="63"/>
      <c s="63"/>
      <c s="63"/>
    </row>
    <row r="244" spans="1:34" ht="36.75" customHeight="1">
      <c r="A244" s="63"/>
      <c s="63"/>
      <c s="63"/>
      <c s="63"/>
      <c s="63"/>
      <c s="63"/>
      <c s="291"/>
      <c s="287"/>
      <c s="287"/>
      <c s="287"/>
      <c s="287"/>
      <c s="288"/>
      <c s="63"/>
      <c s="63"/>
      <c s="63"/>
      <c s="63"/>
      <c s="63"/>
      <c s="63"/>
      <c s="63"/>
      <c s="63"/>
      <c s="63"/>
      <c s="63"/>
      <c s="63"/>
      <c s="63"/>
      <c s="63"/>
      <c s="63"/>
      <c s="63"/>
      <c s="63"/>
      <c s="63"/>
      <c s="63"/>
      <c s="63"/>
      <c s="63"/>
      <c s="63"/>
      <c s="63"/>
    </row>
    <row r="245" spans="1:34" ht="15.75">
      <c r="A245" s="63"/>
      <c s="63"/>
      <c s="63"/>
      <c s="63"/>
      <c s="63"/>
      <c s="63"/>
      <c s="268" t="s">
        <v>591</v>
      </c>
      <c s="189"/>
      <c s="189"/>
      <c s="189"/>
      <c s="189"/>
      <c s="189"/>
      <c s="63"/>
      <c s="63"/>
      <c s="63"/>
      <c s="63"/>
      <c s="63"/>
      <c s="63"/>
      <c s="63"/>
      <c s="63"/>
      <c s="63"/>
      <c s="63"/>
      <c s="63"/>
      <c s="63"/>
      <c s="63"/>
      <c s="63"/>
      <c s="63"/>
      <c s="63"/>
      <c s="63"/>
      <c s="63"/>
      <c s="63"/>
      <c s="63"/>
      <c s="63"/>
      <c s="63"/>
    </row>
    <row r="246" spans="1:34" ht="36.75" customHeight="1">
      <c r="A246" s="63"/>
      <c s="63"/>
      <c s="63"/>
      <c s="63"/>
      <c s="63"/>
      <c s="63"/>
      <c s="291"/>
      <c s="287"/>
      <c s="287"/>
      <c s="287"/>
      <c s="287"/>
      <c s="288"/>
      <c s="63"/>
      <c s="63"/>
      <c s="63"/>
      <c s="63"/>
      <c s="63"/>
      <c s="63"/>
      <c s="63"/>
      <c s="63"/>
      <c s="63"/>
      <c s="63"/>
      <c s="63"/>
      <c s="63"/>
      <c s="63"/>
      <c s="63"/>
      <c s="63"/>
      <c s="63"/>
      <c s="63"/>
      <c s="63"/>
      <c s="63"/>
      <c s="63"/>
      <c s="63"/>
      <c s="63"/>
    </row>
    <row r="247" spans="1:34" ht="15.75">
      <c r="A247" s="63"/>
      <c s="63"/>
      <c s="63"/>
      <c s="63"/>
      <c s="63"/>
      <c s="63"/>
      <c s="268" t="s">
        <v>592</v>
      </c>
      <c s="189"/>
      <c s="189"/>
      <c s="189"/>
      <c s="189"/>
      <c s="189"/>
      <c s="63"/>
      <c s="63"/>
      <c s="63"/>
      <c s="63"/>
      <c s="63"/>
      <c s="63"/>
      <c s="63"/>
      <c s="63"/>
      <c s="63"/>
      <c s="63"/>
      <c s="63"/>
      <c s="63"/>
      <c s="63"/>
      <c s="63"/>
      <c s="63"/>
      <c s="63"/>
      <c s="63"/>
      <c s="63"/>
      <c s="63"/>
      <c s="63"/>
      <c s="63"/>
      <c s="63"/>
    </row>
    <row r="248" spans="1:34" ht="36.75" customHeight="1">
      <c r="A248" s="63"/>
      <c s="63"/>
      <c s="63"/>
      <c s="63"/>
      <c s="63"/>
      <c s="63"/>
      <c s="291"/>
      <c s="287"/>
      <c s="287"/>
      <c s="287"/>
      <c s="287"/>
      <c s="288"/>
      <c s="63"/>
      <c s="63"/>
      <c s="63"/>
      <c s="63"/>
      <c s="63"/>
      <c s="63"/>
      <c s="63"/>
      <c s="63"/>
      <c s="63"/>
      <c s="63"/>
      <c s="63"/>
      <c s="63"/>
      <c s="63"/>
      <c s="63"/>
      <c s="63"/>
      <c s="63"/>
      <c s="63"/>
      <c s="63"/>
      <c s="63"/>
      <c s="63"/>
      <c s="63"/>
      <c s="63"/>
    </row>
    <row r="249" spans="1:34" ht="15.75">
      <c r="A249" s="63"/>
      <c s="63"/>
      <c s="63"/>
      <c s="63"/>
      <c s="63"/>
      <c s="63"/>
      <c s="268" t="s">
        <v>593</v>
      </c>
      <c s="189"/>
      <c s="189"/>
      <c s="189"/>
      <c s="189"/>
      <c s="189"/>
      <c s="63"/>
      <c s="63"/>
      <c s="63"/>
      <c s="63"/>
      <c s="63"/>
      <c s="63"/>
      <c s="63"/>
      <c s="63"/>
      <c s="63"/>
      <c s="63"/>
      <c s="63"/>
      <c s="63"/>
      <c s="63"/>
      <c s="63"/>
      <c s="63"/>
      <c s="63"/>
      <c s="63"/>
      <c s="63"/>
      <c s="63"/>
      <c s="63"/>
      <c s="63"/>
      <c s="63"/>
    </row>
    <row r="250" spans="1:34" ht="36.75" customHeight="1">
      <c r="A250" s="63"/>
      <c s="63"/>
      <c s="63"/>
      <c s="63"/>
      <c s="63"/>
      <c s="63"/>
      <c s="291"/>
      <c s="287"/>
      <c s="287"/>
      <c s="287"/>
      <c s="287"/>
      <c s="288"/>
      <c s="63"/>
      <c s="63"/>
      <c s="63"/>
      <c s="63"/>
      <c s="63"/>
      <c s="63"/>
      <c s="63"/>
      <c s="63"/>
      <c s="63"/>
      <c s="63"/>
      <c s="63"/>
      <c s="63"/>
      <c s="63"/>
      <c s="63"/>
      <c s="63"/>
      <c s="63"/>
      <c s="63"/>
      <c s="63"/>
      <c s="63"/>
      <c s="63"/>
      <c s="63"/>
      <c s="63"/>
    </row>
    <row r="251" spans="1:34" ht="15.75">
      <c r="A251" s="63"/>
      <c s="63"/>
      <c s="63"/>
      <c s="63"/>
      <c s="63"/>
      <c s="63"/>
      <c s="268" t="s">
        <v>594</v>
      </c>
      <c s="189"/>
      <c s="189"/>
      <c s="189"/>
      <c s="189"/>
      <c s="189"/>
      <c s="63"/>
      <c s="63"/>
      <c s="63"/>
      <c s="63"/>
      <c s="63"/>
      <c s="63"/>
      <c s="63"/>
      <c s="63"/>
      <c s="63"/>
      <c s="63"/>
      <c s="63"/>
      <c s="63"/>
      <c s="63"/>
      <c s="63"/>
      <c s="63"/>
      <c s="63"/>
      <c s="63"/>
      <c s="63"/>
      <c s="63"/>
      <c s="63"/>
      <c s="63"/>
      <c s="63"/>
    </row>
    <row r="252" spans="1:34" ht="36.75" customHeight="1">
      <c r="A252" s="63"/>
      <c s="63"/>
      <c s="63"/>
      <c s="63"/>
      <c s="63"/>
      <c s="63"/>
      <c s="291"/>
      <c s="287"/>
      <c s="287"/>
      <c s="287"/>
      <c s="287"/>
      <c s="288"/>
      <c s="63"/>
      <c s="63"/>
      <c s="63"/>
      <c s="63"/>
      <c s="63"/>
      <c s="63"/>
      <c s="63"/>
      <c s="63"/>
      <c s="63"/>
      <c s="63"/>
      <c s="63"/>
      <c s="63"/>
      <c s="63"/>
      <c s="63"/>
      <c s="63"/>
      <c s="63"/>
      <c s="63"/>
      <c s="63"/>
      <c s="63"/>
      <c s="63"/>
      <c s="63"/>
      <c s="63"/>
    </row>
    <row r="253" spans="1:34" ht="15.75">
      <c r="A253" s="63"/>
      <c s="63"/>
      <c s="63"/>
      <c s="63"/>
      <c s="63"/>
      <c s="63"/>
      <c s="268" t="s">
        <v>595</v>
      </c>
      <c s="189"/>
      <c s="189"/>
      <c s="189"/>
      <c s="189"/>
      <c s="189"/>
      <c s="63"/>
      <c s="63"/>
      <c s="63"/>
      <c s="63"/>
      <c s="63"/>
      <c s="63"/>
      <c s="63"/>
      <c s="63"/>
      <c s="63"/>
      <c s="63"/>
      <c s="63"/>
      <c s="63"/>
      <c s="63"/>
      <c s="63"/>
      <c s="63"/>
      <c s="63"/>
      <c s="63"/>
      <c s="63"/>
      <c s="63"/>
      <c s="63"/>
      <c s="63"/>
      <c s="63"/>
    </row>
    <row r="254" spans="1:34" ht="36.75" customHeight="1">
      <c r="A254" s="63"/>
      <c s="63"/>
      <c s="63"/>
      <c s="63"/>
      <c s="63"/>
      <c s="63"/>
      <c s="291"/>
      <c s="287"/>
      <c s="287"/>
      <c s="287"/>
      <c s="287"/>
      <c s="288"/>
      <c s="63"/>
      <c s="63"/>
      <c s="63"/>
      <c s="63"/>
      <c s="63"/>
      <c s="63"/>
      <c s="63"/>
      <c s="63"/>
      <c s="63"/>
      <c s="63"/>
      <c s="63"/>
      <c s="63"/>
      <c s="63"/>
      <c s="63"/>
      <c s="63"/>
      <c s="63"/>
      <c s="63"/>
      <c s="63"/>
      <c s="63"/>
      <c s="63"/>
      <c s="63"/>
      <c s="63"/>
    </row>
    <row r="255" spans="1:34" ht="15.75">
      <c r="A255" s="63"/>
      <c s="63"/>
      <c s="63"/>
      <c s="63"/>
      <c s="63"/>
      <c s="63"/>
      <c s="268" t="s">
        <v>596</v>
      </c>
      <c s="189"/>
      <c s="189"/>
      <c s="189"/>
      <c s="189"/>
      <c s="189"/>
      <c s="63"/>
      <c s="63"/>
      <c s="63"/>
      <c s="63"/>
      <c s="63"/>
      <c s="63"/>
      <c s="63"/>
      <c s="63"/>
      <c s="63"/>
      <c s="63"/>
      <c s="63"/>
      <c s="63"/>
      <c s="63"/>
      <c s="63"/>
      <c s="63"/>
      <c s="63"/>
      <c s="63"/>
      <c s="63"/>
      <c s="63"/>
      <c s="63"/>
      <c s="63"/>
      <c s="63"/>
    </row>
    <row r="256" spans="1:34" ht="36.75" customHeight="1">
      <c r="A256" s="63"/>
      <c s="63"/>
      <c s="63"/>
      <c s="63"/>
      <c s="63"/>
      <c s="63"/>
      <c s="291"/>
      <c s="287"/>
      <c s="287"/>
      <c s="287"/>
      <c s="287"/>
      <c s="288"/>
      <c s="63"/>
      <c s="63"/>
      <c s="63"/>
      <c s="63"/>
      <c s="63"/>
      <c s="63"/>
      <c s="63"/>
      <c s="63"/>
      <c s="63"/>
      <c s="63"/>
      <c s="63"/>
      <c s="63"/>
      <c s="63"/>
      <c s="63"/>
      <c s="63"/>
      <c s="63"/>
      <c s="63"/>
      <c s="63"/>
      <c s="63"/>
      <c s="63"/>
      <c s="63"/>
      <c s="63"/>
    </row>
    <row r="257" spans="1:34" ht="15.75">
      <c r="A257" s="63"/>
      <c s="63"/>
      <c s="63"/>
      <c s="63"/>
      <c s="63"/>
      <c s="63"/>
      <c s="268" t="s">
        <v>597</v>
      </c>
      <c s="189"/>
      <c s="189"/>
      <c s="189"/>
      <c s="189"/>
      <c s="189"/>
      <c s="63"/>
      <c s="63"/>
      <c s="63"/>
      <c s="63"/>
      <c s="63"/>
      <c s="63"/>
      <c s="63"/>
      <c s="63"/>
      <c s="63"/>
      <c s="63"/>
      <c s="63"/>
      <c s="63"/>
      <c s="63"/>
      <c s="63"/>
      <c s="63"/>
      <c s="63"/>
      <c s="63"/>
      <c s="63"/>
      <c s="63"/>
      <c s="63"/>
      <c s="63"/>
      <c s="63"/>
    </row>
    <row r="258" spans="1:34" ht="36.75" customHeight="1">
      <c r="A258" s="63"/>
      <c s="63"/>
      <c s="63"/>
      <c s="63"/>
      <c s="63"/>
      <c s="63"/>
      <c s="291"/>
      <c s="287"/>
      <c s="287"/>
      <c s="287"/>
      <c s="287"/>
      <c s="288"/>
      <c s="63"/>
      <c s="63"/>
      <c s="63"/>
      <c s="63"/>
      <c s="63"/>
      <c s="63"/>
      <c s="63"/>
      <c s="63"/>
      <c s="63"/>
      <c s="63"/>
      <c s="63"/>
      <c s="63"/>
      <c s="63"/>
      <c s="63"/>
      <c s="63"/>
      <c s="63"/>
      <c s="63"/>
      <c s="63"/>
      <c s="63"/>
      <c s="63"/>
      <c s="63"/>
      <c s="63"/>
    </row>
    <row r="259" spans="1:34" ht="15.75">
      <c r="A259" s="63"/>
      <c s="63"/>
      <c s="63"/>
      <c s="63"/>
      <c s="63"/>
      <c s="63"/>
      <c s="42"/>
      <c s="42"/>
      <c s="42"/>
      <c s="42"/>
      <c s="42"/>
      <c s="42"/>
      <c s="63"/>
      <c s="63"/>
      <c s="63"/>
      <c s="63"/>
      <c s="63"/>
      <c s="63"/>
      <c s="63"/>
      <c s="63"/>
      <c s="63"/>
      <c s="63"/>
      <c s="63"/>
      <c s="63"/>
      <c s="63"/>
      <c s="63"/>
      <c s="63"/>
      <c s="63"/>
      <c s="63"/>
      <c s="63"/>
      <c s="63"/>
      <c s="63"/>
      <c s="63"/>
      <c s="63"/>
    </row>
    <row r="260" spans="1:34" ht="15.75">
      <c r="A260" s="63"/>
      <c s="63"/>
      <c s="63"/>
      <c s="63"/>
      <c s="63"/>
      <c s="63"/>
      <c s="63"/>
      <c s="63"/>
      <c s="63"/>
      <c s="63"/>
      <c s="63"/>
      <c s="63"/>
      <c s="63"/>
      <c s="63"/>
      <c s="63"/>
      <c s="63"/>
      <c s="63"/>
      <c s="63"/>
      <c s="63"/>
      <c s="63"/>
      <c s="63"/>
      <c s="63"/>
      <c s="63"/>
      <c s="63"/>
      <c s="63"/>
      <c s="63"/>
      <c s="63"/>
      <c s="63"/>
      <c s="63"/>
      <c s="63"/>
      <c s="63"/>
      <c s="63"/>
      <c s="63"/>
      <c s="63"/>
    </row>
    <row r="261" spans="1:34" ht="15.75">
      <c r="A261" s="63"/>
      <c s="63"/>
      <c s="63"/>
      <c s="63"/>
      <c s="63"/>
      <c s="63"/>
      <c s="63"/>
      <c s="63"/>
      <c s="63"/>
      <c s="63"/>
      <c s="63"/>
      <c s="63"/>
      <c s="63"/>
      <c s="63"/>
      <c s="63"/>
      <c s="63"/>
      <c s="63"/>
      <c s="63"/>
      <c s="63"/>
      <c s="63"/>
      <c s="63"/>
      <c s="63"/>
      <c s="63"/>
      <c s="63"/>
      <c s="63"/>
      <c s="63"/>
      <c s="63"/>
      <c s="63"/>
      <c s="63"/>
      <c s="63"/>
      <c s="63"/>
      <c s="63"/>
      <c s="63"/>
      <c s="63"/>
    </row>
    <row r="262" spans="1:34" ht="15.75">
      <c r="A262" s="63"/>
      <c s="63"/>
      <c s="63"/>
      <c s="63"/>
      <c s="63"/>
      <c s="63"/>
      <c s="63"/>
      <c s="63"/>
      <c s="63"/>
      <c s="63"/>
      <c s="63"/>
      <c s="63"/>
      <c s="63"/>
      <c s="63"/>
      <c s="63"/>
      <c s="63"/>
      <c s="63"/>
      <c s="63"/>
      <c s="63"/>
      <c s="63"/>
      <c s="63"/>
      <c s="63"/>
      <c s="63"/>
      <c s="63"/>
      <c s="63"/>
      <c s="63"/>
      <c s="63"/>
      <c s="63"/>
      <c s="63"/>
      <c s="63"/>
      <c s="63"/>
      <c s="63"/>
      <c s="63"/>
      <c s="63"/>
    </row>
    <row r="263" spans="1:34" ht="15.75">
      <c r="A263" s="63"/>
      <c s="63"/>
      <c s="63"/>
      <c s="63"/>
      <c s="63"/>
      <c s="63"/>
      <c s="63"/>
      <c s="63"/>
      <c s="63"/>
      <c s="63"/>
      <c s="63"/>
      <c s="63"/>
      <c s="63"/>
      <c s="63"/>
      <c s="63"/>
      <c s="63"/>
      <c s="63"/>
      <c s="63"/>
      <c s="63"/>
      <c s="63"/>
      <c s="63"/>
      <c s="63"/>
      <c s="63"/>
      <c s="63"/>
      <c s="63"/>
      <c s="63"/>
      <c s="63"/>
      <c s="63"/>
      <c s="63"/>
      <c s="63"/>
      <c s="63"/>
      <c s="63"/>
      <c s="63"/>
      <c s="63"/>
    </row>
    <row r="264" spans="1:34" ht="15.75">
      <c r="A264" s="63"/>
      <c s="63"/>
      <c s="63"/>
      <c s="63"/>
      <c s="63"/>
      <c s="63"/>
      <c s="63"/>
      <c s="63"/>
      <c s="63"/>
      <c s="63"/>
      <c s="63"/>
      <c s="63"/>
      <c s="63"/>
      <c s="63"/>
      <c s="63"/>
      <c s="63"/>
      <c s="63"/>
      <c s="63"/>
      <c s="63"/>
      <c s="63"/>
      <c s="63"/>
      <c s="63"/>
      <c s="63"/>
      <c s="63"/>
      <c s="63"/>
      <c s="63"/>
      <c s="63"/>
      <c s="63"/>
      <c s="63"/>
      <c s="63"/>
      <c s="63"/>
      <c s="63"/>
      <c s="63"/>
      <c s="63"/>
    </row>
    <row r="265" spans="1:34" ht="15.75">
      <c r="A265" s="63"/>
      <c s="63"/>
      <c s="63"/>
      <c s="63"/>
      <c s="63"/>
      <c s="63"/>
      <c s="63"/>
      <c s="63"/>
      <c s="63"/>
      <c s="63"/>
      <c s="63"/>
      <c s="63"/>
      <c s="63"/>
      <c s="63"/>
      <c s="63"/>
      <c s="63"/>
      <c s="63"/>
      <c s="63"/>
      <c s="63"/>
      <c s="63"/>
      <c s="63"/>
      <c s="63"/>
      <c s="63"/>
      <c s="63"/>
      <c s="63"/>
      <c s="63"/>
      <c s="63"/>
      <c s="63"/>
      <c s="63"/>
      <c s="63"/>
      <c s="63"/>
      <c s="63"/>
      <c s="63"/>
      <c s="63"/>
    </row>
    <row r="266" spans="1:34" ht="15.75">
      <c r="A266" s="63"/>
      <c s="63"/>
      <c s="63"/>
      <c s="63"/>
      <c s="63"/>
      <c s="63"/>
      <c s="63"/>
      <c s="63"/>
      <c s="63"/>
      <c s="63"/>
      <c s="63"/>
      <c s="63"/>
      <c s="63"/>
      <c s="63"/>
      <c s="63"/>
      <c s="63"/>
      <c s="63"/>
      <c s="63"/>
      <c s="63"/>
      <c s="63"/>
      <c s="63"/>
      <c s="63"/>
      <c s="63"/>
      <c s="63"/>
      <c s="63"/>
      <c s="63"/>
      <c s="63"/>
      <c s="63"/>
      <c s="63"/>
      <c s="63"/>
      <c s="63"/>
      <c s="63"/>
      <c s="63"/>
      <c s="63"/>
    </row>
    <row r="267" spans="1:34" ht="15.75">
      <c r="A267" s="63"/>
      <c s="63"/>
      <c s="63"/>
      <c s="63"/>
      <c s="63"/>
      <c s="63"/>
      <c s="63"/>
      <c s="63"/>
      <c s="63"/>
      <c s="63"/>
      <c s="63"/>
      <c s="63"/>
      <c s="63"/>
      <c s="63"/>
      <c s="63"/>
      <c s="63"/>
      <c s="63"/>
      <c s="63"/>
      <c s="63"/>
      <c s="63"/>
      <c s="63"/>
      <c s="63"/>
      <c s="63"/>
      <c s="63"/>
      <c s="63"/>
      <c s="63"/>
      <c s="63"/>
      <c s="63"/>
      <c s="63"/>
      <c s="63"/>
      <c s="63"/>
      <c s="63"/>
      <c s="63"/>
      <c s="63"/>
    </row>
    <row r="268" spans="1:34" ht="15.75">
      <c r="A268" s="63"/>
      <c s="63"/>
      <c s="63"/>
      <c s="63"/>
      <c s="63"/>
      <c s="63"/>
      <c s="63"/>
      <c s="63"/>
      <c s="63"/>
      <c s="63"/>
      <c s="63"/>
      <c s="63"/>
      <c s="63"/>
      <c s="63"/>
      <c s="63"/>
      <c s="63"/>
      <c s="63"/>
      <c s="63"/>
      <c s="63"/>
      <c s="63"/>
      <c s="63"/>
      <c s="63"/>
      <c s="63"/>
      <c s="63"/>
      <c s="63"/>
      <c s="63"/>
      <c s="63"/>
      <c s="63"/>
      <c s="63"/>
      <c s="63"/>
      <c s="63"/>
      <c s="63"/>
      <c s="63"/>
      <c s="63"/>
    </row>
    <row r="269" spans="1:34" ht="15.75">
      <c r="A269" s="63"/>
      <c s="63"/>
      <c s="63"/>
      <c s="63"/>
      <c s="63"/>
      <c s="63"/>
      <c s="63"/>
      <c s="63"/>
      <c s="63"/>
      <c s="63"/>
      <c s="63"/>
      <c s="63"/>
      <c s="63"/>
      <c s="63"/>
      <c s="63"/>
      <c s="63"/>
      <c s="63"/>
      <c s="63"/>
      <c s="63"/>
      <c s="63"/>
      <c s="63"/>
      <c s="63"/>
      <c s="63"/>
      <c s="63"/>
      <c s="63"/>
      <c s="63"/>
      <c s="63"/>
      <c s="63"/>
      <c s="63"/>
      <c s="63"/>
      <c s="63"/>
      <c s="63"/>
      <c s="63"/>
      <c s="63"/>
    </row>
    <row r="270" spans="1:34" ht="15.75">
      <c r="A270" s="63"/>
      <c s="63"/>
      <c s="63"/>
      <c s="63"/>
      <c s="63"/>
      <c s="63"/>
      <c s="63"/>
      <c s="63"/>
      <c s="63"/>
      <c s="63"/>
      <c s="63"/>
      <c s="63"/>
      <c s="63"/>
      <c s="63"/>
      <c s="63"/>
      <c s="63"/>
      <c s="63"/>
      <c s="63"/>
      <c s="63"/>
      <c s="63"/>
      <c s="63"/>
      <c s="63"/>
      <c s="63"/>
      <c s="63"/>
      <c s="63"/>
      <c s="63"/>
      <c s="63"/>
      <c s="63"/>
      <c s="63"/>
      <c s="63"/>
      <c s="63"/>
      <c s="63"/>
      <c s="63"/>
      <c s="63"/>
    </row>
    <row r="271" spans="1:34" ht="15.75">
      <c r="A271" s="63"/>
      <c s="63"/>
      <c s="63"/>
      <c s="63"/>
      <c s="63"/>
      <c s="63"/>
      <c s="63"/>
      <c s="63"/>
      <c s="63"/>
      <c s="63"/>
      <c s="63"/>
      <c s="63"/>
      <c s="63"/>
      <c s="63"/>
      <c s="63"/>
      <c s="63"/>
      <c s="63"/>
      <c s="63"/>
      <c s="63"/>
      <c s="63"/>
      <c s="63"/>
      <c s="63"/>
      <c s="63"/>
      <c s="63"/>
      <c s="63"/>
      <c s="63"/>
      <c s="63"/>
      <c s="63"/>
      <c s="63"/>
      <c s="63"/>
      <c s="63"/>
      <c s="63"/>
      <c s="63"/>
      <c s="63"/>
    </row>
    <row r="272" spans="1:34" ht="15.75">
      <c r="A272" s="63"/>
      <c s="63"/>
      <c s="63"/>
      <c s="63"/>
      <c s="63"/>
      <c s="63"/>
      <c s="63"/>
      <c s="63"/>
      <c s="63"/>
      <c s="63"/>
      <c s="63"/>
      <c s="63"/>
      <c s="63"/>
      <c s="63"/>
      <c s="63"/>
      <c s="63"/>
      <c s="63"/>
      <c s="63"/>
      <c s="63"/>
      <c s="63"/>
      <c s="63"/>
      <c s="63"/>
      <c s="63"/>
      <c s="63"/>
      <c s="63"/>
      <c s="63"/>
      <c s="63"/>
      <c s="63"/>
      <c s="63"/>
      <c s="63"/>
      <c s="63"/>
      <c s="63"/>
      <c s="63"/>
      <c s="63"/>
    </row>
    <row r="273" spans="1:34" ht="15.75">
      <c r="A273" s="63"/>
      <c s="63"/>
      <c s="63"/>
      <c s="63"/>
      <c s="63"/>
      <c s="63"/>
      <c s="63"/>
      <c s="63"/>
      <c s="63"/>
      <c s="63"/>
      <c s="63"/>
      <c s="63"/>
      <c s="63"/>
      <c s="63"/>
      <c s="63"/>
      <c s="63"/>
      <c s="63"/>
      <c s="63"/>
      <c s="63"/>
      <c s="63"/>
      <c s="63"/>
      <c s="63"/>
      <c s="63"/>
      <c s="63"/>
      <c s="63"/>
      <c s="63"/>
      <c s="63"/>
      <c s="63"/>
      <c s="63"/>
      <c s="63"/>
      <c s="63"/>
      <c s="63"/>
      <c s="63"/>
      <c s="63"/>
    </row>
    <row r="274" spans="1:34" ht="15.75">
      <c r="A274" s="63"/>
      <c s="63"/>
      <c s="63"/>
      <c s="63"/>
      <c s="63"/>
      <c s="63"/>
      <c s="63"/>
      <c s="63"/>
      <c s="63"/>
      <c s="63"/>
      <c s="63"/>
      <c s="63"/>
      <c s="63"/>
      <c s="63"/>
      <c s="63"/>
      <c s="63"/>
      <c s="63"/>
      <c s="63"/>
      <c s="63"/>
      <c s="63"/>
      <c s="63"/>
      <c s="63"/>
      <c s="63"/>
      <c s="63"/>
      <c s="63"/>
      <c s="63"/>
      <c s="63"/>
      <c s="63"/>
      <c s="63"/>
      <c s="63"/>
      <c s="63"/>
      <c s="63"/>
      <c s="63"/>
      <c s="63"/>
    </row>
    <row r="275" spans="1:34" ht="15.75">
      <c r="A275" s="63"/>
      <c s="63"/>
      <c s="63"/>
      <c s="63"/>
      <c s="63"/>
      <c s="63"/>
      <c s="63"/>
      <c s="63"/>
      <c s="63"/>
      <c s="63"/>
      <c s="63"/>
      <c s="63"/>
      <c s="63"/>
      <c s="63"/>
      <c s="63"/>
      <c s="63"/>
      <c s="63"/>
      <c s="63"/>
      <c s="63"/>
      <c s="63"/>
      <c s="63"/>
      <c s="63"/>
      <c s="63"/>
      <c s="63"/>
      <c s="63"/>
      <c s="63"/>
      <c s="63"/>
      <c s="63"/>
      <c s="63"/>
      <c s="63"/>
      <c s="63"/>
      <c s="63"/>
      <c s="63"/>
      <c s="63"/>
    </row>
    <row r="276" spans="1:34" ht="15.75">
      <c r="A276" s="63"/>
      <c s="63"/>
      <c s="63"/>
      <c s="63"/>
      <c s="63"/>
      <c s="63"/>
      <c s="63"/>
      <c s="63"/>
      <c s="63"/>
      <c s="63"/>
      <c s="63"/>
      <c s="63"/>
      <c s="63"/>
      <c s="63"/>
      <c s="63"/>
      <c s="63"/>
      <c s="63"/>
      <c s="63"/>
      <c s="63"/>
      <c s="63"/>
      <c s="63"/>
      <c s="63"/>
      <c s="63"/>
      <c s="63"/>
      <c s="63"/>
      <c s="63"/>
      <c s="63"/>
      <c s="63"/>
      <c s="63"/>
      <c s="63"/>
      <c s="63"/>
      <c s="63"/>
      <c s="63"/>
      <c s="63"/>
    </row>
    <row r="277" spans="1:34" ht="15.75">
      <c r="A277" s="63"/>
      <c s="63"/>
      <c s="63"/>
      <c s="63"/>
      <c s="63"/>
      <c s="63"/>
      <c s="63"/>
      <c s="63"/>
      <c s="63"/>
      <c s="63"/>
      <c s="63"/>
      <c s="63"/>
      <c s="63"/>
      <c s="63"/>
      <c s="63"/>
      <c s="63"/>
      <c s="63"/>
      <c s="63"/>
      <c s="63"/>
      <c s="63"/>
      <c s="63"/>
      <c s="63"/>
      <c s="63"/>
      <c s="63"/>
      <c s="63"/>
      <c s="63"/>
      <c s="63"/>
      <c s="63"/>
      <c s="63"/>
      <c s="63"/>
      <c s="63"/>
      <c s="63"/>
      <c s="63"/>
      <c s="63"/>
    </row>
    <row r="278" spans="1:34" ht="15.75">
      <c r="A278" s="63"/>
      <c s="63"/>
      <c s="63"/>
      <c s="63"/>
      <c s="63"/>
      <c s="63"/>
      <c s="63"/>
      <c s="63"/>
      <c s="63"/>
      <c s="63"/>
      <c s="63"/>
      <c s="63"/>
      <c s="63"/>
      <c s="63"/>
      <c s="63"/>
      <c s="63"/>
      <c s="63"/>
      <c s="63"/>
      <c s="63"/>
      <c s="63"/>
      <c s="63"/>
      <c s="63"/>
      <c s="63"/>
      <c s="63"/>
      <c s="63"/>
      <c s="63"/>
      <c s="63"/>
      <c s="63"/>
      <c s="63"/>
      <c s="63"/>
      <c s="63"/>
      <c s="63"/>
      <c s="63"/>
      <c s="63"/>
    </row>
    <row r="279" spans="1:34" ht="15.75">
      <c r="A279" s="63"/>
      <c s="63"/>
      <c s="63"/>
      <c s="63"/>
      <c s="63"/>
      <c s="63"/>
      <c s="63"/>
      <c s="63"/>
      <c s="63"/>
      <c s="63"/>
      <c s="63"/>
      <c s="63"/>
      <c s="63"/>
      <c s="63"/>
      <c s="63"/>
      <c s="63"/>
      <c s="63"/>
      <c s="63"/>
      <c s="63"/>
      <c s="63"/>
      <c s="63"/>
      <c s="63"/>
      <c s="63"/>
      <c s="63"/>
      <c s="63"/>
      <c s="63"/>
      <c s="63"/>
      <c s="63"/>
      <c s="63"/>
      <c s="63"/>
      <c s="63"/>
      <c s="63"/>
      <c s="63"/>
      <c s="63"/>
    </row>
    <row r="280" spans="1:34" ht="15.75">
      <c r="A280" s="63"/>
      <c s="63"/>
      <c s="63"/>
      <c s="63"/>
      <c s="63"/>
      <c s="63"/>
      <c s="63"/>
      <c s="63"/>
      <c s="63"/>
      <c s="63"/>
      <c s="63"/>
      <c s="63"/>
      <c s="63"/>
      <c s="63"/>
      <c s="63"/>
      <c s="63"/>
      <c s="63"/>
      <c s="63"/>
      <c s="63"/>
      <c s="63"/>
      <c s="63"/>
      <c s="63"/>
      <c s="63"/>
      <c s="63"/>
      <c s="63"/>
      <c s="63"/>
      <c s="63"/>
      <c s="63"/>
      <c s="63"/>
      <c s="63"/>
      <c s="63"/>
      <c s="63"/>
      <c s="63"/>
      <c s="63"/>
    </row>
    <row r="281" spans="1:34" ht="15.75">
      <c r="A281" s="63"/>
      <c s="63"/>
      <c s="63"/>
      <c s="63"/>
      <c s="63"/>
      <c s="63"/>
      <c s="63"/>
      <c s="63"/>
      <c s="63"/>
      <c s="63"/>
      <c s="63"/>
      <c s="63"/>
      <c s="63"/>
      <c s="63"/>
      <c s="63"/>
      <c s="63"/>
      <c s="63"/>
      <c s="63"/>
      <c s="63"/>
      <c s="63"/>
      <c s="63"/>
      <c s="63"/>
      <c s="63"/>
      <c s="63"/>
      <c s="63"/>
      <c s="63"/>
      <c s="63"/>
      <c s="63"/>
      <c s="63"/>
      <c s="63"/>
      <c s="63"/>
      <c s="63"/>
      <c s="63"/>
      <c s="63"/>
    </row>
    <row r="282" spans="1:34" ht="15.75">
      <c r="A282" s="63"/>
      <c s="63"/>
      <c s="63"/>
      <c s="63"/>
      <c s="63"/>
      <c s="63"/>
      <c s="63"/>
      <c s="63"/>
      <c s="63"/>
      <c s="63"/>
      <c s="63"/>
      <c s="63"/>
      <c s="63"/>
      <c s="63"/>
      <c s="63"/>
      <c s="63"/>
      <c s="63"/>
      <c s="63"/>
      <c s="63"/>
      <c s="63"/>
      <c s="63"/>
      <c s="63"/>
      <c s="63"/>
      <c s="63"/>
      <c s="63"/>
      <c s="63"/>
      <c s="63"/>
      <c s="63"/>
      <c s="63"/>
      <c s="63"/>
      <c s="63"/>
      <c s="63"/>
      <c s="63"/>
      <c s="63"/>
    </row>
    <row r="283" spans="1:34" ht="15.75">
      <c r="A283" s="63"/>
      <c s="63"/>
      <c s="63"/>
      <c s="63"/>
      <c s="63"/>
      <c s="63"/>
      <c s="63"/>
      <c s="63"/>
      <c s="63"/>
      <c s="63"/>
      <c s="63"/>
      <c s="63"/>
      <c s="63"/>
      <c s="63"/>
      <c s="63"/>
      <c s="63"/>
      <c s="63"/>
      <c s="63"/>
      <c s="63"/>
      <c s="63"/>
      <c s="63"/>
      <c s="63"/>
      <c s="63"/>
      <c s="63"/>
      <c s="63"/>
      <c s="63"/>
      <c s="63"/>
      <c s="63"/>
      <c s="63"/>
      <c s="63"/>
      <c s="63"/>
      <c s="63"/>
      <c s="63"/>
      <c s="63"/>
    </row>
    <row r="284" spans="1:34" ht="15.75">
      <c r="A284" s="63"/>
      <c s="63"/>
      <c s="63"/>
      <c s="63"/>
      <c s="63"/>
      <c s="63"/>
      <c s="63"/>
      <c s="63"/>
      <c s="63"/>
      <c s="63"/>
      <c s="63"/>
      <c s="63"/>
      <c s="63"/>
      <c s="63"/>
      <c s="63"/>
      <c s="63"/>
      <c s="63"/>
      <c s="63"/>
      <c s="63"/>
      <c s="63"/>
      <c s="63"/>
      <c s="63"/>
      <c s="63"/>
      <c s="63"/>
      <c s="63"/>
      <c s="63"/>
      <c s="63"/>
      <c s="63"/>
      <c s="63"/>
      <c s="63"/>
      <c s="63"/>
      <c s="63"/>
      <c s="63"/>
      <c s="63"/>
    </row>
    <row r="285" spans="1:34" ht="15.75">
      <c r="A285" s="63"/>
      <c s="63"/>
      <c s="63"/>
      <c s="63"/>
      <c s="63"/>
      <c s="63"/>
      <c s="63"/>
      <c s="63"/>
      <c s="63"/>
      <c s="63"/>
      <c s="63"/>
      <c s="63"/>
      <c s="63"/>
      <c s="63"/>
      <c s="63"/>
      <c s="63"/>
      <c s="63"/>
      <c s="63"/>
      <c s="63"/>
      <c s="63"/>
      <c s="63"/>
      <c s="63"/>
      <c s="63"/>
      <c s="63"/>
      <c s="63"/>
      <c s="63"/>
      <c s="63"/>
      <c s="63"/>
      <c s="63"/>
      <c s="63"/>
      <c s="63"/>
      <c s="63"/>
      <c s="63"/>
      <c s="63"/>
    </row>
    <row r="286" spans="1:34" ht="15.75">
      <c r="A286" s="63"/>
      <c s="63"/>
      <c s="63"/>
      <c s="63"/>
      <c s="63"/>
      <c s="63"/>
      <c s="63"/>
      <c s="63"/>
      <c s="63"/>
      <c s="63"/>
      <c s="63"/>
      <c s="63"/>
      <c s="63"/>
      <c s="63"/>
      <c s="63"/>
      <c s="63"/>
      <c s="63"/>
      <c s="63"/>
      <c s="63"/>
      <c s="63"/>
      <c s="63"/>
      <c s="63"/>
      <c s="63"/>
      <c s="63"/>
      <c s="63"/>
      <c s="63"/>
      <c s="63"/>
      <c s="63"/>
      <c s="63"/>
      <c s="63"/>
      <c s="63"/>
      <c s="63"/>
      <c s="63"/>
      <c s="63"/>
    </row>
    <row r="287" spans="1:34" ht="15.75">
      <c r="A287" s="63"/>
      <c s="63"/>
      <c s="63"/>
      <c s="63"/>
      <c s="63"/>
      <c s="63"/>
      <c s="63"/>
      <c s="63"/>
      <c s="63"/>
      <c s="63"/>
      <c s="63"/>
      <c s="63"/>
      <c s="63"/>
      <c s="63"/>
      <c s="63"/>
      <c s="63"/>
      <c s="63"/>
      <c s="63"/>
      <c s="63"/>
      <c s="63"/>
      <c s="63"/>
      <c s="63"/>
      <c s="63"/>
      <c s="63"/>
      <c s="63"/>
      <c s="63"/>
      <c s="63"/>
      <c s="63"/>
      <c s="63"/>
      <c s="63"/>
      <c s="63"/>
      <c s="63"/>
      <c s="63"/>
      <c s="63"/>
    </row>
    <row r="288" spans="1:34" ht="15.75">
      <c r="A288" s="63"/>
      <c s="63"/>
      <c s="63"/>
      <c s="63"/>
      <c s="63"/>
      <c s="63"/>
      <c s="63"/>
      <c s="63"/>
      <c s="63"/>
      <c s="63"/>
      <c s="63"/>
      <c s="63"/>
      <c s="63"/>
      <c s="63"/>
      <c s="63"/>
      <c s="63"/>
      <c s="63"/>
      <c s="63"/>
      <c s="63"/>
      <c s="63"/>
      <c s="63"/>
      <c s="63"/>
      <c s="63"/>
      <c s="63"/>
      <c s="63"/>
      <c s="63"/>
      <c s="63"/>
      <c s="63"/>
      <c s="63"/>
      <c s="63"/>
      <c s="63"/>
      <c s="63"/>
      <c s="63"/>
      <c s="63"/>
    </row>
    <row r="289" spans="1:34" ht="15.75">
      <c r="A289" s="63"/>
      <c s="63"/>
      <c s="63"/>
      <c s="63"/>
      <c s="63"/>
      <c s="63"/>
      <c s="63"/>
      <c s="63"/>
      <c s="63"/>
      <c s="63"/>
      <c s="63"/>
      <c s="63"/>
      <c s="63"/>
      <c s="63"/>
      <c s="63"/>
      <c s="63"/>
      <c s="63"/>
      <c s="63"/>
      <c s="63"/>
      <c s="63"/>
      <c s="63"/>
      <c s="63"/>
      <c s="63"/>
      <c s="63"/>
      <c s="63"/>
      <c s="63"/>
      <c s="63"/>
      <c s="63"/>
      <c s="63"/>
      <c s="63"/>
      <c s="63"/>
      <c s="63"/>
      <c s="63"/>
      <c s="63"/>
    </row>
    <row r="290" spans="1:34" ht="15.75">
      <c r="A290" s="63"/>
      <c s="63"/>
      <c s="63"/>
      <c s="63"/>
      <c s="63"/>
      <c s="63"/>
      <c s="63"/>
      <c s="63"/>
      <c s="63"/>
      <c s="63"/>
      <c s="63"/>
      <c s="63"/>
      <c s="63"/>
      <c s="63"/>
      <c s="63"/>
      <c s="63"/>
      <c s="63"/>
      <c s="63"/>
      <c s="63"/>
      <c s="63"/>
      <c s="63"/>
      <c s="63"/>
      <c s="63"/>
      <c s="63"/>
      <c s="63"/>
      <c s="63"/>
      <c s="63"/>
      <c s="63"/>
      <c s="63"/>
      <c s="63"/>
      <c s="63"/>
      <c s="63"/>
      <c s="63"/>
      <c s="63"/>
    </row>
    <row r="291" spans="1:34" ht="15.75">
      <c r="A291" s="63"/>
      <c s="63"/>
      <c s="63"/>
      <c s="63"/>
      <c s="63"/>
      <c s="63"/>
      <c s="63"/>
      <c s="63"/>
      <c s="63"/>
      <c s="63"/>
      <c s="63"/>
      <c s="63"/>
      <c s="63"/>
      <c s="63"/>
      <c s="63"/>
      <c s="63"/>
      <c s="63"/>
      <c s="63"/>
      <c s="63"/>
      <c s="63"/>
      <c s="63"/>
      <c s="63"/>
      <c s="63"/>
      <c s="63"/>
      <c s="63"/>
      <c s="63"/>
      <c s="63"/>
      <c s="63"/>
      <c s="63"/>
      <c s="63"/>
      <c s="63"/>
      <c s="63"/>
      <c s="63"/>
      <c s="63"/>
    </row>
    <row r="292" spans="1:34" ht="15.75">
      <c r="A292" s="63"/>
      <c s="63"/>
      <c s="63"/>
      <c s="63"/>
      <c s="63"/>
      <c s="63"/>
      <c s="63"/>
      <c s="63"/>
      <c s="63"/>
      <c s="63"/>
      <c s="63"/>
      <c s="63"/>
      <c s="63"/>
      <c s="63"/>
      <c s="63"/>
      <c s="63"/>
      <c s="63"/>
      <c s="63"/>
      <c s="63"/>
      <c s="63"/>
      <c s="63"/>
      <c s="63"/>
      <c s="63"/>
      <c s="63"/>
      <c s="63"/>
      <c s="63"/>
      <c s="63"/>
      <c s="63"/>
      <c s="63"/>
      <c s="63"/>
      <c s="63"/>
      <c s="63"/>
      <c s="63"/>
      <c s="63"/>
    </row>
    <row r="293" spans="1:34" ht="15.75">
      <c r="A293" s="63"/>
      <c s="63"/>
      <c s="63"/>
      <c s="63"/>
      <c s="63"/>
      <c s="63"/>
      <c s="63"/>
      <c s="63"/>
      <c s="63"/>
      <c s="63"/>
      <c s="63"/>
      <c s="63"/>
      <c s="63"/>
      <c s="63"/>
      <c s="63"/>
      <c s="63"/>
      <c s="63"/>
      <c s="63"/>
      <c s="63"/>
      <c s="63"/>
      <c s="63"/>
      <c s="63"/>
      <c s="63"/>
      <c s="63"/>
      <c s="63"/>
      <c s="63"/>
      <c s="63"/>
      <c s="63"/>
      <c s="63"/>
      <c s="63"/>
      <c s="63"/>
      <c s="63"/>
      <c s="63"/>
      <c s="63"/>
    </row>
    <row r="294" spans="1:34" ht="15.75">
      <c r="A294" s="63"/>
      <c s="63"/>
      <c s="63"/>
      <c s="63"/>
      <c s="63"/>
      <c s="63"/>
      <c s="63"/>
      <c s="63"/>
      <c s="63"/>
      <c s="63"/>
      <c s="63"/>
      <c s="63"/>
      <c s="63"/>
      <c s="63"/>
      <c s="63"/>
      <c s="63"/>
      <c s="63"/>
      <c s="63"/>
      <c s="63"/>
      <c s="63"/>
      <c s="63"/>
      <c s="63"/>
      <c s="63"/>
      <c s="63"/>
      <c s="63"/>
      <c s="63"/>
      <c s="63"/>
      <c s="63"/>
      <c s="63"/>
      <c s="63"/>
      <c s="63"/>
      <c s="63"/>
      <c s="63"/>
      <c s="63"/>
    </row>
    <row r="295" spans="1:34" ht="15.75">
      <c r="A295" s="63"/>
      <c s="63"/>
      <c s="63"/>
      <c s="63"/>
      <c s="63"/>
      <c s="63"/>
      <c s="63"/>
      <c s="63"/>
      <c s="63"/>
      <c s="63"/>
      <c s="63"/>
      <c s="63"/>
      <c s="63"/>
      <c s="63"/>
      <c s="63"/>
      <c s="63"/>
      <c s="63"/>
      <c s="63"/>
      <c s="63"/>
      <c s="63"/>
      <c s="63"/>
      <c s="63"/>
      <c s="63"/>
      <c s="63"/>
      <c s="63"/>
      <c s="63"/>
      <c s="63"/>
      <c s="63"/>
      <c s="63"/>
      <c s="63"/>
      <c s="63"/>
      <c s="63"/>
      <c s="63"/>
      <c s="63"/>
    </row>
    <row r="296" spans="1:34" ht="15.75">
      <c r="A296" s="63"/>
      <c s="63"/>
      <c s="63"/>
      <c s="63"/>
      <c s="63"/>
      <c s="63"/>
      <c s="63"/>
      <c s="63"/>
      <c s="63"/>
      <c s="63"/>
      <c s="63"/>
      <c s="63"/>
      <c s="63"/>
      <c s="63"/>
      <c s="63"/>
      <c s="63"/>
      <c s="63"/>
      <c s="63"/>
      <c s="63"/>
      <c s="63"/>
      <c s="63"/>
      <c s="63"/>
      <c s="63"/>
      <c s="63"/>
      <c s="63"/>
      <c s="63"/>
      <c s="63"/>
      <c s="63"/>
      <c s="63"/>
      <c s="63"/>
      <c s="63"/>
      <c s="63"/>
      <c s="63"/>
      <c s="63"/>
    </row>
    <row r="297" spans="1:34" ht="15.75">
      <c r="A297" s="63"/>
      <c s="63"/>
      <c s="63"/>
      <c s="63"/>
      <c s="63"/>
      <c s="63"/>
      <c s="63"/>
      <c s="63"/>
      <c s="63"/>
      <c s="63"/>
      <c s="63"/>
      <c s="63"/>
      <c s="63"/>
      <c s="63"/>
      <c s="63"/>
      <c s="63"/>
      <c s="63"/>
      <c s="63"/>
      <c s="63"/>
      <c s="63"/>
      <c s="63"/>
      <c s="63"/>
      <c s="63"/>
      <c s="63"/>
      <c s="63"/>
      <c s="63"/>
      <c s="63"/>
      <c s="63"/>
      <c s="63"/>
      <c s="63"/>
      <c s="63"/>
      <c s="63"/>
      <c s="63"/>
      <c s="63"/>
    </row>
    <row r="298" spans="1:34" ht="15.75">
      <c r="A298" s="63"/>
      <c s="63"/>
      <c s="63"/>
      <c s="63"/>
      <c s="63"/>
      <c s="63"/>
      <c s="63"/>
      <c s="63"/>
      <c s="63"/>
      <c s="63"/>
      <c s="63"/>
      <c s="63"/>
      <c s="63"/>
      <c s="63"/>
      <c s="63"/>
      <c s="63"/>
      <c s="63"/>
      <c s="63"/>
      <c s="63"/>
      <c s="63"/>
      <c s="63"/>
      <c s="63"/>
      <c s="63"/>
      <c s="63"/>
      <c s="63"/>
      <c s="63"/>
      <c s="63"/>
      <c s="63"/>
      <c s="63"/>
      <c s="63"/>
      <c s="63"/>
      <c s="63"/>
      <c s="63"/>
      <c s="63"/>
    </row>
    <row r="299" spans="1:34" ht="15.75">
      <c r="A299" s="63"/>
      <c s="63"/>
      <c s="63"/>
      <c s="63"/>
      <c s="63"/>
      <c s="63"/>
      <c s="63"/>
      <c s="63"/>
      <c s="63"/>
      <c s="63"/>
      <c s="63"/>
      <c s="63"/>
      <c s="63"/>
      <c s="63"/>
      <c s="63"/>
      <c s="63"/>
      <c s="63"/>
      <c s="63"/>
      <c s="63"/>
      <c s="63"/>
      <c s="63"/>
      <c s="63"/>
      <c s="63"/>
      <c s="63"/>
      <c s="63"/>
      <c s="63"/>
      <c s="63"/>
      <c s="63"/>
      <c s="63"/>
      <c s="63"/>
      <c s="63"/>
      <c s="63"/>
      <c s="63"/>
      <c s="63"/>
    </row>
    <row r="300" spans="1:34" ht="15.75">
      <c r="A300" s="63"/>
      <c s="63"/>
      <c s="63"/>
      <c s="63"/>
      <c s="63"/>
      <c s="63"/>
      <c s="63"/>
      <c s="63"/>
      <c s="63"/>
      <c s="63"/>
      <c s="63"/>
      <c s="63"/>
      <c s="63"/>
      <c s="63"/>
      <c s="63"/>
      <c s="63"/>
      <c s="63"/>
      <c s="63"/>
      <c s="63"/>
      <c s="63"/>
      <c s="63"/>
      <c s="63"/>
      <c s="63"/>
      <c s="63"/>
      <c s="63"/>
      <c s="63"/>
      <c s="63"/>
      <c s="63"/>
      <c s="63"/>
      <c s="63"/>
      <c s="63"/>
      <c s="63"/>
      <c s="63"/>
      <c s="63"/>
    </row>
  </sheetData>
  <mergeCells count="111">
    <mergeCell ref="F81:G81"/>
    <mergeCell ref="F82:G82"/>
    <mergeCell ref="F83:G83"/>
    <mergeCell ref="F84:G84"/>
    <mergeCell ref="F85:G85"/>
    <mergeCell ref="F86:G86"/>
    <mergeCell ref="F87:G87"/>
    <mergeCell ref="F88:G88"/>
    <mergeCell ref="F89:G89"/>
    <mergeCell ref="F90:G90"/>
    <mergeCell ref="J205:L205"/>
    <mergeCell ref="G206:L206"/>
    <mergeCell ref="G208:L208"/>
    <mergeCell ref="G210:L210"/>
    <mergeCell ref="G212:L212"/>
    <mergeCell ref="G214:L214"/>
    <mergeCell ref="G216:L216"/>
    <mergeCell ref="G219:L219"/>
    <mergeCell ref="G222:L222"/>
    <mergeCell ref="G224:L224"/>
    <mergeCell ref="G228:L228"/>
    <mergeCell ref="G248:L248"/>
    <mergeCell ref="G250:L250"/>
    <mergeCell ref="G252:L252"/>
    <mergeCell ref="G254:L254"/>
    <mergeCell ref="G256:L256"/>
    <mergeCell ref="G258:L258"/>
    <mergeCell ref="G230:L230"/>
    <mergeCell ref="G232:L232"/>
    <mergeCell ref="G239:L239"/>
    <mergeCell ref="G241:L241"/>
    <mergeCell ref="K242:L242"/>
    <mergeCell ref="G244:L244"/>
    <mergeCell ref="G246:L246"/>
    <mergeCell ref="F106:L108"/>
    <mergeCell ref="F118:H119"/>
    <mergeCell ref="J118:L119"/>
    <mergeCell ref="F121:H122"/>
    <mergeCell ref="J121:L122"/>
    <mergeCell ref="F124:H126"/>
    <mergeCell ref="J124:L126"/>
    <mergeCell ref="N90:Q90"/>
    <mergeCell ref="N91:R92"/>
    <mergeCell ref="F92:L92"/>
    <mergeCell ref="F97:L101"/>
    <mergeCell ref="N97:R98"/>
    <mergeCell ref="N102:Q102"/>
    <mergeCell ref="N107:R108"/>
    <mergeCell ref="N119:R120"/>
    <mergeCell ref="N122:Q122"/>
    <mergeCell ref="N123:R124"/>
    <mergeCell ref="N128:Q128"/>
    <mergeCell ref="N129:R133"/>
    <mergeCell ref="N103:R104"/>
    <mergeCell ref="N106:Q106"/>
    <mergeCell ref="N110:Q110"/>
    <mergeCell ref="N111:R112"/>
    <mergeCell ref="N114:Q114"/>
    <mergeCell ref="N115:R116"/>
    <mergeCell ref="N118:Q118"/>
    <mergeCell ref="J34:L34"/>
    <mergeCell ref="J35:L35"/>
    <mergeCell ref="J36:L36"/>
    <mergeCell ref="J37:L37"/>
    <mergeCell ref="J38:L38"/>
    <mergeCell ref="J39:L39"/>
    <mergeCell ref="J40:L40"/>
    <mergeCell ref="J41:L41"/>
    <mergeCell ref="E8:E16"/>
    <mergeCell ref="F33:H33"/>
    <mergeCell ref="J33:L33"/>
    <mergeCell ref="N33:R33"/>
    <mergeCell ref="F34:H34"/>
    <mergeCell ref="N34:R34"/>
    <mergeCell ref="N35:R35"/>
    <mergeCell ref="F35:H35"/>
    <mergeCell ref="F36:H36"/>
    <mergeCell ref="F37:H37"/>
    <mergeCell ref="F38:H38"/>
    <mergeCell ref="F39:H39"/>
    <mergeCell ref="F40:H40"/>
    <mergeCell ref="F41:H41"/>
    <mergeCell ref="N36:R36"/>
    <mergeCell ref="N37:R37"/>
    <mergeCell ref="N38:R38"/>
    <mergeCell ref="N48:Q48"/>
    <mergeCell ref="N49:R50"/>
    <mergeCell ref="N54:Q54"/>
    <mergeCell ref="N55:R56"/>
    <mergeCell ref="N60:Q60"/>
    <mergeCell ref="N61:R62"/>
    <mergeCell ref="N64:Q64"/>
    <mergeCell ref="N65:R66"/>
    <mergeCell ref="N68:Q68"/>
    <mergeCell ref="N69:R70"/>
    <mergeCell ref="N74:Q74"/>
    <mergeCell ref="F47:L50"/>
    <mergeCell ref="F55:L55"/>
    <mergeCell ref="F60:L62"/>
    <mergeCell ref="D71:K73"/>
    <mergeCell ref="F76:L78"/>
    <mergeCell ref="F79:G79"/>
    <mergeCell ref="F80:G80"/>
    <mergeCell ref="N75:R76"/>
    <mergeCell ref="N78:Q78"/>
    <mergeCell ref="N79:R80"/>
    <mergeCell ref="N82:Q82"/>
    <mergeCell ref="N83:R84"/>
    <mergeCell ref="N86:Q86"/>
    <mergeCell ref="N87:R88"/>
    <mergeCell ref="N96:Q96"/>
  </mergeCells>
  <dataValidations count="10">
    <dataValidation type="list" allowBlank="1" sqref="K242">
      <formula1>"SELECT,2 hours,3 hours,4 hours,5 hours,6 hours,7 hours,8 hours,9 hours,10 hours,11 hours,12 hours"</formula1>
    </dataValidation>
    <dataValidation type="list" allowBlank="1" sqref="N74 N78 N82 N86 N90">
      <formula1>Reference!$AC$45:$AC$66</formula1>
    </dataValidation>
    <dataValidation type="list" allowBlank="1" sqref="N102 N106 N110 N114 N118 N122">
      <formula1>Reference!$AE$44:$AE$64</formula1>
    </dataValidation>
    <dataValidation type="list" allowBlank="1" sqref="N128">
      <formula1>Reference!$AF$43:$AF$60</formula1>
    </dataValidation>
    <dataValidation type="list" allowBlank="1" sqref="H79:H90">
      <formula1>"0,1,2,3,4,5,6,7,8,9,10"</formula1>
    </dataValidation>
    <dataValidation type="list" allowBlank="1" sqref="N60 N64 N68">
      <formula1>Reference!$AB$45:$AB$64</formula1>
    </dataValidation>
    <dataValidation type="list" allowBlank="1" sqref="N54">
      <formula1>Reference!$AA$45:$AA$64</formula1>
    </dataValidation>
    <dataValidation type="list" allowBlank="1" sqref="J205">
      <formula1>"possible scenarios:,missed repetitions,overshot weight,failed a set,everything felt heavy,injury,negative affect/attitude,lack of dietary adherence,went off program,didn't make weight in competition,bombed out in competition"</formula1>
    </dataValidation>
    <dataValidation type="list" allowBlank="1" sqref="N48">
      <formula1>Reference!$Z$45:$Z$50</formula1>
    </dataValidation>
    <dataValidation type="list" allowBlank="1" sqref="N96">
      <formula1>Reference!$AD$44:$AD$60</formula1>
    </dataValidation>
  </dataValidations>
  <hyperlinks>
    <hyperlink ref="X52" r:id="rId1" display="https://www.youtube.com/watch?v=m2OFz37JHug"/>
    <hyperlink ref="X57" r:id="rId2" display="https://youtu.be/G36qMURBIYQ"/>
    <hyperlink ref="X58" r:id="rId3" display="https://youtu.be/T-oqbuTAf9M"/>
    <hyperlink ref="X60" r:id="rId4" display="https://youtu.be/EpsujHUAnrg"/>
    <hyperlink ref="X61" r:id="rId5" display="https://youtu.be/VWX0PPZrdfA"/>
    <hyperlink ref="X62" r:id="rId6" display="https://youtu.be/qxN_S3yh3cg"/>
    <hyperlink ref="X63" r:id="rId7" display="https://youtu.be/2P6YrYAk6qs"/>
    <hyperlink ref="X64" r:id="rId8" display="https://youtu.be/LAWF0nyBeRA"/>
    <hyperlink ref="X65" r:id="rId9" display="https://youtu.be/B6J3RZ9gWvs"/>
    <hyperlink ref="X66" r:id="rId10" display="https://youtu.be/us49hqMvR64"/>
    <hyperlink ref="X67" r:id="rId11" display="https://youtu.be/4JTichJq6qI"/>
    <hyperlink ref="X69" r:id="rId12" display="https://youtu.be/LHVyCpZyByw"/>
    <hyperlink ref="X71" r:id="rId13" display="https://youtu.be/mC9Kx_TjGXk"/>
    <hyperlink ref="X72" r:id="rId14" display="https://youtu.be/qj3u4u4xeQc"/>
    <hyperlink ref="X73" r:id="rId15" display="https://youtu.be/QYe4rAFsUxI"/>
    <hyperlink ref="X74" r:id="rId16" display="https://youtu.be/tqXkkUIGPas"/>
    <hyperlink ref="X75" r:id="rId17" display="https://youtu.be/DRfxeWZrODQ?t=2m23s"/>
    <hyperlink ref="X76" r:id="rId18" display="https://youtu.be/V02CCfGPct0"/>
    <hyperlink ref="X78" r:id="rId19" display="https://youtu.be/Y7Th_hwenck"/>
    <hyperlink ref="X79" r:id="rId20" display="https://www.youtube.com/watch?v=8MJVz3Xs-ks"/>
    <hyperlink ref="X80" r:id="rId21" display="https://youtu.be/qj3u4u4xeQc"/>
    <hyperlink ref="X81" r:id="rId22" display="https://youtu.be/yZCURyhwsgg"/>
    <hyperlink ref="X83" r:id="rId23" display="https://youtu.be/JsdrrWn2pok"/>
    <hyperlink ref="X84" r:id="rId24" display="https://youtu.be/B6X35u5mVsE"/>
    <hyperlink ref="X85" r:id="rId25" display="https://youtu.be/bu43fj3wEKU"/>
    <hyperlink ref="X87" r:id="rId26" display="https://youtu.be/niLD6dKW2hc"/>
    <hyperlink ref="X88" r:id="rId27" display="https://youtu.be/9jTbbpYD_f0"/>
    <hyperlink ref="X89" r:id="rId28" display="https://youtu.be/hUcAnkJxhgw"/>
    <hyperlink ref="X90" r:id="rId29" display="https://youtu.be/h5HWM9XbFrk"/>
    <hyperlink ref="X91" r:id="rId30" display="https://youtu.be/MdH5DdS9ItQ"/>
    <hyperlink ref="X92" r:id="rId31" display="https://youtu.be/7bAt9R7VJk0"/>
    <hyperlink ref="X93" r:id="rId32" display="https://youtu.be/4k-WAWAHn4Q"/>
    <hyperlink ref="X96" r:id="rId33" display="https://youtu.be/2JJ8CjDLDpU"/>
    <hyperlink ref="I129" location="Reference!G236" display="On a good training day, click here"/>
    <hyperlink ref="I130" location="Reference!G203" display="On a bad training day, click here"/>
  </hyperlinks>
  <pageMargins left="0.75" right="0.75" top="1" bottom="1" header="0.5" footer="0.5"/>
  <pageSetup orientation="portrait"/>
  <drawing r:id="rId35"/>
  <tableParts>
    <tablePart r:id="rId3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mx="http://schemas.microsoft.com/office/mac/excel/2008/main" xmlns:mv="urn:schemas-microsoft-com:mac:vml" xmlns:x15="http://schemas.microsoft.com/office/spreadsheetml/2010/11/main" xmlns:x14ac="http://schemas.microsoft.com/office/spreadsheetml/2009/9/ac">
  <sheetPr>
    <outlinePr summaryBelow="0" summaryRight="0"/>
  </sheetPr>
  <dimension ref="A1:AB108"/>
  <sheetViews>
    <sheetView showGridLines="0" workbookViewId="0" topLeftCell="A1"/>
  </sheetViews>
  <sheetFormatPr defaultColWidth="12.6342857142857" defaultRowHeight="15.75" customHeight="1"/>
  <cols>
    <col min="1" max="1" width="12.5714285714286" hidden="1"/>
    <col min="2" max="2" width="3.71428571428571" hidden="1" customWidth="1"/>
    <col min="3" max="3" width="15.1428571428571" hidden="1" customWidth="1"/>
    <col min="4" max="4" width="4.42857142857143" hidden="1" customWidth="1"/>
    <col min="5" max="5" width="13.2857142857143" hidden="1" customWidth="1"/>
    <col min="6" max="6" width="3.57142857142857" hidden="1" customWidth="1"/>
    <col min="7" max="9" width="4.42857142857143" customWidth="1"/>
    <col min="10" max="10" width="10.1428571428571" customWidth="1"/>
    <col min="11" max="11" width="20.5714285714286" customWidth="1"/>
    <col min="12" max="12" width="8.14285714285714" customWidth="1"/>
    <col min="13" max="13" width="5.85714285714286" customWidth="1"/>
    <col min="14" max="14" width="8.14285714285714" customWidth="1"/>
    <col min="15" max="15" width="7.14285714285714" customWidth="1"/>
    <col min="16" max="16" width="11" customWidth="1"/>
    <col min="17" max="17" width="10.1428571428571" customWidth="1"/>
    <col min="18" max="18" width="9.71428571428571" customWidth="1"/>
    <col min="19" max="19" width="9.57142857142857" customWidth="1"/>
    <col min="20" max="20" width="13.2857142857143" customWidth="1"/>
    <col min="21" max="21" width="6.28571428571429" customWidth="1"/>
    <col min="22" max="23" width="8.14285714285714" customWidth="1"/>
  </cols>
  <sheetData>
    <row r="1" spans="1:28" ht="15.75">
      <c r="A1" s="292"/>
      <c s="292"/>
      <c s="292"/>
      <c s="292"/>
      <c s="292"/>
      <c s="292"/>
      <c s="63"/>
      <c s="63"/>
      <c s="63"/>
      <c s="63"/>
      <c s="63"/>
      <c s="63"/>
      <c s="63"/>
      <c s="63"/>
      <c s="63"/>
      <c s="63"/>
      <c s="63"/>
      <c s="63"/>
      <c s="63"/>
      <c s="63"/>
      <c s="63"/>
      <c s="63"/>
      <c s="63"/>
      <c s="63"/>
      <c s="63"/>
      <c s="63"/>
      <c s="63"/>
      <c s="63"/>
    </row>
    <row r="2" spans="1:28" ht="15.75">
      <c r="A2" s="292"/>
      <c s="292"/>
      <c s="292"/>
      <c s="292"/>
      <c s="292"/>
      <c s="292"/>
      <c s="63"/>
      <c s="63"/>
      <c s="63"/>
      <c s="63"/>
      <c s="92"/>
      <c s="63"/>
      <c s="63"/>
      <c s="63"/>
      <c s="63"/>
      <c s="63"/>
      <c s="63"/>
      <c s="63"/>
      <c s="63"/>
      <c s="63"/>
      <c s="63"/>
      <c s="63"/>
      <c s="63"/>
      <c s="63"/>
      <c s="63"/>
      <c s="63"/>
      <c s="63"/>
      <c s="63"/>
    </row>
    <row r="3" spans="1:28" ht="25.5" customHeight="1">
      <c r="A3" s="293" t="s">
        <v>598</v>
      </c>
      <c s="294"/>
      <c s="293" t="s">
        <v>599</v>
      </c>
      <c s="294"/>
      <c s="293" t="s">
        <v>600</v>
      </c>
      <c s="295"/>
      <c s="65"/>
      <c s="63"/>
      <c s="63"/>
      <c s="63"/>
      <c s="63"/>
      <c s="63"/>
      <c s="63"/>
      <c s="63"/>
      <c s="63"/>
      <c s="63"/>
      <c s="63"/>
      <c s="63"/>
      <c s="63"/>
      <c s="63"/>
      <c s="63"/>
      <c s="63"/>
      <c s="63"/>
      <c s="63"/>
      <c s="63"/>
      <c s="63"/>
      <c s="63"/>
      <c s="63"/>
    </row>
    <row r="4" spans="1:28" ht="24" customHeight="1">
      <c r="A4" s="295" t="s">
        <v>601</v>
      </c>
      <c s="295" t="str">
        <f t="array" ref="B4:B108">IF(A4:A108="",,"sq")</f>
        <v>sq</v>
      </c>
      <c s="295" t="s">
        <v>602</v>
      </c>
      <c s="295" t="str">
        <f t="array" ref="D4:D108">IF(C4:C108="",,"bn")</f>
        <v>bn</v>
      </c>
      <c s="295" t="s">
        <v>603</v>
      </c>
      <c s="295" t="str">
        <f t="array" ref="F4:F108">IF(E4:E108="",,"dl")</f>
        <v>dl</v>
      </c>
      <c s="65"/>
      <c s="65"/>
      <c s="63"/>
      <c s="63"/>
      <c s="63"/>
      <c s="81"/>
      <c s="63"/>
      <c s="63"/>
      <c s="63"/>
      <c s="63"/>
      <c s="63"/>
      <c s="63"/>
      <c s="63"/>
      <c s="63"/>
      <c s="63"/>
      <c s="63"/>
      <c s="63"/>
      <c s="63"/>
      <c s="63"/>
      <c s="63"/>
      <c s="63"/>
      <c s="63"/>
    </row>
    <row r="5" spans="1:28" ht="15.75">
      <c r="A5" s="295" t="s">
        <v>604</v>
      </c>
      <c s="295" t="str">
        <v>sq</v>
      </c>
      <c s="295" t="s">
        <v>605</v>
      </c>
      <c s="295" t="str">
        <v>bn</v>
      </c>
      <c s="295" t="s">
        <v>606</v>
      </c>
      <c s="295" t="str">
        <v>dl</v>
      </c>
      <c s="65"/>
      <c s="65"/>
      <c s="65"/>
      <c s="296"/>
      <c s="297" t="s">
        <v>607</v>
      </c>
      <c s="298" t="s">
        <v>608</v>
      </c>
      <c s="63"/>
      <c s="63"/>
      <c s="63"/>
      <c s="63"/>
      <c s="65"/>
      <c s="63"/>
      <c s="63"/>
      <c s="63"/>
      <c s="63"/>
      <c s="63"/>
      <c s="63"/>
      <c s="63"/>
      <c s="63"/>
      <c s="63"/>
      <c s="63"/>
      <c s="63"/>
    </row>
    <row r="6" spans="1:28" ht="15.75" thickBot="1">
      <c r="A6" s="295" t="s">
        <v>609</v>
      </c>
      <c s="295" t="str">
        <v>sq</v>
      </c>
      <c s="295" t="s">
        <v>610</v>
      </c>
      <c s="295" t="str">
        <v>bn</v>
      </c>
      <c s="295" t="s">
        <v>161</v>
      </c>
      <c s="295" t="str">
        <v>dl</v>
      </c>
      <c s="65"/>
      <c s="65"/>
      <c s="65"/>
      <c s="63"/>
      <c s="299"/>
      <c s="63"/>
      <c s="63"/>
      <c s="63"/>
      <c s="300"/>
      <c s="63"/>
      <c s="65"/>
      <c s="63"/>
      <c s="63"/>
      <c s="63"/>
      <c s="63"/>
      <c s="63"/>
      <c s="63"/>
      <c s="63"/>
      <c s="63"/>
      <c s="63"/>
      <c s="63"/>
      <c s="63"/>
    </row>
    <row r="7" spans="1:28" ht="30.75" customHeight="1">
      <c r="A7" s="295" t="s">
        <v>195</v>
      </c>
      <c s="295" t="str">
        <v>sq</v>
      </c>
      <c s="295" t="s">
        <v>133</v>
      </c>
      <c s="295" t="str">
        <v>bn</v>
      </c>
      <c s="295" t="s">
        <v>611</v>
      </c>
      <c s="295" t="str">
        <v>dl</v>
      </c>
      <c s="65"/>
      <c s="65"/>
      <c s="65"/>
      <c s="63"/>
      <c s="6" t="s">
        <v>612</v>
      </c>
      <c s="63"/>
      <c s="63"/>
      <c s="63"/>
      <c s="300"/>
      <c s="63"/>
      <c s="65"/>
      <c s="63"/>
      <c s="63"/>
      <c s="63"/>
      <c s="63"/>
      <c s="63"/>
      <c s="63"/>
      <c s="63"/>
      <c s="63"/>
      <c s="63"/>
      <c s="63"/>
      <c s="63"/>
    </row>
    <row r="8" spans="1:28" ht="15.75">
      <c r="A8" s="295" t="s">
        <v>613</v>
      </c>
      <c s="295" t="str">
        <v>sq</v>
      </c>
      <c s="295" t="s">
        <v>614</v>
      </c>
      <c s="295" t="str">
        <v>bn</v>
      </c>
      <c s="301" t="s">
        <v>161</v>
      </c>
      <c s="292" t="str">
        <v>dl</v>
      </c>
      <c s="63"/>
      <c s="65"/>
      <c s="65"/>
      <c s="63"/>
      <c s="81"/>
      <c s="81"/>
      <c s="81"/>
      <c s="81"/>
      <c s="81"/>
      <c s="81"/>
      <c s="81"/>
      <c s="81"/>
      <c s="81"/>
      <c s="81"/>
      <c s="81"/>
      <c s="81"/>
      <c s="81"/>
      <c s="63"/>
      <c s="63"/>
      <c s="63"/>
      <c s="63"/>
      <c s="63"/>
    </row>
    <row r="9" spans="1:28" ht="15.75">
      <c r="A9" s="295" t="s">
        <v>615</v>
      </c>
      <c s="295" t="str">
        <v>sq</v>
      </c>
      <c s="295" t="s">
        <v>616</v>
      </c>
      <c s="292" t="str">
        <v>bn</v>
      </c>
      <c s="301" t="s">
        <v>617</v>
      </c>
      <c s="292" t="str">
        <v>dl</v>
      </c>
      <c s="296"/>
      <c s="63"/>
      <c s="65"/>
      <c s="302"/>
      <c s="303" t="s">
        <v>226</v>
      </c>
      <c s="304" t="s">
        <v>227</v>
      </c>
      <c s="304" t="s">
        <v>618</v>
      </c>
      <c s="305"/>
      <c s="304" t="s">
        <v>619</v>
      </c>
      <c s="304" t="s">
        <v>227</v>
      </c>
      <c s="304" t="s">
        <v>618</v>
      </c>
      <c s="305"/>
      <c s="304" t="s">
        <v>620</v>
      </c>
      <c s="304" t="s">
        <v>227</v>
      </c>
      <c s="304" t="s">
        <v>618</v>
      </c>
      <c s="305"/>
      <c s="304" t="s">
        <v>621</v>
      </c>
      <c s="306"/>
      <c s="63"/>
      <c s="63"/>
      <c s="63"/>
      <c s="63"/>
    </row>
    <row r="10" spans="1:28" ht="15.75">
      <c r="A10" s="301" t="s">
        <v>622</v>
      </c>
      <c s="295" t="str">
        <v>sq</v>
      </c>
      <c s="301" t="s">
        <v>616</v>
      </c>
      <c s="292" t="str">
        <v>bn</v>
      </c>
      <c s="301" t="s">
        <v>623</v>
      </c>
      <c s="292" t="str">
        <v>dl</v>
      </c>
      <c s="63"/>
      <c s="296"/>
      <c s="65"/>
      <c s="307"/>
      <c s="308" t="str">
        <f>IFERROR(__xludf.DUMMYFUNCTION("FILTER(K15:W21,K15:K21=MAX(K15:K21))"),"#REF!")</f>
        <v>#REF!</v>
      </c>
      <c s="309">
        <v>100</v>
      </c>
      <c s="310">
        <v>1</v>
      </c>
      <c s="311">
        <v>10</v>
      </c>
      <c s="312">
        <v>100</v>
      </c>
      <c s="311">
        <v>100</v>
      </c>
      <c s="310">
        <v>1</v>
      </c>
      <c s="311">
        <v>10</v>
      </c>
      <c s="312">
        <v>100</v>
      </c>
      <c s="311">
        <v>130</v>
      </c>
      <c s="310">
        <v>1</v>
      </c>
      <c s="311">
        <v>10</v>
      </c>
      <c s="313">
        <v>130</v>
      </c>
      <c s="63"/>
      <c s="63"/>
      <c s="63"/>
      <c s="63"/>
      <c s="63"/>
    </row>
    <row r="11" spans="1:28" ht="24" customHeight="1" thickBot="1">
      <c r="A11" s="301" t="s">
        <v>195</v>
      </c>
      <c s="292" t="str">
        <v>sq</v>
      </c>
      <c s="301" t="s">
        <v>133</v>
      </c>
      <c s="292" t="str">
        <v>bn</v>
      </c>
      <c s="301" t="s">
        <v>624</v>
      </c>
      <c s="292" t="str">
        <v>dl</v>
      </c>
      <c s="302"/>
      <c s="63"/>
      <c s="65"/>
      <c s="63"/>
      <c s="299"/>
      <c s="63"/>
      <c s="63"/>
      <c s="63"/>
      <c s="63"/>
      <c s="63"/>
      <c s="63"/>
      <c s="63"/>
      <c s="63"/>
      <c s="63"/>
      <c s="63"/>
      <c s="63"/>
      <c s="63"/>
      <c s="63"/>
      <c s="63"/>
      <c s="63"/>
      <c s="63"/>
      <c s="63"/>
    </row>
    <row r="12" spans="1:28" ht="15.75">
      <c r="A12" s="301" t="s">
        <v>625</v>
      </c>
      <c s="292" t="str">
        <v>sq</v>
      </c>
      <c s="301" t="s">
        <v>626</v>
      </c>
      <c s="292" t="str">
        <v>bn</v>
      </c>
      <c s="301" t="s">
        <v>627</v>
      </c>
      <c s="292" t="str">
        <v>dl</v>
      </c>
      <c s="307"/>
      <c s="63"/>
      <c s="65"/>
      <c s="63"/>
      <c s="6" t="s">
        <v>628</v>
      </c>
      <c s="63"/>
      <c s="63"/>
      <c s="63"/>
      <c s="63"/>
      <c s="63"/>
      <c s="63"/>
      <c s="63"/>
      <c s="63"/>
      <c s="63"/>
      <c s="63"/>
      <c s="63"/>
      <c s="63"/>
      <c s="63"/>
      <c s="63"/>
      <c s="63"/>
      <c s="63"/>
      <c s="63"/>
    </row>
    <row r="13" spans="1:28" ht="15.75">
      <c r="A13" s="301" t="s">
        <v>629</v>
      </c>
      <c s="292" t="str">
        <v>sq</v>
      </c>
      <c s="301" t="s">
        <v>630</v>
      </c>
      <c s="292" t="str">
        <v>bn</v>
      </c>
      <c s="301" t="s">
        <v>631</v>
      </c>
      <c s="292" t="str">
        <v>dl</v>
      </c>
      <c s="63"/>
      <c s="63"/>
      <c s="65"/>
      <c s="63"/>
      <c s="299"/>
      <c s="63"/>
      <c s="63"/>
      <c s="63"/>
      <c s="63"/>
      <c s="63"/>
      <c s="63"/>
      <c s="63"/>
      <c s="63"/>
      <c s="63"/>
      <c s="63"/>
      <c s="63"/>
      <c s="63"/>
      <c s="63"/>
      <c s="63"/>
      <c s="63"/>
      <c s="63"/>
      <c s="63"/>
    </row>
    <row r="14" spans="1:28" ht="15.75">
      <c r="A14" s="301" t="s">
        <v>632</v>
      </c>
      <c s="292" t="str">
        <v>sq</v>
      </c>
      <c s="301" t="s">
        <v>633</v>
      </c>
      <c s="292" t="str">
        <v>bn</v>
      </c>
      <c s="301" t="s">
        <v>634</v>
      </c>
      <c s="292" t="str">
        <v>dl</v>
      </c>
      <c s="314"/>
      <c s="302"/>
      <c s="63"/>
      <c s="314"/>
      <c s="303" t="s">
        <v>226</v>
      </c>
      <c s="315" t="s">
        <v>227</v>
      </c>
      <c s="316" t="s">
        <v>618</v>
      </c>
      <c s="304" t="s">
        <v>63</v>
      </c>
      <c s="304" t="s">
        <v>619</v>
      </c>
      <c s="315" t="s">
        <v>227</v>
      </c>
      <c s="316" t="s">
        <v>618</v>
      </c>
      <c s="304" t="s">
        <v>63</v>
      </c>
      <c s="304" t="s">
        <v>620</v>
      </c>
      <c s="315" t="s">
        <v>227</v>
      </c>
      <c s="316" t="s">
        <v>618</v>
      </c>
      <c s="304" t="s">
        <v>63</v>
      </c>
      <c s="304" t="s">
        <v>621</v>
      </c>
      <c s="63"/>
      <c s="63"/>
      <c s="63"/>
      <c s="63"/>
      <c s="63"/>
    </row>
    <row r="15" spans="1:28" ht="15.75">
      <c r="A15" s="301" t="s">
        <v>635</v>
      </c>
      <c s="292" t="str">
        <v>sq</v>
      </c>
      <c s="301" t="s">
        <v>636</v>
      </c>
      <c s="292" t="str">
        <v>bn</v>
      </c>
      <c s="301" t="s">
        <v>611</v>
      </c>
      <c s="292" t="str">
        <v>dl</v>
      </c>
      <c s="307"/>
      <c s="307"/>
      <c s="296"/>
      <c s="296">
        <v>1</v>
      </c>
      <c s="317">
        <f ca="1">TODAY()</f>
        <v>45212</v>
      </c>
      <c s="318">
        <v>100</v>
      </c>
      <c s="319">
        <v>1</v>
      </c>
      <c s="320">
        <v>10</v>
      </c>
      <c s="321">
        <f t="array" ref="O15:O21">IF(ISBLANK(L15:L21),"",L15:L21/IF(ISBLANK(N15:N21),(1.0278-(0.0278*M15:M21)),IFERROR(VLOOKUP(N15:N21*1,_rpe,M15:M21+1,0),1)))</f>
        <v>100</v>
      </c>
      <c s="318">
        <v>100</v>
      </c>
      <c s="319">
        <v>1</v>
      </c>
      <c s="320">
        <v>10</v>
      </c>
      <c s="321">
        <f t="array" ref="S15:S21">IF(ISBLANK(P15:P21),"",P15:P21/IF(ISBLANK(R15:R21),(1.0278-(0.0278*Q15:Q21)),IFERROR(VLOOKUP(R15:R21*1,_rpe,Q15:Q21+1,0),1)))</f>
        <v>100</v>
      </c>
      <c s="318">
        <v>130</v>
      </c>
      <c s="319">
        <v>1</v>
      </c>
      <c s="322">
        <v>10</v>
      </c>
      <c s="321">
        <f t="array" ref="W15:W21">IF(ISBLANK(T15:T21),"",T15:T21/IF(ISBLANK(V15:V21),(1.0278-(0.0278*U15:U21)),IFERROR(VLOOKUP(V15:V21*1,_rpe,U15:U21+1,0),1)))</f>
        <v>130</v>
      </c>
      <c s="63"/>
      <c s="63"/>
      <c s="63"/>
      <c s="63"/>
      <c s="63"/>
    </row>
    <row r="16" spans="1:28" ht="15.75">
      <c r="A16" s="301" t="s">
        <v>637</v>
      </c>
      <c s="292" t="str">
        <v>sq</v>
      </c>
      <c s="301" t="s">
        <v>638</v>
      </c>
      <c s="292" t="str">
        <v>bn</v>
      </c>
      <c s="301" t="s">
        <v>639</v>
      </c>
      <c s="292" t="str">
        <v>dl</v>
      </c>
      <c s="307"/>
      <c s="63"/>
      <c s="63"/>
      <c s="296">
        <v>2</v>
      </c>
      <c s="323"/>
      <c s="324"/>
      <c s="325"/>
      <c s="326"/>
      <c s="321" t="str">
        <v/>
      </c>
      <c s="324"/>
      <c s="325"/>
      <c s="326"/>
      <c s="327" t="str">
        <v/>
      </c>
      <c s="324"/>
      <c s="325"/>
      <c s="328"/>
      <c s="327" t="str">
        <v/>
      </c>
      <c s="63"/>
      <c s="63"/>
      <c s="63"/>
      <c s="63"/>
      <c s="63"/>
    </row>
    <row r="17" spans="1:28" ht="15.75">
      <c r="A17" s="301" t="s">
        <v>640</v>
      </c>
      <c s="292" t="str">
        <v>sq</v>
      </c>
      <c s="301" t="s">
        <v>641</v>
      </c>
      <c s="292" t="str">
        <v>bn</v>
      </c>
      <c s="301" t="s">
        <v>642</v>
      </c>
      <c s="292" t="str">
        <v>dl</v>
      </c>
      <c s="307"/>
      <c s="314"/>
      <c s="302"/>
      <c s="296">
        <v>3</v>
      </c>
      <c s="323"/>
      <c s="329"/>
      <c s="325"/>
      <c s="330"/>
      <c s="321" t="str">
        <v/>
      </c>
      <c s="329"/>
      <c s="325"/>
      <c s="330"/>
      <c s="327" t="str">
        <v/>
      </c>
      <c s="329"/>
      <c s="325"/>
      <c s="331"/>
      <c s="327" t="str">
        <v/>
      </c>
      <c s="63"/>
      <c s="63"/>
      <c s="63"/>
      <c s="63"/>
      <c s="63"/>
    </row>
    <row r="18" spans="1:28" ht="15.75">
      <c r="A18" s="301" t="s">
        <v>643</v>
      </c>
      <c s="292" t="str">
        <v>sq</v>
      </c>
      <c s="301" t="s">
        <v>644</v>
      </c>
      <c s="292" t="str">
        <v>bn</v>
      </c>
      <c s="301" t="s">
        <v>645</v>
      </c>
      <c s="292" t="str">
        <v>dl</v>
      </c>
      <c s="307"/>
      <c s="307"/>
      <c s="307"/>
      <c s="296">
        <v>4</v>
      </c>
      <c s="323"/>
      <c s="329"/>
      <c s="325"/>
      <c s="330"/>
      <c s="321" t="str">
        <v/>
      </c>
      <c s="329"/>
      <c s="325"/>
      <c s="330"/>
      <c s="327" t="str">
        <v/>
      </c>
      <c s="329"/>
      <c s="325"/>
      <c s="331"/>
      <c s="327" t="str">
        <v/>
      </c>
      <c s="63"/>
      <c s="63"/>
      <c s="63"/>
      <c s="63"/>
      <c s="63"/>
    </row>
    <row r="19" spans="1:28" ht="15.75">
      <c r="A19" s="301" t="s">
        <v>613</v>
      </c>
      <c s="292" t="str">
        <v>sq</v>
      </c>
      <c s="301" t="s">
        <v>641</v>
      </c>
      <c s="292" t="str">
        <v>bn</v>
      </c>
      <c s="301" t="s">
        <v>646</v>
      </c>
      <c s="292" t="str">
        <v>dl</v>
      </c>
      <c s="307"/>
      <c s="307"/>
      <c s="63"/>
      <c s="296">
        <v>5</v>
      </c>
      <c s="323"/>
      <c s="329"/>
      <c s="325"/>
      <c s="330"/>
      <c s="321" t="str">
        <v/>
      </c>
      <c s="329"/>
      <c s="325"/>
      <c s="330"/>
      <c s="327" t="str">
        <v/>
      </c>
      <c s="329"/>
      <c s="325"/>
      <c s="331"/>
      <c s="327" t="str">
        <v/>
      </c>
      <c s="63"/>
      <c s="63"/>
      <c s="63"/>
      <c s="63"/>
      <c s="63"/>
    </row>
    <row r="20" spans="1:28" ht="15.75">
      <c r="A20" s="301" t="s">
        <v>647</v>
      </c>
      <c s="292" t="str">
        <v>sq</v>
      </c>
      <c s="301" t="s">
        <v>648</v>
      </c>
      <c s="292" t="str">
        <v>bn</v>
      </c>
      <c s="301" t="s">
        <v>649</v>
      </c>
      <c s="292" t="str">
        <v>dl</v>
      </c>
      <c s="307"/>
      <c s="307"/>
      <c s="314"/>
      <c s="296">
        <v>6</v>
      </c>
      <c s="323"/>
      <c s="329"/>
      <c s="325"/>
      <c s="330"/>
      <c s="321" t="str">
        <v/>
      </c>
      <c s="329"/>
      <c s="325"/>
      <c s="330"/>
      <c s="327" t="str">
        <v/>
      </c>
      <c s="329"/>
      <c s="325"/>
      <c s="331"/>
      <c s="327" t="str">
        <v/>
      </c>
      <c s="63"/>
      <c s="63"/>
      <c s="63"/>
      <c s="63"/>
      <c s="63"/>
    </row>
    <row r="21" spans="1:28" ht="15.75">
      <c r="A21" s="301" t="s">
        <v>650</v>
      </c>
      <c s="292" t="str">
        <v>sq</v>
      </c>
      <c s="301" t="s">
        <v>651</v>
      </c>
      <c s="292" t="str">
        <v>bn</v>
      </c>
      <c s="301" t="s">
        <v>652</v>
      </c>
      <c s="292" t="str">
        <v>dl</v>
      </c>
      <c s="307"/>
      <c s="307"/>
      <c s="307"/>
      <c s="296">
        <v>7</v>
      </c>
      <c s="323"/>
      <c s="329"/>
      <c s="325"/>
      <c s="330"/>
      <c s="321" t="str">
        <v/>
      </c>
      <c s="329"/>
      <c s="325"/>
      <c s="330"/>
      <c s="332" t="str">
        <v/>
      </c>
      <c s="329"/>
      <c s="325"/>
      <c s="331"/>
      <c s="332" t="str">
        <v/>
      </c>
      <c s="63"/>
      <c s="63"/>
      <c s="63"/>
      <c s="63"/>
      <c s="63"/>
    </row>
    <row r="22" spans="1:28" ht="27.75" customHeight="1" thickBot="1">
      <c r="A22" s="301" t="s">
        <v>653</v>
      </c>
      <c s="292" t="str">
        <v>sq</v>
      </c>
      <c s="301" t="s">
        <v>654</v>
      </c>
      <c s="292" t="str">
        <v>bn</v>
      </c>
      <c s="301" t="s">
        <v>655</v>
      </c>
      <c s="292" t="str">
        <v>dl</v>
      </c>
      <c s="63"/>
      <c s="307"/>
      <c s="307"/>
      <c s="81"/>
      <c s="81"/>
      <c s="81"/>
      <c s="81"/>
      <c s="81"/>
      <c s="81"/>
      <c s="81"/>
      <c s="81"/>
      <c s="81"/>
      <c s="81"/>
      <c s="81"/>
      <c s="81"/>
      <c s="81"/>
      <c s="81"/>
      <c s="63"/>
      <c s="63"/>
      <c s="63"/>
      <c s="63"/>
      <c s="63"/>
    </row>
    <row r="23" spans="1:28" ht="15.75">
      <c r="A23" s="301" t="s">
        <v>656</v>
      </c>
      <c s="292" t="str">
        <v>sq</v>
      </c>
      <c s="301" t="s">
        <v>657</v>
      </c>
      <c s="292" t="str">
        <v>bn</v>
      </c>
      <c s="301" t="s">
        <v>658</v>
      </c>
      <c s="292" t="str">
        <v>dl</v>
      </c>
      <c s="63"/>
      <c s="307"/>
      <c s="307"/>
      <c s="81"/>
      <c s="6" t="s">
        <v>659</v>
      </c>
      <c s="81"/>
      <c s="81"/>
      <c s="81"/>
      <c s="81"/>
      <c s="6" t="s">
        <v>660</v>
      </c>
      <c s="81"/>
      <c s="81"/>
      <c s="81"/>
      <c s="81"/>
      <c s="81"/>
      <c s="81"/>
      <c s="81"/>
      <c s="63"/>
      <c s="63"/>
      <c s="63"/>
      <c s="63"/>
      <c s="63"/>
    </row>
    <row r="24" spans="1:28" ht="15.75">
      <c r="A24" s="301" t="s">
        <v>661</v>
      </c>
      <c s="292" t="str">
        <v>sq</v>
      </c>
      <c s="301" t="s">
        <v>662</v>
      </c>
      <c s="292" t="str">
        <v>bn</v>
      </c>
      <c s="301" t="s">
        <v>663</v>
      </c>
      <c s="292" t="str">
        <v>dl</v>
      </c>
      <c s="63"/>
      <c s="307"/>
      <c s="307"/>
      <c s="81"/>
      <c s="81"/>
      <c s="81"/>
      <c s="81"/>
      <c s="81"/>
      <c s="81"/>
      <c s="81"/>
      <c s="81"/>
      <c s="81"/>
      <c s="81"/>
      <c s="81"/>
      <c s="81"/>
      <c s="81"/>
      <c s="81"/>
      <c s="63"/>
      <c s="63"/>
      <c s="63"/>
      <c s="63"/>
      <c s="63"/>
    </row>
    <row r="25" spans="1:28" ht="15.75">
      <c r="A25" s="301" t="s">
        <v>664</v>
      </c>
      <c s="292" t="str">
        <v>sq</v>
      </c>
      <c s="301" t="s">
        <v>665</v>
      </c>
      <c s="292" t="str">
        <v>bn</v>
      </c>
      <c s="301" t="s">
        <v>666</v>
      </c>
      <c s="292" t="str">
        <v>dl</v>
      </c>
      <c s="63"/>
      <c s="63"/>
      <c s="307"/>
      <c s="81"/>
      <c s="333" t="s">
        <v>667</v>
      </c>
      <c s="334">
        <f ca="1">TODAY()</f>
        <v>45212</v>
      </c>
      <c s="335"/>
      <c s="336"/>
      <c s="81"/>
      <c s="337" t="s">
        <v>668</v>
      </c>
      <c s="337" t="s">
        <v>228</v>
      </c>
      <c s="337" t="s">
        <v>229</v>
      </c>
      <c s="337" t="s">
        <v>230</v>
      </c>
      <c s="337" t="s">
        <v>231</v>
      </c>
      <c s="81"/>
      <c s="81"/>
      <c s="81"/>
      <c s="81"/>
      <c s="81"/>
      <c s="63"/>
      <c s="63"/>
      <c s="63"/>
    </row>
    <row r="26" spans="1:28" ht="15.75">
      <c r="A26" s="301" t="s">
        <v>669</v>
      </c>
      <c s="292" t="str">
        <v>sq</v>
      </c>
      <c s="301" t="s">
        <v>670</v>
      </c>
      <c s="292" t="str">
        <v>bn</v>
      </c>
      <c s="301" t="s">
        <v>671</v>
      </c>
      <c s="292" t="str">
        <v>dl</v>
      </c>
      <c s="63"/>
      <c s="63"/>
      <c s="307"/>
      <c s="81"/>
      <c s="333" t="s">
        <v>672</v>
      </c>
      <c s="338" t="s">
        <v>673</v>
      </c>
      <c s="335"/>
      <c s="336"/>
      <c s="81"/>
      <c s="339" t="s">
        <v>674</v>
      </c>
      <c s="340" t="str">
        <f t="shared" si="0" ref="Q26:S26">Q27-Q28&amp;"-"&amp;Q27+Q28&amp;"g"</f>
        <v>-5-5g</v>
      </c>
      <c s="340" t="str">
        <f t="shared" si="0"/>
        <v>#NUM!</v>
      </c>
      <c s="340" t="str">
        <f t="shared" si="0"/>
        <v>170-190g</v>
      </c>
      <c s="341" t="str">
        <f>((R27-R28)*4+(S27-S28)*4+(Q27-Q28)*9&amp;" - "&amp;((R27+R28)*4+(S27+S28)*4+(Q27+Q28)*9)&amp;" kcals")</f>
        <v>#NUM!</v>
      </c>
      <c s="81"/>
      <c s="81"/>
      <c s="81"/>
      <c s="81"/>
      <c s="81"/>
      <c s="63"/>
      <c s="63"/>
      <c s="63"/>
    </row>
    <row r="27" spans="1:28" ht="15.75">
      <c r="A27" s="301" t="s">
        <v>675</v>
      </c>
      <c s="292" t="str">
        <v>sq</v>
      </c>
      <c s="301" t="s">
        <v>676</v>
      </c>
      <c s="292" t="str">
        <v>bn</v>
      </c>
      <c s="301" t="s">
        <v>677</v>
      </c>
      <c s="292" t="str">
        <v>dl</v>
      </c>
      <c s="63"/>
      <c s="63"/>
      <c s="307"/>
      <c s="81"/>
      <c s="333" t="s">
        <v>678</v>
      </c>
      <c s="338" t="s">
        <v>679</v>
      </c>
      <c s="335"/>
      <c s="336"/>
      <c s="81"/>
      <c s="342" t="s">
        <v>680</v>
      </c>
      <c s="343">
        <f>'Personal Info'!L50</f>
        <v>0</v>
      </c>
      <c s="343" t="str">
        <f>'Personal Info'!L51</f>
        <v>#NUM!</v>
      </c>
      <c s="343">
        <f>'Personal Info'!L52</f>
        <v>180</v>
      </c>
      <c s="344" t="str">
        <f>R27*4+S27*4+Q27*9</f>
        <v>#NUM!</v>
      </c>
      <c s="81"/>
      <c s="81"/>
      <c s="81"/>
      <c s="81"/>
      <c s="81"/>
      <c s="63"/>
      <c s="63"/>
      <c s="63"/>
    </row>
    <row r="28" spans="1:28" ht="15.75">
      <c r="A28" s="301" t="s">
        <v>681</v>
      </c>
      <c s="292" t="str">
        <v>sq</v>
      </c>
      <c s="301" t="s">
        <v>682</v>
      </c>
      <c s="292" t="str">
        <v>bn</v>
      </c>
      <c s="301" t="s">
        <v>683</v>
      </c>
      <c s="292" t="str">
        <v>dl</v>
      </c>
      <c s="63"/>
      <c s="63"/>
      <c s="307"/>
      <c s="81"/>
      <c s="333" t="s">
        <v>684</v>
      </c>
      <c s="338" t="s">
        <v>276</v>
      </c>
      <c s="335"/>
      <c s="336"/>
      <c s="81"/>
      <c s="342" t="s">
        <v>685</v>
      </c>
      <c s="345">
        <v>5</v>
      </c>
      <c s="345">
        <v>10</v>
      </c>
      <c s="345">
        <v>10</v>
      </c>
      <c s="346"/>
      <c s="81"/>
      <c s="81"/>
      <c s="81"/>
      <c s="81"/>
      <c s="81"/>
      <c s="63"/>
      <c s="63"/>
      <c s="63"/>
    </row>
    <row r="29" spans="1:28" ht="15.75">
      <c r="A29" s="301" t="s">
        <v>686</v>
      </c>
      <c s="292" t="str">
        <v>sq</v>
      </c>
      <c s="301" t="s">
        <v>687</v>
      </c>
      <c s="292" t="str">
        <v>bn</v>
      </c>
      <c s="301" t="s">
        <v>688</v>
      </c>
      <c s="292" t="str">
        <v>dl</v>
      </c>
      <c s="63"/>
      <c s="63"/>
      <c s="63"/>
      <c s="63"/>
      <c s="333" t="s">
        <v>689</v>
      </c>
      <c s="338">
        <v>18</v>
      </c>
      <c s="335"/>
      <c s="336"/>
      <c s="63"/>
      <c s="347" t="s">
        <v>690</v>
      </c>
      <c s="340">
        <f>IF(Q30-Q31&lt;0,0,Q30-Q31&amp;"-"&amp;Q30+Q31&amp;"g")</f>
        <v>0</v>
      </c>
      <c s="340" t="str">
        <f t="shared" si="1" ref="R29:S29">IF(R30-R31&lt;0,0,R30-R31&amp;"-"&amp;R30+R31&amp;"g")</f>
        <v>#NUM!</v>
      </c>
      <c s="340" t="str">
        <f t="shared" si="1"/>
        <v>170-190g</v>
      </c>
      <c s="341" t="str">
        <f>IF((R30-R31)*4+(S30-S31)*4+(Q30-Q31)*9&lt;0,0,((R30-R31)*4+(S30-S31)*4+(Q30-Q31)*9&amp;" - "&amp;((R30+R31)*4+(S30+S31)*4+(Q30+Q31)*9)&amp;" kcals"))</f>
        <v>#NUM!</v>
      </c>
      <c s="81"/>
      <c s="81"/>
      <c s="81"/>
      <c s="81"/>
      <c s="81"/>
      <c s="63"/>
      <c s="63"/>
      <c s="63"/>
    </row>
    <row r="30" spans="1:28" ht="15.75">
      <c r="A30" s="301" t="s">
        <v>691</v>
      </c>
      <c s="292" t="str">
        <v>sq</v>
      </c>
      <c s="301" t="s">
        <v>692</v>
      </c>
      <c s="292" t="str">
        <v>bn</v>
      </c>
      <c s="301" t="s">
        <v>693</v>
      </c>
      <c s="292" t="str">
        <v>dl</v>
      </c>
      <c s="63"/>
      <c s="63"/>
      <c s="63"/>
      <c s="63"/>
      <c s="333" t="s">
        <v>694</v>
      </c>
      <c s="338">
        <v>180</v>
      </c>
      <c s="335"/>
      <c s="336"/>
      <c s="63"/>
      <c s="342" t="s">
        <v>680</v>
      </c>
      <c s="343">
        <f>'Personal Info'!L55</f>
        <v>0</v>
      </c>
      <c s="343" t="str">
        <f>'Personal Info'!L56</f>
        <v>#NUM!</v>
      </c>
      <c s="343">
        <f>'Personal Info'!L57</f>
        <v>180</v>
      </c>
      <c s="348" t="str">
        <f>R30*4+S30*4+Q30*9</f>
        <v>#NUM!</v>
      </c>
      <c s="81"/>
      <c s="81"/>
      <c s="81"/>
      <c s="81"/>
      <c s="81"/>
      <c s="63"/>
      <c s="63"/>
      <c s="63"/>
    </row>
    <row r="31" spans="1:28" ht="15.75">
      <c r="A31" s="301" t="s">
        <v>695</v>
      </c>
      <c s="292" t="str">
        <v>sq</v>
      </c>
      <c s="301" t="s">
        <v>696</v>
      </c>
      <c s="292" t="str">
        <v>bn</v>
      </c>
      <c s="301" t="s">
        <v>697</v>
      </c>
      <c s="292" t="str">
        <v>dl</v>
      </c>
      <c s="63"/>
      <c s="63"/>
      <c s="63"/>
      <c s="63"/>
      <c s="333" t="s">
        <v>698</v>
      </c>
      <c s="349">
        <f>IFERROR(IF(_uom="lbs",L30,L30*2.20462)*10*L33,"enter here or activity level")</f>
        <v>0</v>
      </c>
      <c r="O31" s="63"/>
      <c s="342" t="s">
        <v>685</v>
      </c>
      <c s="350">
        <v>5</v>
      </c>
      <c s="350">
        <v>10</v>
      </c>
      <c s="350">
        <v>10</v>
      </c>
      <c s="346"/>
      <c s="81"/>
      <c s="81"/>
      <c s="81"/>
      <c s="81"/>
      <c s="81"/>
      <c s="63"/>
      <c s="63"/>
      <c s="63"/>
    </row>
    <row r="32" spans="1:28" ht="15.75">
      <c r="A32" s="301" t="s">
        <v>123</v>
      </c>
      <c s="292" t="str">
        <v>sq</v>
      </c>
      <c s="301" t="s">
        <v>699</v>
      </c>
      <c s="292" t="str">
        <v>bn</v>
      </c>
      <c s="301" t="s">
        <v>700</v>
      </c>
      <c s="292" t="str">
        <v>dl</v>
      </c>
      <c s="63"/>
      <c s="63"/>
      <c s="63"/>
      <c s="63"/>
      <c s="333" t="s">
        <v>701</v>
      </c>
      <c s="351" t="s">
        <v>246</v>
      </c>
      <c s="335"/>
      <c s="336"/>
      <c s="63"/>
      <c s="81"/>
      <c s="81"/>
      <c s="81"/>
      <c s="81"/>
      <c s="63"/>
      <c s="63"/>
      <c s="63"/>
      <c s="63"/>
      <c s="63"/>
      <c s="63"/>
      <c s="63"/>
      <c s="63"/>
      <c s="63"/>
    </row>
    <row r="33" spans="1:28" ht="15.75">
      <c r="A33" s="301" t="s">
        <v>702</v>
      </c>
      <c s="292" t="str">
        <v>sq</v>
      </c>
      <c s="301" t="s">
        <v>703</v>
      </c>
      <c s="292" t="str">
        <v>bn</v>
      </c>
      <c s="301" t="s">
        <v>704</v>
      </c>
      <c s="292" t="str">
        <v>dl</v>
      </c>
      <c s="63"/>
      <c s="63"/>
      <c s="63"/>
      <c s="63"/>
      <c s="352" t="str">
        <f>"RANGE: "&amp;IF(L32=Home!T44,"1.3 - 1.6",IF(L32=Home!T45,"1.5 - 1.8",IF(L32=Home!T46,"1.7 - 2.0",IF(L32=Home!T47,"1.9 - 2.2","n/a"))))</f>
        <v>RANGE: n/a</v>
      </c>
      <c s="338"/>
      <c s="335"/>
      <c s="336"/>
      <c s="63"/>
      <c s="81"/>
      <c s="81"/>
      <c s="81"/>
      <c s="81"/>
      <c s="63"/>
      <c s="63"/>
      <c s="63"/>
      <c s="63"/>
      <c s="63"/>
      <c s="63"/>
      <c s="63"/>
      <c s="63"/>
      <c s="63"/>
    </row>
    <row r="34" spans="1:28" ht="15.75">
      <c r="A34" s="301" t="s">
        <v>705</v>
      </c>
      <c s="292" t="str">
        <v>sq</v>
      </c>
      <c s="301" t="s">
        <v>706</v>
      </c>
      <c s="292" t="str">
        <v>bn</v>
      </c>
      <c s="301" t="s">
        <v>707</v>
      </c>
      <c s="292" t="str">
        <v>dl</v>
      </c>
      <c s="63"/>
      <c s="63"/>
      <c s="63"/>
      <c s="63"/>
      <c s="333" t="s">
        <v>708</v>
      </c>
      <c s="338" t="s">
        <v>589</v>
      </c>
      <c s="335"/>
      <c s="336"/>
      <c s="63"/>
      <c s="81"/>
      <c s="81"/>
      <c s="81"/>
      <c s="81"/>
      <c s="63"/>
      <c s="63"/>
      <c s="63"/>
      <c s="65"/>
      <c s="63"/>
      <c s="63"/>
      <c s="63"/>
      <c s="63"/>
      <c s="63"/>
    </row>
    <row r="35" spans="1:28" ht="15.75" thickBot="1">
      <c r="A35" s="301" t="s">
        <v>709</v>
      </c>
      <c s="292" t="str">
        <v>sq</v>
      </c>
      <c s="301" t="s">
        <v>710</v>
      </c>
      <c s="292" t="str">
        <v>bn</v>
      </c>
      <c s="301" t="s">
        <v>711</v>
      </c>
      <c s="292" t="str">
        <v>dl</v>
      </c>
      <c s="63"/>
      <c s="63"/>
      <c s="63"/>
      <c s="63"/>
      <c s="333" t="s">
        <v>712</v>
      </c>
      <c s="338" t="s">
        <v>246</v>
      </c>
      <c s="335"/>
      <c s="336"/>
      <c s="63"/>
      <c s="81"/>
      <c s="81"/>
      <c s="81"/>
      <c s="81"/>
      <c s="63"/>
      <c s="63"/>
      <c s="63"/>
      <c s="65"/>
      <c s="63"/>
      <c s="63"/>
      <c s="63"/>
      <c s="63"/>
      <c s="63"/>
    </row>
    <row r="36" spans="1:28" ht="15.75">
      <c r="A36" s="301" t="s">
        <v>713</v>
      </c>
      <c s="292" t="str">
        <v>sq</v>
      </c>
      <c s="301" t="s">
        <v>714</v>
      </c>
      <c s="292" t="str">
        <v>bn</v>
      </c>
      <c s="301" t="s">
        <v>715</v>
      </c>
      <c s="292" t="str">
        <v>dl</v>
      </c>
      <c s="63"/>
      <c s="63"/>
      <c s="63"/>
      <c s="63"/>
      <c s="333" t="s">
        <v>716</v>
      </c>
      <c s="338" t="s">
        <v>717</v>
      </c>
      <c s="335"/>
      <c s="336"/>
      <c s="63"/>
      <c s="6" t="s">
        <v>232</v>
      </c>
      <c s="353"/>
      <c s="353"/>
      <c s="353"/>
      <c s="353"/>
      <c s="63"/>
      <c s="63"/>
      <c s="65"/>
      <c s="63"/>
      <c s="63"/>
      <c s="63"/>
      <c s="63"/>
      <c s="63"/>
    </row>
    <row r="37" spans="1:28" ht="15.75">
      <c r="A37" s="301" t="s">
        <v>718</v>
      </c>
      <c s="292" t="str">
        <v>sq</v>
      </c>
      <c s="301" t="s">
        <v>719</v>
      </c>
      <c s="292" t="str">
        <v>bn</v>
      </c>
      <c s="301" t="s">
        <v>720</v>
      </c>
      <c s="292" t="str">
        <v>dl</v>
      </c>
      <c s="63"/>
      <c s="63"/>
      <c s="63"/>
      <c s="63"/>
      <c s="352" t="str">
        <f>IF(L36="Lean gain","NOVICE, INT, OR ADVANCED?",IF(L36="Cutting phase","RATE OF WEIGHT LOSS","CHOOSE LEAN GAIN OR CUT ABOVE"))</f>
        <v>CHOOSE LEAN GAIN OR CUT ABOVE</v>
      </c>
      <c s="338"/>
      <c s="335"/>
      <c s="336"/>
      <c s="63"/>
      <c s="354"/>
      <c s="354"/>
      <c s="354"/>
      <c s="354"/>
      <c s="306"/>
      <c s="63"/>
      <c s="63"/>
      <c s="65"/>
      <c s="63"/>
      <c s="63"/>
      <c s="63"/>
      <c s="63"/>
      <c s="63"/>
    </row>
    <row r="38" spans="1:28" ht="15.75">
      <c r="A38" s="301" t="s">
        <v>721</v>
      </c>
      <c s="292" t="str">
        <v>sq</v>
      </c>
      <c s="301" t="s">
        <v>722</v>
      </c>
      <c s="292" t="str">
        <v>bn</v>
      </c>
      <c s="301" t="s">
        <v>723</v>
      </c>
      <c s="292" t="str">
        <v>dl</v>
      </c>
      <c s="63"/>
      <c s="63"/>
      <c s="63"/>
      <c s="63"/>
      <c s="355"/>
      <c s="356"/>
      <c s="356"/>
      <c s="63"/>
      <c s="63"/>
      <c s="357"/>
      <c s="357" t="s">
        <v>724</v>
      </c>
      <c s="357" t="s">
        <v>725</v>
      </c>
      <c s="357" t="s">
        <v>726</v>
      </c>
      <c s="357" t="s">
        <v>727</v>
      </c>
      <c s="63"/>
      <c s="63"/>
      <c s="65"/>
      <c s="63"/>
      <c s="63"/>
      <c s="63"/>
      <c s="63"/>
      <c s="63"/>
    </row>
    <row r="39" spans="1:28" ht="15.75">
      <c r="A39" s="301" t="s">
        <v>728</v>
      </c>
      <c s="292" t="str">
        <v>sq</v>
      </c>
      <c s="301" t="s">
        <v>729</v>
      </c>
      <c s="292" t="str">
        <v>bn</v>
      </c>
      <c s="301" t="s">
        <v>730</v>
      </c>
      <c s="292" t="str">
        <v>dl</v>
      </c>
      <c s="63"/>
      <c s="63"/>
      <c s="63"/>
      <c s="63"/>
      <c s="352" t="str">
        <f>IF(L36="Cutting phase","# REFEEDS: (RECOMMEND "&amp;IF(L36="Select here","",IF(L36="Lean gain","",IF(OR(AND(L34="Male",L35&gt;=0.2),AND(L34="Female",L35&gt;=0.28)),1,IF(OR(AND(L34="Male",L35&gt;=0.12,L35&lt;=0.19),AND(L34="Female",L35&gt;=0.2,L35&lt;=0.27)),2,IF(OR(AND(L34="Male",L35&lt;0.12),AND(L34="Female",L35&lt;0.2)),3,"")))))&amp;")","HIGH DAYS?")</f>
        <v>HIGH DAYS?</v>
      </c>
      <c s="358">
        <v>2</v>
      </c>
      <c s="335"/>
      <c s="336"/>
      <c s="63"/>
      <c s="359" t="s">
        <v>731</v>
      </c>
      <c s="360"/>
      <c s="360"/>
      <c s="138">
        <f>Q39*R39</f>
        <v>0</v>
      </c>
      <c s="138" t="str">
        <f t="array" ref="T39">MROUND(INDEX(Home!E22:E108,COUNTA(Home!E22:E108),1)*0.2,5)&amp;"-"&amp;MROUND(INDEX(Home!E22:E108,COUNTA(Home!E22:E108),1)*0.45,5)</f>
        <v>0-0</v>
      </c>
      <c s="63"/>
      <c s="63"/>
      <c s="65"/>
      <c s="63"/>
      <c s="63"/>
      <c s="63"/>
      <c s="63"/>
      <c s="63"/>
    </row>
    <row r="40" spans="1:28" ht="15.75">
      <c r="A40" s="301" t="s">
        <v>732</v>
      </c>
      <c s="292" t="str">
        <v>sq</v>
      </c>
      <c s="301" t="s">
        <v>733</v>
      </c>
      <c s="292" t="str">
        <v>bn</v>
      </c>
      <c s="301" t="s">
        <v>734</v>
      </c>
      <c s="292" t="str">
        <v>dl</v>
      </c>
      <c s="63"/>
      <c s="63"/>
      <c s="63"/>
      <c s="63"/>
      <c s="352" t="str">
        <f>IF(L36="Lean gain","DAILY KCALS:",IF(L36="Cutting phase","LOW DAY KCALS:",""))</f>
        <v/>
      </c>
      <c s="349" t="str">
        <f>IFERROR(IF(L36="Select here","",IF(L36="Lean gain",L31+IF(L37=Home!T32,(IF(_uom="lbs",L30,L30*2.20462)*0.015*3500)/4/7,IF(L37=Home!T33,(IF(_uom="lbs",L30,L30*2.20462)*0.01*3500)/4/7,IF(L37=Home!T34,(IF(_uom="lbs",L30,L30*2.20462)*0.005*3500)/4/7))),L31-(3500*IF(_uom="lbs",L30,L30*2.20462)*IF(L37=Home!T38,0.01,IF(L37=Home!T39,0.0075,IF(L37=Home!T40,0.005,"bananas"))))/(7-L39))),"")</f>
        <v/>
      </c>
      <c r="O40" s="306"/>
      <c s="359" t="s">
        <v>735</v>
      </c>
      <c s="360"/>
      <c s="359" t="s">
        <v>736</v>
      </c>
      <c s="360"/>
      <c s="138" t="str">
        <f t="array" ref="T40">MROUND(INDEX(Home!E22:E108,COUNTA(Home!E22:E108),1)*0.45,5)&amp;"-"&amp;MROUND(INDEX(Home!E22:E108,COUNTA(Home!E22:E108),1)*0.7,5)</f>
        <v>0-0</v>
      </c>
      <c s="63"/>
      <c s="63"/>
      <c s="63"/>
      <c s="63"/>
      <c s="63"/>
      <c s="63"/>
      <c s="63"/>
      <c s="63"/>
    </row>
    <row r="41" spans="1:28" ht="15.75">
      <c r="A41" s="301" t="s">
        <v>737</v>
      </c>
      <c s="292" t="str">
        <v>sq</v>
      </c>
      <c s="301" t="s">
        <v>738</v>
      </c>
      <c s="292" t="str">
        <v>bn</v>
      </c>
      <c s="301" t="s">
        <v>739</v>
      </c>
      <c s="292" t="str">
        <v>dl</v>
      </c>
      <c s="63"/>
      <c s="63"/>
      <c s="63"/>
      <c s="63"/>
      <c s="352" t="str">
        <f>IF(L36="Cutting phase","REFEED KCALS:","")</f>
        <v/>
      </c>
      <c s="349">
        <f>IF(L39=0,"",L31)</f>
        <v>0</v>
      </c>
      <c r="O41" s="306"/>
      <c s="354"/>
      <c s="354"/>
      <c s="354"/>
      <c s="354"/>
      <c s="306"/>
      <c s="63"/>
      <c s="63"/>
      <c s="63"/>
      <c s="63"/>
      <c s="63"/>
      <c s="63"/>
      <c s="63"/>
      <c s="63"/>
    </row>
    <row r="42" spans="1:28" ht="15.75">
      <c r="A42" s="301" t="s">
        <v>740</v>
      </c>
      <c s="292" t="str">
        <v>sq</v>
      </c>
      <c s="301" t="s">
        <v>741</v>
      </c>
      <c s="292" t="str">
        <v>bn</v>
      </c>
      <c s="301" t="s">
        <v>153</v>
      </c>
      <c s="292" t="str">
        <v>dl</v>
      </c>
      <c s="63"/>
      <c s="63"/>
      <c s="63"/>
      <c s="63"/>
      <c s="355"/>
      <c s="361"/>
      <c s="361"/>
      <c s="306"/>
      <c s="63"/>
      <c s="81"/>
      <c s="81"/>
      <c s="81"/>
      <c s="81"/>
      <c s="306"/>
      <c s="63"/>
      <c s="63"/>
      <c s="63"/>
      <c s="63"/>
      <c s="63"/>
      <c s="63"/>
      <c s="63"/>
      <c s="63"/>
    </row>
    <row r="43" spans="1:28" ht="15.75">
      <c r="A43" s="301" t="s">
        <v>742</v>
      </c>
      <c s="292" t="str">
        <v>sq</v>
      </c>
      <c s="301" t="s">
        <v>743</v>
      </c>
      <c s="292" t="str">
        <v>bn</v>
      </c>
      <c s="301" t="s">
        <v>744</v>
      </c>
      <c s="292" t="str">
        <v>dl</v>
      </c>
      <c s="63"/>
      <c s="63"/>
      <c s="63"/>
      <c s="63"/>
      <c s="89" t="s">
        <v>230</v>
      </c>
      <c s="361"/>
      <c r="O43" s="63"/>
      <c s="81"/>
      <c s="81"/>
      <c s="81"/>
      <c s="81"/>
      <c s="63"/>
      <c s="63"/>
      <c s="63"/>
      <c s="63"/>
      <c s="63"/>
      <c s="63"/>
      <c s="63"/>
      <c s="63"/>
      <c s="63"/>
    </row>
    <row r="44" spans="1:28" ht="15.75">
      <c r="A44" s="301" t="s">
        <v>745</v>
      </c>
      <c s="292" t="str">
        <v>sq</v>
      </c>
      <c s="301" t="s">
        <v>746</v>
      </c>
      <c s="292" t="str">
        <v>bn</v>
      </c>
      <c s="301" t="s">
        <v>747</v>
      </c>
      <c s="292" t="str">
        <v>dl</v>
      </c>
      <c s="63"/>
      <c s="63"/>
      <c s="63"/>
      <c s="63"/>
      <c s="352" t="str">
        <f>"CHOOSE BTW "&amp;IF(L36="Lean gain","0.8 - 1.0 g/lb  ",IF(L36="cutting phase","1.1 - 1.3 g/lb  ","n/a"))</f>
        <v>CHOOSE BTW n/a</v>
      </c>
      <c s="362">
        <v>1</v>
      </c>
      <c s="335"/>
      <c s="336"/>
      <c s="63"/>
      <c s="81"/>
      <c s="81"/>
      <c s="81"/>
      <c s="81"/>
      <c s="63"/>
      <c s="63"/>
      <c s="63"/>
      <c s="63"/>
      <c s="63"/>
      <c s="63"/>
      <c s="63"/>
      <c s="63"/>
      <c s="63"/>
    </row>
    <row r="45" spans="1:28" ht="15.75">
      <c r="A45" s="301" t="s">
        <v>748</v>
      </c>
      <c s="292" t="str">
        <v>sq</v>
      </c>
      <c s="301" t="s">
        <v>749</v>
      </c>
      <c s="292" t="str">
        <v>bn</v>
      </c>
      <c s="301" t="s">
        <v>750</v>
      </c>
      <c s="292" t="str">
        <v>dl</v>
      </c>
      <c s="63"/>
      <c s="63"/>
      <c s="63"/>
      <c s="63"/>
      <c s="355"/>
      <c s="356"/>
      <c s="356"/>
      <c s="63"/>
      <c s="63"/>
      <c s="81"/>
      <c s="81"/>
      <c s="81"/>
      <c s="81"/>
      <c s="63"/>
      <c s="63"/>
      <c s="63"/>
      <c s="63"/>
      <c s="63"/>
      <c s="63"/>
      <c s="63"/>
      <c s="63"/>
      <c s="63"/>
    </row>
    <row r="46" spans="1:28" ht="15.75">
      <c r="A46" s="295" t="s">
        <v>751</v>
      </c>
      <c s="292" t="str">
        <v>sq</v>
      </c>
      <c s="301" t="s">
        <v>752</v>
      </c>
      <c s="292" t="str">
        <v>bn</v>
      </c>
      <c s="301" t="s">
        <v>753</v>
      </c>
      <c s="292" t="str">
        <v>dl</v>
      </c>
      <c s="63"/>
      <c s="63"/>
      <c s="63"/>
      <c s="63"/>
      <c s="89" t="s">
        <v>228</v>
      </c>
      <c s="363" t="str">
        <f>IF(ISNUMBER(L40),"MINIMUM: "&amp;MROUND((IF(_uom="lbs",L30,L30*2.20462)*0.25*9)/L40*100,0.5)&amp;"%","")</f>
        <v/>
      </c>
      <c r="O46" s="306"/>
      <c s="81"/>
      <c s="81"/>
      <c s="81"/>
      <c s="81"/>
      <c s="63"/>
      <c s="63"/>
      <c s="63"/>
      <c s="63"/>
      <c s="63"/>
      <c s="63"/>
      <c s="63"/>
      <c s="63"/>
      <c s="63"/>
    </row>
    <row r="47" spans="1:28" ht="15.75">
      <c r="A47" s="295" t="s">
        <v>754</v>
      </c>
      <c s="292" t="str">
        <v>sq</v>
      </c>
      <c s="301" t="s">
        <v>755</v>
      </c>
      <c s="292" t="str">
        <v>bn</v>
      </c>
      <c s="301" t="s">
        <v>756</v>
      </c>
      <c s="292" t="str">
        <v>dl</v>
      </c>
      <c s="63"/>
      <c s="63"/>
      <c s="63"/>
      <c s="63"/>
      <c s="333" t="s">
        <v>757</v>
      </c>
      <c s="364">
        <v>25</v>
      </c>
      <c s="335"/>
      <c s="336"/>
      <c s="306"/>
      <c s="81"/>
      <c s="81"/>
      <c s="81"/>
      <c s="81"/>
      <c s="63"/>
      <c s="63"/>
      <c s="63"/>
      <c s="63"/>
      <c s="63"/>
      <c s="63"/>
      <c s="63"/>
      <c s="63"/>
      <c s="63"/>
    </row>
    <row r="48" spans="1:28" ht="15.75">
      <c r="A48" s="295" t="s">
        <v>758</v>
      </c>
      <c s="292" t="str">
        <v>sq</v>
      </c>
      <c s="301" t="s">
        <v>729</v>
      </c>
      <c s="292" t="str">
        <v>bn</v>
      </c>
      <c s="301" t="s">
        <v>759</v>
      </c>
      <c s="292" t="str">
        <v>dl</v>
      </c>
      <c s="63"/>
      <c s="63"/>
      <c s="63"/>
      <c s="63"/>
      <c s="355"/>
      <c s="361"/>
      <c s="361"/>
      <c s="306"/>
      <c s="63"/>
      <c s="81"/>
      <c s="81"/>
      <c s="81"/>
      <c s="81"/>
      <c s="63"/>
      <c s="63"/>
      <c s="63"/>
      <c s="63"/>
      <c s="63"/>
      <c s="63"/>
      <c s="63"/>
      <c s="63"/>
      <c s="63"/>
    </row>
    <row r="49" spans="1:28" ht="15.75">
      <c r="A49" s="295" t="s">
        <v>760</v>
      </c>
      <c s="292" t="str">
        <v>sq</v>
      </c>
      <c s="301" t="s">
        <v>761</v>
      </c>
      <c s="292" t="str">
        <v>bn</v>
      </c>
      <c s="301" t="s">
        <v>762</v>
      </c>
      <c s="292" t="str">
        <v>dl</v>
      </c>
      <c s="63"/>
      <c s="63"/>
      <c s="63"/>
      <c s="63"/>
      <c s="365" t="str">
        <f>IF(AND(L39&lt;&gt;0,L36="lean gain"),"HIGH DAYS","NORMAL")</f>
        <v>NORMAL</v>
      </c>
      <c s="361" t="str">
        <f>IF(L36="lean gain",IF(L39=0,L59,L39),L59-L39)&amp;"/"&amp;L59</f>
        <v>5/7</v>
      </c>
      <c r="O49" s="63"/>
      <c s="81"/>
      <c s="81"/>
      <c s="81"/>
      <c s="81"/>
      <c s="63"/>
      <c s="63"/>
      <c s="63"/>
      <c s="63"/>
      <c s="63"/>
      <c s="63"/>
      <c s="63"/>
      <c s="63"/>
      <c s="63"/>
    </row>
    <row r="50" spans="1:28" ht="15.75">
      <c r="A50" s="295" t="s">
        <v>763</v>
      </c>
      <c s="292" t="str">
        <v>sq</v>
      </c>
      <c s="301" t="s">
        <v>764</v>
      </c>
      <c s="292" t="str">
        <v>bn</v>
      </c>
      <c s="301" t="s">
        <v>153</v>
      </c>
      <c s="292" t="str">
        <v>dl</v>
      </c>
      <c s="63"/>
      <c s="63"/>
      <c s="63"/>
      <c s="63"/>
      <c s="366" t="s">
        <v>228</v>
      </c>
      <c s="367">
        <f>MROUND((L40*(L47/100))/9,5)</f>
        <v>0</v>
      </c>
      <c r="O50" s="63"/>
      <c s="354"/>
      <c s="81"/>
      <c s="81"/>
      <c s="81"/>
      <c s="63"/>
      <c s="63"/>
      <c s="63"/>
      <c s="63"/>
      <c s="63"/>
      <c s="63"/>
      <c s="63"/>
      <c s="63"/>
      <c s="63"/>
    </row>
    <row r="51" spans="1:28" ht="15.75">
      <c r="A51" s="295" t="s">
        <v>622</v>
      </c>
      <c s="292" t="str">
        <v>sq</v>
      </c>
      <c s="301" t="s">
        <v>765</v>
      </c>
      <c s="292" t="str">
        <v>bn</v>
      </c>
      <c s="301" t="s">
        <v>766</v>
      </c>
      <c s="292" t="str">
        <v>dl</v>
      </c>
      <c s="63"/>
      <c s="63"/>
      <c s="63"/>
      <c s="63"/>
      <c s="366" t="s">
        <v>229</v>
      </c>
      <c s="367" t="str">
        <f>MROUND((L40-(4*L52)-(9*L50))/4,5)</f>
        <v>#NUM!</v>
      </c>
      <c r="O51" s="306"/>
      <c s="354"/>
      <c s="81"/>
      <c s="81"/>
      <c s="81"/>
      <c s="63"/>
      <c s="63"/>
      <c s="63"/>
      <c s="63"/>
      <c s="63"/>
      <c s="63"/>
      <c s="63"/>
      <c s="63"/>
      <c s="63"/>
    </row>
    <row r="52" spans="1:28" ht="15.75">
      <c r="A52" s="295" t="s">
        <v>767</v>
      </c>
      <c s="292" t="str">
        <v>sq</v>
      </c>
      <c s="301" t="s">
        <v>768</v>
      </c>
      <c s="292" t="str">
        <v>bn</v>
      </c>
      <c s="301" t="s">
        <v>769</v>
      </c>
      <c s="292" t="str">
        <v>dl</v>
      </c>
      <c s="63"/>
      <c s="63"/>
      <c s="63"/>
      <c s="63"/>
      <c s="366" t="s">
        <v>230</v>
      </c>
      <c s="367">
        <f>MROUND(IF(_uom="lbs",L30,L30*2.20462)*L44,5)</f>
        <v>180</v>
      </c>
      <c r="O52" s="306"/>
      <c s="81"/>
      <c s="81"/>
      <c s="81"/>
      <c s="81"/>
      <c s="63"/>
      <c s="63"/>
      <c s="63"/>
      <c s="63"/>
      <c s="63"/>
      <c s="63"/>
      <c s="63"/>
      <c s="63"/>
      <c s="63"/>
    </row>
    <row r="53" spans="1:28" ht="15.75">
      <c r="A53" s="292"/>
      <c s="292"/>
      <c s="301" t="s">
        <v>770</v>
      </c>
      <c s="292" t="str">
        <v>bn</v>
      </c>
      <c s="301" t="s">
        <v>771</v>
      </c>
      <c s="292" t="str">
        <v>dl</v>
      </c>
      <c s="63"/>
      <c s="63"/>
      <c s="63"/>
      <c s="63"/>
      <c s="355"/>
      <c s="361"/>
      <c s="361"/>
      <c s="306"/>
      <c s="63"/>
      <c s="81"/>
      <c s="81"/>
      <c s="81"/>
      <c s="81"/>
      <c s="63"/>
      <c s="63"/>
      <c s="63"/>
      <c s="63"/>
      <c s="63"/>
      <c s="63"/>
      <c s="63"/>
      <c s="63"/>
      <c s="63"/>
    </row>
    <row r="54" spans="1:28" ht="15.75">
      <c r="A54" s="292"/>
      <c s="292"/>
      <c s="301" t="s">
        <v>772</v>
      </c>
      <c s="292" t="str">
        <v>bn</v>
      </c>
      <c s="301" t="s">
        <v>773</v>
      </c>
      <c s="292" t="str">
        <v>dl</v>
      </c>
      <c s="63"/>
      <c s="63"/>
      <c s="63"/>
      <c s="63"/>
      <c s="89" t="str">
        <f>P29</f>
        <v>LOW CALORIE DAYS</v>
      </c>
      <c s="361" t="str">
        <f>IF(L39="",0,IF(L36="cutting phase",L39,L59-L39))&amp;"/"&amp;L59</f>
        <v>5/7</v>
      </c>
      <c r="O54" s="63"/>
      <c s="81"/>
      <c s="81"/>
      <c s="81"/>
      <c s="81"/>
      <c s="63"/>
      <c s="63"/>
      <c s="63"/>
      <c s="63"/>
      <c s="63"/>
      <c s="63"/>
      <c s="63"/>
      <c s="63"/>
      <c s="63"/>
    </row>
    <row r="55" spans="1:28" ht="15.75">
      <c r="A55" s="292"/>
      <c s="292"/>
      <c s="301" t="s">
        <v>774</v>
      </c>
      <c s="292" t="str">
        <v>bn</v>
      </c>
      <c s="295" t="s">
        <v>775</v>
      </c>
      <c s="292" t="str">
        <v>dl</v>
      </c>
      <c s="63"/>
      <c s="63"/>
      <c s="63"/>
      <c s="63"/>
      <c s="333" t="s">
        <v>228</v>
      </c>
      <c s="367">
        <f>IF(L39=0,0,MROUND((IF(L36="lean gain",L41,L41)*(L47/100))/9,5))</f>
        <v>0</v>
      </c>
      <c r="O55" s="63"/>
      <c s="63"/>
      <c s="63"/>
      <c s="63"/>
      <c s="63"/>
      <c s="63"/>
      <c s="63"/>
      <c s="63"/>
      <c s="63"/>
      <c s="63"/>
      <c s="63"/>
      <c s="63"/>
      <c s="63"/>
      <c s="63"/>
    </row>
    <row r="56" spans="1:28" ht="15.75">
      <c r="A56" s="292"/>
      <c s="292"/>
      <c s="301" t="s">
        <v>776</v>
      </c>
      <c s="292" t="str">
        <v>bn</v>
      </c>
      <c s="295" t="s">
        <v>777</v>
      </c>
      <c s="292" t="str">
        <v>dl</v>
      </c>
      <c s="63"/>
      <c s="63"/>
      <c s="63"/>
      <c s="63"/>
      <c s="333" t="s">
        <v>229</v>
      </c>
      <c s="367" t="str">
        <f>IF(L39=0,0,MROUND((IF(L36="lean gain",L41,L41)-L50*9-L57*4)/4,5))</f>
        <v>#NUM!</v>
      </c>
      <c r="O56" s="63"/>
      <c s="63"/>
      <c s="63"/>
      <c s="63"/>
      <c s="63"/>
      <c s="63"/>
      <c s="63"/>
      <c s="63"/>
      <c s="63"/>
      <c s="63"/>
      <c s="63"/>
      <c s="63"/>
      <c s="63"/>
      <c s="63"/>
    </row>
    <row r="57" spans="1:28" ht="15.75">
      <c r="A57" s="292"/>
      <c s="292"/>
      <c s="301" t="s">
        <v>778</v>
      </c>
      <c s="292" t="str">
        <v>bn</v>
      </c>
      <c s="295" t="s">
        <v>766</v>
      </c>
      <c s="292" t="str">
        <v>dl</v>
      </c>
      <c s="63"/>
      <c s="63"/>
      <c s="63"/>
      <c s="63"/>
      <c s="333" t="s">
        <v>230</v>
      </c>
      <c s="367">
        <f>IF(L39=0,0,MROUND(IF(_uom="lbs",L30,L30*2.20462)*L44,5))</f>
        <v>180</v>
      </c>
      <c r="O57" s="63"/>
      <c s="63"/>
      <c s="63"/>
      <c s="63"/>
      <c s="63"/>
      <c s="63"/>
      <c s="63"/>
      <c s="63"/>
      <c s="63"/>
      <c s="63"/>
      <c s="63"/>
      <c s="63"/>
      <c s="63"/>
      <c s="63"/>
    </row>
    <row r="58" spans="1:28" ht="15.75">
      <c r="A58" s="292"/>
      <c s="292"/>
      <c s="301" t="s">
        <v>779</v>
      </c>
      <c s="292" t="str">
        <v>bn</v>
      </c>
      <c s="292"/>
      <c s="292"/>
      <c s="63"/>
      <c s="63"/>
      <c s="63"/>
      <c s="63"/>
      <c s="63"/>
      <c s="63"/>
      <c s="63"/>
      <c s="63"/>
      <c s="63"/>
      <c s="63"/>
      <c s="63"/>
      <c s="63"/>
      <c s="63"/>
      <c s="63"/>
      <c s="63"/>
      <c s="63"/>
      <c s="63"/>
      <c s="63"/>
      <c s="63"/>
      <c s="63"/>
      <c s="63"/>
      <c s="63"/>
    </row>
    <row r="59" spans="1:28" ht="15.75">
      <c r="A59" s="292"/>
      <c s="292"/>
      <c s="301" t="s">
        <v>780</v>
      </c>
      <c s="292" t="str">
        <v>bn</v>
      </c>
      <c s="292"/>
      <c s="292"/>
      <c s="63"/>
      <c s="63"/>
      <c s="63"/>
      <c s="63"/>
      <c s="333" t="s">
        <v>781</v>
      </c>
      <c s="368">
        <v>7</v>
      </c>
      <c r="O59" s="63"/>
      <c s="63"/>
      <c s="63"/>
      <c s="63"/>
      <c s="63"/>
      <c s="63"/>
      <c s="63"/>
      <c s="63"/>
      <c s="63"/>
      <c s="63"/>
      <c s="63"/>
      <c s="63"/>
      <c s="63"/>
      <c s="63"/>
    </row>
    <row r="60" spans="1:28" ht="15.75">
      <c r="A60" s="292"/>
      <c s="292"/>
      <c s="369" t="s">
        <v>782</v>
      </c>
      <c s="292" t="str">
        <v>bn</v>
      </c>
      <c s="292"/>
      <c s="292"/>
      <c s="63"/>
      <c s="63"/>
      <c s="63"/>
      <c s="63"/>
      <c s="63"/>
      <c s="63"/>
      <c s="63"/>
      <c s="63"/>
      <c s="63"/>
      <c s="63"/>
      <c s="63"/>
      <c s="63"/>
      <c s="63"/>
      <c s="63"/>
      <c s="63"/>
      <c s="63"/>
      <c s="63"/>
      <c s="63"/>
      <c s="63"/>
      <c s="63"/>
      <c s="63"/>
      <c s="63"/>
    </row>
    <row r="61" spans="1:28" ht="15.75">
      <c r="A61" s="292"/>
      <c s="292"/>
      <c s="369" t="s">
        <v>783</v>
      </c>
      <c s="292" t="str">
        <v>bn</v>
      </c>
      <c s="292"/>
      <c s="292"/>
      <c s="63"/>
      <c s="63"/>
      <c s="63"/>
      <c s="63"/>
      <c s="63"/>
      <c s="63"/>
      <c s="63"/>
      <c s="63"/>
      <c s="63"/>
      <c s="63"/>
      <c s="63"/>
      <c s="63"/>
      <c s="63"/>
      <c s="63"/>
      <c s="63"/>
      <c s="63"/>
      <c s="63"/>
      <c s="63"/>
      <c s="63"/>
      <c s="63"/>
      <c s="63"/>
      <c s="63"/>
    </row>
    <row r="62" spans="1:28" ht="15.75">
      <c r="A62" s="292"/>
      <c s="292"/>
      <c s="295" t="s">
        <v>784</v>
      </c>
      <c s="292" t="str">
        <v>bn</v>
      </c>
      <c s="292"/>
      <c s="292"/>
      <c s="63"/>
      <c s="63"/>
      <c s="63"/>
      <c s="63"/>
      <c s="63"/>
      <c s="63"/>
      <c s="63"/>
      <c s="63"/>
      <c s="63"/>
      <c s="63"/>
      <c s="63"/>
      <c s="63"/>
      <c s="63"/>
      <c s="63"/>
      <c s="63"/>
      <c s="63"/>
      <c s="63"/>
      <c s="63"/>
      <c s="63"/>
      <c s="63"/>
      <c s="63"/>
      <c s="63"/>
    </row>
    <row r="63" spans="1:28" ht="15.75">
      <c r="A63" s="292"/>
      <c s="292"/>
      <c s="295" t="s">
        <v>785</v>
      </c>
      <c s="292" t="str">
        <v>bn</v>
      </c>
      <c s="292"/>
      <c s="292"/>
      <c s="63"/>
      <c s="63"/>
      <c s="63"/>
      <c s="63"/>
      <c s="63"/>
      <c s="63"/>
      <c s="63"/>
      <c s="63"/>
      <c s="63"/>
      <c s="63"/>
      <c s="63"/>
      <c s="63"/>
      <c s="63"/>
      <c s="63"/>
      <c s="63"/>
      <c s="63"/>
      <c s="63"/>
      <c s="63"/>
      <c s="63"/>
      <c s="63"/>
      <c s="63"/>
      <c s="63"/>
    </row>
    <row r="64" spans="1:28" ht="15.75">
      <c r="A64" s="292"/>
      <c s="292"/>
      <c s="295" t="s">
        <v>786</v>
      </c>
      <c s="292" t="str">
        <v>bn</v>
      </c>
      <c s="292"/>
      <c s="292"/>
      <c s="63"/>
      <c s="63"/>
      <c s="63"/>
      <c s="63"/>
      <c s="63"/>
      <c s="63"/>
      <c s="63"/>
      <c s="63"/>
      <c s="63"/>
      <c s="63"/>
      <c s="63"/>
      <c s="63"/>
      <c s="63"/>
      <c s="63"/>
      <c s="63"/>
      <c s="63"/>
      <c s="63"/>
      <c s="63"/>
      <c s="63"/>
      <c s="63"/>
      <c s="63"/>
      <c s="63"/>
    </row>
    <row r="65" spans="1:28" ht="15.75">
      <c r="A65" s="292"/>
      <c s="292"/>
      <c s="295" t="s">
        <v>787</v>
      </c>
      <c s="292" t="str">
        <v>bn</v>
      </c>
      <c s="292"/>
      <c s="292"/>
      <c s="63"/>
      <c s="63"/>
      <c s="63"/>
      <c s="63"/>
      <c s="63"/>
      <c s="63"/>
      <c s="63"/>
      <c s="63"/>
      <c s="63"/>
      <c s="63"/>
      <c s="63"/>
      <c s="63"/>
      <c s="63"/>
      <c s="63"/>
      <c s="63"/>
      <c s="63"/>
      <c s="63"/>
      <c s="63"/>
      <c s="63"/>
      <c s="63"/>
      <c s="63"/>
      <c s="63"/>
    </row>
    <row r="66" spans="1:28" ht="15.75">
      <c r="A66" s="292"/>
      <c s="292"/>
      <c s="295" t="s">
        <v>197</v>
      </c>
      <c s="292" t="str">
        <v>bn</v>
      </c>
      <c s="292"/>
      <c s="292"/>
      <c s="63"/>
      <c s="63"/>
      <c s="63"/>
      <c s="63"/>
      <c s="63"/>
      <c s="63"/>
      <c s="63"/>
      <c s="63"/>
      <c s="63"/>
      <c s="63"/>
      <c s="63"/>
      <c s="63"/>
      <c s="63"/>
      <c s="63"/>
      <c s="63"/>
      <c s="63"/>
      <c s="63"/>
      <c s="63"/>
      <c s="63"/>
      <c s="63"/>
      <c s="63"/>
      <c s="63"/>
    </row>
    <row r="67" spans="1:28" ht="15.75">
      <c r="A67" s="292"/>
      <c s="292"/>
      <c s="292"/>
      <c s="292"/>
      <c s="292"/>
      <c s="292"/>
      <c s="63"/>
      <c s="63"/>
      <c s="63"/>
      <c s="63"/>
      <c s="63"/>
      <c s="63"/>
      <c s="63"/>
      <c s="63"/>
      <c s="63"/>
      <c s="63"/>
      <c s="63"/>
      <c s="63"/>
      <c s="63"/>
      <c s="63"/>
      <c s="63"/>
      <c s="63"/>
      <c s="63"/>
      <c s="63"/>
      <c s="63"/>
      <c s="63"/>
      <c s="63"/>
      <c s="63"/>
    </row>
    <row r="68" spans="1:28" ht="15.75">
      <c r="A68" s="292"/>
      <c s="292"/>
      <c s="292"/>
      <c s="292"/>
      <c s="292"/>
      <c s="292"/>
      <c s="63"/>
      <c s="63"/>
      <c s="63"/>
      <c s="63"/>
      <c s="63"/>
      <c s="63"/>
      <c s="63"/>
      <c s="63"/>
      <c s="63"/>
      <c s="63"/>
      <c s="63"/>
      <c s="63"/>
      <c s="63"/>
      <c s="63"/>
      <c s="63"/>
      <c s="63"/>
      <c s="63"/>
      <c s="63"/>
      <c s="63"/>
      <c s="63"/>
      <c s="63"/>
      <c s="63"/>
    </row>
    <row r="69" spans="1:28" ht="15.75">
      <c r="A69" s="292"/>
      <c s="292"/>
      <c s="292"/>
      <c s="292"/>
      <c s="292"/>
      <c s="292"/>
      <c s="63"/>
      <c s="63"/>
      <c s="63"/>
      <c s="63"/>
      <c s="63"/>
      <c s="63"/>
      <c s="63"/>
      <c s="63"/>
      <c s="63"/>
      <c s="63"/>
      <c s="63"/>
      <c s="63"/>
      <c s="63"/>
      <c s="63"/>
      <c s="63"/>
      <c s="63"/>
      <c s="63"/>
      <c s="63"/>
      <c s="63"/>
      <c s="63"/>
      <c s="63"/>
      <c s="63"/>
    </row>
    <row r="70" spans="1:28" ht="15.75">
      <c r="A70" s="292"/>
      <c s="292"/>
      <c s="292"/>
      <c s="292"/>
      <c s="292"/>
      <c s="292"/>
      <c s="63"/>
      <c s="63"/>
      <c s="63"/>
      <c s="63"/>
      <c s="63"/>
      <c s="63"/>
      <c s="63"/>
      <c s="63"/>
      <c s="63"/>
      <c s="63"/>
      <c s="63"/>
      <c s="63"/>
      <c s="63"/>
      <c s="63"/>
      <c s="63"/>
      <c s="63"/>
      <c s="63"/>
      <c s="63"/>
      <c s="63"/>
      <c s="63"/>
      <c s="63"/>
      <c s="63"/>
    </row>
    <row r="71" spans="1:28" ht="15.75">
      <c r="A71" s="292"/>
      <c s="292"/>
      <c s="292"/>
      <c s="292"/>
      <c s="292"/>
      <c s="292"/>
      <c s="63"/>
      <c s="63"/>
      <c s="63"/>
      <c s="63"/>
      <c s="63"/>
      <c s="63"/>
      <c s="63"/>
      <c s="63"/>
      <c s="63"/>
      <c s="63"/>
      <c s="63"/>
      <c s="63"/>
      <c s="63"/>
      <c s="63"/>
      <c s="63"/>
      <c s="63"/>
      <c s="63"/>
      <c s="63"/>
      <c s="63"/>
      <c s="63"/>
      <c s="63"/>
      <c s="63"/>
    </row>
    <row r="72" spans="1:28" ht="15.75">
      <c r="A72" s="292"/>
      <c s="292"/>
      <c s="292"/>
      <c s="292"/>
      <c s="292"/>
      <c s="292"/>
      <c s="63"/>
      <c s="63"/>
      <c s="63"/>
      <c s="63"/>
      <c s="63"/>
      <c s="63"/>
      <c s="63"/>
      <c s="63"/>
      <c s="63"/>
      <c s="63"/>
      <c s="63"/>
      <c s="63"/>
      <c s="63"/>
      <c s="63"/>
      <c s="63"/>
      <c s="63"/>
      <c s="63"/>
      <c s="63"/>
      <c s="63"/>
      <c s="63"/>
      <c s="63"/>
      <c s="63"/>
    </row>
    <row r="73" spans="1:28" ht="15.75">
      <c r="A73" s="292"/>
      <c s="292"/>
      <c s="292"/>
      <c s="292"/>
      <c s="292"/>
      <c s="292"/>
      <c s="63"/>
      <c s="63"/>
      <c s="63"/>
      <c s="63"/>
      <c s="63"/>
      <c s="63"/>
      <c s="63"/>
      <c s="63"/>
      <c s="63"/>
      <c s="63"/>
      <c s="63"/>
      <c s="63"/>
      <c s="63"/>
      <c s="63"/>
      <c s="63"/>
      <c s="63"/>
      <c s="63"/>
      <c s="63"/>
      <c s="63"/>
      <c s="63"/>
      <c s="63"/>
      <c s="63"/>
    </row>
    <row r="74" spans="1:28" ht="15.75">
      <c r="A74" s="292"/>
      <c s="292"/>
      <c s="292"/>
      <c s="292"/>
      <c s="292"/>
      <c s="292"/>
      <c s="63"/>
      <c s="63"/>
      <c s="63"/>
      <c s="63"/>
      <c s="63"/>
      <c s="63"/>
      <c s="63"/>
      <c s="63"/>
      <c s="63"/>
      <c s="63"/>
      <c s="63"/>
      <c s="63"/>
      <c s="63"/>
      <c s="63"/>
      <c s="63"/>
      <c s="63"/>
      <c s="63"/>
      <c s="63"/>
      <c s="63"/>
      <c s="63"/>
      <c s="63"/>
      <c s="63"/>
    </row>
    <row r="75" spans="1:28" ht="15.75">
      <c r="A75" s="292"/>
      <c s="292"/>
      <c s="292"/>
      <c s="292"/>
      <c s="292"/>
      <c s="292"/>
      <c s="63"/>
      <c s="63"/>
      <c s="63"/>
      <c s="63"/>
      <c s="63"/>
      <c s="63"/>
      <c s="63"/>
      <c s="63"/>
      <c s="63"/>
      <c s="63"/>
      <c s="63"/>
      <c s="63"/>
      <c s="63"/>
      <c s="63"/>
      <c s="63"/>
      <c s="63"/>
      <c s="63"/>
      <c s="63"/>
      <c s="63"/>
      <c s="63"/>
      <c s="63"/>
      <c s="63"/>
    </row>
    <row r="76" spans="1:28" ht="15.75">
      <c r="A76" s="292"/>
      <c s="292"/>
      <c s="292"/>
      <c s="292"/>
      <c s="292"/>
      <c s="292"/>
      <c s="63"/>
      <c s="63"/>
      <c s="63"/>
      <c s="63"/>
      <c s="63"/>
      <c s="63"/>
      <c s="63"/>
      <c s="63"/>
      <c s="63"/>
      <c s="63"/>
      <c s="63"/>
      <c s="63"/>
      <c s="63"/>
      <c s="63"/>
      <c s="63"/>
      <c s="63"/>
      <c s="63"/>
      <c s="63"/>
      <c s="63"/>
      <c s="63"/>
      <c s="63"/>
      <c s="63"/>
    </row>
    <row r="77" spans="1:28" ht="15.75">
      <c r="A77" s="292"/>
      <c s="292"/>
      <c s="292"/>
      <c s="292"/>
      <c s="292"/>
      <c s="292"/>
      <c s="63"/>
      <c s="63"/>
      <c s="63"/>
      <c s="63"/>
      <c s="63"/>
      <c s="63"/>
      <c s="63"/>
      <c s="63"/>
      <c s="63"/>
      <c s="63"/>
      <c s="63"/>
      <c s="63"/>
      <c s="63"/>
      <c s="63"/>
      <c s="63"/>
      <c s="63"/>
      <c s="63"/>
      <c s="63"/>
      <c s="63"/>
      <c s="63"/>
      <c s="63"/>
      <c s="63"/>
    </row>
    <row r="78" spans="1:28" ht="15.75">
      <c r="A78" s="292"/>
      <c s="292"/>
      <c s="292"/>
      <c s="292"/>
      <c s="292"/>
      <c s="292"/>
      <c s="63"/>
      <c s="63"/>
      <c s="63"/>
      <c s="63"/>
      <c s="63"/>
      <c s="63"/>
      <c s="63"/>
      <c s="63"/>
      <c s="63"/>
      <c s="63"/>
      <c s="63"/>
      <c s="63"/>
      <c s="63"/>
      <c s="63"/>
      <c s="63"/>
      <c s="63"/>
      <c s="63"/>
      <c s="63"/>
      <c s="63"/>
      <c s="63"/>
      <c s="63"/>
      <c s="63"/>
    </row>
    <row r="79" spans="1:28" ht="15.75">
      <c r="A79" s="292"/>
      <c s="292"/>
      <c s="292"/>
      <c s="292"/>
      <c s="292"/>
      <c s="292"/>
      <c s="63"/>
      <c s="63"/>
      <c s="63"/>
      <c s="63"/>
      <c s="63"/>
      <c s="63"/>
      <c s="63"/>
      <c s="63"/>
      <c s="63"/>
      <c s="63"/>
      <c s="63"/>
      <c s="63"/>
      <c s="63"/>
      <c s="63"/>
      <c s="63"/>
      <c s="63"/>
      <c s="63"/>
      <c s="63"/>
      <c s="63"/>
      <c s="63"/>
      <c s="63"/>
      <c s="63"/>
    </row>
    <row r="80" spans="1:28" ht="15.75">
      <c r="A80" s="292"/>
      <c s="292"/>
      <c s="292"/>
      <c s="292"/>
      <c s="292"/>
      <c s="292"/>
      <c s="63"/>
      <c s="63"/>
      <c s="63"/>
      <c s="63"/>
      <c s="63"/>
      <c s="63"/>
      <c s="63"/>
      <c s="63"/>
      <c s="63"/>
      <c s="63"/>
      <c s="63"/>
      <c s="63"/>
      <c s="63"/>
      <c s="63"/>
      <c s="63"/>
      <c s="63"/>
      <c s="63"/>
      <c s="63"/>
      <c s="63"/>
      <c s="63"/>
      <c s="63"/>
      <c s="63"/>
    </row>
    <row r="81" spans="1:28" ht="15.75">
      <c r="A81" s="292"/>
      <c s="292"/>
      <c s="292"/>
      <c s="292"/>
      <c s="292"/>
      <c s="292"/>
      <c s="63"/>
      <c s="63"/>
      <c s="63"/>
      <c s="63"/>
      <c s="63"/>
      <c s="63"/>
      <c s="63"/>
      <c s="63"/>
      <c s="63"/>
      <c s="63"/>
      <c s="63"/>
      <c s="63"/>
      <c s="63"/>
      <c s="63"/>
      <c s="63"/>
      <c s="63"/>
      <c s="63"/>
      <c s="63"/>
      <c s="63"/>
      <c s="63"/>
      <c s="63"/>
      <c s="63"/>
    </row>
    <row r="82" spans="1:28" ht="15.75">
      <c r="A82" s="292"/>
      <c s="292"/>
      <c s="292"/>
      <c s="292"/>
      <c s="292"/>
      <c s="292"/>
      <c s="63"/>
      <c s="63"/>
      <c s="63"/>
      <c s="63"/>
      <c s="63"/>
      <c s="63"/>
      <c s="63"/>
      <c s="63"/>
      <c s="63"/>
      <c s="63"/>
      <c s="63"/>
      <c s="63"/>
      <c s="63"/>
      <c s="63"/>
      <c s="63"/>
      <c s="63"/>
      <c s="63"/>
      <c s="63"/>
      <c s="63"/>
      <c s="63"/>
      <c s="63"/>
      <c s="63"/>
    </row>
    <row r="83" spans="1:28" ht="15.75">
      <c r="A83" s="292"/>
      <c s="292"/>
      <c s="292"/>
      <c s="292"/>
      <c s="292"/>
      <c s="292"/>
      <c s="63"/>
      <c s="63"/>
      <c s="63"/>
      <c s="63"/>
      <c s="63"/>
      <c s="63"/>
      <c s="63"/>
      <c s="63"/>
      <c s="63"/>
      <c s="63"/>
      <c s="63"/>
      <c s="63"/>
      <c s="63"/>
      <c s="63"/>
      <c s="63"/>
      <c s="63"/>
      <c s="63"/>
      <c s="63"/>
      <c s="63"/>
      <c s="63"/>
      <c s="63"/>
      <c s="63"/>
    </row>
    <row r="84" spans="1:28" ht="15.75">
      <c r="A84" s="292"/>
      <c s="292"/>
      <c s="292"/>
      <c s="292"/>
      <c s="292"/>
      <c s="292"/>
      <c s="63"/>
      <c s="63"/>
      <c s="63"/>
      <c s="63"/>
      <c s="63"/>
      <c s="63"/>
      <c s="63"/>
      <c s="63"/>
      <c s="63"/>
      <c s="63"/>
      <c s="63"/>
      <c s="63"/>
      <c s="63"/>
      <c s="63"/>
      <c s="63"/>
      <c s="63"/>
      <c s="63"/>
      <c s="63"/>
      <c s="63"/>
      <c s="63"/>
      <c s="63"/>
      <c s="63"/>
    </row>
    <row r="85" spans="1:28" ht="15.75">
      <c r="A85" s="292"/>
      <c s="292"/>
      <c s="292"/>
      <c s="292"/>
      <c s="292"/>
      <c s="292"/>
      <c s="63"/>
      <c s="63"/>
      <c s="63"/>
      <c s="63"/>
      <c s="63"/>
      <c s="63"/>
      <c s="63"/>
      <c s="63"/>
      <c s="63"/>
      <c s="63"/>
      <c s="63"/>
      <c s="63"/>
      <c s="63"/>
      <c s="63"/>
      <c s="63"/>
      <c s="63"/>
      <c s="63"/>
      <c s="63"/>
      <c s="63"/>
      <c s="63"/>
      <c s="63"/>
      <c s="63"/>
    </row>
    <row r="86" spans="1:28" ht="15.75">
      <c r="A86" s="292"/>
      <c s="292"/>
      <c s="292"/>
      <c s="292"/>
      <c s="292"/>
      <c s="292"/>
      <c s="63"/>
      <c s="63"/>
      <c s="63"/>
      <c s="63"/>
      <c s="63"/>
      <c s="63"/>
      <c s="63"/>
      <c s="63"/>
      <c s="63"/>
      <c s="63"/>
      <c s="63"/>
      <c s="63"/>
      <c s="63"/>
      <c s="63"/>
      <c s="63"/>
      <c s="63"/>
      <c s="63"/>
      <c s="63"/>
      <c s="63"/>
      <c s="63"/>
      <c s="63"/>
      <c s="63"/>
    </row>
    <row r="87" spans="1:28" ht="15.75">
      <c r="A87" s="292"/>
      <c s="292"/>
      <c s="292"/>
      <c s="292"/>
      <c s="292"/>
      <c s="292"/>
      <c s="63"/>
      <c s="63"/>
      <c s="63"/>
      <c s="63"/>
      <c s="63"/>
      <c s="63"/>
      <c s="63"/>
      <c s="63"/>
      <c s="63"/>
      <c s="63"/>
      <c s="63"/>
      <c s="63"/>
      <c s="63"/>
      <c s="63"/>
      <c s="63"/>
      <c s="63"/>
      <c s="63"/>
      <c s="63"/>
      <c s="63"/>
      <c s="63"/>
      <c s="63"/>
      <c s="63"/>
    </row>
    <row r="88" spans="1:28" ht="15.75">
      <c r="A88" s="292"/>
      <c s="292"/>
      <c s="292"/>
      <c s="292"/>
      <c s="292"/>
      <c s="292"/>
      <c s="63"/>
      <c s="63"/>
      <c s="63"/>
      <c s="63"/>
      <c s="63"/>
      <c s="63"/>
      <c s="63"/>
      <c s="63"/>
      <c s="63"/>
      <c s="63"/>
      <c s="63"/>
      <c s="63"/>
      <c s="63"/>
      <c s="63"/>
      <c s="63"/>
      <c s="63"/>
      <c s="63"/>
      <c s="63"/>
      <c s="63"/>
      <c s="63"/>
      <c s="63"/>
      <c s="63"/>
    </row>
    <row r="89" spans="1:28" ht="15.75">
      <c r="A89" s="292"/>
      <c s="292"/>
      <c s="292"/>
      <c s="292"/>
      <c s="292"/>
      <c s="292"/>
      <c s="63"/>
      <c s="63"/>
      <c s="63"/>
      <c s="63"/>
      <c s="63"/>
      <c s="63"/>
      <c s="63"/>
      <c s="63"/>
      <c s="63"/>
      <c s="63"/>
      <c s="63"/>
      <c s="63"/>
      <c s="63"/>
      <c s="63"/>
      <c s="63"/>
      <c s="63"/>
      <c s="63"/>
      <c s="63"/>
      <c s="63"/>
      <c s="63"/>
      <c s="63"/>
      <c s="63"/>
    </row>
    <row r="90" spans="1:28" ht="15.75">
      <c r="A90" s="292"/>
      <c s="292"/>
      <c s="292"/>
      <c s="292"/>
      <c s="292"/>
      <c s="292"/>
      <c s="63"/>
      <c s="63"/>
      <c s="63"/>
      <c s="63"/>
      <c s="63"/>
      <c s="63"/>
      <c s="63"/>
      <c s="63"/>
      <c s="63"/>
      <c s="63"/>
      <c s="63"/>
      <c s="63"/>
      <c s="63"/>
      <c s="63"/>
      <c s="63"/>
      <c s="63"/>
      <c s="63"/>
      <c s="63"/>
      <c s="63"/>
      <c s="63"/>
      <c s="63"/>
      <c s="63"/>
    </row>
    <row r="91" spans="1:28" ht="15.75">
      <c r="A91" s="292"/>
      <c s="292"/>
      <c s="292"/>
      <c s="292"/>
      <c s="292"/>
      <c s="292"/>
      <c s="63"/>
      <c s="63"/>
      <c s="63"/>
      <c s="63"/>
      <c s="63"/>
      <c s="63"/>
      <c s="63"/>
      <c s="63"/>
      <c s="63"/>
      <c s="63"/>
      <c s="63"/>
      <c s="63"/>
      <c s="63"/>
      <c s="63"/>
      <c s="63"/>
      <c s="63"/>
      <c s="63"/>
      <c s="63"/>
      <c s="63"/>
      <c s="63"/>
      <c s="63"/>
      <c s="63"/>
    </row>
    <row r="92" spans="1:28" ht="15.75">
      <c r="A92" s="292"/>
      <c s="292"/>
      <c s="292"/>
      <c s="292"/>
      <c s="292"/>
      <c s="292"/>
      <c s="63"/>
      <c s="63"/>
      <c s="63"/>
      <c s="63"/>
      <c s="63"/>
      <c s="63"/>
      <c s="63"/>
      <c s="63"/>
      <c s="63"/>
      <c s="63"/>
      <c s="63"/>
      <c s="63"/>
      <c s="63"/>
      <c s="63"/>
      <c s="63"/>
      <c s="63"/>
      <c s="63"/>
      <c s="63"/>
      <c s="63"/>
      <c s="63"/>
      <c s="63"/>
      <c s="63"/>
    </row>
    <row r="93" spans="1:28" ht="15.75">
      <c r="A93" s="292"/>
      <c s="292"/>
      <c s="292"/>
      <c s="292"/>
      <c s="292"/>
      <c s="292"/>
      <c s="63"/>
      <c s="63"/>
      <c s="63"/>
      <c s="63"/>
      <c s="63"/>
      <c s="63"/>
      <c s="63"/>
      <c s="63"/>
      <c s="63"/>
      <c s="63"/>
      <c s="63"/>
      <c s="63"/>
      <c s="63"/>
      <c s="63"/>
      <c s="63"/>
      <c s="63"/>
      <c s="63"/>
      <c s="63"/>
      <c s="63"/>
      <c s="63"/>
      <c s="63"/>
      <c s="63"/>
    </row>
    <row r="94" spans="1:28" ht="15.75">
      <c r="A94" s="292"/>
      <c s="292"/>
      <c s="292"/>
      <c s="292"/>
      <c s="292"/>
      <c s="292"/>
      <c s="63"/>
      <c s="63"/>
      <c s="63"/>
      <c s="63"/>
      <c s="63"/>
      <c s="63"/>
      <c s="63"/>
      <c s="63"/>
      <c s="63"/>
      <c s="63"/>
      <c s="63"/>
      <c s="63"/>
      <c s="63"/>
      <c s="63"/>
      <c s="63"/>
      <c s="63"/>
      <c s="63"/>
      <c s="63"/>
      <c s="63"/>
      <c s="63"/>
      <c s="63"/>
      <c s="63"/>
    </row>
    <row r="95" spans="1:28" ht="15.75">
      <c r="A95" s="292"/>
      <c s="292"/>
      <c s="292"/>
      <c s="292"/>
      <c s="292"/>
      <c s="292"/>
      <c s="63"/>
      <c s="63"/>
      <c s="63"/>
      <c s="63"/>
      <c s="63"/>
      <c s="63"/>
      <c s="63"/>
      <c s="63"/>
      <c s="63"/>
      <c s="63"/>
      <c s="63"/>
      <c s="63"/>
      <c s="63"/>
      <c s="63"/>
      <c s="63"/>
      <c s="63"/>
      <c s="63"/>
      <c s="63"/>
      <c s="63"/>
      <c s="63"/>
      <c s="63"/>
      <c s="63"/>
    </row>
    <row r="96" spans="1:28" ht="15.75">
      <c r="A96" s="292"/>
      <c s="292"/>
      <c s="292"/>
      <c s="292"/>
      <c s="292"/>
      <c s="292"/>
      <c s="63"/>
      <c s="63"/>
      <c s="63"/>
      <c s="63"/>
      <c s="63"/>
      <c s="63"/>
      <c s="63"/>
      <c s="63"/>
      <c s="63"/>
      <c s="63"/>
      <c s="63"/>
      <c s="63"/>
      <c s="63"/>
      <c s="63"/>
      <c s="63"/>
      <c s="63"/>
      <c s="63"/>
      <c s="63"/>
      <c s="63"/>
      <c s="63"/>
      <c s="63"/>
      <c s="63"/>
    </row>
    <row r="97" spans="1:28" ht="15.75">
      <c r="A97" s="292"/>
      <c s="292"/>
      <c s="292"/>
      <c s="292"/>
      <c s="292"/>
      <c s="292"/>
      <c s="63"/>
      <c s="63"/>
      <c s="63"/>
      <c s="63"/>
      <c s="63"/>
      <c s="63"/>
      <c s="63"/>
      <c s="63"/>
      <c s="63"/>
      <c s="63"/>
      <c s="63"/>
      <c s="63"/>
      <c s="63"/>
      <c s="63"/>
      <c s="63"/>
      <c s="63"/>
      <c s="63"/>
      <c s="63"/>
      <c s="63"/>
      <c s="63"/>
      <c s="63"/>
      <c s="63"/>
    </row>
    <row r="98" spans="1:28" ht="15.75">
      <c r="A98" s="292"/>
      <c s="292"/>
      <c s="292"/>
      <c s="292"/>
      <c s="292"/>
      <c s="292"/>
      <c s="63"/>
      <c s="63"/>
      <c s="63"/>
      <c s="63"/>
      <c s="63"/>
      <c s="63"/>
      <c s="63"/>
      <c s="63"/>
      <c s="63"/>
      <c s="63"/>
      <c s="63"/>
      <c s="63"/>
      <c s="63"/>
      <c s="63"/>
      <c s="63"/>
      <c s="63"/>
      <c s="63"/>
      <c s="63"/>
      <c s="63"/>
      <c s="63"/>
      <c s="63"/>
      <c s="63"/>
    </row>
    <row r="99" spans="1:28" ht="15.75">
      <c r="A99" s="292"/>
      <c s="292"/>
      <c s="292"/>
      <c s="292"/>
      <c s="292"/>
      <c s="292"/>
      <c s="63"/>
      <c s="63"/>
      <c s="63"/>
      <c s="63"/>
      <c s="63"/>
      <c s="63"/>
      <c s="63"/>
      <c s="63"/>
      <c s="63"/>
      <c s="63"/>
      <c s="63"/>
      <c s="63"/>
      <c s="63"/>
      <c s="63"/>
      <c s="63"/>
      <c s="63"/>
      <c s="63"/>
      <c s="63"/>
      <c s="63"/>
      <c s="63"/>
      <c s="63"/>
      <c s="63"/>
    </row>
    <row r="100" spans="1:28" ht="15.75">
      <c r="A100" s="292"/>
      <c s="292"/>
      <c s="292"/>
      <c s="292"/>
      <c s="292"/>
      <c s="292"/>
      <c s="63"/>
      <c s="63"/>
      <c s="63"/>
      <c s="63"/>
      <c s="63"/>
      <c s="63"/>
      <c s="63"/>
      <c s="63"/>
      <c s="63"/>
      <c s="63"/>
      <c s="63"/>
      <c s="63"/>
      <c s="63"/>
      <c s="63"/>
      <c s="63"/>
      <c s="63"/>
      <c s="63"/>
      <c s="63"/>
      <c s="63"/>
      <c s="63"/>
      <c s="63"/>
      <c s="63"/>
    </row>
    <row r="101" spans="1:28" ht="15.75">
      <c r="A101" s="292"/>
      <c s="292"/>
      <c s="292"/>
      <c s="292"/>
      <c s="292"/>
      <c s="292"/>
      <c s="63"/>
      <c s="63"/>
      <c s="63"/>
      <c s="63"/>
      <c s="63"/>
      <c s="63"/>
      <c s="63"/>
      <c s="63"/>
      <c s="63"/>
      <c s="63"/>
      <c s="63"/>
      <c s="63"/>
      <c s="63"/>
      <c s="63"/>
      <c s="63"/>
      <c s="63"/>
      <c s="63"/>
      <c s="63"/>
      <c s="63"/>
      <c s="63"/>
      <c s="63"/>
      <c s="63"/>
    </row>
    <row r="102" spans="1:28" ht="15.75">
      <c r="A102" s="292"/>
      <c s="292"/>
      <c s="292"/>
      <c s="292"/>
      <c s="292"/>
      <c s="292"/>
      <c s="63"/>
      <c s="63"/>
      <c s="63"/>
      <c s="63"/>
      <c s="63"/>
      <c s="63"/>
      <c s="63"/>
      <c s="63"/>
      <c s="63"/>
      <c s="63"/>
      <c s="63"/>
      <c s="63"/>
      <c s="63"/>
      <c s="63"/>
      <c s="63"/>
      <c s="63"/>
      <c s="63"/>
      <c s="63"/>
      <c s="63"/>
      <c s="63"/>
      <c s="63"/>
      <c s="63"/>
    </row>
    <row r="103" spans="1:28" ht="15.75">
      <c r="A103" s="292"/>
      <c s="292"/>
      <c s="292"/>
      <c s="292"/>
      <c s="292"/>
      <c s="292"/>
      <c s="63"/>
      <c s="63"/>
      <c s="63"/>
      <c s="63"/>
      <c s="63"/>
      <c s="63"/>
      <c s="63"/>
      <c s="63"/>
      <c s="63"/>
      <c s="63"/>
      <c s="63"/>
      <c s="63"/>
      <c s="63"/>
      <c s="63"/>
      <c s="63"/>
      <c s="63"/>
      <c s="63"/>
      <c s="63"/>
      <c s="63"/>
      <c s="63"/>
      <c s="63"/>
      <c s="63"/>
    </row>
    <row r="104" spans="1:28" ht="15.75">
      <c r="A104" s="292"/>
      <c s="292"/>
      <c s="292"/>
      <c s="292"/>
      <c s="292"/>
      <c s="292"/>
      <c s="63"/>
      <c s="63"/>
      <c s="63"/>
      <c s="63"/>
      <c s="63"/>
      <c s="63"/>
      <c s="63"/>
      <c s="63"/>
      <c s="63"/>
      <c s="63"/>
      <c s="63"/>
      <c s="63"/>
      <c s="63"/>
      <c s="63"/>
      <c s="63"/>
      <c s="63"/>
      <c s="63"/>
      <c s="63"/>
      <c s="63"/>
      <c s="63"/>
      <c s="63"/>
      <c s="63"/>
    </row>
    <row r="105" spans="1:28" ht="15.75">
      <c r="A105" s="292"/>
      <c s="292"/>
      <c s="292"/>
      <c s="292"/>
      <c s="292"/>
      <c s="292"/>
      <c s="63"/>
      <c s="63"/>
      <c s="63"/>
      <c s="63"/>
      <c s="63"/>
      <c s="63"/>
      <c s="63"/>
      <c s="63"/>
      <c s="63"/>
      <c s="63"/>
      <c s="63"/>
      <c s="63"/>
      <c s="63"/>
      <c s="63"/>
      <c s="63"/>
      <c s="63"/>
      <c s="63"/>
      <c s="63"/>
      <c s="63"/>
      <c s="63"/>
      <c s="63"/>
      <c s="63"/>
    </row>
    <row r="106" spans="1:28" ht="15.75">
      <c r="A106" s="292"/>
      <c s="292"/>
      <c s="292"/>
      <c s="292"/>
      <c s="292"/>
      <c s="292"/>
      <c s="63"/>
      <c s="63"/>
      <c s="63"/>
      <c s="63"/>
      <c s="63"/>
      <c s="63"/>
      <c s="63"/>
      <c s="63"/>
      <c s="63"/>
      <c s="63"/>
      <c s="63"/>
      <c s="63"/>
      <c s="63"/>
      <c s="63"/>
      <c s="63"/>
      <c s="63"/>
      <c s="63"/>
      <c s="63"/>
      <c s="63"/>
      <c s="63"/>
      <c s="63"/>
      <c s="63"/>
    </row>
    <row r="107" spans="1:28" ht="15.75">
      <c r="A107" s="292"/>
      <c s="292"/>
      <c s="292"/>
      <c s="292"/>
      <c s="292"/>
      <c s="292"/>
      <c s="63"/>
      <c s="63"/>
      <c s="63"/>
      <c s="63"/>
      <c s="63"/>
      <c s="63"/>
      <c s="63"/>
      <c s="63"/>
      <c s="63"/>
      <c s="63"/>
      <c s="63"/>
      <c s="63"/>
      <c s="63"/>
      <c s="63"/>
      <c s="63"/>
      <c s="63"/>
      <c s="63"/>
      <c s="63"/>
      <c s="63"/>
      <c s="63"/>
      <c s="63"/>
      <c s="63"/>
    </row>
    <row r="108" spans="1:28" ht="15.75">
      <c r="A108" s="292"/>
      <c s="292"/>
      <c s="292"/>
      <c s="292"/>
      <c s="292"/>
      <c s="292"/>
      <c s="63"/>
      <c s="63"/>
      <c s="63"/>
      <c s="63"/>
      <c s="63"/>
      <c s="63"/>
      <c s="63"/>
      <c s="63"/>
      <c s="63"/>
      <c s="63"/>
      <c s="63"/>
      <c s="63"/>
      <c s="63"/>
      <c s="63"/>
      <c s="63"/>
      <c s="63"/>
      <c s="63"/>
      <c s="63"/>
      <c s="63"/>
      <c s="63"/>
      <c s="63"/>
      <c s="63"/>
    </row>
  </sheetData>
  <mergeCells count="29">
    <mergeCell ref="L25:N25"/>
    <mergeCell ref="L26:N26"/>
    <mergeCell ref="L27:N27"/>
    <mergeCell ref="L28:N28"/>
    <mergeCell ref="L29:N29"/>
    <mergeCell ref="L30:N30"/>
    <mergeCell ref="L31:N31"/>
    <mergeCell ref="L32:N32"/>
    <mergeCell ref="L33:N33"/>
    <mergeCell ref="L34:N34"/>
    <mergeCell ref="L35:N35"/>
    <mergeCell ref="L36:N36"/>
    <mergeCell ref="L37:N37"/>
    <mergeCell ref="L39:N39"/>
    <mergeCell ref="L50:N50"/>
    <mergeCell ref="L51:N51"/>
    <mergeCell ref="L52:N52"/>
    <mergeCell ref="L54:N54"/>
    <mergeCell ref="L55:N55"/>
    <mergeCell ref="L56:N56"/>
    <mergeCell ref="L57:N57"/>
    <mergeCell ref="L59:N59"/>
    <mergeCell ref="L40:N40"/>
    <mergeCell ref="L41:N41"/>
    <mergeCell ref="L43:N43"/>
    <mergeCell ref="L44:N44"/>
    <mergeCell ref="L46:N46"/>
    <mergeCell ref="L47:N47"/>
    <mergeCell ref="L49:N49"/>
  </mergeCells>
  <dataValidations count="8">
    <dataValidation type="list" allowBlank="1" sqref="L34">
      <formula1>"SELECT,MALE,FEMALE"</formula1>
    </dataValidation>
    <dataValidation type="list" allowBlank="1" sqref="L28">
      <formula1>Home!$V$30:$V$66</formula1>
    </dataValidation>
    <dataValidation type="list" allowBlank="1" sqref="L35">
      <formula1>Home!$S$31:$S$78</formula1>
    </dataValidation>
    <dataValidation type="list" allowBlank="1" sqref="L37">
      <formula1>Home!$T$49:$T$53</formula1>
    </dataValidation>
    <dataValidation type="list" allowBlank="1" sqref="L32">
      <formula1>Home!$T$43:$T$47</formula1>
    </dataValidation>
    <dataValidation type="list" allowBlank="1" sqref="L5">
      <formula1>"lbs,kgs"</formula1>
    </dataValidation>
    <dataValidation type="list" allowBlank="1" sqref="L29">
      <formula1>Home!$U$30:$U$105</formula1>
    </dataValidation>
    <dataValidation type="list" allowBlank="1" sqref="L36">
      <formula1>"select here,lean gain,cutting phase"</formula1>
    </dataValidation>
  </dataValidations>
  <pageMargins left="0.75" right="0.75" top="1" bottom="1" header="0.5" footer="0.5"/>
  <pageSetup orientation="portrait"/>
  <tableParts>
    <tablePart r:id="rId1"/>
  </tableParts>
</worksheet>
</file>

<file path=docProps/app.xml><?xml version="1.0" encoding="utf-8"?>
<Properties xmlns="http://schemas.openxmlformats.org/officeDocument/2006/extended-properties" xmlns:vt="http://schemas.openxmlformats.org/officeDocument/2006/docPropsVTypes">
  <Application/>
  <AppVersion>14.0300</AppVersion>
  <DocSecurity>0</DocSecurity>
  <HeadingPairs>
    <vt:vector size="2" baseType="variant">
      <vt:variant>
        <vt:lpstr>Worksheets</vt:lpstr>
      </vt:variant>
      <vt:variant>
        <vt:i4>6</vt:i4>
      </vt:variant>
    </vt:vector>
  </HeadingPairs>
  <TitlesOfParts>
    <vt:vector size="6" baseType="lpstr">
      <vt:lpstr>Start Here</vt:lpstr>
      <vt:lpstr>RPE</vt:lpstr>
      <vt:lpstr>Training</vt:lpstr>
      <vt:lpstr>Home</vt:lpstr>
      <vt:lpstr>Reference</vt:lpstr>
      <vt:lpstr>Personal Info</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