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C:\Users\ibrah\OneDrive\Desktop\New folder\"/>
    </mc:Choice>
  </mc:AlternateContent>
  <xr:revisionPtr revIDLastSave="0" documentId="13_ncr:1_{9C4D4D9D-82F2-43E7-8F66-39F7BB9FAE7A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تكويد الموظفين " sheetId="3" r:id="rId1"/>
    <sheet name="شئون الموظفين " sheetId="1" r:id="rId2"/>
    <sheet name="كارت الموظف " sheetId="2" r:id="rId3"/>
  </sheets>
  <definedNames>
    <definedName name="DynamicCountries">OFFSET('تكويد الموظفين '!$C$3, 0, 0, COUNTA('تكويد الموظفين '!$C:$C)+2)</definedName>
    <definedName name="_xlnm.Print_Area" localSheetId="2">'كارت الموظف '!$A$1:$H$14</definedName>
    <definedName name="الشركات">OFFSET('تكويد الموظفين '!$G$3, 0, 0, COUNTA('تكويد الموظفين '!$G:$G)+2)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W27" i="1" l="1"/>
  <c r="AA2" i="1"/>
  <c r="AA6" i="1"/>
  <c r="AA7" i="1"/>
  <c r="AA8" i="1"/>
  <c r="AA12" i="1"/>
  <c r="AA13" i="1"/>
  <c r="AA14" i="1"/>
  <c r="AA15" i="1"/>
  <c r="AA16" i="1"/>
  <c r="AA17" i="1"/>
  <c r="AA20" i="1"/>
  <c r="AA21" i="1"/>
  <c r="AA22" i="1"/>
  <c r="AA23" i="1"/>
  <c r="Z2" i="1"/>
  <c r="Z6" i="1"/>
  <c r="Z7" i="1"/>
  <c r="Z8" i="1"/>
  <c r="Z12" i="1"/>
  <c r="Z13" i="1"/>
  <c r="Z14" i="1"/>
  <c r="Z15" i="1"/>
  <c r="Z16" i="1"/>
  <c r="Z17" i="1"/>
  <c r="Z20" i="1"/>
  <c r="Z21" i="1"/>
  <c r="Z22" i="1"/>
  <c r="Z23" i="1"/>
  <c r="Y2" i="1"/>
  <c r="Y6" i="1"/>
  <c r="Y7" i="1"/>
  <c r="Y8" i="1"/>
  <c r="Y12" i="1"/>
  <c r="Y13" i="1"/>
  <c r="Y14" i="1"/>
  <c r="Y15" i="1"/>
  <c r="Y16" i="1"/>
  <c r="Y17" i="1"/>
  <c r="Y20" i="1"/>
  <c r="Y21" i="1"/>
  <c r="Y22" i="1"/>
  <c r="Y23" i="1"/>
  <c r="X2" i="1"/>
  <c r="X6" i="1"/>
  <c r="X7" i="1"/>
  <c r="X8" i="1"/>
  <c r="X12" i="1"/>
  <c r="X27" i="1" s="1"/>
  <c r="X13" i="1"/>
  <c r="X14" i="1"/>
  <c r="X15" i="1"/>
  <c r="X16" i="1"/>
  <c r="X17" i="1"/>
  <c r="X20" i="1"/>
  <c r="X21" i="1"/>
  <c r="X22" i="1"/>
  <c r="X23" i="1"/>
  <c r="Y27" i="1" l="1"/>
  <c r="AA27" i="1"/>
  <c r="Z27" i="1"/>
  <c r="L26" i="1"/>
  <c r="O26" i="1"/>
  <c r="P26" i="1" s="1"/>
  <c r="S26" i="1"/>
  <c r="L25" i="1"/>
  <c r="P25" i="1"/>
  <c r="S25" i="1"/>
  <c r="L24" i="1"/>
  <c r="P24" i="1"/>
  <c r="S24" i="1"/>
  <c r="L23" i="1"/>
  <c r="P23" i="1"/>
  <c r="S23" i="1"/>
  <c r="L22" i="1"/>
  <c r="P22" i="1"/>
  <c r="S22" i="1"/>
  <c r="L21" i="1"/>
  <c r="P21" i="1"/>
  <c r="S21" i="1"/>
  <c r="S3" i="1"/>
  <c r="S4" i="1"/>
  <c r="S5" i="1"/>
  <c r="S6" i="1"/>
  <c r="S7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P5" i="1"/>
  <c r="P6" i="1"/>
  <c r="P7" i="1"/>
  <c r="P8" i="1"/>
  <c r="P9" i="1"/>
  <c r="P10" i="1"/>
  <c r="P17" i="1"/>
  <c r="P18" i="1"/>
  <c r="P3" i="1"/>
  <c r="P4" i="1"/>
  <c r="P11" i="1"/>
  <c r="P12" i="1"/>
  <c r="P13" i="1"/>
  <c r="P14" i="1"/>
  <c r="P15" i="1"/>
  <c r="P16" i="1"/>
  <c r="O19" i="1"/>
  <c r="P19" i="1" s="1"/>
  <c r="P20" i="1"/>
  <c r="S2" i="1"/>
  <c r="P2" i="1"/>
  <c r="F14" i="3"/>
  <c r="F13" i="3"/>
  <c r="F12" i="3"/>
  <c r="F11" i="3"/>
  <c r="F10" i="3"/>
  <c r="F9" i="3"/>
  <c r="F8" i="3"/>
  <c r="F7" i="3"/>
  <c r="F6" i="3"/>
  <c r="F5" i="3"/>
  <c r="F4" i="3"/>
  <c r="F3" i="3"/>
  <c r="B4" i="3"/>
  <c r="B5" i="3"/>
  <c r="B6" i="3"/>
  <c r="B7" i="3"/>
  <c r="B8" i="3"/>
  <c r="B9" i="3"/>
  <c r="B10" i="3"/>
  <c r="B11" i="3"/>
  <c r="B12" i="3"/>
  <c r="B13" i="3"/>
  <c r="B14" i="3"/>
  <c r="B15" i="3"/>
  <c r="B16" i="3"/>
  <c r="B17" i="3"/>
  <c r="B18" i="3"/>
  <c r="B19" i="3"/>
  <c r="B20" i="3"/>
  <c r="B21" i="3"/>
  <c r="B22" i="3"/>
  <c r="B23" i="3"/>
  <c r="B24" i="3"/>
  <c r="B25" i="3"/>
  <c r="B26" i="3"/>
  <c r="B27" i="3"/>
  <c r="B28" i="3"/>
  <c r="B29" i="3"/>
  <c r="B30" i="3"/>
  <c r="B31" i="3"/>
  <c r="B32" i="3"/>
  <c r="B33" i="3"/>
  <c r="B34" i="3"/>
  <c r="B35" i="3"/>
  <c r="B36" i="3"/>
  <c r="B37" i="3"/>
  <c r="B38" i="3"/>
  <c r="B39" i="3"/>
  <c r="B3" i="3"/>
  <c r="T26" i="1" l="1"/>
  <c r="U26" i="1"/>
  <c r="V26" i="1"/>
  <c r="T25" i="1"/>
  <c r="U25" i="1"/>
  <c r="V25" i="1"/>
  <c r="T24" i="1"/>
  <c r="U24" i="1"/>
  <c r="V24" i="1"/>
  <c r="U22" i="1"/>
  <c r="T22" i="1"/>
  <c r="U23" i="1"/>
  <c r="T23" i="1"/>
  <c r="U21" i="1"/>
  <c r="T21" i="1"/>
  <c r="V22" i="1"/>
  <c r="V23" i="1"/>
  <c r="V21" i="1"/>
  <c r="L2" i="1"/>
  <c r="L3" i="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E12" i="2"/>
  <c r="E11" i="2"/>
  <c r="E10" i="2"/>
  <c r="C14" i="2"/>
  <c r="C13" i="2"/>
  <c r="C12" i="2"/>
  <c r="C11" i="2"/>
  <c r="C10" i="2"/>
  <c r="AB25" i="1" l="1"/>
  <c r="AB21" i="1"/>
  <c r="AB24" i="1"/>
  <c r="AB23" i="1"/>
  <c r="AB22" i="1"/>
  <c r="AB26" i="1"/>
  <c r="T8" i="1"/>
  <c r="U8" i="1"/>
  <c r="AB8" i="1" s="1"/>
  <c r="T19" i="1"/>
  <c r="U19" i="1"/>
  <c r="T7" i="1"/>
  <c r="U7" i="1"/>
  <c r="AB7" i="1" s="1"/>
  <c r="T18" i="1"/>
  <c r="U18" i="1"/>
  <c r="T6" i="1"/>
  <c r="T17" i="1"/>
  <c r="U17" i="1"/>
  <c r="T5" i="1"/>
  <c r="T16" i="1"/>
  <c r="U16" i="1"/>
  <c r="T4" i="1"/>
  <c r="E13" i="2"/>
  <c r="U15" i="1"/>
  <c r="T15" i="1"/>
  <c r="AB15" i="1" s="1"/>
  <c r="T3" i="1"/>
  <c r="U14" i="1"/>
  <c r="T14" i="1"/>
  <c r="T2" i="1"/>
  <c r="U13" i="1"/>
  <c r="T13" i="1"/>
  <c r="U12" i="1"/>
  <c r="T12" i="1"/>
  <c r="T11" i="1"/>
  <c r="U11" i="1"/>
  <c r="T10" i="1"/>
  <c r="U10" i="1"/>
  <c r="T9" i="1"/>
  <c r="U9" i="1"/>
  <c r="U20" i="1"/>
  <c r="T20" i="1"/>
  <c r="V20" i="1"/>
  <c r="V18" i="1"/>
  <c r="V17" i="1"/>
  <c r="V16" i="1"/>
  <c r="U3" i="1"/>
  <c r="V3" i="1"/>
  <c r="V13" i="1"/>
  <c r="AB13" i="1" s="1"/>
  <c r="V12" i="1"/>
  <c r="V19" i="1"/>
  <c r="V7" i="1"/>
  <c r="V6" i="1"/>
  <c r="U6" i="1"/>
  <c r="AB6" i="1" s="1"/>
  <c r="U5" i="1"/>
  <c r="V5" i="1"/>
  <c r="U4" i="1"/>
  <c r="V4" i="1"/>
  <c r="V15" i="1"/>
  <c r="V14" i="1"/>
  <c r="V2" i="1"/>
  <c r="U2" i="1"/>
  <c r="V11" i="1"/>
  <c r="V10" i="1"/>
  <c r="V9" i="1"/>
  <c r="V8" i="1"/>
  <c r="AB19" i="1" l="1"/>
  <c r="AB4" i="1"/>
  <c r="AB20" i="1"/>
  <c r="AB2" i="1"/>
  <c r="AB14" i="1"/>
  <c r="AB5" i="1"/>
  <c r="AB16" i="1"/>
  <c r="AB3" i="1"/>
  <c r="U27" i="1"/>
  <c r="AB10" i="1"/>
  <c r="AB17" i="1"/>
  <c r="AB12" i="1"/>
  <c r="AB11" i="1"/>
  <c r="AB18" i="1"/>
  <c r="AB9" i="1"/>
  <c r="V27" i="1"/>
  <c r="AB27" i="1" l="1"/>
</calcChain>
</file>

<file path=xl/sharedStrings.xml><?xml version="1.0" encoding="utf-8"?>
<sst xmlns="http://schemas.openxmlformats.org/spreadsheetml/2006/main" count="180" uniqueCount="94">
  <si>
    <t>الرقم الوظيفي</t>
  </si>
  <si>
    <t>الاسم</t>
  </si>
  <si>
    <t>الهوية</t>
  </si>
  <si>
    <t>الجنسية</t>
  </si>
  <si>
    <t>الشركة</t>
  </si>
  <si>
    <t xml:space="preserve">المهنة </t>
  </si>
  <si>
    <t>الراتب  الأساسي</t>
  </si>
  <si>
    <t>بدل السكن</t>
  </si>
  <si>
    <t xml:space="preserve">بدل النقل </t>
  </si>
  <si>
    <t>بدلات أخرى</t>
  </si>
  <si>
    <t xml:space="preserve">الإجمالي </t>
  </si>
  <si>
    <t>تاريخ بداية العقد</t>
  </si>
  <si>
    <t>مدة العقد</t>
  </si>
  <si>
    <t>تاريخ انتهاء العقد</t>
  </si>
  <si>
    <t xml:space="preserve">الاجازة السنوية </t>
  </si>
  <si>
    <t>الأيام المستخدمة</t>
  </si>
  <si>
    <t>رصيد الاجازة</t>
  </si>
  <si>
    <t>نهاية الخدمة</t>
  </si>
  <si>
    <t xml:space="preserve">التأمينات الاجتماعية </t>
  </si>
  <si>
    <t xml:space="preserve">رخصة العمل </t>
  </si>
  <si>
    <t xml:space="preserve">الجوازات </t>
  </si>
  <si>
    <t xml:space="preserve">تذاكر السفر </t>
  </si>
  <si>
    <t xml:space="preserve">الخروج والعودة </t>
  </si>
  <si>
    <t>كود الموظف :</t>
  </si>
  <si>
    <t xml:space="preserve">بطاقة بيانات الموظف </t>
  </si>
  <si>
    <t>تاريخ التعيين :</t>
  </si>
  <si>
    <t>الجنسيه :</t>
  </si>
  <si>
    <t>الوظيفة:</t>
  </si>
  <si>
    <t>رقم الإقامة:</t>
  </si>
  <si>
    <t>القسم:</t>
  </si>
  <si>
    <t>الشركة:</t>
  </si>
  <si>
    <t>الراتب :</t>
  </si>
  <si>
    <t>رصيد الاجازات :</t>
  </si>
  <si>
    <t>اسم الموظف:</t>
  </si>
  <si>
    <t xml:space="preserve">القسم </t>
  </si>
  <si>
    <t xml:space="preserve">شركة الشركة </t>
  </si>
  <si>
    <t>الإدارة</t>
  </si>
  <si>
    <t>سكرتير</t>
  </si>
  <si>
    <t>المدة المتبقية للعقد</t>
  </si>
  <si>
    <t>بدل الاجازة الشهري</t>
  </si>
  <si>
    <t>هندي</t>
  </si>
  <si>
    <t>سعودي</t>
  </si>
  <si>
    <t>فرنسي</t>
  </si>
  <si>
    <t>مصري</t>
  </si>
  <si>
    <t>مغربي</t>
  </si>
  <si>
    <t>غاني</t>
  </si>
  <si>
    <t>أمريكي</t>
  </si>
  <si>
    <t>كندي</t>
  </si>
  <si>
    <t>الجنسيات</t>
  </si>
  <si>
    <t>الشركات</t>
  </si>
  <si>
    <t>سنة</t>
  </si>
  <si>
    <t>سنتين</t>
  </si>
  <si>
    <t>لبناني</t>
  </si>
  <si>
    <t>فلسطيني</t>
  </si>
  <si>
    <t>اردني</t>
  </si>
  <si>
    <t>سوري</t>
  </si>
  <si>
    <t>بنجلادش</t>
  </si>
  <si>
    <t>باكستان</t>
  </si>
  <si>
    <t>رين</t>
  </si>
  <si>
    <t>المشاريع</t>
  </si>
  <si>
    <t>المخازن</t>
  </si>
  <si>
    <t>المشتريات</t>
  </si>
  <si>
    <t>النظافة</t>
  </si>
  <si>
    <t>وتر</t>
  </si>
  <si>
    <t>المالية</t>
  </si>
  <si>
    <t>التأمين الطبي  الشهري</t>
  </si>
  <si>
    <t>الإجمالي 2</t>
  </si>
  <si>
    <t xml:space="preserve">محمد </t>
  </si>
  <si>
    <t xml:space="preserve"> الحازمي</t>
  </si>
  <si>
    <t>خديجة</t>
  </si>
  <si>
    <t xml:space="preserve">حميد </t>
  </si>
  <si>
    <t xml:space="preserve"> ازهر</t>
  </si>
  <si>
    <t xml:space="preserve"> بلال</t>
  </si>
  <si>
    <t xml:space="preserve">سيف </t>
  </si>
  <si>
    <t xml:space="preserve">امتنان </t>
  </si>
  <si>
    <t xml:space="preserve">عائشة </t>
  </si>
  <si>
    <t xml:space="preserve">لمياء </t>
  </si>
  <si>
    <t xml:space="preserve">هشام </t>
  </si>
  <si>
    <t xml:space="preserve">امجد </t>
  </si>
  <si>
    <t>الشاعر</t>
  </si>
  <si>
    <t>عبدالرحمن</t>
  </si>
  <si>
    <t xml:space="preserve">انس  </t>
  </si>
  <si>
    <t xml:space="preserve"> عبدالحميد </t>
  </si>
  <si>
    <t xml:space="preserve">ابرهيم </t>
  </si>
  <si>
    <t>حسنين</t>
  </si>
  <si>
    <t>MUHAMMAD</t>
  </si>
  <si>
    <t xml:space="preserve">ABDULLAH NOOR </t>
  </si>
  <si>
    <t xml:space="preserve"> مصطفى</t>
  </si>
  <si>
    <t xml:space="preserve">منى </t>
  </si>
  <si>
    <t>شركة 1</t>
  </si>
  <si>
    <t>شركة 2</t>
  </si>
  <si>
    <t>شركة3</t>
  </si>
  <si>
    <t xml:space="preserve"> محمد اسماعيل</t>
  </si>
  <si>
    <t xml:space="preserve">إضافة شيت  للداشبورد  يخص التكلفة لكل عمود  والنتاج النهائي  ارجو ان أكون شرحت المطلوب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</si>
</sst>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6">
    <font>
      <sz val="11"/>
      <name val="Calibri"/>
      <scheme val="minor"/>
    </font>
    <font>
      <sz val="11"/>
      <name val="Calibri"/>
      <family val="2"/>
    </font>
    <font>
      <sz val="20"/>
      <name val="Calibri"/>
      <family val="2"/>
      <scheme val="minor"/>
    </font>
    <font>
      <sz val="28"/>
      <name val="Calibri"/>
      <family val="2"/>
      <scheme val="minor"/>
    </font>
    <font>
      <sz val="36"/>
      <name val="Calibri"/>
      <family val="2"/>
      <scheme val="minor"/>
    </font>
    <font>
      <b/>
      <sz val="48"/>
      <color theme="1"/>
      <name val="Calibri"/>
      <family val="2"/>
      <scheme val="minor"/>
    </font>
    <font>
      <sz val="11"/>
      <name val="Calibri"/>
      <family val="2"/>
    </font>
    <font>
      <b/>
      <sz val="10"/>
      <color theme="0"/>
      <name val="Cairo"/>
    </font>
    <font>
      <b/>
      <sz val="10"/>
      <name val="Cairo"/>
    </font>
    <font>
      <sz val="12"/>
      <name val="Cairo"/>
    </font>
    <font>
      <sz val="11"/>
      <name val="Calibri"/>
      <family val="2"/>
      <scheme val="minor"/>
    </font>
    <font>
      <sz val="11"/>
      <name val="Cairo"/>
    </font>
    <font>
      <sz val="8"/>
      <name val="Calibri"/>
      <family val="2"/>
      <scheme val="minor"/>
    </font>
    <font>
      <sz val="11"/>
      <color indexed="8"/>
      <name val="Arial"/>
      <family val="2"/>
      <charset val="178"/>
    </font>
    <font>
      <sz val="11"/>
      <color indexed="8"/>
      <name val="Calibri"/>
      <family val="2"/>
      <scheme val="minor"/>
    </font>
    <font>
      <sz val="12"/>
      <name val="Calibri"/>
      <family val="2"/>
    </font>
  </fonts>
  <fills count="10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0070C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4" fillId="0" borderId="0"/>
  </cellStyleXfs>
  <cellXfs count="52">
    <xf numFmtId="0" fontId="0" fillId="0" borderId="0" xfId="0"/>
    <xf numFmtId="0" fontId="2" fillId="0" borderId="0" xfId="0" applyFont="1"/>
    <xf numFmtId="0" fontId="0" fillId="0" borderId="1" xfId="0" applyBorder="1"/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3" fillId="4" borderId="5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0" fillId="6" borderId="0" xfId="0" applyFill="1"/>
    <xf numFmtId="0" fontId="3" fillId="6" borderId="1" xfId="0" applyFont="1" applyFill="1" applyBorder="1" applyAlignment="1">
      <alignment horizontal="center" vertical="center"/>
    </xf>
    <xf numFmtId="0" fontId="1" fillId="0" borderId="1" xfId="0" applyFont="1" applyBorder="1"/>
    <xf numFmtId="0" fontId="6" fillId="0" borderId="1" xfId="0" applyFont="1" applyBorder="1"/>
    <xf numFmtId="0" fontId="3" fillId="3" borderId="8" xfId="0" applyFont="1" applyFill="1" applyBorder="1" applyAlignment="1">
      <alignment horizontal="center" vertical="center"/>
    </xf>
    <xf numFmtId="14" fontId="1" fillId="0" borderId="1" xfId="0" applyNumberFormat="1" applyFont="1" applyBorder="1"/>
    <xf numFmtId="14" fontId="4" fillId="5" borderId="1" xfId="0" applyNumberFormat="1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9" fillId="6" borderId="9" xfId="0" applyFont="1" applyFill="1" applyBorder="1"/>
    <xf numFmtId="0" fontId="9" fillId="6" borderId="9" xfId="0" applyFont="1" applyFill="1" applyBorder="1" applyAlignment="1">
      <alignment horizontal="center"/>
    </xf>
    <xf numFmtId="0" fontId="10" fillId="0" borderId="0" xfId="0" applyFont="1"/>
    <xf numFmtId="0" fontId="8" fillId="8" borderId="10" xfId="0" applyFont="1" applyFill="1" applyBorder="1" applyAlignment="1">
      <alignment horizontal="center" shrinkToFit="1"/>
    </xf>
    <xf numFmtId="0" fontId="11" fillId="0" borderId="1" xfId="0" applyFont="1" applyBorder="1"/>
    <xf numFmtId="1" fontId="1" fillId="0" borderId="1" xfId="0" applyNumberFormat="1" applyFont="1" applyBorder="1"/>
    <xf numFmtId="0" fontId="0" fillId="0" borderId="13" xfId="0" applyBorder="1"/>
    <xf numFmtId="164" fontId="0" fillId="0" borderId="13" xfId="0" applyNumberFormat="1" applyBorder="1"/>
    <xf numFmtId="1" fontId="0" fillId="0" borderId="13" xfId="0" applyNumberFormat="1" applyBorder="1"/>
    <xf numFmtId="14" fontId="0" fillId="0" borderId="0" xfId="0" applyNumberFormat="1"/>
    <xf numFmtId="0" fontId="13" fillId="0" borderId="1" xfId="0" applyFont="1" applyBorder="1" applyAlignment="1">
      <alignment vertical="center"/>
    </xf>
    <xf numFmtId="2" fontId="1" fillId="0" borderId="1" xfId="0" applyNumberFormat="1" applyFont="1" applyBorder="1"/>
    <xf numFmtId="2" fontId="0" fillId="0" borderId="1" xfId="0" applyNumberFormat="1" applyBorder="1"/>
    <xf numFmtId="0" fontId="15" fillId="0" borderId="0" xfId="1" applyFont="1" applyAlignment="1">
      <alignment horizontal="center" vertical="center"/>
    </xf>
    <xf numFmtId="2" fontId="0" fillId="0" borderId="13" xfId="0" applyNumberFormat="1" applyBorder="1"/>
    <xf numFmtId="0" fontId="7" fillId="9" borderId="11" xfId="0" applyFont="1" applyFill="1" applyBorder="1" applyAlignment="1">
      <alignment horizontal="center"/>
    </xf>
    <xf numFmtId="0" fontId="7" fillId="9" borderId="12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5" fillId="7" borderId="0" xfId="0" applyFont="1" applyFill="1" applyAlignment="1">
      <alignment horizontal="right" vertical="center"/>
    </xf>
    <xf numFmtId="0" fontId="5" fillId="7" borderId="4" xfId="0" applyFont="1" applyFill="1" applyBorder="1" applyAlignment="1">
      <alignment horizontal="right" vertic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2">
    <cellStyle name="Normal" xfId="0" builtinId="0"/>
    <cellStyle name="Normal 2" xfId="1" xr:uid="{4CB436FA-1873-4CCA-9A0A-0D7E7F11771E}"/>
  </cellStyles>
  <dxfs count="61">
    <dxf>
      <font>
        <color theme="0"/>
      </font>
      <fill>
        <patternFill>
          <bgColor rgb="FFFF0000"/>
        </patternFill>
      </fill>
    </dxf>
    <dxf>
      <font>
        <color theme="0"/>
      </font>
      <fill>
        <patternFill>
          <bgColor rgb="FFFF0000"/>
        </patternFill>
      </fill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" formatCode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164" formatCode="dd/mm/yyyy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2" formatCode="0.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64" formatCode="dd/mm/yyyy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rgb="FF000000"/>
        </top>
      </border>
    </dxf>
    <dxf>
      <border outline="0"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iro"/>
        <scheme val="none"/>
      </font>
      <fill>
        <patternFill patternType="solid">
          <fgColor indexed="64"/>
          <bgColor theme="2" tint="-9.9978637043366805E-2"/>
        </patternFill>
      </fill>
      <border diagonalUp="0" diagonalDown="0" outline="0"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C9584C5-0F71-40FC-91F2-C1E872525593}" name="Table1" displayName="Table1" ref="A1:AB27" totalsRowCount="1" headerRowDxfId="60" headerRowBorderDxfId="59" tableBorderDxfId="58">
  <autoFilter ref="A1:AB26" xr:uid="{9C9584C5-0F71-40FC-91F2-C1E872525593}"/>
  <tableColumns count="28">
    <tableColumn id="1" xr3:uid="{4B2B9F5D-9235-4EEC-8D07-ECF3D1481338}" name="الرقم الوظيفي" dataDxfId="57" totalsRowDxfId="29"/>
    <tableColumn id="2" xr3:uid="{327C22D0-2D66-4CBC-8257-09D7135D1CD9}" name="الاسم" dataDxfId="56" totalsRowDxfId="28"/>
    <tableColumn id="3" xr3:uid="{13DDB662-8894-452E-A940-DDF8D7869D34}" name="الهوية" dataDxfId="55" totalsRowDxfId="27"/>
    <tableColumn id="4" xr3:uid="{05DB58CC-6D31-4E6C-8BAE-0F1A4FBAF035}" name="الجنسية" dataDxfId="54" totalsRowDxfId="26"/>
    <tableColumn id="5" xr3:uid="{5629BD4B-FD0D-46BC-9A8F-FB236C9F754A}" name="الشركة" dataDxfId="53" totalsRowDxfId="25"/>
    <tableColumn id="27" xr3:uid="{5FDE48C7-23D5-4C46-B79C-E1A6A4DD099E}" name="القسم " dataDxfId="52" totalsRowDxfId="24"/>
    <tableColumn id="6" xr3:uid="{0F9E296C-E7C2-4EE9-ABDD-21DC4B874380}" name="المهنة " dataDxfId="51" totalsRowDxfId="23"/>
    <tableColumn id="7" xr3:uid="{D0084400-F0FC-446A-82F8-5B278D3A2282}" name="الراتب  الأساسي" dataDxfId="50" totalsRowDxfId="22"/>
    <tableColumn id="8" xr3:uid="{72F9B437-1F92-4B6E-80E8-856520972B2C}" name="بدل السكن" dataDxfId="49" totalsRowDxfId="21"/>
    <tableColumn id="9" xr3:uid="{F04C64AD-50E7-46A9-806B-707A13AD862B}" name="بدل النقل " dataDxfId="48" totalsRowDxfId="20"/>
    <tableColumn id="10" xr3:uid="{57F09D0F-8EBD-49BE-BDEC-8472A55EB56B}" name="بدلات أخرى" dataDxfId="47" totalsRowDxfId="19"/>
    <tableColumn id="11" xr3:uid="{7452AE0E-442A-4D1C-B906-7ED3BE1A7334}" name="الإجمالي " dataDxfId="46" totalsRowDxfId="18">
      <calculatedColumnFormula>Table1[[#This Row],[الراتب  الأساسي]]+Table1[[#This Row],[بدل السكن]]+Table1[[#This Row],[بدل النقل ]]+Table1[[#This Row],[بدلات أخرى]]</calculatedColumnFormula>
    </tableColumn>
    <tableColumn id="12" xr3:uid="{29DC8422-A8C2-4D60-8B40-B24BE6303EB3}" name="تاريخ بداية العقد" dataDxfId="45" totalsRowDxfId="17"/>
    <tableColumn id="13" xr3:uid="{71DE073A-87BF-47DE-83D2-81D30C6A810B}" name="مدة العقد" dataDxfId="44" totalsRowDxfId="16"/>
    <tableColumn id="14" xr3:uid="{EB1EDF3E-3068-4797-8E3A-6A111D0F3DCD}" name="تاريخ انتهاء العقد" dataDxfId="43" totalsRowDxfId="15">
      <calculatedColumnFormula>IF(M2="", "", IF(N2="سنة", DATE(YEAR(M2) + 1, MONTH(A2), DAY(M2)), IF(N2="سنتين", DATE(YEAR(M2) + 2, MONTH(M2), DAY(M2)), "")))</calculatedColumnFormula>
    </tableColumn>
    <tableColumn id="28" xr3:uid="{7E4A4891-BD8A-43A8-BD06-B2C87BED207C}" name="المدة المتبقية للعقد" dataDxfId="42" totalsRowDxfId="14">
      <calculatedColumnFormula>IF(OR(ISBLANK(O2), NOT(ISNUMBER(O2))), "", O2 - TODAY())</calculatedColumnFormula>
    </tableColumn>
    <tableColumn id="15" xr3:uid="{8095B32D-0283-4C94-8509-AB35EDF0C869}" name="الاجازة السنوية " dataDxfId="41" totalsRowDxfId="13"/>
    <tableColumn id="16" xr3:uid="{2ACAE4E7-6006-4E2F-8463-049C4BAC923D}" name="الأيام المستخدمة" dataDxfId="40" totalsRowDxfId="12"/>
    <tableColumn id="17" xr3:uid="{5224E662-1003-4B16-B6EF-0566F1445C39}" name="رصيد الاجازة" dataDxfId="39" totalsRowDxfId="11">
      <calculatedColumnFormula>Table1[[#This Row],[الاجازة السنوية ]]-Table1[[#This Row],[الأيام المستخدمة]]</calculatedColumnFormula>
    </tableColumn>
    <tableColumn id="18" xr3:uid="{58CB2149-72DF-4D7E-B011-DA649AD2E08C}" name="بدل الاجازة الشهري" dataDxfId="38" totalsRowDxfId="10">
      <calculatedColumnFormula>IF(Q2=21,1.75,IF(Q2=30,2.5,0))/100*(L2/30*100)</calculatedColumnFormula>
    </tableColumn>
    <tableColumn id="19" xr3:uid="{4CAA5726-CBFB-4ECA-9F41-FD2D36457137}" name="نهاية الخدمة" totalsRowFunction="sum" dataDxfId="37" totalsRowDxfId="9">
      <calculatedColumnFormula>Table1[[#This Row],[الإجمالي ]]/30*15/12</calculatedColumnFormula>
    </tableColumn>
    <tableColumn id="20" xr3:uid="{5F971AA0-21C8-4B2B-9E6E-9368CB72DFDE}" name="التأمينات الاجتماعية " totalsRowFunction="sum" dataDxfId="36" totalsRowDxfId="8">
      <calculatedColumnFormula>IF(D2="سعودي", 21.5, 2) / 100 * Table1[[#This Row],[الإجمالي ]]</calculatedColumnFormula>
    </tableColumn>
    <tableColumn id="21" xr3:uid="{09A2A156-AFD8-434C-B7FE-C55126B4C957}" name="التأمين الطبي  الشهري" totalsRowFunction="sum" dataDxfId="35" totalsRowDxfId="7"/>
    <tableColumn id="22" xr3:uid="{2729FBDB-004E-4B5A-9FBE-43DC20A9C0B0}" name="رخصة العمل " totalsRowFunction="sum" dataDxfId="34" totalsRowDxfId="6">
      <calculatedColumnFormula>9700/12</calculatedColumnFormula>
    </tableColumn>
    <tableColumn id="23" xr3:uid="{A09F2DB7-1649-497F-8C55-3E1F2904DEEA}" name="الجوازات " totalsRowFunction="sum" dataDxfId="33" totalsRowDxfId="5">
      <calculatedColumnFormula>650/12</calculatedColumnFormula>
    </tableColumn>
    <tableColumn id="24" xr3:uid="{B591A08E-7527-4E0A-9CC4-C9A49915E7F8}" name="تذاكر السفر " totalsRowFunction="sum" dataDxfId="32" totalsRowDxfId="4">
      <calculatedColumnFormula>2100/12</calculatedColumnFormula>
    </tableColumn>
    <tableColumn id="25" xr3:uid="{2A2187DF-9528-4CFA-8410-E8EF04ABC8B0}" name="الخروج والعودة " totalsRowFunction="sum" dataDxfId="31" totalsRowDxfId="3">
      <calculatedColumnFormula>200/12</calculatedColumnFormula>
    </tableColumn>
    <tableColumn id="26" xr3:uid="{52AAEA4F-7F79-4A4E-BC36-C5E098287B79}" name="الإجمالي 2" totalsRowFunction="sum" dataDxfId="30" totalsRowDxfId="2">
      <calculatedColumnFormula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calculatedColumnFormula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64981-FEA3-42A9-A937-A137CEFA3CDE}">
  <dimension ref="B2:M39"/>
  <sheetViews>
    <sheetView rightToLeft="1" workbookViewId="0">
      <selection activeCell="G6" sqref="G6"/>
    </sheetView>
  </sheetViews>
  <sheetFormatPr defaultRowHeight="14.4"/>
  <cols>
    <col min="2" max="2" width="5.109375" customWidth="1"/>
    <col min="3" max="3" width="12.109375" bestFit="1" customWidth="1"/>
    <col min="6" max="6" width="3" bestFit="1" customWidth="1"/>
    <col min="7" max="7" width="14.6640625" bestFit="1" customWidth="1"/>
  </cols>
  <sheetData>
    <row r="2" spans="2:13">
      <c r="B2" s="36" t="s">
        <v>48</v>
      </c>
      <c r="C2" s="37"/>
      <c r="F2" s="36" t="s">
        <v>49</v>
      </c>
      <c r="G2" s="37"/>
    </row>
    <row r="3" spans="2:13" ht="15" thickBot="1">
      <c r="B3" s="24">
        <f>IF(C3&lt;&gt;"", ROW(C3)-ROW($C$3)+1, "")</f>
        <v>1</v>
      </c>
      <c r="C3" s="24" t="s">
        <v>52</v>
      </c>
      <c r="F3" s="24">
        <f>IF(G3&lt;&gt;"", ROW(G3)-ROW($C$3)+1, "")</f>
        <v>1</v>
      </c>
      <c r="G3" s="24" t="s">
        <v>89</v>
      </c>
      <c r="K3" s="23" t="s">
        <v>50</v>
      </c>
      <c r="M3">
        <v>21</v>
      </c>
    </row>
    <row r="4" spans="2:13" ht="15" thickBot="1">
      <c r="B4" s="24">
        <f t="shared" ref="B4:B39" si="0">IF(C4&lt;&gt;"", ROW(C4)-ROW($C$3)+1, "")</f>
        <v>2</v>
      </c>
      <c r="C4" s="24" t="s">
        <v>53</v>
      </c>
      <c r="F4" s="24">
        <f t="shared" ref="F4:F14" si="1">IF(G4&lt;&gt;"", ROW(G4)-ROW($C$3)+1, "")</f>
        <v>2</v>
      </c>
      <c r="G4" s="24" t="s">
        <v>90</v>
      </c>
      <c r="K4" s="23" t="s">
        <v>51</v>
      </c>
      <c r="M4">
        <v>30</v>
      </c>
    </row>
    <row r="5" spans="2:13" ht="15" thickBot="1">
      <c r="B5" s="24">
        <f t="shared" si="0"/>
        <v>3</v>
      </c>
      <c r="C5" s="24" t="s">
        <v>54</v>
      </c>
      <c r="F5" s="24">
        <f t="shared" si="1"/>
        <v>3</v>
      </c>
      <c r="G5" s="24" t="s">
        <v>91</v>
      </c>
    </row>
    <row r="6" spans="2:13" ht="15" thickBot="1">
      <c r="B6" s="24">
        <f t="shared" si="0"/>
        <v>4</v>
      </c>
      <c r="C6" s="24" t="s">
        <v>55</v>
      </c>
      <c r="F6" s="24" t="str">
        <f t="shared" si="1"/>
        <v/>
      </c>
      <c r="G6" s="24"/>
    </row>
    <row r="7" spans="2:13" ht="15" thickBot="1">
      <c r="B7" s="24">
        <f t="shared" si="0"/>
        <v>5</v>
      </c>
      <c r="C7" s="24" t="s">
        <v>56</v>
      </c>
      <c r="F7" s="24" t="str">
        <f t="shared" si="1"/>
        <v/>
      </c>
      <c r="G7" s="24"/>
    </row>
    <row r="8" spans="2:13" ht="15" thickBot="1">
      <c r="B8" s="24">
        <f t="shared" si="0"/>
        <v>6</v>
      </c>
      <c r="C8" s="24" t="s">
        <v>57</v>
      </c>
      <c r="F8" s="24" t="str">
        <f t="shared" si="1"/>
        <v/>
      </c>
      <c r="G8" s="24"/>
    </row>
    <row r="9" spans="2:13" ht="15" thickBot="1">
      <c r="B9" s="24">
        <f t="shared" si="0"/>
        <v>7</v>
      </c>
      <c r="C9" s="24" t="s">
        <v>46</v>
      </c>
      <c r="F9" s="24" t="str">
        <f t="shared" si="1"/>
        <v/>
      </c>
      <c r="G9" s="24"/>
    </row>
    <row r="10" spans="2:13" ht="15" thickBot="1">
      <c r="B10" s="24">
        <f t="shared" si="0"/>
        <v>8</v>
      </c>
      <c r="C10" s="24" t="s">
        <v>43</v>
      </c>
      <c r="F10" s="24" t="str">
        <f t="shared" si="1"/>
        <v/>
      </c>
      <c r="G10" s="24"/>
    </row>
    <row r="11" spans="2:13" ht="15" thickBot="1">
      <c r="B11" s="24">
        <f t="shared" si="0"/>
        <v>9</v>
      </c>
      <c r="C11" s="24" t="s">
        <v>41</v>
      </c>
      <c r="F11" s="24" t="str">
        <f t="shared" si="1"/>
        <v/>
      </c>
      <c r="G11" s="24"/>
    </row>
    <row r="12" spans="2:13" ht="15" thickBot="1">
      <c r="B12" s="24">
        <f t="shared" si="0"/>
        <v>10</v>
      </c>
      <c r="C12" s="24" t="s">
        <v>40</v>
      </c>
      <c r="F12" s="24" t="str">
        <f t="shared" si="1"/>
        <v/>
      </c>
      <c r="G12" s="24"/>
    </row>
    <row r="13" spans="2:13" ht="15" thickBot="1">
      <c r="B13" s="24" t="str">
        <f t="shared" si="0"/>
        <v/>
      </c>
      <c r="C13" s="24"/>
      <c r="F13" s="24" t="str">
        <f t="shared" si="1"/>
        <v/>
      </c>
      <c r="G13" s="24"/>
    </row>
    <row r="14" spans="2:13" ht="15" thickBot="1">
      <c r="B14" s="24" t="str">
        <f t="shared" si="0"/>
        <v/>
      </c>
      <c r="C14" s="24"/>
      <c r="F14" s="24" t="str">
        <f t="shared" si="1"/>
        <v/>
      </c>
      <c r="G14" s="24"/>
    </row>
    <row r="15" spans="2:13" ht="15" thickBot="1">
      <c r="B15" s="24" t="str">
        <f t="shared" si="0"/>
        <v/>
      </c>
      <c r="C15" s="24"/>
    </row>
    <row r="16" spans="2:13" ht="15" thickBot="1">
      <c r="B16" s="24" t="str">
        <f t="shared" si="0"/>
        <v/>
      </c>
      <c r="C16" s="24"/>
    </row>
    <row r="17" spans="2:3" ht="15" thickBot="1">
      <c r="B17" s="24" t="str">
        <f t="shared" si="0"/>
        <v/>
      </c>
      <c r="C17" s="24"/>
    </row>
    <row r="18" spans="2:3" ht="15" thickBot="1">
      <c r="B18" s="24" t="str">
        <f t="shared" si="0"/>
        <v/>
      </c>
      <c r="C18" s="24"/>
    </row>
    <row r="19" spans="2:3" ht="15" thickBot="1">
      <c r="B19" s="24" t="str">
        <f>IF(C19&lt;&gt;"", ROW(C19)-ROW($C$3)+1, "")</f>
        <v/>
      </c>
      <c r="C19" s="24"/>
    </row>
    <row r="20" spans="2:3" ht="15" thickBot="1">
      <c r="B20" s="24" t="str">
        <f>IF(C20&lt;&gt;"", ROW(C20)-ROW($C$3)+1, "")</f>
        <v/>
      </c>
      <c r="C20" s="24"/>
    </row>
    <row r="21" spans="2:3" ht="15" thickBot="1">
      <c r="B21" s="24">
        <f t="shared" si="0"/>
        <v>19</v>
      </c>
      <c r="C21" s="24" t="s">
        <v>41</v>
      </c>
    </row>
    <row r="22" spans="2:3" ht="15" thickBot="1">
      <c r="B22" s="24" t="str">
        <f t="shared" si="0"/>
        <v/>
      </c>
      <c r="C22" s="24"/>
    </row>
    <row r="23" spans="2:3" ht="15" thickBot="1">
      <c r="B23" s="24">
        <f t="shared" si="0"/>
        <v>21</v>
      </c>
      <c r="C23" s="24" t="s">
        <v>45</v>
      </c>
    </row>
    <row r="24" spans="2:3" ht="15" thickBot="1">
      <c r="B24" s="24">
        <f t="shared" si="0"/>
        <v>22</v>
      </c>
      <c r="C24" s="24" t="s">
        <v>42</v>
      </c>
    </row>
    <row r="25" spans="2:3" ht="15" thickBot="1">
      <c r="B25" s="24" t="str">
        <f t="shared" si="0"/>
        <v/>
      </c>
      <c r="C25" s="24"/>
    </row>
    <row r="26" spans="2:3" ht="15" thickBot="1">
      <c r="B26" s="24" t="str">
        <f t="shared" si="0"/>
        <v/>
      </c>
      <c r="C26" s="24"/>
    </row>
    <row r="27" spans="2:3" ht="15" thickBot="1">
      <c r="B27" s="24">
        <f t="shared" si="0"/>
        <v>25</v>
      </c>
      <c r="C27" s="24" t="s">
        <v>47</v>
      </c>
    </row>
    <row r="28" spans="2:3" ht="15" thickBot="1">
      <c r="B28" s="24" t="str">
        <f t="shared" si="0"/>
        <v/>
      </c>
      <c r="C28" s="24"/>
    </row>
    <row r="29" spans="2:3" ht="15" thickBot="1">
      <c r="B29" s="24" t="str">
        <f t="shared" si="0"/>
        <v/>
      </c>
      <c r="C29" s="24"/>
    </row>
    <row r="30" spans="2:3" ht="15" thickBot="1">
      <c r="B30" s="24" t="str">
        <f t="shared" si="0"/>
        <v/>
      </c>
      <c r="C30" s="24"/>
    </row>
    <row r="31" spans="2:3" ht="15" thickBot="1">
      <c r="B31" s="24" t="str">
        <f t="shared" si="0"/>
        <v/>
      </c>
      <c r="C31" s="24"/>
    </row>
    <row r="32" spans="2:3" ht="15" thickBot="1">
      <c r="B32" s="24">
        <f t="shared" si="0"/>
        <v>30</v>
      </c>
      <c r="C32" s="24" t="s">
        <v>43</v>
      </c>
    </row>
    <row r="33" spans="2:3" ht="15" thickBot="1">
      <c r="B33" s="24">
        <f t="shared" si="0"/>
        <v>31</v>
      </c>
      <c r="C33" s="24" t="s">
        <v>44</v>
      </c>
    </row>
    <row r="34" spans="2:3" ht="15" thickBot="1">
      <c r="B34" s="24" t="str">
        <f t="shared" si="0"/>
        <v/>
      </c>
      <c r="C34" s="24"/>
    </row>
    <row r="35" spans="2:3" ht="15" thickBot="1">
      <c r="B35" s="24" t="str">
        <f t="shared" si="0"/>
        <v/>
      </c>
      <c r="C35" s="24"/>
    </row>
    <row r="36" spans="2:3" ht="15" thickBot="1">
      <c r="B36" s="24" t="str">
        <f t="shared" si="0"/>
        <v/>
      </c>
      <c r="C36" s="24"/>
    </row>
    <row r="37" spans="2:3" ht="15" thickBot="1">
      <c r="B37" s="24">
        <f t="shared" si="0"/>
        <v>35</v>
      </c>
      <c r="C37" s="24" t="s">
        <v>40</v>
      </c>
    </row>
    <row r="38" spans="2:3" ht="15" thickBot="1">
      <c r="B38" s="24" t="str">
        <f t="shared" si="0"/>
        <v/>
      </c>
      <c r="C38" s="24"/>
    </row>
    <row r="39" spans="2:3" ht="15" thickBot="1">
      <c r="B39" s="24" t="str">
        <f t="shared" si="0"/>
        <v/>
      </c>
      <c r="C39" s="24"/>
    </row>
  </sheetData>
  <sortState xmlns:xlrd2="http://schemas.microsoft.com/office/spreadsheetml/2017/richdata2" ref="C3:C39">
    <sortCondition ref="C3"/>
  </sortState>
  <mergeCells count="2">
    <mergeCell ref="B2:C2"/>
    <mergeCell ref="F2:G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6"/>
  <sheetViews>
    <sheetView rightToLeft="1" tabSelected="1" topLeftCell="A16" workbookViewId="0">
      <pane xSplit="2" topLeftCell="C1" activePane="topRight" state="frozen"/>
      <selection pane="topRight" activeCell="K31" sqref="K31"/>
    </sheetView>
  </sheetViews>
  <sheetFormatPr defaultColWidth="14.44140625" defaultRowHeight="15" customHeight="1"/>
  <cols>
    <col min="1" max="1" width="10.77734375" bestFit="1" customWidth="1"/>
    <col min="2" max="2" width="42.21875" bestFit="1" customWidth="1"/>
    <col min="3" max="3" width="12.109375" bestFit="1" customWidth="1"/>
    <col min="4" max="4" width="10.88671875" bestFit="1" customWidth="1"/>
    <col min="5" max="5" width="15.44140625" bestFit="1" customWidth="1"/>
    <col min="6" max="6" width="10.6640625" bestFit="1" customWidth="1"/>
    <col min="7" max="7" width="10.88671875" bestFit="1" customWidth="1"/>
    <col min="8" max="8" width="15.109375" bestFit="1" customWidth="1"/>
    <col min="9" max="9" width="10.5546875" bestFit="1" customWidth="1"/>
    <col min="10" max="10" width="10.109375" bestFit="1" customWidth="1"/>
    <col min="11" max="11" width="11.77734375" bestFit="1" customWidth="1"/>
    <col min="12" max="12" width="9.88671875" bestFit="1" customWidth="1"/>
    <col min="13" max="13" width="14.88671875" bestFit="1" customWidth="1"/>
    <col min="14" max="14" width="9.5546875" bestFit="1" customWidth="1"/>
    <col min="15" max="15" width="15.88671875" customWidth="1"/>
    <col min="16" max="16" width="16.5546875" customWidth="1"/>
    <col min="17" max="17" width="14.88671875" customWidth="1"/>
    <col min="18" max="18" width="16" customWidth="1"/>
    <col min="19" max="19" width="10.44140625" customWidth="1"/>
    <col min="20" max="20" width="17.77734375" bestFit="1" customWidth="1"/>
    <col min="21" max="21" width="16.5546875" bestFit="1" customWidth="1"/>
    <col min="22" max="22" width="17.6640625" customWidth="1"/>
    <col min="23" max="23" width="17.88671875" bestFit="1" customWidth="1"/>
    <col min="24" max="24" width="16.33203125" bestFit="1" customWidth="1"/>
    <col min="25" max="25" width="12.33203125" bestFit="1" customWidth="1"/>
    <col min="26" max="26" width="15.88671875" bestFit="1" customWidth="1"/>
    <col min="27" max="27" width="19.33203125" bestFit="1" customWidth="1"/>
    <col min="28" max="28" width="12" bestFit="1" customWidth="1"/>
  </cols>
  <sheetData>
    <row r="1" spans="1:28" ht="24" customHeight="1">
      <c r="A1" s="21" t="s">
        <v>0</v>
      </c>
      <c r="B1" s="21" t="s">
        <v>1</v>
      </c>
      <c r="C1" s="21" t="s">
        <v>2</v>
      </c>
      <c r="D1" s="22" t="s">
        <v>3</v>
      </c>
      <c r="E1" s="21" t="s">
        <v>4</v>
      </c>
      <c r="F1" s="21" t="s">
        <v>34</v>
      </c>
      <c r="G1" s="21" t="s">
        <v>5</v>
      </c>
      <c r="H1" s="21" t="s">
        <v>6</v>
      </c>
      <c r="I1" s="21" t="s">
        <v>7</v>
      </c>
      <c r="J1" s="21" t="s">
        <v>8</v>
      </c>
      <c r="K1" s="21" t="s">
        <v>9</v>
      </c>
      <c r="L1" s="21" t="s">
        <v>10</v>
      </c>
      <c r="M1" s="21" t="s">
        <v>11</v>
      </c>
      <c r="N1" s="21" t="s">
        <v>12</v>
      </c>
      <c r="O1" s="21" t="s">
        <v>13</v>
      </c>
      <c r="P1" s="21" t="s">
        <v>38</v>
      </c>
      <c r="Q1" s="21" t="s">
        <v>14</v>
      </c>
      <c r="R1" s="21" t="s">
        <v>15</v>
      </c>
      <c r="S1" s="21" t="s">
        <v>16</v>
      </c>
      <c r="T1" s="21" t="s">
        <v>39</v>
      </c>
      <c r="U1" s="21" t="s">
        <v>17</v>
      </c>
      <c r="V1" s="21" t="s">
        <v>18</v>
      </c>
      <c r="W1" s="21" t="s">
        <v>65</v>
      </c>
      <c r="X1" s="21" t="s">
        <v>19</v>
      </c>
      <c r="Y1" s="21" t="s">
        <v>20</v>
      </c>
      <c r="Z1" s="21" t="s">
        <v>21</v>
      </c>
      <c r="AA1" s="21" t="s">
        <v>22</v>
      </c>
      <c r="AB1" s="21" t="s">
        <v>66</v>
      </c>
    </row>
    <row r="2" spans="1:28" ht="14.4">
      <c r="A2" s="25">
        <v>2</v>
      </c>
      <c r="B2" t="s">
        <v>67</v>
      </c>
      <c r="C2" s="31">
        <v>2222222222</v>
      </c>
      <c r="D2" s="25" t="s">
        <v>55</v>
      </c>
      <c r="E2" s="25" t="s">
        <v>89</v>
      </c>
      <c r="F2" s="15" t="s">
        <v>59</v>
      </c>
      <c r="G2" s="14" t="s">
        <v>37</v>
      </c>
      <c r="H2" s="2">
        <v>4000</v>
      </c>
      <c r="I2" s="2">
        <v>1000</v>
      </c>
      <c r="J2" s="14">
        <v>0</v>
      </c>
      <c r="K2" s="14">
        <v>6000</v>
      </c>
      <c r="L2" s="14">
        <f>Table1[[#This Row],[الراتب  الأساسي]]+Table1[[#This Row],[بدل السكن]]+Table1[[#This Row],[بدل النقل ]]+Table1[[#This Row],[بدلات أخرى]]</f>
        <v>11000</v>
      </c>
      <c r="M2" s="30">
        <v>45437</v>
      </c>
      <c r="N2" s="2" t="s">
        <v>51</v>
      </c>
      <c r="O2" s="30">
        <v>46166</v>
      </c>
      <c r="P2" s="26">
        <f t="shared" ref="P2:P20" ca="1" si="0">IF(OR(ISBLANK(O2), NOT(ISNUMBER(O2))), "", O2 - TODAY())</f>
        <v>668</v>
      </c>
      <c r="Q2" s="26">
        <v>30</v>
      </c>
      <c r="R2" s="14">
        <v>0</v>
      </c>
      <c r="S2" s="2">
        <f>Table1[[#This Row],[الاجازة السنوية ]]-Table1[[#This Row],[الأيام المستخدمة]]</f>
        <v>30</v>
      </c>
      <c r="T2" s="32">
        <f t="shared" ref="T2:T26" si="1">IF(Q2=21,1.75,IF(Q2=30,2.5,0))/100*(L2/30*100)</f>
        <v>916.66666666666686</v>
      </c>
      <c r="U2" s="32">
        <f>Table1[[#This Row],[الإجمالي ]]/30*15/12</f>
        <v>458.33333333333331</v>
      </c>
      <c r="V2" s="2">
        <f>IF(D2="سعودي", 21.5, 2) / 100 * Table1[[#This Row],[الإجمالي ]]</f>
        <v>220</v>
      </c>
      <c r="W2" s="32">
        <v>805.57499999999993</v>
      </c>
      <c r="X2" s="32">
        <f t="shared" ref="X2:X23" si="2">9700/12</f>
        <v>808.33333333333337</v>
      </c>
      <c r="Y2" s="32">
        <f t="shared" ref="Y2:Y23" si="3">650/12</f>
        <v>54.166666666666664</v>
      </c>
      <c r="Z2" s="14">
        <f t="shared" ref="Z2:Z23" si="4">2100/12</f>
        <v>175</v>
      </c>
      <c r="AA2" s="32">
        <f t="shared" ref="AA2:AA23" si="5">200/12</f>
        <v>16.666666666666668</v>
      </c>
      <c r="AB2" s="32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14454.741666666667</v>
      </c>
    </row>
    <row r="3" spans="1:28" ht="14.25" customHeight="1">
      <c r="A3" s="14">
        <v>2</v>
      </c>
      <c r="B3" t="s">
        <v>68</v>
      </c>
      <c r="C3" s="31">
        <v>2222222222</v>
      </c>
      <c r="D3" s="25" t="s">
        <v>41</v>
      </c>
      <c r="E3" s="25" t="s">
        <v>89</v>
      </c>
      <c r="F3" s="15" t="s">
        <v>36</v>
      </c>
      <c r="G3" s="19"/>
      <c r="H3" s="2">
        <v>3000</v>
      </c>
      <c r="I3" s="2">
        <v>0</v>
      </c>
      <c r="J3" s="14">
        <v>0</v>
      </c>
      <c r="K3" s="14">
        <v>1000</v>
      </c>
      <c r="L3" s="14">
        <f>Table1[[#This Row],[الراتب  الأساسي]]+Table1[[#This Row],[بدل السكن]]+Table1[[#This Row],[بدل النقل ]]+Table1[[#This Row],[بدلات أخرى]]</f>
        <v>4000</v>
      </c>
      <c r="M3" s="30">
        <v>45437</v>
      </c>
      <c r="N3" s="2" t="s">
        <v>50</v>
      </c>
      <c r="O3" s="30">
        <v>45801</v>
      </c>
      <c r="P3" s="26">
        <f t="shared" ca="1" si="0"/>
        <v>303</v>
      </c>
      <c r="Q3" s="26">
        <v>30</v>
      </c>
      <c r="R3" s="14">
        <v>0</v>
      </c>
      <c r="S3" s="2">
        <f>Table1[[#This Row],[الاجازة السنوية ]]-Table1[[#This Row],[الأيام المستخدمة]]</f>
        <v>30</v>
      </c>
      <c r="T3" s="32">
        <f t="shared" si="1"/>
        <v>333.33333333333337</v>
      </c>
      <c r="U3" s="32">
        <f>Table1[[#This Row],[الإجمالي ]]/30*15/12</f>
        <v>166.66666666666669</v>
      </c>
      <c r="V3" s="2">
        <f>IF(D3="سعودي", 21.5, 2) / 100 * Table1[[#This Row],[الإجمالي ]]</f>
        <v>860</v>
      </c>
      <c r="W3" s="14">
        <v>115</v>
      </c>
      <c r="X3" s="32">
        <v>0</v>
      </c>
      <c r="Y3" s="32">
        <v>0</v>
      </c>
      <c r="Z3" s="14">
        <v>0</v>
      </c>
      <c r="AA3" s="32">
        <v>0</v>
      </c>
      <c r="AB3" s="32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5475</v>
      </c>
    </row>
    <row r="4" spans="1:28" ht="14.25" customHeight="1">
      <c r="A4" s="2">
        <v>3</v>
      </c>
      <c r="B4" t="s">
        <v>69</v>
      </c>
      <c r="C4" s="31">
        <v>2222222222</v>
      </c>
      <c r="D4" s="25" t="s">
        <v>41</v>
      </c>
      <c r="E4" s="25" t="s">
        <v>89</v>
      </c>
      <c r="F4" s="15" t="s">
        <v>36</v>
      </c>
      <c r="G4" s="20"/>
      <c r="H4" s="2">
        <v>4000</v>
      </c>
      <c r="I4" s="2">
        <v>0</v>
      </c>
      <c r="J4" s="2"/>
      <c r="K4" s="14">
        <v>0</v>
      </c>
      <c r="L4" s="2">
        <f>Table1[[#This Row],[الراتب  الأساسي]]+Table1[[#This Row],[بدل السكن]]+Table1[[#This Row],[بدل النقل ]]+Table1[[#This Row],[بدلات أخرى]]</f>
        <v>4000</v>
      </c>
      <c r="M4" s="30">
        <v>45437</v>
      </c>
      <c r="N4" s="2" t="s">
        <v>50</v>
      </c>
      <c r="O4" s="30">
        <v>45801</v>
      </c>
      <c r="P4" s="26">
        <f t="shared" ca="1" si="0"/>
        <v>303</v>
      </c>
      <c r="Q4" s="26">
        <v>30</v>
      </c>
      <c r="R4" s="2">
        <v>0</v>
      </c>
      <c r="S4" s="2">
        <f>Table1[[#This Row],[الاجازة السنوية ]]-Table1[[#This Row],[الأيام المستخدمة]]</f>
        <v>30</v>
      </c>
      <c r="T4" s="32">
        <f t="shared" si="1"/>
        <v>333.33333333333337</v>
      </c>
      <c r="U4" s="33">
        <f>Table1[[#This Row],[الإجمالي ]]/30*15/12</f>
        <v>166.66666666666669</v>
      </c>
      <c r="V4" s="2">
        <f>IF(D4="سعودي", 21.5, 2) / 100 * Table1[[#This Row],[الإجمالي ]]</f>
        <v>860</v>
      </c>
      <c r="W4" s="2">
        <v>0</v>
      </c>
      <c r="X4" s="33">
        <v>0</v>
      </c>
      <c r="Y4" s="33">
        <v>0</v>
      </c>
      <c r="Z4" s="2">
        <v>0</v>
      </c>
      <c r="AA4" s="33">
        <v>0</v>
      </c>
      <c r="AB4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5360</v>
      </c>
    </row>
    <row r="5" spans="1:28" ht="14.25" customHeight="1">
      <c r="A5" s="2">
        <v>1</v>
      </c>
      <c r="B5" t="s">
        <v>70</v>
      </c>
      <c r="C5" s="31">
        <v>2222222222</v>
      </c>
      <c r="D5" s="25" t="s">
        <v>41</v>
      </c>
      <c r="E5" s="25" t="s">
        <v>89</v>
      </c>
      <c r="F5" s="15" t="s">
        <v>36</v>
      </c>
      <c r="G5" s="20"/>
      <c r="H5" s="2">
        <v>4000</v>
      </c>
      <c r="I5" s="2">
        <v>0</v>
      </c>
      <c r="J5" s="2"/>
      <c r="K5" s="14">
        <v>3000</v>
      </c>
      <c r="L5" s="2">
        <f>Table1[[#This Row],[الراتب  الأساسي]]+Table1[[#This Row],[بدل السكن]]+Table1[[#This Row],[بدل النقل ]]+Table1[[#This Row],[بدلات أخرى]]</f>
        <v>7000</v>
      </c>
      <c r="M5" s="30">
        <v>44713</v>
      </c>
      <c r="N5" s="2" t="s">
        <v>50</v>
      </c>
      <c r="O5" s="30">
        <v>47793</v>
      </c>
      <c r="P5" s="26">
        <f t="shared" ca="1" si="0"/>
        <v>2295</v>
      </c>
      <c r="Q5" s="26">
        <v>30</v>
      </c>
      <c r="R5" s="2"/>
      <c r="S5" s="2">
        <f>Table1[[#This Row],[الاجازة السنوية ]]-Table1[[#This Row],[الأيام المستخدمة]]</f>
        <v>30</v>
      </c>
      <c r="T5" s="32">
        <f t="shared" si="1"/>
        <v>583.33333333333337</v>
      </c>
      <c r="U5" s="33">
        <f>Table1[[#This Row],[الإجمالي ]]/30*15/12</f>
        <v>291.66666666666669</v>
      </c>
      <c r="V5" s="2">
        <f>IF(D5="سعودي", 21.5, 2) / 100 * Table1[[#This Row],[الإجمالي ]]</f>
        <v>1505</v>
      </c>
      <c r="W5" s="33">
        <v>4573.0708333333332</v>
      </c>
      <c r="X5" s="33">
        <v>0</v>
      </c>
      <c r="Y5" s="33">
        <v>0</v>
      </c>
      <c r="Z5" s="2">
        <v>0</v>
      </c>
      <c r="AA5" s="33">
        <v>0</v>
      </c>
      <c r="AB5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13953.070833333333</v>
      </c>
    </row>
    <row r="6" spans="1:28" ht="14.25" customHeight="1">
      <c r="A6" s="2">
        <v>4</v>
      </c>
      <c r="B6" t="s">
        <v>71</v>
      </c>
      <c r="C6" s="31">
        <v>2222222222</v>
      </c>
      <c r="D6" s="25" t="s">
        <v>40</v>
      </c>
      <c r="E6" s="25" t="s">
        <v>89</v>
      </c>
      <c r="F6" s="15" t="s">
        <v>60</v>
      </c>
      <c r="G6" s="20"/>
      <c r="H6" s="2">
        <v>4000</v>
      </c>
      <c r="I6" s="2">
        <v>1000</v>
      </c>
      <c r="J6" s="2"/>
      <c r="K6" s="14">
        <v>0</v>
      </c>
      <c r="L6" s="2">
        <f>Table1[[#This Row],[الراتب  الأساسي]]+Table1[[#This Row],[بدل السكن]]+Table1[[#This Row],[بدل النقل ]]+Table1[[#This Row],[بدلات أخرى]]</f>
        <v>5000</v>
      </c>
      <c r="M6" s="30">
        <v>45134</v>
      </c>
      <c r="N6" s="2" t="s">
        <v>50</v>
      </c>
      <c r="O6" s="30">
        <v>45499</v>
      </c>
      <c r="P6" s="26">
        <f t="shared" ca="1" si="0"/>
        <v>1</v>
      </c>
      <c r="Q6" s="26">
        <v>30</v>
      </c>
      <c r="R6" s="2">
        <v>0</v>
      </c>
      <c r="S6" s="2">
        <f>Table1[[#This Row],[الاجازة السنوية ]]-Table1[[#This Row],[الأيام المستخدمة]]</f>
        <v>30</v>
      </c>
      <c r="T6" s="32">
        <f t="shared" si="1"/>
        <v>416.66666666666663</v>
      </c>
      <c r="U6" s="33">
        <f>Table1[[#This Row],[الإجمالي ]]/30*15/12</f>
        <v>208.33333333333334</v>
      </c>
      <c r="V6" s="2">
        <f>IF(D6="سعودي", 21.5, 2) / 100 * Table1[[#This Row],[الإجمالي ]]</f>
        <v>100</v>
      </c>
      <c r="W6" s="33">
        <v>89.508333333333326</v>
      </c>
      <c r="X6" s="33">
        <f t="shared" si="2"/>
        <v>808.33333333333337</v>
      </c>
      <c r="Y6" s="33">
        <f t="shared" si="3"/>
        <v>54.166666666666664</v>
      </c>
      <c r="Z6" s="2">
        <f t="shared" si="4"/>
        <v>175</v>
      </c>
      <c r="AA6" s="33">
        <f t="shared" si="5"/>
        <v>16.666666666666668</v>
      </c>
      <c r="AB6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6868.6750000000002</v>
      </c>
    </row>
    <row r="7" spans="1:28" ht="14.25" customHeight="1">
      <c r="A7" s="2">
        <v>5</v>
      </c>
      <c r="B7" t="s">
        <v>72</v>
      </c>
      <c r="C7" s="31">
        <v>2222222222</v>
      </c>
      <c r="D7" s="25" t="s">
        <v>40</v>
      </c>
      <c r="E7" s="25" t="s">
        <v>89</v>
      </c>
      <c r="F7" s="15" t="s">
        <v>61</v>
      </c>
      <c r="G7" s="20"/>
      <c r="H7" s="2">
        <v>4000</v>
      </c>
      <c r="I7" s="2">
        <v>1500</v>
      </c>
      <c r="J7" s="2"/>
      <c r="K7" s="14">
        <v>4000</v>
      </c>
      <c r="L7" s="2">
        <f>Table1[[#This Row],[الراتب  الأساسي]]+Table1[[#This Row],[بدل السكن]]+Table1[[#This Row],[بدل النقل ]]+Table1[[#This Row],[بدلات أخرى]]</f>
        <v>9500</v>
      </c>
      <c r="M7" s="30">
        <v>45465</v>
      </c>
      <c r="N7" s="2" t="s">
        <v>50</v>
      </c>
      <c r="O7" s="30">
        <v>45829</v>
      </c>
      <c r="P7" s="26">
        <f t="shared" ca="1" si="0"/>
        <v>331</v>
      </c>
      <c r="Q7" s="26">
        <v>30</v>
      </c>
      <c r="R7" s="2"/>
      <c r="S7" s="2">
        <f>Table1[[#This Row],[الاجازة السنوية ]]-Table1[[#This Row],[الأيام المستخدمة]]</f>
        <v>30</v>
      </c>
      <c r="T7" s="32">
        <f t="shared" si="1"/>
        <v>791.66666666666674</v>
      </c>
      <c r="U7" s="33">
        <f>Table1[[#This Row],[الإجمالي ]]/30*15/12</f>
        <v>395.83333333333331</v>
      </c>
      <c r="V7" s="2">
        <f>IF(D7="سعودي", 21.5, 2) / 100 * Table1[[#This Row],[الإجمالي ]]</f>
        <v>190</v>
      </c>
      <c r="W7" s="33">
        <v>244.27916666666667</v>
      </c>
      <c r="X7" s="33">
        <f t="shared" si="2"/>
        <v>808.33333333333337</v>
      </c>
      <c r="Y7" s="33">
        <f t="shared" si="3"/>
        <v>54.166666666666664</v>
      </c>
      <c r="Z7" s="2">
        <f t="shared" si="4"/>
        <v>175</v>
      </c>
      <c r="AA7" s="33">
        <f t="shared" si="5"/>
        <v>16.666666666666668</v>
      </c>
      <c r="AB7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12175.945833333333</v>
      </c>
    </row>
    <row r="8" spans="1:28" ht="14.25" customHeight="1">
      <c r="A8" s="2">
        <v>6</v>
      </c>
      <c r="B8" t="s">
        <v>73</v>
      </c>
      <c r="C8" s="31">
        <v>2222222222</v>
      </c>
      <c r="D8" s="25" t="s">
        <v>56</v>
      </c>
      <c r="E8" s="25" t="s">
        <v>89</v>
      </c>
      <c r="F8" s="15" t="s">
        <v>62</v>
      </c>
      <c r="G8" s="20"/>
      <c r="H8" s="2">
        <v>1500</v>
      </c>
      <c r="I8" s="2">
        <v>500</v>
      </c>
      <c r="J8" s="2"/>
      <c r="K8" s="14">
        <v>500</v>
      </c>
      <c r="L8" s="2">
        <f>Table1[[#This Row],[الراتب  الأساسي]]+Table1[[#This Row],[بدل السكن]]+Table1[[#This Row],[بدل النقل ]]+Table1[[#This Row],[بدلات أخرى]]</f>
        <v>2500</v>
      </c>
      <c r="M8" s="30">
        <v>45454</v>
      </c>
      <c r="N8" s="2" t="s">
        <v>50</v>
      </c>
      <c r="O8" s="30">
        <v>45818</v>
      </c>
      <c r="P8" s="26">
        <f t="shared" ca="1" si="0"/>
        <v>320</v>
      </c>
      <c r="Q8" s="26">
        <v>30</v>
      </c>
      <c r="R8" s="2"/>
      <c r="S8" s="2">
        <f>Table1[[#This Row],[الاجازة السنوية ]]-Table1[[#This Row],[الأيام المستخدمة]]</f>
        <v>30</v>
      </c>
      <c r="T8" s="32">
        <f t="shared" si="1"/>
        <v>208.33333333333331</v>
      </c>
      <c r="U8" s="33">
        <f>Table1[[#This Row],[الإجمالي ]]/30*15/12</f>
        <v>104.16666666666667</v>
      </c>
      <c r="V8" s="2">
        <f>IF(D8="سعودي", 21.5, 2) / 100 * Table1[[#This Row],[الإجمالي ]]</f>
        <v>50</v>
      </c>
      <c r="W8" s="2">
        <v>63.824999999999996</v>
      </c>
      <c r="X8" s="33">
        <f t="shared" si="2"/>
        <v>808.33333333333337</v>
      </c>
      <c r="Y8" s="33">
        <f t="shared" si="3"/>
        <v>54.166666666666664</v>
      </c>
      <c r="Z8" s="2">
        <f t="shared" si="4"/>
        <v>175</v>
      </c>
      <c r="AA8" s="33">
        <f t="shared" si="5"/>
        <v>16.666666666666668</v>
      </c>
      <c r="AB8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3980.4916666666663</v>
      </c>
    </row>
    <row r="9" spans="1:28" ht="14.25" customHeight="1">
      <c r="A9" s="2">
        <v>7</v>
      </c>
      <c r="B9" t="s">
        <v>74</v>
      </c>
      <c r="C9" s="31">
        <v>2222222222</v>
      </c>
      <c r="D9" s="25" t="s">
        <v>41</v>
      </c>
      <c r="E9" s="25" t="s">
        <v>89</v>
      </c>
      <c r="F9" s="15" t="s">
        <v>36</v>
      </c>
      <c r="G9" s="20"/>
      <c r="H9" s="2">
        <v>4000</v>
      </c>
      <c r="I9" s="2"/>
      <c r="J9" s="2"/>
      <c r="K9" s="14">
        <v>0</v>
      </c>
      <c r="L9" s="2">
        <f>Table1[[#This Row],[الراتب  الأساسي]]+Table1[[#This Row],[بدل السكن]]+Table1[[#This Row],[بدل النقل ]]+Table1[[#This Row],[بدلات أخرى]]</f>
        <v>4000</v>
      </c>
      <c r="M9" s="30">
        <v>45350</v>
      </c>
      <c r="N9" s="2" t="s">
        <v>50</v>
      </c>
      <c r="O9" s="30">
        <v>45715</v>
      </c>
      <c r="P9" s="26">
        <f t="shared" ca="1" si="0"/>
        <v>217</v>
      </c>
      <c r="Q9" s="26">
        <v>30</v>
      </c>
      <c r="R9" s="2"/>
      <c r="S9" s="2">
        <f>Table1[[#This Row],[الاجازة السنوية ]]-Table1[[#This Row],[الأيام المستخدمة]]</f>
        <v>30</v>
      </c>
      <c r="T9" s="32">
        <f t="shared" si="1"/>
        <v>333.33333333333337</v>
      </c>
      <c r="U9" s="33">
        <f>Table1[[#This Row],[الإجمالي ]]/30*15/12</f>
        <v>166.66666666666669</v>
      </c>
      <c r="V9" s="2">
        <f>IF(D9="سعودي", 21.5, 2) / 100 * Table1[[#This Row],[الإجمالي ]]</f>
        <v>860</v>
      </c>
      <c r="W9" s="33">
        <v>63.824999999999996</v>
      </c>
      <c r="X9" s="33">
        <v>0</v>
      </c>
      <c r="Y9" s="33">
        <v>0</v>
      </c>
      <c r="Z9" s="2">
        <v>0</v>
      </c>
      <c r="AA9" s="33">
        <v>0</v>
      </c>
      <c r="AB9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5423.8249999999998</v>
      </c>
    </row>
    <row r="10" spans="1:28" ht="14.25" customHeight="1">
      <c r="A10" s="2">
        <v>8</v>
      </c>
      <c r="B10" t="s">
        <v>75</v>
      </c>
      <c r="C10" s="31">
        <v>2222222222</v>
      </c>
      <c r="D10" s="25" t="s">
        <v>41</v>
      </c>
      <c r="E10" s="25" t="s">
        <v>89</v>
      </c>
      <c r="F10" s="15" t="s">
        <v>36</v>
      </c>
      <c r="G10" s="20"/>
      <c r="H10" s="2">
        <v>4000</v>
      </c>
      <c r="I10" s="2"/>
      <c r="J10" s="2"/>
      <c r="K10" s="14">
        <v>0</v>
      </c>
      <c r="L10" s="2">
        <f>Table1[[#This Row],[الراتب  الأساسي]]+Table1[[#This Row],[بدل السكن]]+Table1[[#This Row],[بدل النقل ]]+Table1[[#This Row],[بدلات أخرى]]</f>
        <v>4000</v>
      </c>
      <c r="M10" s="30">
        <v>45350</v>
      </c>
      <c r="N10" s="2" t="s">
        <v>50</v>
      </c>
      <c r="O10" s="30">
        <v>45715</v>
      </c>
      <c r="P10" s="26">
        <f t="shared" ca="1" si="0"/>
        <v>217</v>
      </c>
      <c r="Q10" s="26">
        <v>30</v>
      </c>
      <c r="R10" s="2"/>
      <c r="S10" s="2">
        <f>Table1[[#This Row],[الاجازة السنوية ]]-Table1[[#This Row],[الأيام المستخدمة]]</f>
        <v>30</v>
      </c>
      <c r="T10" s="32">
        <f t="shared" si="1"/>
        <v>333.33333333333337</v>
      </c>
      <c r="U10" s="33">
        <f>Table1[[#This Row],[الإجمالي ]]/30*15/12</f>
        <v>166.66666666666669</v>
      </c>
      <c r="V10" s="2">
        <f>IF(D10="سعودي", 21.5, 2) / 100 * Table1[[#This Row],[الإجمالي ]]</f>
        <v>860</v>
      </c>
      <c r="W10" s="33">
        <v>89.508333333333326</v>
      </c>
      <c r="X10" s="33">
        <v>0</v>
      </c>
      <c r="Y10" s="33">
        <v>0</v>
      </c>
      <c r="Z10" s="2">
        <v>0</v>
      </c>
      <c r="AA10" s="33">
        <v>0</v>
      </c>
      <c r="AB10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5449.5083333333332</v>
      </c>
    </row>
    <row r="11" spans="1:28" ht="14.25" customHeight="1">
      <c r="A11" s="2">
        <v>9</v>
      </c>
      <c r="B11" t="s">
        <v>76</v>
      </c>
      <c r="C11" s="31">
        <v>2222222222</v>
      </c>
      <c r="D11" s="25" t="s">
        <v>41</v>
      </c>
      <c r="E11" s="25" t="s">
        <v>89</v>
      </c>
      <c r="F11" s="15" t="s">
        <v>36</v>
      </c>
      <c r="G11" s="20"/>
      <c r="H11" s="2">
        <v>4000</v>
      </c>
      <c r="I11" s="2"/>
      <c r="J11" s="2"/>
      <c r="K11" s="14">
        <v>0</v>
      </c>
      <c r="L11" s="2">
        <f>Table1[[#This Row],[الراتب  الأساسي]]+Table1[[#This Row],[بدل السكن]]+Table1[[#This Row],[بدل النقل ]]+Table1[[#This Row],[بدلات أخرى]]</f>
        <v>4000</v>
      </c>
      <c r="M11" s="30">
        <v>45350</v>
      </c>
      <c r="N11" s="2" t="s">
        <v>50</v>
      </c>
      <c r="O11" s="30">
        <v>45715</v>
      </c>
      <c r="P11" s="26">
        <f t="shared" ca="1" si="0"/>
        <v>217</v>
      </c>
      <c r="Q11" s="26">
        <v>30</v>
      </c>
      <c r="R11" s="2"/>
      <c r="S11" s="2">
        <f>Table1[[#This Row],[الاجازة السنوية ]]-Table1[[#This Row],[الأيام المستخدمة]]</f>
        <v>30</v>
      </c>
      <c r="T11" s="32">
        <f t="shared" si="1"/>
        <v>333.33333333333337</v>
      </c>
      <c r="U11" s="33">
        <f>Table1[[#This Row],[الإجمالي ]]/30*15/12</f>
        <v>166.66666666666669</v>
      </c>
      <c r="V11" s="2">
        <f>IF(D11="سعودي", 21.5, 2) / 100 * Table1[[#This Row],[الإجمالي ]]</f>
        <v>860</v>
      </c>
      <c r="W11" s="33">
        <v>146.43333333333334</v>
      </c>
      <c r="X11" s="33">
        <v>0</v>
      </c>
      <c r="Y11" s="33">
        <v>0</v>
      </c>
      <c r="Z11" s="2">
        <v>0</v>
      </c>
      <c r="AA11" s="33">
        <v>0</v>
      </c>
      <c r="AB11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5506.4333333333334</v>
      </c>
    </row>
    <row r="12" spans="1:28" ht="14.25" customHeight="1">
      <c r="A12" s="2">
        <v>10</v>
      </c>
      <c r="B12" t="s">
        <v>77</v>
      </c>
      <c r="C12" s="31">
        <v>2222222222</v>
      </c>
      <c r="D12" s="25" t="s">
        <v>43</v>
      </c>
      <c r="E12" s="25" t="s">
        <v>89</v>
      </c>
      <c r="F12" s="15" t="s">
        <v>63</v>
      </c>
      <c r="G12" s="20"/>
      <c r="H12" s="2">
        <v>5500</v>
      </c>
      <c r="I12" s="2">
        <v>1500</v>
      </c>
      <c r="J12" s="2"/>
      <c r="K12" s="14">
        <v>5000</v>
      </c>
      <c r="L12" s="2">
        <f>Table1[[#This Row],[الراتب  الأساسي]]+Table1[[#This Row],[بدل السكن]]+Table1[[#This Row],[بدل النقل ]]+Table1[[#This Row],[بدلات أخرى]]</f>
        <v>12000</v>
      </c>
      <c r="M12" s="30">
        <v>45388</v>
      </c>
      <c r="N12" s="2" t="s">
        <v>50</v>
      </c>
      <c r="O12" s="30">
        <v>45752</v>
      </c>
      <c r="P12" s="26">
        <f t="shared" ca="1" si="0"/>
        <v>254</v>
      </c>
      <c r="Q12" s="26">
        <v>30</v>
      </c>
      <c r="R12" s="2"/>
      <c r="S12" s="2">
        <f>Table1[[#This Row],[الاجازة السنوية ]]-Table1[[#This Row],[الأيام المستخدمة]]</f>
        <v>30</v>
      </c>
      <c r="T12" s="32">
        <f t="shared" si="1"/>
        <v>1000</v>
      </c>
      <c r="U12" s="33">
        <f>Table1[[#This Row],[الإجمالي ]]/30*15/12</f>
        <v>500</v>
      </c>
      <c r="V12" s="2">
        <f>IF(D12="سعودي", 21.5, 2) / 100 * Table1[[#This Row],[الإجمالي ]]</f>
        <v>240</v>
      </c>
      <c r="W12" s="2">
        <v>78.55</v>
      </c>
      <c r="X12" s="33">
        <f t="shared" si="2"/>
        <v>808.33333333333337</v>
      </c>
      <c r="Y12" s="33">
        <f t="shared" si="3"/>
        <v>54.166666666666664</v>
      </c>
      <c r="Z12" s="2">
        <f t="shared" si="4"/>
        <v>175</v>
      </c>
      <c r="AA12" s="33">
        <f t="shared" si="5"/>
        <v>16.666666666666668</v>
      </c>
      <c r="AB12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14872.716666666665</v>
      </c>
    </row>
    <row r="13" spans="1:28" ht="14.25" customHeight="1">
      <c r="A13" s="2">
        <v>11</v>
      </c>
      <c r="B13" t="s">
        <v>78</v>
      </c>
      <c r="C13" s="31">
        <v>2222222222</v>
      </c>
      <c r="D13" s="25" t="s">
        <v>57</v>
      </c>
      <c r="E13" s="25" t="s">
        <v>89</v>
      </c>
      <c r="F13" s="15" t="s">
        <v>59</v>
      </c>
      <c r="G13" s="20"/>
      <c r="H13" s="2">
        <v>4000</v>
      </c>
      <c r="I13" s="2">
        <v>1000</v>
      </c>
      <c r="J13" s="2"/>
      <c r="K13" s="14">
        <v>500</v>
      </c>
      <c r="L13" s="2">
        <f>Table1[[#This Row],[الراتب  الأساسي]]+Table1[[#This Row],[بدل السكن]]+Table1[[#This Row],[بدل النقل ]]+Table1[[#This Row],[بدلات أخرى]]</f>
        <v>5500</v>
      </c>
      <c r="M13" s="30">
        <v>45482</v>
      </c>
      <c r="N13" s="2" t="s">
        <v>50</v>
      </c>
      <c r="O13" s="30">
        <v>45846</v>
      </c>
      <c r="P13" s="26">
        <f t="shared" ca="1" si="0"/>
        <v>348</v>
      </c>
      <c r="Q13" s="26">
        <v>30</v>
      </c>
      <c r="R13" s="2"/>
      <c r="S13" s="2">
        <f>Table1[[#This Row],[الاجازة السنوية ]]-Table1[[#This Row],[الأيام المستخدمة]]</f>
        <v>30</v>
      </c>
      <c r="T13" s="32">
        <f t="shared" si="1"/>
        <v>458.33333333333343</v>
      </c>
      <c r="U13" s="33">
        <f>Table1[[#This Row],[الإجمالي ]]/30*15/12</f>
        <v>229.16666666666666</v>
      </c>
      <c r="V13" s="2">
        <f>IF(D13="سعودي", 21.5, 2) / 100 * Table1[[#This Row],[الإجمالي ]]</f>
        <v>110</v>
      </c>
      <c r="W13" s="33">
        <v>89.508333333333326</v>
      </c>
      <c r="X13" s="33">
        <f t="shared" si="2"/>
        <v>808.33333333333337</v>
      </c>
      <c r="Y13" s="33">
        <f t="shared" si="3"/>
        <v>54.166666666666664</v>
      </c>
      <c r="Z13" s="2">
        <f t="shared" si="4"/>
        <v>175</v>
      </c>
      <c r="AA13" s="33">
        <f t="shared" si="5"/>
        <v>16.666666666666668</v>
      </c>
      <c r="AB13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7441.1750000000002</v>
      </c>
    </row>
    <row r="14" spans="1:28" ht="14.25" customHeight="1">
      <c r="A14" s="2">
        <v>12</v>
      </c>
      <c r="B14" t="s">
        <v>79</v>
      </c>
      <c r="C14" s="31">
        <v>2222222222</v>
      </c>
      <c r="D14" s="25" t="s">
        <v>54</v>
      </c>
      <c r="E14" s="25" t="s">
        <v>89</v>
      </c>
      <c r="F14" s="15" t="s">
        <v>64</v>
      </c>
      <c r="G14" s="20"/>
      <c r="H14" s="2">
        <v>8000</v>
      </c>
      <c r="I14" s="2">
        <v>7000</v>
      </c>
      <c r="J14" s="2"/>
      <c r="K14" s="14"/>
      <c r="L14" s="2">
        <f>Table1[[#This Row],[الراتب  الأساسي]]+Table1[[#This Row],[بدل السكن]]+Table1[[#This Row],[بدل النقل ]]+Table1[[#This Row],[بدلات أخرى]]</f>
        <v>15000</v>
      </c>
      <c r="M14" s="30">
        <v>45421</v>
      </c>
      <c r="N14" s="2" t="s">
        <v>50</v>
      </c>
      <c r="O14" s="30">
        <v>45785</v>
      </c>
      <c r="P14" s="26">
        <f t="shared" ca="1" si="0"/>
        <v>287</v>
      </c>
      <c r="Q14" s="26">
        <v>30</v>
      </c>
      <c r="R14" s="2"/>
      <c r="S14" s="2">
        <f>Table1[[#This Row],[الاجازة السنوية ]]-Table1[[#This Row],[الأيام المستخدمة]]</f>
        <v>30</v>
      </c>
      <c r="T14" s="32">
        <f t="shared" si="1"/>
        <v>1250</v>
      </c>
      <c r="U14" s="33">
        <f>Table1[[#This Row],[الإجمالي ]]/30*15/12</f>
        <v>625</v>
      </c>
      <c r="V14" s="2">
        <f>IF(D14="سعودي", 21.5, 2) / 100 * Table1[[#This Row],[الإجمالي ]]</f>
        <v>300</v>
      </c>
      <c r="W14" s="33">
        <v>1549.9125000000001</v>
      </c>
      <c r="X14" s="33">
        <f t="shared" si="2"/>
        <v>808.33333333333337</v>
      </c>
      <c r="Y14" s="33">
        <f t="shared" si="3"/>
        <v>54.166666666666664</v>
      </c>
      <c r="Z14" s="2">
        <f t="shared" si="4"/>
        <v>175</v>
      </c>
      <c r="AA14" s="33">
        <f t="shared" si="5"/>
        <v>16.666666666666668</v>
      </c>
      <c r="AB14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19779.079166666666</v>
      </c>
    </row>
    <row r="15" spans="1:28" ht="14.25" customHeight="1">
      <c r="A15" s="2">
        <v>13</v>
      </c>
      <c r="B15" t="s">
        <v>80</v>
      </c>
      <c r="C15" s="31">
        <v>2222222222</v>
      </c>
      <c r="D15" s="25" t="s">
        <v>54</v>
      </c>
      <c r="E15" s="25" t="s">
        <v>89</v>
      </c>
      <c r="F15" s="15" t="s">
        <v>64</v>
      </c>
      <c r="G15" s="20"/>
      <c r="H15" s="2">
        <v>7000</v>
      </c>
      <c r="I15" s="2"/>
      <c r="J15" s="2"/>
      <c r="K15" s="14"/>
      <c r="L15" s="2">
        <f>Table1[[#This Row],[الراتب  الأساسي]]+Table1[[#This Row],[بدل السكن]]+Table1[[#This Row],[بدل النقل ]]+Table1[[#This Row],[بدلات أخرى]]</f>
        <v>7000</v>
      </c>
      <c r="M15" s="30">
        <v>45358</v>
      </c>
      <c r="N15" s="2" t="s">
        <v>50</v>
      </c>
      <c r="O15" s="30">
        <v>45491</v>
      </c>
      <c r="P15" s="26">
        <f t="shared" ca="1" si="0"/>
        <v>-7</v>
      </c>
      <c r="Q15" s="26">
        <v>30</v>
      </c>
      <c r="R15" s="2"/>
      <c r="S15" s="2">
        <f>Table1[[#This Row],[الاجازة السنوية ]]-Table1[[#This Row],[الأيام المستخدمة]]</f>
        <v>30</v>
      </c>
      <c r="T15" s="32">
        <f t="shared" si="1"/>
        <v>583.33333333333337</v>
      </c>
      <c r="U15" s="33">
        <f>Table1[[#This Row],[الإجمالي ]]/30*15/12</f>
        <v>291.66666666666669</v>
      </c>
      <c r="V15" s="2">
        <f>IF(D15="سعودي", 21.5, 2) / 100 * Table1[[#This Row],[الإجمالي ]]</f>
        <v>140</v>
      </c>
      <c r="W15" s="2">
        <v>0</v>
      </c>
      <c r="X15" s="33">
        <f t="shared" si="2"/>
        <v>808.33333333333337</v>
      </c>
      <c r="Y15" s="33">
        <f t="shared" si="3"/>
        <v>54.166666666666664</v>
      </c>
      <c r="Z15" s="2">
        <f t="shared" si="4"/>
        <v>175</v>
      </c>
      <c r="AA15" s="33">
        <f t="shared" si="5"/>
        <v>16.666666666666668</v>
      </c>
      <c r="AB15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9069.1666666666661</v>
      </c>
    </row>
    <row r="16" spans="1:28" ht="14.25" customHeight="1">
      <c r="A16" s="2">
        <v>14</v>
      </c>
      <c r="B16" t="s">
        <v>81</v>
      </c>
      <c r="C16" s="31">
        <v>2222222222</v>
      </c>
      <c r="D16" s="25" t="s">
        <v>55</v>
      </c>
      <c r="E16" s="25" t="s">
        <v>89</v>
      </c>
      <c r="F16" s="15" t="s">
        <v>59</v>
      </c>
      <c r="G16" s="20"/>
      <c r="H16" s="2">
        <v>11000</v>
      </c>
      <c r="I16" s="2"/>
      <c r="J16" s="2"/>
      <c r="K16" s="14"/>
      <c r="L16" s="2">
        <f>Table1[[#This Row],[الراتب  الأساسي]]+Table1[[#This Row],[بدل السكن]]+Table1[[#This Row],[بدل النقل ]]+Table1[[#This Row],[بدلات أخرى]]</f>
        <v>11000</v>
      </c>
      <c r="M16" s="30">
        <v>45376</v>
      </c>
      <c r="N16" s="2" t="s">
        <v>50</v>
      </c>
      <c r="O16" s="30">
        <v>45467</v>
      </c>
      <c r="P16" s="26">
        <f t="shared" ca="1" si="0"/>
        <v>-31</v>
      </c>
      <c r="Q16" s="26">
        <v>30</v>
      </c>
      <c r="R16" s="2"/>
      <c r="S16" s="2">
        <f>Table1[[#This Row],[الاجازة السنوية ]]-Table1[[#This Row],[الأيام المستخدمة]]</f>
        <v>30</v>
      </c>
      <c r="T16" s="32">
        <f t="shared" si="1"/>
        <v>916.66666666666686</v>
      </c>
      <c r="U16" s="33">
        <f>Table1[[#This Row],[الإجمالي ]]/30*15/12</f>
        <v>458.33333333333331</v>
      </c>
      <c r="V16" s="2">
        <f>IF(D16="سعودي", 21.5, 2) / 100 * Table1[[#This Row],[الإجمالي ]]</f>
        <v>220</v>
      </c>
      <c r="W16" s="2">
        <v>0</v>
      </c>
      <c r="X16" s="33">
        <f t="shared" si="2"/>
        <v>808.33333333333337</v>
      </c>
      <c r="Y16" s="33">
        <f t="shared" si="3"/>
        <v>54.166666666666664</v>
      </c>
      <c r="Z16" s="2">
        <f t="shared" si="4"/>
        <v>175</v>
      </c>
      <c r="AA16" s="33">
        <f t="shared" si="5"/>
        <v>16.666666666666668</v>
      </c>
      <c r="AB16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13649.166666666666</v>
      </c>
    </row>
    <row r="17" spans="1:28" ht="14.25" customHeight="1">
      <c r="A17" s="2">
        <v>15</v>
      </c>
      <c r="B17" t="s">
        <v>82</v>
      </c>
      <c r="C17" s="31">
        <v>2222222222</v>
      </c>
      <c r="D17" s="25" t="s">
        <v>43</v>
      </c>
      <c r="E17" s="25" t="s">
        <v>89</v>
      </c>
      <c r="F17" s="15" t="s">
        <v>59</v>
      </c>
      <c r="G17" s="20"/>
      <c r="H17" s="2">
        <v>7000</v>
      </c>
      <c r="I17" s="2">
        <v>2500</v>
      </c>
      <c r="J17" s="2"/>
      <c r="K17" s="14">
        <v>7500</v>
      </c>
      <c r="L17" s="2">
        <f>Table1[[#This Row],[الراتب  الأساسي]]+Table1[[#This Row],[بدل السكن]]+Table1[[#This Row],[بدل النقل ]]+Table1[[#This Row],[بدلات أخرى]]</f>
        <v>17000</v>
      </c>
      <c r="M17" s="30">
        <v>45433</v>
      </c>
      <c r="N17" s="2" t="s">
        <v>51</v>
      </c>
      <c r="O17" s="30">
        <v>46162</v>
      </c>
      <c r="P17" s="26">
        <f t="shared" ca="1" si="0"/>
        <v>664</v>
      </c>
      <c r="Q17" s="26">
        <v>30</v>
      </c>
      <c r="R17" s="2"/>
      <c r="S17" s="2">
        <f>Table1[[#This Row],[الاجازة السنوية ]]-Table1[[#This Row],[الأيام المستخدمة]]</f>
        <v>30</v>
      </c>
      <c r="T17" s="32">
        <f t="shared" si="1"/>
        <v>1416.6666666666667</v>
      </c>
      <c r="U17" s="33">
        <f>Table1[[#This Row],[الإجمالي ]]/30*15/12</f>
        <v>708.33333333333337</v>
      </c>
      <c r="V17" s="2">
        <f>IF(D17="سعودي", 21.5, 2) / 100 * Table1[[#This Row],[الإجمالي ]]</f>
        <v>340</v>
      </c>
      <c r="W17" s="33">
        <v>305.51666666666665</v>
      </c>
      <c r="X17" s="33">
        <f t="shared" si="2"/>
        <v>808.33333333333337</v>
      </c>
      <c r="Y17" s="33">
        <f t="shared" si="3"/>
        <v>54.166666666666664</v>
      </c>
      <c r="Z17" s="2">
        <f t="shared" si="4"/>
        <v>175</v>
      </c>
      <c r="AA17" s="33">
        <f t="shared" si="5"/>
        <v>16.666666666666668</v>
      </c>
      <c r="AB17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20824.683333333334</v>
      </c>
    </row>
    <row r="18" spans="1:28" ht="14.25" customHeight="1">
      <c r="A18" s="2">
        <v>16</v>
      </c>
      <c r="B18" t="s">
        <v>83</v>
      </c>
      <c r="C18" s="31">
        <v>2222222222</v>
      </c>
      <c r="D18" s="25" t="s">
        <v>53</v>
      </c>
      <c r="E18" s="25" t="s">
        <v>89</v>
      </c>
      <c r="F18" s="15" t="s">
        <v>36</v>
      </c>
      <c r="G18" s="20"/>
      <c r="H18" s="2">
        <v>4500</v>
      </c>
      <c r="I18" s="2">
        <v>0</v>
      </c>
      <c r="J18" s="2"/>
      <c r="K18" s="14"/>
      <c r="L18" s="2">
        <f>Table1[[#This Row],[الراتب  الأساسي]]+Table1[[#This Row],[بدل السكن]]+Table1[[#This Row],[بدل النقل ]]+Table1[[#This Row],[بدلات أخرى]]</f>
        <v>4500</v>
      </c>
      <c r="M18" s="30">
        <v>45421</v>
      </c>
      <c r="N18" s="2" t="s">
        <v>50</v>
      </c>
      <c r="O18" s="30">
        <v>45512</v>
      </c>
      <c r="P18" s="26">
        <f t="shared" ca="1" si="0"/>
        <v>14</v>
      </c>
      <c r="Q18" s="26">
        <v>30</v>
      </c>
      <c r="R18" s="2"/>
      <c r="S18" s="2">
        <f>Table1[[#This Row],[الاجازة السنوية ]]-Table1[[#This Row],[الأيام المستخدمة]]</f>
        <v>30</v>
      </c>
      <c r="T18" s="32">
        <f t="shared" si="1"/>
        <v>375</v>
      </c>
      <c r="U18" s="33">
        <f>Table1[[#This Row],[الإجمالي ]]/30*15/12</f>
        <v>187.5</v>
      </c>
      <c r="V18" s="2">
        <f>IF(D18="سعودي", 21.5, 2) / 100 * Table1[[#This Row],[الإجمالي ]]</f>
        <v>90</v>
      </c>
      <c r="W18" s="2">
        <v>0</v>
      </c>
      <c r="X18" s="33">
        <v>0</v>
      </c>
      <c r="Y18" s="33">
        <v>0</v>
      </c>
      <c r="Z18" s="2">
        <v>0</v>
      </c>
      <c r="AA18" s="33">
        <v>0</v>
      </c>
      <c r="AB18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5152.5</v>
      </c>
    </row>
    <row r="19" spans="1:28" ht="14.25" customHeight="1">
      <c r="A19" s="2">
        <v>17</v>
      </c>
      <c r="B19" t="s">
        <v>58</v>
      </c>
      <c r="C19" s="31">
        <v>2222222222</v>
      </c>
      <c r="D19" s="25" t="s">
        <v>52</v>
      </c>
      <c r="E19" s="25" t="s">
        <v>89</v>
      </c>
      <c r="F19" s="15" t="s">
        <v>59</v>
      </c>
      <c r="G19" s="20"/>
      <c r="H19" s="2">
        <v>4000</v>
      </c>
      <c r="I19" s="2">
        <v>0</v>
      </c>
      <c r="J19" s="2"/>
      <c r="K19" s="14"/>
      <c r="L19" s="2">
        <f>Table1[[#This Row],[الراتب  الأساسي]]+Table1[[#This Row],[بدل السكن]]+Table1[[#This Row],[بدل النقل ]]+Table1[[#This Row],[بدلات أخرى]]</f>
        <v>4000</v>
      </c>
      <c r="M19" s="2"/>
      <c r="N19" s="2" t="s">
        <v>50</v>
      </c>
      <c r="O19" s="17" t="str">
        <f t="shared" ref="O19" si="6">IF(M19="", "", IF(N19="سنة", DATE(YEAR(M19) + 1, MONTH(A19), DAY(M19)), IF(N19="سنتين", DATE(YEAR(M19) + 2, MONTH(M19), DAY(M19)), "")))</f>
        <v/>
      </c>
      <c r="P19" s="26" t="str">
        <f t="shared" ca="1" si="0"/>
        <v/>
      </c>
      <c r="Q19" s="26">
        <v>30</v>
      </c>
      <c r="R19" s="2"/>
      <c r="S19" s="2">
        <f>Table1[[#This Row],[الاجازة السنوية ]]-Table1[[#This Row],[الأيام المستخدمة]]</f>
        <v>30</v>
      </c>
      <c r="T19" s="32">
        <f t="shared" si="1"/>
        <v>333.33333333333337</v>
      </c>
      <c r="U19" s="33">
        <f>Table1[[#This Row],[الإجمالي ]]/30*15/12</f>
        <v>166.66666666666669</v>
      </c>
      <c r="V19" s="2">
        <f>IF(D19="سعودي", 21.5, 2) / 100 * Table1[[#This Row],[الإجمالي ]]</f>
        <v>80</v>
      </c>
      <c r="W19" s="2">
        <v>0</v>
      </c>
      <c r="X19" s="33">
        <v>0</v>
      </c>
      <c r="Y19" s="33">
        <v>0</v>
      </c>
      <c r="Z19" s="2">
        <v>0</v>
      </c>
      <c r="AA19" s="33">
        <v>0</v>
      </c>
      <c r="AB19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4580</v>
      </c>
    </row>
    <row r="20" spans="1:28" ht="14.25" customHeight="1">
      <c r="A20" s="2"/>
      <c r="B20" s="34" t="s">
        <v>84</v>
      </c>
      <c r="C20" s="31">
        <v>2222222222</v>
      </c>
      <c r="D20" s="25" t="s">
        <v>52</v>
      </c>
      <c r="E20" s="25" t="s">
        <v>90</v>
      </c>
      <c r="F20" s="15"/>
      <c r="G20" s="20"/>
      <c r="H20" s="2">
        <v>6000</v>
      </c>
      <c r="I20" s="2">
        <v>1500</v>
      </c>
      <c r="J20" s="2"/>
      <c r="K20" s="2">
        <v>10500</v>
      </c>
      <c r="L20" s="2">
        <f>Table1[[#This Row],[الراتب  الأساسي]]+Table1[[#This Row],[بدل السكن]]+Table1[[#This Row],[بدل النقل ]]+Table1[[#This Row],[بدلات أخرى]]</f>
        <v>18000</v>
      </c>
      <c r="M20" s="30">
        <v>45266</v>
      </c>
      <c r="N20" s="2" t="s">
        <v>50</v>
      </c>
      <c r="O20" s="30">
        <v>45631</v>
      </c>
      <c r="P20" s="26">
        <f t="shared" ca="1" si="0"/>
        <v>133</v>
      </c>
      <c r="Q20" s="26">
        <v>30</v>
      </c>
      <c r="R20" s="2"/>
      <c r="S20" s="2">
        <f>Table1[[#This Row],[الاجازة السنوية ]]-Table1[[#This Row],[الأيام المستخدمة]]</f>
        <v>30</v>
      </c>
      <c r="T20" s="32">
        <f t="shared" si="1"/>
        <v>1500</v>
      </c>
      <c r="U20" s="33">
        <f>Table1[[#This Row],[الإجمالي ]]/30*15/12</f>
        <v>750</v>
      </c>
      <c r="V20" s="2">
        <f>IF(D20="سعودي", 21.5, 2) / 100 * Table1[[#This Row],[الإجمالي ]]</f>
        <v>360</v>
      </c>
      <c r="W20" s="2">
        <v>419.75</v>
      </c>
      <c r="X20" s="33">
        <f t="shared" si="2"/>
        <v>808.33333333333337</v>
      </c>
      <c r="Y20" s="33">
        <f t="shared" si="3"/>
        <v>54.166666666666664</v>
      </c>
      <c r="Z20" s="2">
        <f t="shared" si="4"/>
        <v>175</v>
      </c>
      <c r="AA20" s="33">
        <f t="shared" si="5"/>
        <v>16.666666666666668</v>
      </c>
      <c r="AB20" s="33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22083.916666666668</v>
      </c>
    </row>
    <row r="21" spans="1:28" ht="14.25" customHeight="1">
      <c r="A21" s="27"/>
      <c r="B21" s="34" t="s">
        <v>92</v>
      </c>
      <c r="C21" s="31">
        <v>2222222222</v>
      </c>
      <c r="D21" s="27" t="s">
        <v>43</v>
      </c>
      <c r="E21" s="25" t="s">
        <v>90</v>
      </c>
      <c r="F21" s="27"/>
      <c r="G21" s="27"/>
      <c r="H21" s="2">
        <v>4000</v>
      </c>
      <c r="I21" s="27">
        <v>1000</v>
      </c>
      <c r="J21" s="27"/>
      <c r="K21" s="27">
        <v>3000</v>
      </c>
      <c r="L21" s="27">
        <f>Table1[[#This Row],[الراتب  الأساسي]]+Table1[[#This Row],[بدل السكن]]+Table1[[#This Row],[بدل النقل ]]+Table1[[#This Row],[بدلات أخرى]]</f>
        <v>8000</v>
      </c>
      <c r="M21" s="30">
        <v>45153</v>
      </c>
      <c r="N21" s="27" t="s">
        <v>50</v>
      </c>
      <c r="O21" s="30">
        <v>45518</v>
      </c>
      <c r="P21" s="29">
        <f t="shared" ref="P21:P26" ca="1" si="7">IF(OR(ISBLANK(O21), NOT(ISNUMBER(O21))), "", O21 - TODAY())</f>
        <v>20</v>
      </c>
      <c r="Q21" s="27">
        <v>30</v>
      </c>
      <c r="R21" s="27"/>
      <c r="S21" s="27">
        <f>Table1[[#This Row],[الاجازة السنوية ]]-Table1[[#This Row],[الأيام المستخدمة]]</f>
        <v>30</v>
      </c>
      <c r="T21" s="32">
        <f t="shared" si="1"/>
        <v>666.66666666666674</v>
      </c>
      <c r="U21" s="33">
        <f>Table1[[#This Row],[الإجمالي ]]/30*15/12</f>
        <v>333.33333333333337</v>
      </c>
      <c r="V21" s="27">
        <f>IF(D21="سعودي", 21.5, 2) / 100 * Table1[[#This Row],[الإجمالي ]]</f>
        <v>160</v>
      </c>
      <c r="W21" s="27"/>
      <c r="X21" s="35">
        <f t="shared" si="2"/>
        <v>808.33333333333337</v>
      </c>
      <c r="Y21" s="35">
        <f t="shared" si="3"/>
        <v>54.166666666666664</v>
      </c>
      <c r="Z21" s="27">
        <f t="shared" si="4"/>
        <v>175</v>
      </c>
      <c r="AA21" s="35">
        <f t="shared" si="5"/>
        <v>16.666666666666668</v>
      </c>
      <c r="AB21" s="35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10214.166666666666</v>
      </c>
    </row>
    <row r="22" spans="1:28" ht="14.25" customHeight="1">
      <c r="A22" s="27"/>
      <c r="B22" s="34" t="s">
        <v>85</v>
      </c>
      <c r="C22" s="31">
        <v>2222222222</v>
      </c>
      <c r="D22" s="27" t="s">
        <v>56</v>
      </c>
      <c r="E22" s="25" t="s">
        <v>90</v>
      </c>
      <c r="F22" s="27"/>
      <c r="G22" s="27"/>
      <c r="H22" s="2">
        <v>2500</v>
      </c>
      <c r="I22" s="27">
        <v>1000</v>
      </c>
      <c r="J22" s="27"/>
      <c r="K22" s="27"/>
      <c r="L22" s="27">
        <f>Table1[[#This Row],[الراتب  الأساسي]]+Table1[[#This Row],[بدل السكن]]+Table1[[#This Row],[بدل النقل ]]+Table1[[#This Row],[بدلات أخرى]]</f>
        <v>3500</v>
      </c>
      <c r="M22" s="30">
        <v>45274</v>
      </c>
      <c r="N22" s="27" t="s">
        <v>51</v>
      </c>
      <c r="O22" s="30">
        <v>46004</v>
      </c>
      <c r="P22" s="29">
        <f t="shared" ca="1" si="7"/>
        <v>506</v>
      </c>
      <c r="Q22" s="27">
        <v>30</v>
      </c>
      <c r="R22" s="27"/>
      <c r="S22" s="27">
        <f>Table1[[#This Row],[الاجازة السنوية ]]-Table1[[#This Row],[الأيام المستخدمة]]</f>
        <v>30</v>
      </c>
      <c r="T22" s="32">
        <f t="shared" si="1"/>
        <v>291.66666666666669</v>
      </c>
      <c r="U22" s="33">
        <f>Table1[[#This Row],[الإجمالي ]]/30*15/12</f>
        <v>145.83333333333334</v>
      </c>
      <c r="V22" s="27">
        <f>IF(D22="سعودي", 21.5, 2) / 100 * Table1[[#This Row],[الإجمالي ]]</f>
        <v>70</v>
      </c>
      <c r="W22" s="35">
        <v>89.508333333333326</v>
      </c>
      <c r="X22" s="35">
        <f t="shared" si="2"/>
        <v>808.33333333333337</v>
      </c>
      <c r="Y22" s="35">
        <f t="shared" si="3"/>
        <v>54.166666666666664</v>
      </c>
      <c r="Z22" s="27">
        <f t="shared" si="4"/>
        <v>175</v>
      </c>
      <c r="AA22" s="35">
        <f t="shared" si="5"/>
        <v>16.666666666666668</v>
      </c>
      <c r="AB22" s="35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5151.1750000000002</v>
      </c>
    </row>
    <row r="23" spans="1:28" ht="14.25" customHeight="1">
      <c r="A23" s="27"/>
      <c r="B23" s="34" t="s">
        <v>86</v>
      </c>
      <c r="C23" s="31">
        <v>2222222222</v>
      </c>
      <c r="D23" s="27" t="s">
        <v>56</v>
      </c>
      <c r="E23" s="25" t="s">
        <v>90</v>
      </c>
      <c r="F23" s="27"/>
      <c r="G23" s="27"/>
      <c r="H23" s="2">
        <v>3000</v>
      </c>
      <c r="I23" s="27">
        <v>1500</v>
      </c>
      <c r="J23" s="27"/>
      <c r="K23" s="27"/>
      <c r="L23" s="27">
        <f>Table1[[#This Row],[الراتب  الأساسي]]+Table1[[#This Row],[بدل السكن]]+Table1[[#This Row],[بدل النقل ]]+Table1[[#This Row],[بدلات أخرى]]</f>
        <v>4500</v>
      </c>
      <c r="M23" s="30">
        <v>45274</v>
      </c>
      <c r="N23" s="27" t="s">
        <v>51</v>
      </c>
      <c r="O23" s="30">
        <v>46004</v>
      </c>
      <c r="P23" s="29">
        <f t="shared" ca="1" si="7"/>
        <v>506</v>
      </c>
      <c r="Q23" s="27">
        <v>30</v>
      </c>
      <c r="R23" s="27"/>
      <c r="S23" s="27">
        <f>Table1[[#This Row],[الاجازة السنوية ]]-Table1[[#This Row],[الأيام المستخدمة]]</f>
        <v>30</v>
      </c>
      <c r="T23" s="32">
        <f t="shared" si="1"/>
        <v>375</v>
      </c>
      <c r="U23" s="33">
        <f>Table1[[#This Row],[الإجمالي ]]/30*15/12</f>
        <v>187.5</v>
      </c>
      <c r="V23" s="27">
        <f>IF(D23="سعودي", 21.5, 2) / 100 * Table1[[#This Row],[الإجمالي ]]</f>
        <v>90</v>
      </c>
      <c r="W23" s="35">
        <v>244.27916666666667</v>
      </c>
      <c r="X23" s="35">
        <f t="shared" si="2"/>
        <v>808.33333333333337</v>
      </c>
      <c r="Y23" s="35">
        <f t="shared" si="3"/>
        <v>54.166666666666664</v>
      </c>
      <c r="Z23" s="27">
        <f t="shared" si="4"/>
        <v>175</v>
      </c>
      <c r="AA23" s="35">
        <f t="shared" si="5"/>
        <v>16.666666666666668</v>
      </c>
      <c r="AB23" s="35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6450.9458333333332</v>
      </c>
    </row>
    <row r="24" spans="1:28" ht="14.25" customHeight="1">
      <c r="A24" s="27"/>
      <c r="B24" t="s">
        <v>87</v>
      </c>
      <c r="C24" s="31">
        <v>2222222222</v>
      </c>
      <c r="D24" s="27" t="s">
        <v>43</v>
      </c>
      <c r="E24" s="25" t="s">
        <v>90</v>
      </c>
      <c r="F24" s="27"/>
      <c r="G24" s="27"/>
      <c r="H24" s="2">
        <v>4500</v>
      </c>
      <c r="I24" s="27"/>
      <c r="J24" s="27"/>
      <c r="K24" s="27">
        <v>1500</v>
      </c>
      <c r="L24" s="27">
        <f>Table1[[#This Row],[الراتب  الأساسي]]+Table1[[#This Row],[بدل السكن]]+Table1[[#This Row],[بدل النقل ]]+Table1[[#This Row],[بدلات أخرى]]</f>
        <v>6000</v>
      </c>
      <c r="M24" s="30">
        <v>45325</v>
      </c>
      <c r="N24" s="27" t="s">
        <v>50</v>
      </c>
      <c r="O24" s="30">
        <v>45506</v>
      </c>
      <c r="P24" s="29">
        <f t="shared" ca="1" si="7"/>
        <v>8</v>
      </c>
      <c r="Q24" s="27">
        <v>30</v>
      </c>
      <c r="R24" s="27"/>
      <c r="S24" s="27">
        <f>Table1[[#This Row],[الاجازة السنوية ]]-Table1[[#This Row],[الأيام المستخدمة]]</f>
        <v>30</v>
      </c>
      <c r="T24" s="32">
        <f t="shared" si="1"/>
        <v>500</v>
      </c>
      <c r="U24" s="33">
        <f>Table1[[#This Row],[الإجمالي ]]/30*15/12</f>
        <v>250</v>
      </c>
      <c r="V24" s="27">
        <f>IF(D24="سعودي", 21.5, 2) / 100 * Table1[[#This Row],[الإجمالي ]]</f>
        <v>120</v>
      </c>
      <c r="W24" s="27"/>
      <c r="X24" s="35">
        <v>0</v>
      </c>
      <c r="Y24" s="35">
        <v>0</v>
      </c>
      <c r="Z24" s="27">
        <v>0</v>
      </c>
      <c r="AA24" s="35">
        <v>0</v>
      </c>
      <c r="AB24" s="35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6870</v>
      </c>
    </row>
    <row r="25" spans="1:28" ht="14.25" customHeight="1">
      <c r="A25" s="27"/>
      <c r="B25" t="s">
        <v>88</v>
      </c>
      <c r="C25" s="31">
        <v>2222222222</v>
      </c>
      <c r="D25" s="27" t="s">
        <v>41</v>
      </c>
      <c r="E25" s="25" t="s">
        <v>90</v>
      </c>
      <c r="F25" s="27"/>
      <c r="G25" s="27"/>
      <c r="H25" s="2">
        <v>4000</v>
      </c>
      <c r="I25" s="27"/>
      <c r="J25" s="27"/>
      <c r="K25" s="27"/>
      <c r="L25" s="27">
        <f>Table1[[#This Row],[الراتب  الأساسي]]+Table1[[#This Row],[بدل السكن]]+Table1[[#This Row],[بدل النقل ]]+Table1[[#This Row],[بدلات أخرى]]</f>
        <v>4000</v>
      </c>
      <c r="M25" s="30">
        <v>45231</v>
      </c>
      <c r="N25" s="27" t="s">
        <v>50</v>
      </c>
      <c r="O25" s="30">
        <v>45596</v>
      </c>
      <c r="P25" s="29">
        <f t="shared" ca="1" si="7"/>
        <v>98</v>
      </c>
      <c r="Q25" s="27">
        <v>30</v>
      </c>
      <c r="R25" s="27"/>
      <c r="S25" s="27">
        <f>Table1[[#This Row],[الاجازة السنوية ]]-Table1[[#This Row],[الأيام المستخدمة]]</f>
        <v>30</v>
      </c>
      <c r="T25" s="32">
        <f t="shared" si="1"/>
        <v>333.33333333333337</v>
      </c>
      <c r="U25" s="33">
        <f>Table1[[#This Row],[الإجمالي ]]/30*15/12</f>
        <v>166.66666666666669</v>
      </c>
      <c r="V25" s="27">
        <f>IF(D25="سعودي", 21.5, 2) / 100 * Table1[[#This Row],[الإجمالي ]]</f>
        <v>860</v>
      </c>
      <c r="W25" s="35">
        <v>129.18333333333334</v>
      </c>
      <c r="X25" s="35">
        <v>0</v>
      </c>
      <c r="Y25" s="35">
        <v>0</v>
      </c>
      <c r="Z25" s="27">
        <v>0</v>
      </c>
      <c r="AA25" s="35">
        <v>0</v>
      </c>
      <c r="AB25" s="35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5489.1833333333334</v>
      </c>
    </row>
    <row r="26" spans="1:28" ht="14.25" customHeight="1">
      <c r="A26" s="27"/>
      <c r="B26" s="27"/>
      <c r="C26" s="27"/>
      <c r="D26" s="27"/>
      <c r="E26" s="27"/>
      <c r="F26" s="27"/>
      <c r="G26" s="27"/>
      <c r="H26" s="27"/>
      <c r="I26" s="27"/>
      <c r="J26" s="27"/>
      <c r="K26" s="27"/>
      <c r="L26" s="27">
        <f>Table1[[#This Row],[الراتب  الأساسي]]+Table1[[#This Row],[بدل السكن]]+Table1[[#This Row],[بدل النقل ]]+Table1[[#This Row],[بدلات أخرى]]</f>
        <v>0</v>
      </c>
      <c r="M26" s="27"/>
      <c r="N26" s="27"/>
      <c r="O26" s="28" t="str">
        <f t="shared" ref="O26" si="8">IF(M26="", "", IF(N26="سنة", DATE(YEAR(M26) + 1, MONTH(A26), DAY(M26)), IF(N26="سنتين", DATE(YEAR(M26) + 2, MONTH(M26), DAY(M26)), "")))</f>
        <v/>
      </c>
      <c r="P26" s="29" t="str">
        <f t="shared" ca="1" si="7"/>
        <v/>
      </c>
      <c r="Q26" s="27"/>
      <c r="R26" s="27"/>
      <c r="S26" s="27">
        <f>Table1[[#This Row],[الاجازة السنوية ]]-Table1[[#This Row],[الأيام المستخدمة]]</f>
        <v>0</v>
      </c>
      <c r="T26" s="32">
        <f t="shared" si="1"/>
        <v>0</v>
      </c>
      <c r="U26" s="33">
        <f>Table1[[#This Row],[الإجمالي ]]/30*15/12</f>
        <v>0</v>
      </c>
      <c r="V26" s="27">
        <f>IF(D26="سعودي", 21.5, 2) / 100 * Table1[[#This Row],[الإجمالي ]]</f>
        <v>0</v>
      </c>
      <c r="W26" s="27"/>
      <c r="X26" s="35"/>
      <c r="Y26" s="35">
        <v>0</v>
      </c>
      <c r="Z26" s="27">
        <v>0</v>
      </c>
      <c r="AA26" s="35">
        <v>0</v>
      </c>
      <c r="AB26" s="35">
        <f>Table1[[#This Row],[الإجمالي ]]+Table1[[#This Row],[بدل الاجازة الشهري]]+Table1[[#This Row],[نهاية الخدمة]]+Table1[[#This Row],[التأمينات الاجتماعية ]]+Table1[[#This Row],[التأمين الطبي  الشهري]]+Table1[[#This Row],[رخصة العمل ]]+Table1[[#This Row],[الجوازات ]]+Table1[[#This Row],[تذاكر السفر ]]+Table1[[#This Row],[الخروج والعودة ]]</f>
        <v>0</v>
      </c>
    </row>
    <row r="27" spans="1:28" ht="14.25" customHeight="1">
      <c r="A27" s="27"/>
      <c r="B27" s="27"/>
      <c r="C27" s="27"/>
      <c r="D27" s="27"/>
      <c r="E27" s="27"/>
      <c r="F27" s="27"/>
      <c r="G27" s="27"/>
      <c r="H27" s="27"/>
      <c r="I27" s="27"/>
      <c r="J27" s="27"/>
      <c r="K27" s="27"/>
      <c r="L27" s="27"/>
      <c r="M27" s="27"/>
      <c r="N27" s="27"/>
      <c r="O27" s="28"/>
      <c r="P27" s="29"/>
      <c r="Q27" s="27"/>
      <c r="R27" s="27"/>
      <c r="S27" s="27"/>
      <c r="T27" s="27"/>
      <c r="U27" s="35">
        <f>SUBTOTAL(109,Table1[نهاية الخدمة])</f>
        <v>7291.6666666666661</v>
      </c>
      <c r="V27" s="27">
        <f>SUBTOTAL(109,Table1[[التأمينات الاجتماعية ]])</f>
        <v>9545</v>
      </c>
      <c r="W27" s="35">
        <f>SUBTOTAL(109,Table1[التأمين الطبي  الشهري])</f>
        <v>9097.2333333333318</v>
      </c>
      <c r="X27" s="35">
        <f>SUBTOTAL(109,Table1[[رخصة العمل ]])</f>
        <v>11316.666666666668</v>
      </c>
      <c r="Y27" s="35">
        <f>SUBTOTAL(109,Table1[[الجوازات ]])</f>
        <v>758.33333333333326</v>
      </c>
      <c r="Z27" s="27">
        <f>SUBTOTAL(109,Table1[[تذاكر السفر ]])</f>
        <v>2450</v>
      </c>
      <c r="AA27" s="35">
        <f>SUBTOTAL(109,Table1[[الخروج والعودة ]])</f>
        <v>233.33333333333329</v>
      </c>
      <c r="AB27" s="35">
        <f>SUBTOTAL(109,Table1[الإجمالي 2])</f>
        <v>230275.56666666659</v>
      </c>
    </row>
    <row r="28" spans="1:28" ht="14.25" customHeight="1" thickBot="1"/>
    <row r="29" spans="1:28" ht="14.25" customHeight="1">
      <c r="D29" s="43" t="s">
        <v>93</v>
      </c>
      <c r="E29" s="44"/>
      <c r="F29" s="44"/>
      <c r="G29" s="44"/>
      <c r="H29" s="44"/>
      <c r="I29" s="45"/>
    </row>
    <row r="30" spans="1:28" ht="14.25" customHeight="1">
      <c r="D30" s="46"/>
      <c r="E30" s="47"/>
      <c r="F30" s="47"/>
      <c r="G30" s="47"/>
      <c r="H30" s="47"/>
      <c r="I30" s="48"/>
    </row>
    <row r="31" spans="1:28" ht="14.25" customHeight="1">
      <c r="D31" s="46"/>
      <c r="E31" s="47"/>
      <c r="F31" s="47"/>
      <c r="G31" s="47"/>
      <c r="H31" s="47"/>
      <c r="I31" s="48"/>
    </row>
    <row r="32" spans="1:28" ht="14.25" customHeight="1">
      <c r="D32" s="46"/>
      <c r="E32" s="47"/>
      <c r="F32" s="47"/>
      <c r="G32" s="47"/>
      <c r="H32" s="47"/>
      <c r="I32" s="48"/>
    </row>
    <row r="33" spans="4:9" ht="14.25" customHeight="1">
      <c r="D33" s="46"/>
      <c r="E33" s="47"/>
      <c r="F33" s="47"/>
      <c r="G33" s="47"/>
      <c r="H33" s="47"/>
      <c r="I33" s="48"/>
    </row>
    <row r="34" spans="4:9" ht="14.25" customHeight="1">
      <c r="D34" s="46"/>
      <c r="E34" s="47"/>
      <c r="F34" s="47"/>
      <c r="G34" s="47"/>
      <c r="H34" s="47"/>
      <c r="I34" s="48"/>
    </row>
    <row r="35" spans="4:9" ht="14.25" customHeight="1">
      <c r="D35" s="46"/>
      <c r="E35" s="47"/>
      <c r="F35" s="47"/>
      <c r="G35" s="47"/>
      <c r="H35" s="47"/>
      <c r="I35" s="48"/>
    </row>
    <row r="36" spans="4:9" ht="14.25" customHeight="1">
      <c r="D36" s="46"/>
      <c r="E36" s="47"/>
      <c r="F36" s="47"/>
      <c r="G36" s="47"/>
      <c r="H36" s="47"/>
      <c r="I36" s="48"/>
    </row>
    <row r="37" spans="4:9" ht="14.25" customHeight="1">
      <c r="D37" s="46"/>
      <c r="E37" s="47"/>
      <c r="F37" s="47"/>
      <c r="G37" s="47"/>
      <c r="H37" s="47"/>
      <c r="I37" s="48"/>
    </row>
    <row r="38" spans="4:9" ht="14.25" customHeight="1">
      <c r="D38" s="46"/>
      <c r="E38" s="47"/>
      <c r="F38" s="47"/>
      <c r="G38" s="47"/>
      <c r="H38" s="47"/>
      <c r="I38" s="48"/>
    </row>
    <row r="39" spans="4:9" ht="14.25" customHeight="1">
      <c r="D39" s="46"/>
      <c r="E39" s="47"/>
      <c r="F39" s="47"/>
      <c r="G39" s="47"/>
      <c r="H39" s="47"/>
      <c r="I39" s="48"/>
    </row>
    <row r="40" spans="4:9" ht="14.25" customHeight="1">
      <c r="D40" s="46"/>
      <c r="E40" s="47"/>
      <c r="F40" s="47"/>
      <c r="G40" s="47"/>
      <c r="H40" s="47"/>
      <c r="I40" s="48"/>
    </row>
    <row r="41" spans="4:9" ht="14.25" customHeight="1" thickBot="1">
      <c r="D41" s="49"/>
      <c r="E41" s="50"/>
      <c r="F41" s="50"/>
      <c r="G41" s="50"/>
      <c r="H41" s="50"/>
      <c r="I41" s="51"/>
    </row>
    <row r="42" spans="4:9" ht="14.25" customHeight="1"/>
    <row r="43" spans="4:9" ht="14.25" customHeight="1"/>
    <row r="44" spans="4:9" ht="14.25" customHeight="1"/>
    <row r="45" spans="4:9" ht="14.25" customHeight="1"/>
    <row r="46" spans="4:9" ht="14.25" customHeight="1"/>
    <row r="47" spans="4:9" ht="14.25" customHeight="1"/>
    <row r="48" spans="4:9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</sheetData>
  <mergeCells count="1">
    <mergeCell ref="D29:I41"/>
  </mergeCells>
  <phoneticPr fontId="12" type="noConversion"/>
  <conditionalFormatting sqref="O2:O18">
    <cfRule type="containsText" dxfId="1" priority="3" stopIfTrue="1" operator="containsText" text="إنتهت ">
      <formula>NOT(ISERROR(SEARCH("إنتهت ",O2)))</formula>
    </cfRule>
  </conditionalFormatting>
  <conditionalFormatting sqref="O20:O25">
    <cfRule type="containsText" dxfId="0" priority="1" stopIfTrue="1" operator="containsText" text="إنتهت ">
      <formula>NOT(ISERROR(SEARCH("إنتهت ",O20)))</formula>
    </cfRule>
  </conditionalFormatting>
  <pageMargins left="0.7" right="0.7" top="0.75" bottom="0.75" header="0" footer="0"/>
  <pageSetup orientation="landscape"/>
  <tableParts count="1">
    <tablePart r:id="rId1"/>
  </tableParts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E3D5EBC-8E65-43B8-BD77-14E9A5E67F87}">
          <x14:formula1>
            <xm:f>OFFSET('تكويد الموظفين '!$C$3, 0, 0, COUNTA('تكويد الموظفين '!$C:$C)+2)</xm:f>
          </x14:formula1>
          <xm:sqref>D2:D26</xm:sqref>
        </x14:dataValidation>
        <x14:dataValidation type="list" allowBlank="1" showInputMessage="1" showErrorMessage="1" xr:uid="{66A89659-8454-4CC0-8CD0-88327D6594C4}">
          <x14:formula1>
            <xm:f>OFFSET('تكويد الموظفين '!$G$3, 0, 0, COUNTA('تكويد الموظفين '!$G:$G)+2)</xm:f>
          </x14:formula1>
          <xm:sqref>E2:E26</xm:sqref>
        </x14:dataValidation>
        <x14:dataValidation type="list" allowBlank="1" showInputMessage="1" showErrorMessage="1" xr:uid="{6956D790-48CF-4D15-9171-9C78E1A9CD91}">
          <x14:formula1>
            <xm:f>'تكويد الموظفين '!$K$3:$K$4</xm:f>
          </x14:formula1>
          <xm:sqref>N2:N26</xm:sqref>
        </x14:dataValidation>
        <x14:dataValidation type="list" allowBlank="1" showInputMessage="1" showErrorMessage="1" xr:uid="{84F37C6D-1458-46A1-95CD-B2954D0BE14F}">
          <x14:formula1>
            <xm:f>'تكويد الموظفين '!$M$3:$M$4</xm:f>
          </x14:formula1>
          <xm:sqref>Q2:Q26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01E3A1-126D-4B8E-9563-EC7FAC0EFCE3}">
  <dimension ref="A1:S25"/>
  <sheetViews>
    <sheetView rightToLeft="1" view="pageBreakPreview" zoomScale="60" zoomScaleNormal="100" workbookViewId="0">
      <selection activeCell="C13" sqref="C13"/>
    </sheetView>
  </sheetViews>
  <sheetFormatPr defaultRowHeight="14.4"/>
  <cols>
    <col min="1" max="1" width="19.109375" bestFit="1" customWidth="1"/>
    <col min="2" max="2" width="46.33203125" customWidth="1"/>
    <col min="3" max="3" width="100.5546875" bestFit="1" customWidth="1"/>
    <col min="4" max="4" width="45.5546875" customWidth="1"/>
    <col min="5" max="5" width="54.88671875" customWidth="1"/>
    <col min="9" max="9" width="9.109375" customWidth="1"/>
  </cols>
  <sheetData>
    <row r="1" spans="1:19">
      <c r="A1" s="41" t="s">
        <v>35</v>
      </c>
      <c r="B1" s="41"/>
      <c r="C1" s="41"/>
      <c r="D1" s="41"/>
      <c r="E1" s="41"/>
      <c r="F1" s="41"/>
      <c r="G1" s="41"/>
      <c r="H1" s="41"/>
    </row>
    <row r="2" spans="1:19">
      <c r="A2" s="41"/>
      <c r="B2" s="41"/>
      <c r="C2" s="41"/>
      <c r="D2" s="41"/>
      <c r="E2" s="41"/>
      <c r="F2" s="41"/>
      <c r="G2" s="41"/>
      <c r="H2" s="41"/>
    </row>
    <row r="3" spans="1:19">
      <c r="A3" s="41"/>
      <c r="B3" s="41"/>
      <c r="C3" s="41"/>
      <c r="D3" s="41"/>
      <c r="E3" s="41"/>
      <c r="F3" s="41"/>
      <c r="G3" s="41"/>
      <c r="H3" s="41"/>
    </row>
    <row r="4" spans="1:19">
      <c r="A4" s="41"/>
      <c r="B4" s="41"/>
      <c r="C4" s="41"/>
      <c r="D4" s="41"/>
      <c r="E4" s="41"/>
      <c r="F4" s="41"/>
      <c r="G4" s="41"/>
      <c r="H4" s="41"/>
    </row>
    <row r="5" spans="1:19" ht="24.75" customHeight="1" thickBot="1">
      <c r="A5" s="42"/>
      <c r="B5" s="42"/>
      <c r="C5" s="42"/>
      <c r="D5" s="42"/>
      <c r="E5" s="42"/>
      <c r="F5" s="42"/>
      <c r="G5" s="42"/>
      <c r="H5" s="42"/>
    </row>
    <row r="6" spans="1:19" ht="62.25" customHeight="1" thickBot="1">
      <c r="A6" s="38" t="s">
        <v>24</v>
      </c>
      <c r="B6" s="39"/>
      <c r="C6" s="39"/>
      <c r="D6" s="39"/>
      <c r="E6" s="39"/>
      <c r="F6" s="39"/>
      <c r="G6" s="39"/>
      <c r="H6" s="40"/>
    </row>
    <row r="7" spans="1:19" ht="46.5" customHeight="1">
      <c r="A7" s="3"/>
      <c r="B7" s="11"/>
      <c r="C7" s="11"/>
      <c r="D7" s="4"/>
      <c r="E7" s="16" t="s">
        <v>23</v>
      </c>
      <c r="F7" s="4"/>
      <c r="G7" s="4"/>
      <c r="H7" s="5"/>
    </row>
    <row r="8" spans="1:19" ht="46.5" customHeight="1">
      <c r="A8" s="3"/>
      <c r="B8" s="11"/>
      <c r="C8" s="11"/>
      <c r="D8" s="4"/>
      <c r="E8" s="13">
        <v>16</v>
      </c>
      <c r="F8" s="4"/>
      <c r="G8" s="4"/>
      <c r="H8" s="5"/>
      <c r="S8" s="12"/>
    </row>
    <row r="9" spans="1:19" ht="39.75" customHeight="1" thickBot="1">
      <c r="A9" s="6"/>
      <c r="B9" s="4"/>
      <c r="C9" s="4"/>
      <c r="D9" s="4"/>
      <c r="E9" s="4"/>
      <c r="F9" s="4"/>
      <c r="G9" s="4"/>
      <c r="H9" s="5"/>
    </row>
    <row r="10" spans="1:19" ht="46.8" thickBot="1">
      <c r="A10" s="6"/>
      <c r="B10" s="7" t="s">
        <v>33</v>
      </c>
      <c r="C10" s="8" t="str">
        <f>INDEX(Table1[الاسم],MATCH('كارت الموظف '!E8,Table1[الرقم الوظيفي],0))</f>
        <v xml:space="preserve">ابرهيم </v>
      </c>
      <c r="D10" s="9" t="s">
        <v>25</v>
      </c>
      <c r="E10" s="18">
        <f>INDEX(Table1[تاريخ بداية العقد],MATCH('كارت الموظف '!E8,Table1[الرقم الوظيفي],0))</f>
        <v>45421</v>
      </c>
      <c r="F10" s="4"/>
      <c r="G10" s="4"/>
      <c r="H10" s="5"/>
    </row>
    <row r="11" spans="1:19" ht="46.8" thickBot="1">
      <c r="A11" s="6"/>
      <c r="B11" s="7" t="s">
        <v>26</v>
      </c>
      <c r="C11" s="8" t="str">
        <f>INDEX(Table1[الجنسية],MATCH('كارت الموظف '!E8,Table1[الرقم الوظيفي],0))</f>
        <v>فلسطيني</v>
      </c>
      <c r="D11" s="9" t="s">
        <v>28</v>
      </c>
      <c r="E11" s="10">
        <f>INDEX(Table1[الهوية],MATCH('كارت الموظف '!E8,Table1[الرقم الوظيفي],0))</f>
        <v>2222222222</v>
      </c>
      <c r="F11" s="4"/>
      <c r="G11" s="4"/>
      <c r="H11" s="5"/>
    </row>
    <row r="12" spans="1:19" ht="46.8" thickBot="1">
      <c r="A12" s="6"/>
      <c r="B12" s="7" t="s">
        <v>29</v>
      </c>
      <c r="C12" s="8" t="str">
        <f>INDEX(Table1[[القسم ]],MATCH('كارت الموظف '!E8,Table1[الرقم الوظيفي],0))</f>
        <v>الإدارة</v>
      </c>
      <c r="D12" s="9" t="s">
        <v>27</v>
      </c>
      <c r="E12" s="10">
        <f>INDEX(Table1[[المهنة ]],MATCH('كارت الموظف '!E8,Table1[الرقم الوظيفي],0))</f>
        <v>0</v>
      </c>
      <c r="F12" s="4"/>
      <c r="G12" s="4"/>
      <c r="H12" s="5"/>
    </row>
    <row r="13" spans="1:19" ht="46.8" thickBot="1">
      <c r="A13" s="6"/>
      <c r="B13" s="7" t="s">
        <v>30</v>
      </c>
      <c r="C13" s="8" t="str">
        <f>INDEX(Table1[الشركة],MATCH('كارت الموظف '!E8,Table1[الرقم الوظيفي],0))</f>
        <v>شركة 1</v>
      </c>
      <c r="D13" s="9" t="s">
        <v>31</v>
      </c>
      <c r="E13" s="10">
        <f>INDEX(Table1[[الإجمالي ]],MATCH('كارت الموظف '!E8,Table1[الرقم الوظيفي],0))</f>
        <v>4500</v>
      </c>
      <c r="F13" s="4"/>
      <c r="G13" s="4"/>
      <c r="H13" s="5"/>
    </row>
    <row r="14" spans="1:19" ht="46.8" thickBot="1">
      <c r="A14" s="6"/>
      <c r="B14" s="7" t="s">
        <v>32</v>
      </c>
      <c r="C14" s="8">
        <f>INDEX(Table1[رصيد الاجازة],MATCH('كارت الموظف '!E8,Table1[الرقم الوظيفي],0))</f>
        <v>30</v>
      </c>
      <c r="D14" s="4"/>
      <c r="E14" s="4"/>
      <c r="F14" s="4"/>
      <c r="G14" s="4"/>
      <c r="H14" s="5"/>
    </row>
    <row r="15" spans="1:19" ht="25.8">
      <c r="A15" s="1"/>
      <c r="B15" s="1"/>
      <c r="C15" s="1"/>
      <c r="D15" s="1"/>
      <c r="E15" s="1"/>
      <c r="F15" s="1"/>
      <c r="G15" s="1"/>
      <c r="H15" s="1"/>
    </row>
    <row r="16" spans="1:19" ht="25.8">
      <c r="A16" s="1"/>
      <c r="B16" s="1"/>
      <c r="C16" s="1"/>
      <c r="D16" s="1"/>
      <c r="E16" s="1"/>
      <c r="F16" s="1"/>
      <c r="G16" s="1"/>
      <c r="H16" s="1"/>
    </row>
    <row r="17" spans="1:8" ht="25.8">
      <c r="A17" s="1"/>
      <c r="B17" s="1"/>
      <c r="C17" s="1"/>
      <c r="D17" s="1"/>
      <c r="E17" s="1"/>
      <c r="F17" s="1"/>
      <c r="G17" s="1"/>
      <c r="H17" s="1"/>
    </row>
    <row r="18" spans="1:8" ht="25.8">
      <c r="A18" s="1"/>
      <c r="B18" s="1"/>
      <c r="C18" s="1"/>
      <c r="D18" s="1"/>
      <c r="E18" s="1"/>
      <c r="F18" s="1"/>
      <c r="G18" s="1"/>
      <c r="H18" s="1"/>
    </row>
    <row r="19" spans="1:8" ht="25.8">
      <c r="A19" s="1"/>
      <c r="B19" s="1"/>
      <c r="C19" s="1"/>
      <c r="D19" s="1"/>
      <c r="E19" s="1"/>
      <c r="F19" s="1"/>
      <c r="G19" s="1"/>
      <c r="H19" s="1"/>
    </row>
    <row r="20" spans="1:8" ht="25.8">
      <c r="A20" s="1"/>
      <c r="B20" s="1"/>
      <c r="C20" s="1"/>
      <c r="D20" s="1"/>
      <c r="E20" s="1"/>
      <c r="F20" s="1"/>
      <c r="G20" s="1"/>
      <c r="H20" s="1"/>
    </row>
    <row r="21" spans="1:8" ht="25.8">
      <c r="A21" s="1"/>
      <c r="B21" s="1"/>
      <c r="C21" s="1"/>
      <c r="D21" s="1"/>
      <c r="E21" s="1"/>
      <c r="F21" s="1"/>
      <c r="G21" s="1"/>
      <c r="H21" s="1"/>
    </row>
    <row r="22" spans="1:8" ht="25.8">
      <c r="A22" s="1"/>
      <c r="B22" s="1"/>
      <c r="C22" s="1"/>
      <c r="D22" s="1"/>
      <c r="E22" s="1"/>
      <c r="F22" s="1"/>
      <c r="G22" s="1"/>
      <c r="H22" s="1"/>
    </row>
    <row r="23" spans="1:8" ht="25.8">
      <c r="A23" s="1"/>
      <c r="B23" s="1"/>
      <c r="C23" s="1"/>
      <c r="D23" s="1"/>
      <c r="E23" s="1"/>
      <c r="F23" s="1"/>
      <c r="G23" s="1"/>
      <c r="H23" s="1"/>
    </row>
    <row r="24" spans="1:8" ht="25.8">
      <c r="A24" s="1"/>
      <c r="B24" s="1"/>
      <c r="C24" s="1"/>
      <c r="D24" s="1"/>
      <c r="E24" s="1"/>
      <c r="F24" s="1"/>
      <c r="G24" s="1"/>
      <c r="H24" s="1"/>
    </row>
    <row r="25" spans="1:8" ht="25.8">
      <c r="A25" s="1"/>
      <c r="B25" s="1"/>
      <c r="C25" s="1"/>
      <c r="D25" s="1"/>
      <c r="E25" s="1"/>
      <c r="F25" s="1"/>
      <c r="G25" s="1"/>
      <c r="H25" s="1"/>
    </row>
  </sheetData>
  <mergeCells count="2">
    <mergeCell ref="A6:H6"/>
    <mergeCell ref="A1:H5"/>
  </mergeCells>
  <pageMargins left="0.7" right="0.7" top="0.75" bottom="0.75" header="0.3" footer="0.3"/>
  <pageSetup scale="3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تكويد الموظفين </vt:lpstr>
      <vt:lpstr>شئون الموظفين </vt:lpstr>
      <vt:lpstr>كارت الموظف </vt:lpstr>
      <vt:lpstr>'كارت الموظف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ibrahem advanced</dc:creator>
  <cp:lastModifiedBy>Human Resources</cp:lastModifiedBy>
  <dcterms:created xsi:type="dcterms:W3CDTF">2015-06-05T18:17:20Z</dcterms:created>
  <dcterms:modified xsi:type="dcterms:W3CDTF">2024-07-25T11:12:57Z</dcterms:modified>
</cp:coreProperties>
</file>