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0C68B163-1B1F-4FEB-A0E1-995E7F62DEE2}" xr6:coauthVersionLast="47" xr6:coauthVersionMax="47" xr10:uidLastSave="{00000000-0000-0000-0000-000000000000}"/>
  <bookViews>
    <workbookView xWindow="-120" yWindow="-120" windowWidth="29040" windowHeight="15720" activeTab="2" xr2:uid="{5B36CBF1-84C3-4D6A-8007-B28509267DB3}"/>
  </bookViews>
  <sheets>
    <sheet name="Dashboard" sheetId="1" r:id="rId1"/>
    <sheet name="Database" sheetId="5" r:id="rId2"/>
    <sheet name="Calc" sheetId="6" r:id="rId3"/>
    <sheet name="ToU" sheetId="4" r:id="rId4"/>
  </sheets>
  <definedNames>
    <definedName name="_xlnm.Print_Area" localSheetId="0">Dashboard!$B$2:$O$41</definedName>
    <definedName name="_xlnm.Print_Area" localSheetId="1">Database!$B$2:$P$57</definedName>
    <definedName name="_xlnm.Print_Area" localSheetId="3">ToU!$B$2:$B$17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5" l="1"/>
  <c r="E34" i="6"/>
  <c r="D34" i="6"/>
  <c r="C34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18" i="6"/>
  <c r="B46" i="6" s="1"/>
  <c r="B17" i="6"/>
  <c r="B45" i="6" s="1"/>
  <c r="B16" i="6"/>
  <c r="B30" i="6" s="1"/>
  <c r="B15" i="6"/>
  <c r="B29" i="6" s="1"/>
  <c r="B14" i="6"/>
  <c r="B42" i="6" s="1"/>
  <c r="B13" i="6"/>
  <c r="B27" i="6" s="1"/>
  <c r="B12" i="6"/>
  <c r="B40" i="6" s="1"/>
  <c r="B11" i="6"/>
  <c r="B39" i="6" s="1"/>
  <c r="B10" i="6"/>
  <c r="B38" i="6" s="1"/>
  <c r="B9" i="6"/>
  <c r="B37" i="6" s="1"/>
  <c r="B8" i="6"/>
  <c r="B36" i="6" s="1"/>
  <c r="B7" i="6"/>
  <c r="B35" i="6" s="1"/>
  <c r="N4" i="6"/>
  <c r="N3" i="6"/>
  <c r="D2" i="6"/>
  <c r="E2" i="6"/>
  <c r="F2" i="6"/>
  <c r="G2" i="6"/>
  <c r="H2" i="6"/>
  <c r="I2" i="6"/>
  <c r="J2" i="6"/>
  <c r="K2" i="6"/>
  <c r="L2" i="6"/>
  <c r="M2" i="6"/>
  <c r="N2" i="6"/>
  <c r="C2" i="6"/>
  <c r="K33" i="1"/>
  <c r="K32" i="1"/>
  <c r="K31" i="1"/>
  <c r="K30" i="1"/>
  <c r="K29" i="1"/>
  <c r="K28" i="1"/>
  <c r="K27" i="1"/>
  <c r="K26" i="1"/>
  <c r="K25" i="1"/>
  <c r="G38" i="1"/>
  <c r="G37" i="1"/>
  <c r="G36" i="1"/>
  <c r="G33" i="1"/>
  <c r="G32" i="1"/>
  <c r="G31" i="1"/>
  <c r="G30" i="1"/>
  <c r="G29" i="1"/>
  <c r="G28" i="1"/>
  <c r="G27" i="1"/>
  <c r="G26" i="1"/>
  <c r="G25" i="1"/>
  <c r="C26" i="1"/>
  <c r="I6" i="6"/>
  <c r="H6" i="6"/>
  <c r="G6" i="6"/>
  <c r="F6" i="6"/>
  <c r="E6" i="6"/>
  <c r="D6" i="6"/>
  <c r="C6" i="6"/>
  <c r="E19" i="1"/>
  <c r="E10" i="1"/>
  <c r="E9" i="1"/>
  <c r="D10" i="5"/>
  <c r="E10" i="5"/>
  <c r="F10" i="5"/>
  <c r="G10" i="5"/>
  <c r="H10" i="5"/>
  <c r="I10" i="5"/>
  <c r="J10" i="5"/>
  <c r="K10" i="5"/>
  <c r="L10" i="5"/>
  <c r="M10" i="5"/>
  <c r="N10" i="5"/>
  <c r="O10" i="5"/>
  <c r="D14" i="5"/>
  <c r="E14" i="5"/>
  <c r="F14" i="5"/>
  <c r="G14" i="5"/>
  <c r="H14" i="5"/>
  <c r="I14" i="5"/>
  <c r="J14" i="5"/>
  <c r="K14" i="5"/>
  <c r="L14" i="5"/>
  <c r="M14" i="5"/>
  <c r="N14" i="5"/>
  <c r="O14" i="5"/>
  <c r="E36" i="5"/>
  <c r="F36" i="5"/>
  <c r="G36" i="5"/>
  <c r="H36" i="5"/>
  <c r="I36" i="5"/>
  <c r="J36" i="5"/>
  <c r="K36" i="5"/>
  <c r="L36" i="5"/>
  <c r="M36" i="5"/>
  <c r="N36" i="5"/>
  <c r="O36" i="5"/>
  <c r="D40" i="5"/>
  <c r="E40" i="5"/>
  <c r="F40" i="5"/>
  <c r="G40" i="5"/>
  <c r="H40" i="5"/>
  <c r="I40" i="5"/>
  <c r="J40" i="5"/>
  <c r="K40" i="5"/>
  <c r="L40" i="5"/>
  <c r="M40" i="5"/>
  <c r="N40" i="5"/>
  <c r="O40" i="5"/>
  <c r="D48" i="5"/>
  <c r="E48" i="5"/>
  <c r="F48" i="5"/>
  <c r="G48" i="5"/>
  <c r="H48" i="5"/>
  <c r="I48" i="5"/>
  <c r="J48" i="5"/>
  <c r="K48" i="5"/>
  <c r="L48" i="5"/>
  <c r="M48" i="5"/>
  <c r="N48" i="5"/>
  <c r="O48" i="5"/>
  <c r="B24" i="6" l="1"/>
  <c r="Q24" i="6" s="1"/>
  <c r="B32" i="6"/>
  <c r="I32" i="6" s="1"/>
  <c r="E12" i="1"/>
  <c r="B44" i="6"/>
  <c r="B22" i="6"/>
  <c r="F22" i="6" s="1"/>
  <c r="B23" i="6"/>
  <c r="O23" i="6" s="1"/>
  <c r="F15" i="5"/>
  <c r="E3" i="6" s="1"/>
  <c r="B28" i="6"/>
  <c r="M28" i="6" s="1"/>
  <c r="B31" i="6"/>
  <c r="R31" i="6" s="1"/>
  <c r="B43" i="6"/>
  <c r="C43" i="6" s="1"/>
  <c r="B25" i="6"/>
  <c r="T25" i="6" s="1"/>
  <c r="B41" i="6"/>
  <c r="C41" i="6" s="1"/>
  <c r="E46" i="6"/>
  <c r="B26" i="6"/>
  <c r="S26" i="6" s="1"/>
  <c r="B21" i="6"/>
  <c r="O21" i="6" s="1"/>
  <c r="E17" i="1"/>
  <c r="E15" i="1"/>
  <c r="N15" i="5"/>
  <c r="M3" i="6" s="1"/>
  <c r="E14" i="1"/>
  <c r="Q29" i="6"/>
  <c r="C46" i="6"/>
  <c r="D46" i="6"/>
  <c r="E11" i="1"/>
  <c r="F27" i="6"/>
  <c r="G27" i="6"/>
  <c r="N27" i="6"/>
  <c r="G14" i="6"/>
  <c r="E30" i="6"/>
  <c r="M30" i="6"/>
  <c r="F18" i="6"/>
  <c r="O27" i="6"/>
  <c r="M29" i="6"/>
  <c r="H29" i="6"/>
  <c r="P29" i="6"/>
  <c r="H18" i="6"/>
  <c r="S27" i="6"/>
  <c r="F30" i="6"/>
  <c r="N30" i="6"/>
  <c r="I18" i="6"/>
  <c r="C7" i="6"/>
  <c r="E27" i="1" s="1"/>
  <c r="G7" i="6"/>
  <c r="N22" i="6"/>
  <c r="K27" i="6"/>
  <c r="D18" i="6"/>
  <c r="E29" i="6"/>
  <c r="E18" i="6"/>
  <c r="C27" i="6"/>
  <c r="I29" i="6"/>
  <c r="C9" i="6"/>
  <c r="C12" i="6"/>
  <c r="C14" i="6"/>
  <c r="C16" i="6"/>
  <c r="C18" i="6"/>
  <c r="D7" i="6"/>
  <c r="E28" i="1" s="1"/>
  <c r="D8" i="6"/>
  <c r="D9" i="6"/>
  <c r="D10" i="6"/>
  <c r="D11" i="6"/>
  <c r="D12" i="6"/>
  <c r="D13" i="6"/>
  <c r="D14" i="6"/>
  <c r="D15" i="6"/>
  <c r="D16" i="6"/>
  <c r="D17" i="6"/>
  <c r="O22" i="6"/>
  <c r="I24" i="6"/>
  <c r="H27" i="6"/>
  <c r="P27" i="6"/>
  <c r="J29" i="6"/>
  <c r="R29" i="6"/>
  <c r="G30" i="6"/>
  <c r="O30" i="6"/>
  <c r="Q32" i="6"/>
  <c r="C35" i="6"/>
  <c r="C37" i="6"/>
  <c r="C39" i="6"/>
  <c r="C45" i="6"/>
  <c r="C8" i="6"/>
  <c r="C10" i="6"/>
  <c r="C11" i="6"/>
  <c r="C13" i="6"/>
  <c r="C15" i="6"/>
  <c r="C17" i="6"/>
  <c r="H24" i="6"/>
  <c r="E7" i="6"/>
  <c r="E8" i="6"/>
  <c r="E9" i="6"/>
  <c r="E10" i="6"/>
  <c r="E11" i="6"/>
  <c r="E12" i="6"/>
  <c r="E13" i="6"/>
  <c r="E14" i="6"/>
  <c r="E15" i="6"/>
  <c r="E16" i="6"/>
  <c r="E17" i="6"/>
  <c r="J24" i="6"/>
  <c r="R24" i="6"/>
  <c r="I27" i="6"/>
  <c r="Q27" i="6"/>
  <c r="C29" i="6"/>
  <c r="K29" i="6"/>
  <c r="S29" i="6"/>
  <c r="H30" i="6"/>
  <c r="P30" i="6"/>
  <c r="J32" i="6"/>
  <c r="R32" i="6"/>
  <c r="D35" i="6"/>
  <c r="D37" i="6"/>
  <c r="D39" i="6"/>
  <c r="D41" i="6"/>
  <c r="D45" i="6"/>
  <c r="F7" i="6"/>
  <c r="F8" i="6"/>
  <c r="F9" i="6"/>
  <c r="F10" i="6"/>
  <c r="F11" i="6"/>
  <c r="F12" i="6"/>
  <c r="F13" i="6"/>
  <c r="F14" i="6"/>
  <c r="F15" i="6"/>
  <c r="F16" i="6"/>
  <c r="F17" i="6"/>
  <c r="Q22" i="6"/>
  <c r="F23" i="6"/>
  <c r="C24" i="6"/>
  <c r="K24" i="6"/>
  <c r="S24" i="6"/>
  <c r="J27" i="6"/>
  <c r="R27" i="6"/>
  <c r="D29" i="6"/>
  <c r="L29" i="6"/>
  <c r="T29" i="6"/>
  <c r="I30" i="6"/>
  <c r="Q30" i="6"/>
  <c r="C32" i="6"/>
  <c r="K32" i="6"/>
  <c r="S32" i="6"/>
  <c r="E35" i="6"/>
  <c r="E37" i="6"/>
  <c r="E39" i="6"/>
  <c r="E41" i="6"/>
  <c r="E45" i="6"/>
  <c r="G9" i="6"/>
  <c r="G13" i="6"/>
  <c r="G17" i="6"/>
  <c r="J30" i="6"/>
  <c r="R30" i="6"/>
  <c r="D32" i="6"/>
  <c r="L32" i="6"/>
  <c r="T32" i="6"/>
  <c r="G8" i="6"/>
  <c r="G11" i="6"/>
  <c r="G12" i="6"/>
  <c r="G15" i="6"/>
  <c r="G16" i="6"/>
  <c r="G18" i="6"/>
  <c r="D24" i="6"/>
  <c r="L24" i="6"/>
  <c r="T24" i="6"/>
  <c r="H7" i="6"/>
  <c r="H8" i="6"/>
  <c r="H9" i="6"/>
  <c r="H10" i="6"/>
  <c r="H11" i="6"/>
  <c r="H12" i="6"/>
  <c r="H13" i="6"/>
  <c r="H14" i="6"/>
  <c r="H15" i="6"/>
  <c r="H16" i="6"/>
  <c r="H17" i="6"/>
  <c r="K22" i="6"/>
  <c r="S22" i="6"/>
  <c r="E24" i="6"/>
  <c r="M24" i="6"/>
  <c r="R25" i="6"/>
  <c r="D27" i="6"/>
  <c r="L27" i="6"/>
  <c r="T27" i="6"/>
  <c r="F29" i="6"/>
  <c r="N29" i="6"/>
  <c r="C30" i="6"/>
  <c r="K30" i="6"/>
  <c r="S30" i="6"/>
  <c r="E32" i="6"/>
  <c r="M32" i="6"/>
  <c r="C36" i="6"/>
  <c r="C38" i="6"/>
  <c r="C40" i="6"/>
  <c r="C42" i="6"/>
  <c r="C44" i="6"/>
  <c r="G10" i="6"/>
  <c r="R22" i="6"/>
  <c r="I7" i="6"/>
  <c r="I8" i="6"/>
  <c r="I9" i="6"/>
  <c r="I10" i="6"/>
  <c r="I11" i="6"/>
  <c r="I12" i="6"/>
  <c r="I13" i="6"/>
  <c r="I14" i="6"/>
  <c r="I15" i="6"/>
  <c r="I16" i="6"/>
  <c r="I17" i="6"/>
  <c r="L22" i="6"/>
  <c r="T22" i="6"/>
  <c r="F24" i="6"/>
  <c r="N24" i="6"/>
  <c r="K25" i="6"/>
  <c r="E27" i="6"/>
  <c r="M27" i="6"/>
  <c r="G29" i="6"/>
  <c r="O29" i="6"/>
  <c r="D30" i="6"/>
  <c r="L30" i="6"/>
  <c r="T30" i="6"/>
  <c r="F32" i="6"/>
  <c r="N32" i="6"/>
  <c r="D36" i="6"/>
  <c r="D38" i="6"/>
  <c r="D40" i="6"/>
  <c r="D42" i="6"/>
  <c r="D44" i="6"/>
  <c r="E22" i="6"/>
  <c r="G24" i="6"/>
  <c r="O24" i="6"/>
  <c r="E36" i="6"/>
  <c r="E38" i="6"/>
  <c r="E40" i="6"/>
  <c r="E42" i="6"/>
  <c r="E44" i="6"/>
  <c r="J15" i="5"/>
  <c r="I3" i="6" s="1"/>
  <c r="E41" i="5"/>
  <c r="D4" i="6" s="1"/>
  <c r="I15" i="5"/>
  <c r="H3" i="6" s="1"/>
  <c r="D15" i="5"/>
  <c r="G41" i="5"/>
  <c r="F4" i="6" s="1"/>
  <c r="N41" i="5"/>
  <c r="M4" i="6" s="1"/>
  <c r="O15" i="5"/>
  <c r="G15" i="5"/>
  <c r="F3" i="6" s="1"/>
  <c r="K15" i="5"/>
  <c r="J3" i="6" s="1"/>
  <c r="I41" i="5"/>
  <c r="H4" i="6" s="1"/>
  <c r="H15" i="5"/>
  <c r="G3" i="6" s="1"/>
  <c r="J41" i="5"/>
  <c r="I4" i="6" s="1"/>
  <c r="M15" i="5"/>
  <c r="L3" i="6" s="1"/>
  <c r="E15" i="5"/>
  <c r="M41" i="5"/>
  <c r="L4" i="6" s="1"/>
  <c r="H41" i="5"/>
  <c r="G4" i="6" s="1"/>
  <c r="O41" i="5"/>
  <c r="K41" i="5"/>
  <c r="J4" i="6" s="1"/>
  <c r="L15" i="5"/>
  <c r="K3" i="6" s="1"/>
  <c r="L41" i="5"/>
  <c r="K4" i="6" s="1"/>
  <c r="D41" i="5"/>
  <c r="C4" i="6" s="1"/>
  <c r="F41" i="5"/>
  <c r="E4" i="6" s="1"/>
  <c r="J28" i="6" l="1"/>
  <c r="I28" i="6"/>
  <c r="O28" i="6"/>
  <c r="R28" i="6"/>
  <c r="G28" i="6"/>
  <c r="Q28" i="6"/>
  <c r="N28" i="6"/>
  <c r="T28" i="6"/>
  <c r="F28" i="6"/>
  <c r="L28" i="6"/>
  <c r="P28" i="6"/>
  <c r="D28" i="6"/>
  <c r="H28" i="6"/>
  <c r="C3" i="6"/>
  <c r="D50" i="5"/>
  <c r="P24" i="6"/>
  <c r="P32" i="6"/>
  <c r="J22" i="6"/>
  <c r="O26" i="6"/>
  <c r="H26" i="6"/>
  <c r="D22" i="6"/>
  <c r="G26" i="6"/>
  <c r="C22" i="6"/>
  <c r="M26" i="6"/>
  <c r="I22" i="6"/>
  <c r="H32" i="6"/>
  <c r="O32" i="6"/>
  <c r="E26" i="6"/>
  <c r="M23" i="6"/>
  <c r="G32" i="6"/>
  <c r="E23" i="6"/>
  <c r="P22" i="6"/>
  <c r="P26" i="6"/>
  <c r="R23" i="6"/>
  <c r="P23" i="6"/>
  <c r="H22" i="6"/>
  <c r="Q23" i="6"/>
  <c r="J23" i="6"/>
  <c r="I23" i="6"/>
  <c r="H23" i="6"/>
  <c r="N23" i="6"/>
  <c r="N31" i="6"/>
  <c r="F31" i="6"/>
  <c r="T23" i="6"/>
  <c r="I26" i="6"/>
  <c r="T26" i="6"/>
  <c r="L23" i="6"/>
  <c r="E43" i="6"/>
  <c r="Q26" i="6"/>
  <c r="M31" i="6"/>
  <c r="I31" i="6"/>
  <c r="P31" i="6"/>
  <c r="D43" i="6"/>
  <c r="E31" i="6"/>
  <c r="K31" i="6"/>
  <c r="T31" i="6"/>
  <c r="G31" i="6"/>
  <c r="R26" i="6"/>
  <c r="K28" i="6"/>
  <c r="H31" i="6"/>
  <c r="L31" i="6"/>
  <c r="K26" i="6"/>
  <c r="C28" i="6"/>
  <c r="Q31" i="6"/>
  <c r="D31" i="6"/>
  <c r="O31" i="6"/>
  <c r="F26" i="6"/>
  <c r="H21" i="6"/>
  <c r="L26" i="6"/>
  <c r="S21" i="6"/>
  <c r="S31" i="6"/>
  <c r="D26" i="6"/>
  <c r="N26" i="6"/>
  <c r="J26" i="6"/>
  <c r="E13" i="1"/>
  <c r="P21" i="6"/>
  <c r="L29" i="1" s="1"/>
  <c r="C26" i="6"/>
  <c r="G22" i="6"/>
  <c r="C23" i="6"/>
  <c r="M22" i="6"/>
  <c r="G23" i="6"/>
  <c r="N25" i="6"/>
  <c r="E28" i="6"/>
  <c r="K23" i="6"/>
  <c r="I21" i="6"/>
  <c r="H31" i="1" s="1"/>
  <c r="S28" i="6"/>
  <c r="P25" i="6"/>
  <c r="S25" i="6"/>
  <c r="D23" i="6"/>
  <c r="C31" i="6"/>
  <c r="E25" i="6"/>
  <c r="S23" i="6"/>
  <c r="C25" i="6"/>
  <c r="H25" i="6"/>
  <c r="F25" i="6"/>
  <c r="J21" i="6"/>
  <c r="I25" i="6"/>
  <c r="J31" i="6"/>
  <c r="Q25" i="6"/>
  <c r="L25" i="6"/>
  <c r="M25" i="6"/>
  <c r="D25" i="6"/>
  <c r="J25" i="6"/>
  <c r="O25" i="6"/>
  <c r="G25" i="6"/>
  <c r="E50" i="5"/>
  <c r="E54" i="5" s="1"/>
  <c r="D3" i="6"/>
  <c r="T21" i="6"/>
  <c r="L33" i="1" s="1"/>
  <c r="K21" i="6"/>
  <c r="M21" i="6"/>
  <c r="L26" i="1" s="1"/>
  <c r="N21" i="6"/>
  <c r="L27" i="1" s="1"/>
  <c r="L21" i="6"/>
  <c r="L25" i="1" s="1"/>
  <c r="C21" i="6"/>
  <c r="F21" i="6"/>
  <c r="H28" i="1" s="1"/>
  <c r="D21" i="6"/>
  <c r="G21" i="6"/>
  <c r="Q21" i="6"/>
  <c r="L30" i="1" s="1"/>
  <c r="E21" i="6"/>
  <c r="H27" i="1" s="1"/>
  <c r="R21" i="6"/>
  <c r="H32" i="1"/>
  <c r="E16" i="1"/>
  <c r="E37" i="1"/>
  <c r="E30" i="1"/>
  <c r="H30" i="1"/>
  <c r="D54" i="5"/>
  <c r="I50" i="5"/>
  <c r="I54" i="5" s="1"/>
  <c r="E35" i="1"/>
  <c r="L28" i="1"/>
  <c r="G50" i="5"/>
  <c r="G54" i="5" s="1"/>
  <c r="H38" i="1"/>
  <c r="F50" i="5"/>
  <c r="F54" i="5" s="1"/>
  <c r="N50" i="5"/>
  <c r="N54" i="5" s="1"/>
  <c r="E32" i="1"/>
  <c r="H37" i="1"/>
  <c r="E33" i="1"/>
  <c r="H36" i="1"/>
  <c r="J50" i="5"/>
  <c r="J54" i="5" s="1"/>
  <c r="K50" i="5"/>
  <c r="K54" i="5" s="1"/>
  <c r="O50" i="5"/>
  <c r="O54" i="5" s="1"/>
  <c r="H50" i="5"/>
  <c r="H54" i="5" s="1"/>
  <c r="M50" i="5"/>
  <c r="M54" i="5" s="1"/>
  <c r="L50" i="5"/>
  <c r="L54" i="5" s="1"/>
  <c r="H25" i="1" l="1"/>
  <c r="I25" i="1" s="1"/>
  <c r="L32" i="1"/>
  <c r="M32" i="1" s="1"/>
  <c r="H33" i="1"/>
  <c r="I33" i="1" s="1"/>
  <c r="H26" i="1"/>
  <c r="I26" i="1" s="1"/>
  <c r="L31" i="1"/>
  <c r="M31" i="1" s="1"/>
  <c r="H29" i="1"/>
  <c r="I29" i="1" s="1"/>
  <c r="E18" i="1"/>
  <c r="E20" i="1" s="1"/>
  <c r="E29" i="1"/>
  <c r="E31" i="1" s="1"/>
  <c r="I38" i="1"/>
  <c r="M29" i="1"/>
  <c r="M28" i="1"/>
  <c r="I27" i="1"/>
  <c r="I32" i="1"/>
  <c r="M25" i="1"/>
  <c r="I28" i="1"/>
  <c r="M27" i="1"/>
  <c r="I31" i="1"/>
  <c r="M26" i="1"/>
  <c r="M33" i="1"/>
  <c r="I30" i="1"/>
  <c r="M30" i="1"/>
  <c r="I36" i="1"/>
  <c r="I37" i="1"/>
  <c r="E34" i="1"/>
  <c r="E36" i="1" l="1"/>
  <c r="E38" i="1" s="1"/>
</calcChain>
</file>

<file path=xl/sharedStrings.xml><?xml version="1.0" encoding="utf-8"?>
<sst xmlns="http://schemas.openxmlformats.org/spreadsheetml/2006/main" count="111" uniqueCount="61">
  <si>
    <t>DASHBOARD</t>
  </si>
  <si>
    <t>TERMS OF USE</t>
  </si>
  <si>
    <t>END USER LICENSE AGREEMENT</t>
  </si>
  <si>
    <t>DATABASE</t>
  </si>
  <si>
    <t>NET PROFIT</t>
  </si>
  <si>
    <t>TOTAL SHARE DISTRIBUTIONS</t>
  </si>
  <si>
    <t>NET INCOME</t>
  </si>
  <si>
    <t>TOTAL TAXES</t>
  </si>
  <si>
    <t>Other Taxes- 2</t>
  </si>
  <si>
    <t>Other Taxes- 1</t>
  </si>
  <si>
    <t>Payroll Taxes</t>
  </si>
  <si>
    <t>TAX DETAILS</t>
  </si>
  <si>
    <t>TOTAL EXPENSES</t>
  </si>
  <si>
    <t>Total Non-Recurring Expenses</t>
  </si>
  <si>
    <t>Gifts and Rewards Given</t>
  </si>
  <si>
    <t>Soft&amp;Hardware Equipments</t>
  </si>
  <si>
    <t>Total Operating Expenses</t>
  </si>
  <si>
    <t>EXPENSE DETAILS</t>
  </si>
  <si>
    <t>Total Non-Operational Income</t>
  </si>
  <si>
    <t>Other Income</t>
  </si>
  <si>
    <t>Rental Income</t>
  </si>
  <si>
    <t>Interest Income</t>
  </si>
  <si>
    <t>Gross Profit</t>
  </si>
  <si>
    <t>Total Cost of Sales</t>
  </si>
  <si>
    <t>Total Sales Revenue</t>
  </si>
  <si>
    <t>INCOME DETAILS</t>
  </si>
  <si>
    <t>December</t>
  </si>
  <si>
    <t>November</t>
  </si>
  <si>
    <r>
      <t>TOTAL INCOME (</t>
    </r>
    <r>
      <rPr>
        <b/>
        <sz val="9"/>
        <color theme="0"/>
        <rFont val="Arial"/>
        <family val="2"/>
        <scheme val="minor"/>
      </rPr>
      <t>GROSS</t>
    </r>
    <r>
      <rPr>
        <b/>
        <sz val="11"/>
        <color theme="0"/>
        <rFont val="Arial"/>
        <family val="2"/>
        <scheme val="minor"/>
      </rPr>
      <t>)</t>
    </r>
  </si>
  <si>
    <t>Profit &amp; Loss Statement</t>
  </si>
  <si>
    <t>(YEAR TOTAL)</t>
  </si>
  <si>
    <t>:</t>
  </si>
  <si>
    <t>TOTAL INCOME</t>
  </si>
  <si>
    <t>MONTH TOTAL</t>
  </si>
  <si>
    <t>EXPENSES DETAILS (MONTH TOTAL)</t>
  </si>
  <si>
    <t>Operating Expenses</t>
  </si>
  <si>
    <t>Non-Recurring Expenses</t>
  </si>
  <si>
    <t>Select Month:</t>
  </si>
  <si>
    <t>PROFIT AND LOSS STATEMENT TEMPLATE</t>
  </si>
  <si>
    <t>الرواتب والاجور - إدارية</t>
  </si>
  <si>
    <t>مصاريف تجديد اقامات وتاشيرات</t>
  </si>
  <si>
    <t>تجديد اقامات وتاشيرات - إدارية</t>
  </si>
  <si>
    <t>مصاريف الكهرباء</t>
  </si>
  <si>
    <t>مصاريف المياه ونزح مياه</t>
  </si>
  <si>
    <t>مصاريف هاتف وانترنت وجوالات</t>
  </si>
  <si>
    <t xml:space="preserve">مصاريف الإيجارات </t>
  </si>
  <si>
    <t xml:space="preserve">مصاريف محروقات </t>
  </si>
  <si>
    <t>مصاريف تذاكر السفر</t>
  </si>
  <si>
    <t>مصاريف دعاية واعلان ادارية</t>
  </si>
  <si>
    <t>التامينات الاجتماعية - إدارية</t>
  </si>
  <si>
    <t xml:space="preserve"> مصاريف تامين طبي وعلاج</t>
  </si>
  <si>
    <t>مصاريف الرواتب والأجور وبونص - تشغيلية</t>
  </si>
  <si>
    <t>مصاريف رسوم واشتراكات</t>
  </si>
  <si>
    <t>مصاريف مكافأة نهاية الخدمة</t>
  </si>
  <si>
    <t>خدمات إستشارية وقانونية  - ادارية</t>
  </si>
  <si>
    <t>مصاريف متنوعه - إدارية</t>
  </si>
  <si>
    <t>مصاريف تشغيلية وصيانة  للفروع</t>
  </si>
  <si>
    <t>مصروفات وفوائد قرض بنك البلاد - ادارية</t>
  </si>
  <si>
    <t>مصروف الزكاة الشرعية</t>
  </si>
  <si>
    <t>إجمالي توزيعات الأرباح على الشركاء</t>
  </si>
  <si>
    <t>محتاج يتم اختيار السنة مثلا 2021 من القائمة المنسدلة بدلا من الشهر ويتم قراءة البيانات من شيت الداتا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</si>
</sst>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[$$-409]#,##0.0_ ;[Red]\-[$$-409]#,##0.0\ "/>
    <numFmt numFmtId="165" formatCode="[$$-409]#,##0.0"/>
    <numFmt numFmtId="166" formatCode="[$$-409]#,##0.00_ ;[Red]\-[$$-409]#,##0.00\ "/>
    <numFmt numFmtId="167" formatCode="[$$-409]#,##0.00"/>
    <numFmt numFmtId="168" formatCode="[$$-409]#,##0"/>
    <numFmt numFmtId="169" formatCode="0.0%"/>
  </numFmts>
  <fonts count="5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62"/>
      <scheme val="minor"/>
    </font>
    <font>
      <b/>
      <sz val="16"/>
      <color theme="0"/>
      <name val="Arial"/>
      <family val="2"/>
      <charset val="162"/>
      <scheme val="minor"/>
    </font>
    <font>
      <u/>
      <sz val="10"/>
      <color indexed="12"/>
      <name val="Verdana"/>
      <family val="2"/>
    </font>
    <font>
      <u/>
      <sz val="11"/>
      <color theme="0"/>
      <name val="Arial"/>
      <family val="2"/>
      <charset val="162"/>
      <scheme val="minor"/>
    </font>
    <font>
      <sz val="13"/>
      <color rgb="FFFFC000"/>
      <name val="Arial"/>
      <family val="2"/>
      <charset val="162"/>
      <scheme val="minor"/>
    </font>
    <font>
      <b/>
      <sz val="11"/>
      <color theme="1"/>
      <name val="Arial"/>
      <family val="2"/>
      <charset val="162"/>
      <scheme val="minor"/>
    </font>
    <font>
      <sz val="10"/>
      <name val="Arial"/>
      <family val="2"/>
      <charset val="162"/>
    </font>
    <font>
      <sz val="11"/>
      <name val="Arial"/>
      <family val="2"/>
      <charset val="162"/>
      <scheme val="minor"/>
    </font>
    <font>
      <b/>
      <u/>
      <sz val="11"/>
      <name val="Arial"/>
      <family val="2"/>
      <charset val="162"/>
      <scheme val="minor"/>
    </font>
    <font>
      <b/>
      <sz val="11"/>
      <name val="Arial"/>
      <family val="2"/>
      <charset val="162"/>
      <scheme val="minor"/>
    </font>
    <font>
      <sz val="13"/>
      <color theme="0" tint="-4.9989318521683403E-2"/>
      <name val="Arial"/>
      <family val="2"/>
      <charset val="162"/>
      <scheme val="minor"/>
    </font>
    <font>
      <b/>
      <i/>
      <sz val="16"/>
      <color theme="0" tint="-4.9989318521683403E-2"/>
      <name val="Arial"/>
      <family val="2"/>
      <charset val="162"/>
      <scheme val="minor"/>
    </font>
    <font>
      <sz val="13"/>
      <color theme="1"/>
      <name val="Arial"/>
      <family val="2"/>
      <charset val="162"/>
      <scheme val="minor"/>
    </font>
    <font>
      <sz val="13"/>
      <color theme="1"/>
      <name val="Arial"/>
      <family val="2"/>
      <scheme val="minor"/>
    </font>
    <font>
      <sz val="13"/>
      <color rgb="FFFFC000"/>
      <name val="Arial"/>
      <family val="2"/>
      <scheme val="minor"/>
    </font>
    <font>
      <sz val="13"/>
      <color theme="0" tint="-4.9989318521683403E-2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i/>
      <sz val="16"/>
      <color theme="0" tint="-4.9989318521683403E-2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i/>
      <sz val="11"/>
      <name val="Arial"/>
      <family val="2"/>
      <scheme val="minor"/>
    </font>
    <font>
      <b/>
      <i/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i/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1"/>
      <color theme="6" tint="-0.499984740745262"/>
      <name val="Arial"/>
      <family val="2"/>
      <scheme val="minor"/>
    </font>
    <font>
      <b/>
      <sz val="11"/>
      <color theme="4" tint="-0.499984740745262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0"/>
      <name val="Arial"/>
      <family val="2"/>
      <scheme val="minor"/>
    </font>
    <font>
      <u/>
      <sz val="11"/>
      <color theme="0"/>
      <name val="Arial"/>
      <family val="2"/>
      <scheme val="minor"/>
    </font>
    <font>
      <b/>
      <sz val="12"/>
      <color theme="9" tint="-0.499984740745262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11"/>
      <color rgb="FF595959"/>
      <name val="Arial"/>
      <family val="2"/>
      <charset val="162"/>
      <scheme val="minor"/>
    </font>
    <font>
      <b/>
      <sz val="12"/>
      <color rgb="FF595959"/>
      <name val="Arial"/>
      <family val="2"/>
      <charset val="162"/>
      <scheme val="minor"/>
    </font>
    <font>
      <b/>
      <u/>
      <sz val="11"/>
      <color rgb="FF595959"/>
      <name val="Arial"/>
      <family val="2"/>
      <charset val="162"/>
      <scheme val="minor"/>
    </font>
    <font>
      <sz val="11"/>
      <color rgb="FF595959"/>
      <name val="Arial"/>
      <family val="2"/>
      <scheme val="minor"/>
    </font>
    <font>
      <sz val="8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3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499984740745262"/>
      </right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499984740745262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499984740745262"/>
      </right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499984740745262"/>
      </right>
      <top style="thin">
        <color theme="4" tint="-0.24994659260841701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9" tint="0.39994506668294322"/>
      </left>
      <right/>
      <top style="medium">
        <color theme="9" tint="0.39994506668294322"/>
      </top>
      <bottom/>
      <diagonal/>
    </border>
    <border>
      <left/>
      <right/>
      <top style="medium">
        <color theme="9" tint="0.39994506668294322"/>
      </top>
      <bottom/>
      <diagonal/>
    </border>
    <border>
      <left/>
      <right style="medium">
        <color theme="9" tint="0.39994506668294322"/>
      </right>
      <top style="medium">
        <color theme="9" tint="0.39994506668294322"/>
      </top>
      <bottom/>
      <diagonal/>
    </border>
    <border>
      <left style="medium">
        <color theme="9" tint="0.39994506668294322"/>
      </left>
      <right/>
      <top/>
      <bottom/>
      <diagonal/>
    </border>
    <border>
      <left/>
      <right style="medium">
        <color theme="9" tint="0.39994506668294322"/>
      </right>
      <top/>
      <bottom/>
      <diagonal/>
    </border>
    <border>
      <left style="medium">
        <color theme="9" tint="0.39994506668294322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medium">
        <color theme="9" tint="0.39994506668294322"/>
      </left>
      <right/>
      <top style="dashed">
        <color theme="0" tint="-4.9989318521683403E-2"/>
      </top>
      <bottom style="medium">
        <color theme="9" tint="0.39994506668294322"/>
      </bottom>
      <diagonal/>
    </border>
    <border>
      <left/>
      <right/>
      <top style="dashed">
        <color theme="0" tint="-4.9989318521683403E-2"/>
      </top>
      <bottom style="medium">
        <color theme="9" tint="0.39994506668294322"/>
      </bottom>
      <diagonal/>
    </border>
    <border>
      <left/>
      <right style="medium">
        <color theme="9" tint="0.39994506668294322"/>
      </right>
      <top/>
      <bottom style="medium">
        <color theme="9" tint="0.39994506668294322"/>
      </bottom>
      <diagonal/>
    </border>
    <border>
      <left style="medium">
        <color theme="9" tint="0.39994506668294322"/>
      </left>
      <right/>
      <top style="medium">
        <color theme="9" tint="0.39991454817346722"/>
      </top>
      <bottom style="dashed">
        <color theme="0" tint="-4.9989318521683403E-2"/>
      </bottom>
      <diagonal/>
    </border>
    <border>
      <left/>
      <right/>
      <top style="medium">
        <color theme="9" tint="0.39991454817346722"/>
      </top>
      <bottom style="dashed">
        <color theme="0" tint="-4.9989318521683403E-2"/>
      </bottom>
      <diagonal/>
    </border>
    <border>
      <left/>
      <right style="medium">
        <color theme="9" tint="0.39994506668294322"/>
      </right>
      <top style="medium">
        <color theme="9" tint="0.3999145481734672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/>
      </left>
      <right/>
      <top style="thin">
        <color theme="0" tint="-0.24994659260841701"/>
      </top>
      <bottom style="thin">
        <color theme="9"/>
      </bottom>
      <diagonal/>
    </border>
    <border>
      <left/>
      <right/>
      <top style="thin">
        <color theme="0" tint="-0.24994659260841701"/>
      </top>
      <bottom style="thin">
        <color theme="9"/>
      </bottom>
      <diagonal/>
    </border>
    <border>
      <left/>
      <right style="thin">
        <color theme="9"/>
      </right>
      <top style="thin">
        <color theme="0" tint="-0.24994659260841701"/>
      </top>
      <bottom style="thin">
        <color theme="9"/>
      </bottom>
      <diagonal/>
    </border>
    <border>
      <left style="medium">
        <color theme="3" tint="0.59996337778862885"/>
      </left>
      <right/>
      <top style="medium">
        <color theme="3" tint="0.59996337778862885"/>
      </top>
      <bottom/>
      <diagonal/>
    </border>
    <border>
      <left/>
      <right/>
      <top style="medium">
        <color theme="3" tint="0.59996337778862885"/>
      </top>
      <bottom/>
      <diagonal/>
    </border>
    <border>
      <left/>
      <right style="medium">
        <color theme="3" tint="0.59996337778862885"/>
      </right>
      <top style="medium">
        <color theme="3" tint="0.59996337778862885"/>
      </top>
      <bottom/>
      <diagonal/>
    </border>
    <border>
      <left/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3" tint="0.59996337778862885"/>
      </left>
      <right/>
      <top style="thin">
        <color theme="0" tint="-4.9989318521683403E-2"/>
      </top>
      <bottom style="medium">
        <color theme="3" tint="0.59996337778862885"/>
      </bottom>
      <diagonal/>
    </border>
    <border>
      <left/>
      <right/>
      <top style="thin">
        <color theme="0" tint="-4.9989318521683403E-2"/>
      </top>
      <bottom style="medium">
        <color theme="3" tint="0.59996337778862885"/>
      </bottom>
      <diagonal/>
    </border>
    <border>
      <left/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theme="3" tint="0.59996337778862885"/>
      </left>
      <right/>
      <top/>
      <bottom style="medium">
        <color theme="3" tint="0.59996337778862885"/>
      </bottom>
      <diagonal/>
    </border>
    <border>
      <left/>
      <right/>
      <top/>
      <bottom style="medium">
        <color theme="3" tint="0.59996337778862885"/>
      </bottom>
      <diagonal/>
    </border>
  </borders>
  <cellStyleXfs count="6">
    <xf numFmtId="0" fontId="0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2" fillId="0" borderId="0"/>
  </cellStyleXfs>
  <cellXfs count="244">
    <xf numFmtId="0" fontId="0" fillId="0" borderId="0" xfId="0"/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7" fillId="5" borderId="0" xfId="0" applyNumberFormat="1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1" applyFill="1" applyAlignment="1">
      <alignment vertical="center"/>
    </xf>
    <xf numFmtId="0" fontId="5" fillId="2" borderId="0" xfId="0" applyFont="1" applyFill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vertical="center"/>
    </xf>
    <xf numFmtId="0" fontId="0" fillId="7" borderId="0" xfId="0" applyFill="1"/>
    <xf numFmtId="0" fontId="9" fillId="7" borderId="0" xfId="2" applyFont="1" applyFill="1" applyBorder="1" applyAlignment="1" applyProtection="1">
      <alignment vertical="center"/>
    </xf>
    <xf numFmtId="0" fontId="0" fillId="7" borderId="0" xfId="0" applyFill="1" applyAlignment="1">
      <alignment horizontal="center"/>
    </xf>
    <xf numFmtId="0" fontId="13" fillId="2" borderId="0" xfId="4" applyFont="1" applyFill="1" applyAlignment="1" applyProtection="1">
      <alignment vertical="center"/>
      <protection locked="0"/>
    </xf>
    <xf numFmtId="0" fontId="14" fillId="2" borderId="0" xfId="4" applyFont="1" applyFill="1" applyAlignment="1" applyProtection="1">
      <alignment vertical="center"/>
      <protection locked="0"/>
    </xf>
    <xf numFmtId="0" fontId="15" fillId="2" borderId="0" xfId="4" applyFont="1" applyFill="1" applyAlignment="1" applyProtection="1">
      <alignment vertical="center"/>
      <protection locked="0"/>
    </xf>
    <xf numFmtId="49" fontId="10" fillId="3" borderId="0" xfId="0" applyNumberFormat="1" applyFont="1" applyFill="1" applyAlignment="1">
      <alignment horizontal="left" vertical="center" indent="1"/>
    </xf>
    <xf numFmtId="0" fontId="16" fillId="4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49" fontId="10" fillId="3" borderId="0" xfId="0" applyNumberFormat="1" applyFont="1" applyFill="1" applyAlignment="1">
      <alignment horizontal="left" vertical="center" indent="2"/>
    </xf>
    <xf numFmtId="49" fontId="7" fillId="5" borderId="0" xfId="0" applyNumberFormat="1" applyFont="1" applyFill="1" applyAlignment="1">
      <alignment horizontal="left" vertical="center" indent="2"/>
    </xf>
    <xf numFmtId="0" fontId="0" fillId="2" borderId="0" xfId="0" applyFill="1"/>
    <xf numFmtId="0" fontId="2" fillId="0" borderId="9" xfId="5" applyBorder="1" applyAlignment="1">
      <alignment horizontal="left" wrapText="1" indent="1"/>
    </xf>
    <xf numFmtId="0" fontId="2" fillId="2" borderId="0" xfId="5" applyFill="1"/>
    <xf numFmtId="0" fontId="2" fillId="0" borderId="10" xfId="5" applyBorder="1" applyAlignment="1">
      <alignment horizontal="left" indent="1"/>
    </xf>
    <xf numFmtId="0" fontId="2" fillId="0" borderId="10" xfId="5" applyBorder="1" applyAlignment="1">
      <alignment horizontal="left" vertical="center" wrapText="1" indent="1"/>
    </xf>
    <xf numFmtId="0" fontId="2" fillId="0" borderId="10" xfId="5" applyBorder="1" applyAlignment="1">
      <alignment horizontal="left" vertical="top" wrapText="1" indent="2"/>
    </xf>
    <xf numFmtId="0" fontId="11" fillId="0" borderId="10" xfId="5" applyFont="1" applyBorder="1" applyAlignment="1">
      <alignment horizontal="left" indent="1"/>
    </xf>
    <xf numFmtId="0" fontId="2" fillId="0" borderId="11" xfId="5" applyBorder="1" applyAlignment="1">
      <alignment horizontal="left" indent="1"/>
    </xf>
    <xf numFmtId="0" fontId="1" fillId="0" borderId="10" xfId="5" applyFont="1" applyBorder="1" applyAlignment="1">
      <alignment horizontal="left" indent="1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9" fontId="20" fillId="3" borderId="0" xfId="0" applyNumberFormat="1" applyFont="1" applyFill="1" applyAlignment="1">
      <alignment horizontal="left" vertical="center" indent="1"/>
    </xf>
    <xf numFmtId="0" fontId="19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9" fontId="23" fillId="5" borderId="0" xfId="0" applyNumberFormat="1" applyFont="1" applyFill="1" applyAlignment="1">
      <alignment horizontal="left" vertical="center" indent="1"/>
    </xf>
    <xf numFmtId="0" fontId="23" fillId="5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0" fillId="2" borderId="0" xfId="1" applyFont="1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40" fillId="7" borderId="0" xfId="2" applyFont="1" applyFill="1" applyBorder="1" applyAlignment="1" applyProtection="1">
      <alignment vertical="center"/>
    </xf>
    <xf numFmtId="0" fontId="25" fillId="14" borderId="14" xfId="0" applyFont="1" applyFill="1" applyBorder="1" applyAlignment="1">
      <alignment horizontal="center" vertical="center" shrinkToFit="1"/>
    </xf>
    <xf numFmtId="165" fontId="27" fillId="0" borderId="49" xfId="0" applyNumberFormat="1" applyFont="1" applyBorder="1" applyAlignment="1" applyProtection="1">
      <alignment horizontal="right" vertical="center" shrinkToFit="1"/>
      <protection locked="0"/>
    </xf>
    <xf numFmtId="165" fontId="27" fillId="0" borderId="48" xfId="0" applyNumberFormat="1" applyFont="1" applyBorder="1" applyAlignment="1" applyProtection="1">
      <alignment horizontal="right" vertical="center" shrinkToFit="1"/>
      <protection locked="0"/>
    </xf>
    <xf numFmtId="165" fontId="27" fillId="0" borderId="0" xfId="0" applyNumberFormat="1" applyFont="1" applyAlignment="1" applyProtection="1">
      <alignment horizontal="right" vertical="center" shrinkToFit="1"/>
      <protection locked="0"/>
    </xf>
    <xf numFmtId="165" fontId="27" fillId="0" borderId="46" xfId="0" applyNumberFormat="1" applyFont="1" applyBorder="1" applyAlignment="1" applyProtection="1">
      <alignment horizontal="right" vertical="center" shrinkToFit="1"/>
      <protection locked="0"/>
    </xf>
    <xf numFmtId="0" fontId="30" fillId="0" borderId="47" xfId="0" applyFont="1" applyBorder="1" applyAlignment="1" applyProtection="1">
      <alignment horizontal="right" vertical="center" shrinkToFit="1"/>
      <protection locked="0"/>
    </xf>
    <xf numFmtId="165" fontId="26" fillId="0" borderId="0" xfId="0" applyNumberFormat="1" applyFont="1" applyAlignment="1">
      <alignment horizontal="right" vertical="center" shrinkToFit="1"/>
    </xf>
    <xf numFmtId="0" fontId="25" fillId="0" borderId="0" xfId="0" applyFont="1" applyAlignment="1">
      <alignment horizontal="center" vertical="center" shrinkToFit="1"/>
    </xf>
    <xf numFmtId="164" fontId="33" fillId="0" borderId="38" xfId="0" applyNumberFormat="1" applyFont="1" applyBorder="1" applyAlignment="1" applyProtection="1">
      <alignment horizontal="right" vertical="center" shrinkToFit="1"/>
      <protection locked="0"/>
    </xf>
    <xf numFmtId="164" fontId="33" fillId="0" borderId="37" xfId="0" applyNumberFormat="1" applyFont="1" applyBorder="1" applyAlignment="1" applyProtection="1">
      <alignment horizontal="right" vertical="center" shrinkToFit="1"/>
      <protection locked="0"/>
    </xf>
    <xf numFmtId="0" fontId="30" fillId="0" borderId="36" xfId="0" applyFont="1" applyBorder="1" applyAlignment="1" applyProtection="1">
      <alignment horizontal="right" vertical="center" shrinkToFit="1"/>
      <protection locked="0"/>
    </xf>
    <xf numFmtId="164" fontId="33" fillId="0" borderId="0" xfId="0" applyNumberFormat="1" applyFont="1" applyAlignment="1" applyProtection="1">
      <alignment horizontal="right" vertical="center" shrinkToFit="1"/>
      <protection locked="0"/>
    </xf>
    <xf numFmtId="164" fontId="33" fillId="0" borderId="35" xfId="0" applyNumberFormat="1" applyFont="1" applyBorder="1" applyAlignment="1" applyProtection="1">
      <alignment horizontal="right" vertical="center" shrinkToFit="1"/>
      <protection locked="0"/>
    </xf>
    <xf numFmtId="0" fontId="30" fillId="0" borderId="34" xfId="0" applyFont="1" applyBorder="1" applyAlignment="1" applyProtection="1">
      <alignment horizontal="right" vertical="center" shrinkToFit="1"/>
      <protection locked="0"/>
    </xf>
    <xf numFmtId="164" fontId="27" fillId="0" borderId="0" xfId="0" applyNumberFormat="1" applyFont="1" applyAlignment="1" applyProtection="1">
      <alignment horizontal="right" vertical="center" shrinkToFit="1"/>
      <protection locked="0"/>
    </xf>
    <xf numFmtId="164" fontId="27" fillId="0" borderId="35" xfId="0" applyNumberFormat="1" applyFont="1" applyBorder="1" applyAlignment="1" applyProtection="1">
      <alignment horizontal="right" vertical="center" shrinkToFit="1"/>
      <protection locked="0"/>
    </xf>
    <xf numFmtId="164" fontId="27" fillId="0" borderId="33" xfId="0" applyNumberFormat="1" applyFont="1" applyBorder="1" applyAlignment="1" applyProtection="1">
      <alignment horizontal="right" vertical="center" shrinkToFit="1"/>
      <protection locked="0"/>
    </xf>
    <xf numFmtId="164" fontId="27" fillId="0" borderId="32" xfId="0" applyNumberFormat="1" applyFont="1" applyBorder="1" applyAlignment="1" applyProtection="1">
      <alignment horizontal="right" vertical="center" shrinkToFit="1"/>
      <protection locked="0"/>
    </xf>
    <xf numFmtId="0" fontId="32" fillId="0" borderId="0" xfId="0" applyFont="1" applyAlignment="1">
      <alignment horizontal="left" vertical="center" shrinkToFit="1"/>
    </xf>
    <xf numFmtId="164" fontId="25" fillId="0" borderId="0" xfId="0" applyNumberFormat="1" applyFont="1" applyAlignment="1">
      <alignment horizontal="right" vertical="center" shrinkToFit="1"/>
    </xf>
    <xf numFmtId="0" fontId="35" fillId="0" borderId="0" xfId="0" applyFont="1" applyAlignment="1">
      <alignment horizontal="center" vertical="center" shrinkToFit="1"/>
    </xf>
    <xf numFmtId="0" fontId="30" fillId="0" borderId="24" xfId="0" applyFont="1" applyBorder="1" applyAlignment="1" applyProtection="1">
      <alignment horizontal="right" vertical="center" shrinkToFit="1"/>
      <protection locked="0"/>
    </xf>
    <xf numFmtId="164" fontId="33" fillId="0" borderId="23" xfId="0" applyNumberFormat="1" applyFont="1" applyBorder="1" applyAlignment="1" applyProtection="1">
      <alignment horizontal="right" vertical="center" shrinkToFit="1"/>
      <protection locked="0"/>
    </xf>
    <xf numFmtId="164" fontId="33" fillId="0" borderId="22" xfId="0" applyNumberFormat="1" applyFont="1" applyBorder="1" applyAlignment="1" applyProtection="1">
      <alignment horizontal="right" vertical="center" shrinkToFit="1"/>
      <protection locked="0"/>
    </xf>
    <xf numFmtId="0" fontId="30" fillId="0" borderId="21" xfId="0" applyFont="1" applyBorder="1" applyAlignment="1" applyProtection="1">
      <alignment horizontal="right" vertical="center" shrinkToFit="1"/>
      <protection locked="0"/>
    </xf>
    <xf numFmtId="164" fontId="33" fillId="0" borderId="20" xfId="0" applyNumberFormat="1" applyFont="1" applyBorder="1" applyAlignment="1" applyProtection="1">
      <alignment horizontal="right" vertical="center" shrinkToFit="1"/>
      <protection locked="0"/>
    </xf>
    <xf numFmtId="0" fontId="30" fillId="0" borderId="19" xfId="0" applyFont="1" applyBorder="1" applyAlignment="1" applyProtection="1">
      <alignment horizontal="right" vertical="center" shrinkToFit="1"/>
      <protection locked="0"/>
    </xf>
    <xf numFmtId="164" fontId="33" fillId="0" borderId="18" xfId="0" applyNumberFormat="1" applyFont="1" applyBorder="1" applyAlignment="1" applyProtection="1">
      <alignment horizontal="right" vertical="center" shrinkToFit="1"/>
      <protection locked="0"/>
    </xf>
    <xf numFmtId="164" fontId="33" fillId="0" borderId="17" xfId="0" applyNumberFormat="1" applyFont="1" applyBorder="1" applyAlignment="1" applyProtection="1">
      <alignment horizontal="right" vertical="center" shrinkToFit="1"/>
      <protection locked="0"/>
    </xf>
    <xf numFmtId="0" fontId="26" fillId="0" borderId="0" xfId="0" applyFont="1" applyAlignment="1">
      <alignment vertical="center" shrinkToFit="1"/>
    </xf>
    <xf numFmtId="0" fontId="36" fillId="0" borderId="0" xfId="0" applyFont="1" applyAlignment="1">
      <alignment vertical="center" shrinkToFit="1"/>
    </xf>
    <xf numFmtId="164" fontId="26" fillId="0" borderId="0" xfId="0" applyNumberFormat="1" applyFont="1" applyAlignment="1">
      <alignment horizontal="right" vertical="center" shrinkToFit="1"/>
    </xf>
    <xf numFmtId="164" fontId="37" fillId="0" borderId="12" xfId="0" applyNumberFormat="1" applyFont="1" applyBorder="1" applyAlignment="1" applyProtection="1">
      <alignment horizontal="right" vertical="center" shrinkToFit="1"/>
      <protection locked="0"/>
    </xf>
    <xf numFmtId="164" fontId="37" fillId="0" borderId="53" xfId="0" applyNumberFormat="1" applyFont="1" applyBorder="1" applyAlignment="1" applyProtection="1">
      <alignment horizontal="right" vertical="center" shrinkToFit="1"/>
      <protection locked="0"/>
    </xf>
    <xf numFmtId="0" fontId="30" fillId="0" borderId="0" xfId="0" applyFont="1" applyAlignment="1" applyProtection="1">
      <alignment horizontal="right" vertical="center" shrinkToFit="1"/>
      <protection locked="0"/>
    </xf>
    <xf numFmtId="49" fontId="20" fillId="3" borderId="0" xfId="0" applyNumberFormat="1" applyFont="1" applyFill="1" applyAlignment="1">
      <alignment horizontal="left" vertical="center" indent="5"/>
    </xf>
    <xf numFmtId="49" fontId="23" fillId="5" borderId="0" xfId="0" applyNumberFormat="1" applyFont="1" applyFill="1" applyAlignment="1">
      <alignment horizontal="left" vertical="center" indent="5"/>
    </xf>
    <xf numFmtId="49" fontId="10" fillId="3" borderId="0" xfId="0" applyNumberFormat="1" applyFont="1" applyFill="1" applyAlignment="1">
      <alignment horizontal="left" vertical="center" indent="5"/>
    </xf>
    <xf numFmtId="49" fontId="7" fillId="5" borderId="0" xfId="0" applyNumberFormat="1" applyFont="1" applyFill="1" applyAlignment="1">
      <alignment horizontal="left" vertical="center" indent="5"/>
    </xf>
    <xf numFmtId="0" fontId="44" fillId="0" borderId="62" xfId="0" applyFont="1" applyBorder="1" applyAlignment="1" applyProtection="1">
      <alignment horizontal="centerContinuous" vertical="center"/>
      <protection hidden="1"/>
    </xf>
    <xf numFmtId="0" fontId="44" fillId="15" borderId="0" xfId="0" applyFont="1" applyFill="1" applyAlignment="1">
      <alignment horizontal="centerContinuous" vertical="center"/>
    </xf>
    <xf numFmtId="0" fontId="26" fillId="16" borderId="56" xfId="0" applyFont="1" applyFill="1" applyBorder="1" applyAlignment="1">
      <alignment horizontal="right" vertical="center" shrinkToFit="1"/>
    </xf>
    <xf numFmtId="0" fontId="47" fillId="16" borderId="57" xfId="0" applyFont="1" applyFill="1" applyBorder="1"/>
    <xf numFmtId="0" fontId="5" fillId="0" borderId="0" xfId="0" applyFont="1"/>
    <xf numFmtId="0" fontId="44" fillId="15" borderId="59" xfId="0" applyFont="1" applyFill="1" applyBorder="1" applyAlignment="1">
      <alignment horizontal="centerContinuous" vertical="center"/>
    </xf>
    <xf numFmtId="0" fontId="44" fillId="15" borderId="60" xfId="0" applyFont="1" applyFill="1" applyBorder="1" applyAlignment="1">
      <alignment horizontal="centerContinuous" vertical="center"/>
    </xf>
    <xf numFmtId="0" fontId="44" fillId="15" borderId="61" xfId="0" applyFont="1" applyFill="1" applyBorder="1" applyAlignment="1">
      <alignment horizontal="centerContinuous" vertical="center"/>
    </xf>
    <xf numFmtId="0" fontId="44" fillId="15" borderId="62" xfId="0" applyFont="1" applyFill="1" applyBorder="1" applyAlignment="1">
      <alignment horizontal="centerContinuous" vertical="center"/>
    </xf>
    <xf numFmtId="0" fontId="44" fillId="15" borderId="63" xfId="0" applyFont="1" applyFill="1" applyBorder="1" applyAlignment="1">
      <alignment horizontal="centerContinuous" vertical="center"/>
    </xf>
    <xf numFmtId="0" fontId="13" fillId="17" borderId="68" xfId="0" applyFont="1" applyFill="1" applyBorder="1" applyAlignment="1">
      <alignment horizontal="left" vertical="center" indent="1"/>
    </xf>
    <xf numFmtId="0" fontId="13" fillId="17" borderId="69" xfId="0" applyFont="1" applyFill="1" applyBorder="1" applyAlignment="1">
      <alignment horizontal="center" vertical="center"/>
    </xf>
    <xf numFmtId="0" fontId="13" fillId="17" borderId="64" xfId="0" applyFont="1" applyFill="1" applyBorder="1" applyAlignment="1">
      <alignment horizontal="left" vertical="center" indent="1"/>
    </xf>
    <xf numFmtId="0" fontId="13" fillId="17" borderId="55" xfId="0" applyFont="1" applyFill="1" applyBorder="1" applyAlignment="1">
      <alignment horizontal="center" vertical="center"/>
    </xf>
    <xf numFmtId="0" fontId="15" fillId="17" borderId="64" xfId="0" applyFont="1" applyFill="1" applyBorder="1" applyAlignment="1">
      <alignment horizontal="right" vertical="center"/>
    </xf>
    <xf numFmtId="0" fontId="15" fillId="17" borderId="65" xfId="0" applyFont="1" applyFill="1" applyBorder="1" applyAlignment="1">
      <alignment horizontal="right" vertical="center"/>
    </xf>
    <xf numFmtId="0" fontId="13" fillId="17" borderId="66" xfId="0" applyFont="1" applyFill="1" applyBorder="1" applyAlignment="1">
      <alignment horizontal="center" vertical="center"/>
    </xf>
    <xf numFmtId="166" fontId="13" fillId="15" borderId="70" xfId="0" applyNumberFormat="1" applyFont="1" applyFill="1" applyBorder="1" applyAlignment="1" applyProtection="1">
      <alignment horizontal="right" vertical="center"/>
      <protection hidden="1"/>
    </xf>
    <xf numFmtId="166" fontId="13" fillId="15" borderId="63" xfId="0" applyNumberFormat="1" applyFont="1" applyFill="1" applyBorder="1" applyAlignment="1" applyProtection="1">
      <alignment horizontal="right" vertical="center"/>
      <protection hidden="1"/>
    </xf>
    <xf numFmtId="166" fontId="15" fillId="15" borderId="63" xfId="0" applyNumberFormat="1" applyFont="1" applyFill="1" applyBorder="1" applyAlignment="1" applyProtection="1">
      <alignment horizontal="right" vertical="center"/>
      <protection hidden="1"/>
    </xf>
    <xf numFmtId="166" fontId="15" fillId="15" borderId="67" xfId="0" applyNumberFormat="1" applyFont="1" applyFill="1" applyBorder="1" applyAlignment="1" applyProtection="1">
      <alignment horizontal="right" vertical="center"/>
      <protection hidden="1"/>
    </xf>
    <xf numFmtId="0" fontId="5" fillId="15" borderId="0" xfId="0" applyFont="1" applyFill="1"/>
    <xf numFmtId="0" fontId="44" fillId="15" borderId="0" xfId="0" applyFont="1" applyFill="1" applyAlignment="1">
      <alignment vertical="center"/>
    </xf>
    <xf numFmtId="0" fontId="11" fillId="15" borderId="0" xfId="0" applyFont="1" applyFill="1" applyAlignment="1">
      <alignment vertical="center"/>
    </xf>
    <xf numFmtId="167" fontId="42" fillId="15" borderId="0" xfId="0" applyNumberFormat="1" applyFont="1" applyFill="1" applyAlignment="1" applyProtection="1">
      <alignment horizontal="right" vertical="center"/>
      <protection hidden="1"/>
    </xf>
    <xf numFmtId="169" fontId="0" fillId="15" borderId="0" xfId="0" applyNumberFormat="1" applyFill="1" applyAlignment="1" applyProtection="1">
      <alignment horizontal="right" vertical="center"/>
      <protection hidden="1"/>
    </xf>
    <xf numFmtId="169" fontId="0" fillId="15" borderId="0" xfId="0" applyNumberFormat="1" applyFill="1" applyAlignment="1">
      <alignment horizontal="right" vertical="center"/>
    </xf>
    <xf numFmtId="0" fontId="42" fillId="15" borderId="4" xfId="0" applyFont="1" applyFill="1" applyBorder="1" applyAlignment="1" applyProtection="1">
      <alignment horizontal="left" vertical="center"/>
      <protection hidden="1"/>
    </xf>
    <xf numFmtId="169" fontId="42" fillId="15" borderId="0" xfId="0" applyNumberFormat="1" applyFont="1" applyFill="1" applyAlignment="1" applyProtection="1">
      <alignment horizontal="right" vertical="center"/>
      <protection hidden="1"/>
    </xf>
    <xf numFmtId="0" fontId="0" fillId="15" borderId="0" xfId="0" applyFill="1" applyAlignment="1">
      <alignment horizontal="right" vertical="center"/>
    </xf>
    <xf numFmtId="0" fontId="0" fillId="15" borderId="0" xfId="0" applyFill="1" applyAlignment="1">
      <alignment vertical="center"/>
    </xf>
    <xf numFmtId="0" fontId="42" fillId="15" borderId="0" xfId="0" applyFont="1" applyFill="1" applyAlignment="1">
      <alignment horizontal="left" vertical="center"/>
    </xf>
    <xf numFmtId="0" fontId="44" fillId="15" borderId="0" xfId="0" applyFont="1" applyFill="1" applyAlignment="1">
      <alignment horizontal="right" vertical="center"/>
    </xf>
    <xf numFmtId="0" fontId="43" fillId="15" borderId="0" xfId="0" applyFont="1" applyFill="1" applyAlignment="1">
      <alignment horizontal="right" vertical="center"/>
    </xf>
    <xf numFmtId="0" fontId="43" fillId="15" borderId="0" xfId="0" applyFont="1" applyFill="1" applyAlignment="1">
      <alignment vertical="center"/>
    </xf>
    <xf numFmtId="169" fontId="42" fillId="15" borderId="0" xfId="0" applyNumberFormat="1" applyFont="1" applyFill="1" applyAlignment="1">
      <alignment horizontal="right" vertical="center"/>
    </xf>
    <xf numFmtId="0" fontId="0" fillId="15" borderId="0" xfId="0" applyFill="1" applyAlignment="1">
      <alignment horizontal="center" vertical="center"/>
    </xf>
    <xf numFmtId="0" fontId="11" fillId="15" borderId="0" xfId="0" applyFont="1" applyFill="1" applyAlignment="1">
      <alignment horizontal="left" vertical="center"/>
    </xf>
    <xf numFmtId="0" fontId="45" fillId="15" borderId="71" xfId="0" applyFont="1" applyFill="1" applyBorder="1" applyAlignment="1">
      <alignment vertical="center"/>
    </xf>
    <xf numFmtId="0" fontId="45" fillId="15" borderId="72" xfId="0" applyFont="1" applyFill="1" applyBorder="1" applyAlignment="1">
      <alignment vertical="center"/>
    </xf>
    <xf numFmtId="0" fontId="41" fillId="15" borderId="72" xfId="0" applyFont="1" applyFill="1" applyBorder="1" applyAlignment="1">
      <alignment vertical="center"/>
    </xf>
    <xf numFmtId="0" fontId="41" fillId="15" borderId="73" xfId="0" applyFont="1" applyFill="1" applyBorder="1" applyAlignment="1">
      <alignment vertical="center"/>
    </xf>
    <xf numFmtId="0" fontId="5" fillId="15" borderId="74" xfId="0" applyFont="1" applyFill="1" applyBorder="1"/>
    <xf numFmtId="0" fontId="5" fillId="15" borderId="75" xfId="0" applyFont="1" applyFill="1" applyBorder="1"/>
    <xf numFmtId="0" fontId="46" fillId="15" borderId="74" xfId="0" applyFont="1" applyFill="1" applyBorder="1" applyAlignment="1">
      <alignment vertical="center"/>
    </xf>
    <xf numFmtId="0" fontId="11" fillId="15" borderId="75" xfId="0" applyFont="1" applyFill="1" applyBorder="1" applyAlignment="1">
      <alignment vertical="center"/>
    </xf>
    <xf numFmtId="0" fontId="42" fillId="15" borderId="74" xfId="0" applyFont="1" applyFill="1" applyBorder="1" applyAlignment="1" applyProtection="1">
      <alignment vertical="center"/>
      <protection hidden="1"/>
    </xf>
    <xf numFmtId="169" fontId="42" fillId="15" borderId="75" xfId="0" applyNumberFormat="1" applyFont="1" applyFill="1" applyBorder="1" applyAlignment="1">
      <alignment horizontal="right" vertical="center"/>
    </xf>
    <xf numFmtId="0" fontId="42" fillId="15" borderId="74" xfId="0" applyFont="1" applyFill="1" applyBorder="1" applyAlignment="1">
      <alignment vertical="center"/>
    </xf>
    <xf numFmtId="0" fontId="0" fillId="15" borderId="75" xfId="0" applyFill="1" applyBorder="1" applyAlignment="1">
      <alignment vertical="center"/>
    </xf>
    <xf numFmtId="0" fontId="43" fillId="15" borderId="75" xfId="0" applyFont="1" applyFill="1" applyBorder="1" applyAlignment="1">
      <alignment vertical="center"/>
    </xf>
    <xf numFmtId="0" fontId="42" fillId="15" borderId="76" xfId="0" applyFont="1" applyFill="1" applyBorder="1" applyAlignment="1" applyProtection="1">
      <alignment vertical="center"/>
      <protection hidden="1"/>
    </xf>
    <xf numFmtId="167" fontId="42" fillId="15" borderId="77" xfId="0" applyNumberFormat="1" applyFont="1" applyFill="1" applyBorder="1" applyAlignment="1" applyProtection="1">
      <alignment horizontal="right" vertical="center"/>
      <protection hidden="1"/>
    </xf>
    <xf numFmtId="169" fontId="42" fillId="15" borderId="77" xfId="0" applyNumberFormat="1" applyFont="1" applyFill="1" applyBorder="1" applyAlignment="1" applyProtection="1">
      <alignment horizontal="right" vertical="center"/>
      <protection hidden="1"/>
    </xf>
    <xf numFmtId="169" fontId="42" fillId="15" borderId="77" xfId="0" applyNumberFormat="1" applyFont="1" applyFill="1" applyBorder="1" applyAlignment="1">
      <alignment horizontal="right" vertical="center"/>
    </xf>
    <xf numFmtId="0" fontId="0" fillId="15" borderId="77" xfId="0" applyFill="1" applyBorder="1" applyAlignment="1">
      <alignment horizontal="center" vertical="center"/>
    </xf>
    <xf numFmtId="0" fontId="0" fillId="15" borderId="77" xfId="0" applyFill="1" applyBorder="1" applyAlignment="1">
      <alignment vertical="center"/>
    </xf>
    <xf numFmtId="0" fontId="0" fillId="15" borderId="78" xfId="0" applyFill="1" applyBorder="1" applyAlignment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2" xfId="0" applyBorder="1" applyAlignment="1" applyProtection="1">
      <alignment horizontal="center" vertical="center" shrinkToFit="1"/>
      <protection hidden="1"/>
    </xf>
    <xf numFmtId="0" fontId="0" fillId="0" borderId="3" xfId="0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0" fillId="0" borderId="1" xfId="0" applyBorder="1" applyAlignment="1">
      <alignment horizontal="left" vertical="center" shrinkToFit="1"/>
    </xf>
    <xf numFmtId="168" fontId="0" fillId="0" borderId="1" xfId="0" applyNumberFormat="1" applyBorder="1" applyAlignment="1" applyProtection="1">
      <alignment horizontal="center" vertical="center" shrinkToFit="1"/>
      <protection hidden="1"/>
    </xf>
    <xf numFmtId="168" fontId="0" fillId="0" borderId="2" xfId="0" applyNumberFormat="1" applyBorder="1" applyAlignment="1" applyProtection="1">
      <alignment horizontal="center" vertical="center" shrinkToFit="1"/>
      <protection hidden="1"/>
    </xf>
    <xf numFmtId="168" fontId="0" fillId="0" borderId="3" xfId="0" applyNumberFormat="1" applyBorder="1" applyAlignment="1" applyProtection="1">
      <alignment horizontal="center" vertical="center" shrinkToFit="1"/>
      <protection hidden="1"/>
    </xf>
    <xf numFmtId="0" fontId="0" fillId="0" borderId="6" xfId="0" applyBorder="1" applyAlignment="1">
      <alignment horizontal="left" vertical="center" shrinkToFit="1"/>
    </xf>
    <xf numFmtId="168" fontId="0" fillId="0" borderId="6" xfId="0" applyNumberFormat="1" applyBorder="1" applyAlignment="1" applyProtection="1">
      <alignment horizontal="center" vertical="center" shrinkToFit="1"/>
      <protection hidden="1"/>
    </xf>
    <xf numFmtId="168" fontId="0" fillId="0" borderId="7" xfId="0" applyNumberFormat="1" applyBorder="1" applyAlignment="1" applyProtection="1">
      <alignment horizontal="center" vertical="center" shrinkToFit="1"/>
      <protection hidden="1"/>
    </xf>
    <xf numFmtId="168" fontId="0" fillId="0" borderId="8" xfId="0" applyNumberForma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right" vertical="center" shrinkToFit="1"/>
    </xf>
    <xf numFmtId="167" fontId="0" fillId="0" borderId="0" xfId="0" applyNumberFormat="1" applyAlignment="1">
      <alignment vertical="center" shrinkToFit="1"/>
    </xf>
    <xf numFmtId="169" fontId="0" fillId="0" borderId="13" xfId="0" applyNumberFormat="1" applyBorder="1" applyAlignment="1">
      <alignment horizontal="right" vertical="center" shrinkToFit="1"/>
    </xf>
    <xf numFmtId="0" fontId="11" fillId="0" borderId="52" xfId="0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 applyProtection="1">
      <alignment horizontal="center" vertical="center" shrinkToFit="1"/>
      <protection hidden="1"/>
    </xf>
    <xf numFmtId="0" fontId="11" fillId="0" borderId="53" xfId="0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 applyProtection="1">
      <alignment vertical="center" shrinkToFit="1"/>
      <protection hidden="1"/>
    </xf>
    <xf numFmtId="167" fontId="0" fillId="0" borderId="0" xfId="0" applyNumberFormat="1" applyAlignment="1" applyProtection="1">
      <alignment horizontal="center" vertical="center" shrinkToFit="1"/>
      <protection hidden="1"/>
    </xf>
    <xf numFmtId="167" fontId="0" fillId="0" borderId="5" xfId="0" applyNumberFormat="1" applyBorder="1" applyAlignment="1" applyProtection="1">
      <alignment horizontal="center" vertical="center" shrinkToFit="1"/>
      <protection hidden="1"/>
    </xf>
    <xf numFmtId="0" fontId="11" fillId="0" borderId="10" xfId="0" applyFont="1" applyBorder="1" applyAlignment="1" applyProtection="1">
      <alignment vertical="center" shrinkToFit="1"/>
      <protection hidden="1"/>
    </xf>
    <xf numFmtId="0" fontId="11" fillId="0" borderId="11" xfId="0" applyFont="1" applyBorder="1" applyAlignment="1" applyProtection="1">
      <alignment vertical="center" shrinkToFit="1"/>
      <protection hidden="1"/>
    </xf>
    <xf numFmtId="167" fontId="0" fillId="0" borderId="6" xfId="0" applyNumberFormat="1" applyBorder="1" applyAlignment="1" applyProtection="1">
      <alignment horizontal="center" vertical="center" shrinkToFit="1"/>
      <protection hidden="1"/>
    </xf>
    <xf numFmtId="167" fontId="0" fillId="0" borderId="7" xfId="0" applyNumberFormat="1" applyBorder="1" applyAlignment="1" applyProtection="1">
      <alignment horizontal="center" vertical="center" shrinkToFit="1"/>
      <protection hidden="1"/>
    </xf>
    <xf numFmtId="167" fontId="0" fillId="0" borderId="8" xfId="0" applyNumberFormat="1" applyBorder="1" applyAlignment="1" applyProtection="1">
      <alignment horizontal="center" vertical="center" shrinkToFit="1"/>
      <protection hidden="1"/>
    </xf>
    <xf numFmtId="167" fontId="11" fillId="0" borderId="52" xfId="0" applyNumberFormat="1" applyFont="1" applyBorder="1" applyAlignment="1" applyProtection="1">
      <alignment horizontal="center" vertical="center" shrinkToFit="1"/>
      <protection hidden="1"/>
    </xf>
    <xf numFmtId="167" fontId="0" fillId="0" borderId="4" xfId="0" applyNumberForma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 shrinkToFit="1"/>
    </xf>
    <xf numFmtId="0" fontId="0" fillId="0" borderId="0" xfId="0" applyAlignment="1" applyProtection="1">
      <alignment vertical="center" shrinkToFit="1"/>
      <protection hidden="1"/>
    </xf>
    <xf numFmtId="165" fontId="29" fillId="13" borderId="44" xfId="0" applyNumberFormat="1" applyFont="1" applyFill="1" applyBorder="1" applyAlignment="1" applyProtection="1">
      <alignment horizontal="right" vertical="center" shrinkToFit="1"/>
      <protection hidden="1"/>
    </xf>
    <xf numFmtId="165" fontId="29" fillId="13" borderId="43" xfId="0" applyNumberFormat="1" applyFont="1" applyFill="1" applyBorder="1" applyAlignment="1" applyProtection="1">
      <alignment horizontal="right" vertical="center" shrinkToFit="1"/>
      <protection hidden="1"/>
    </xf>
    <xf numFmtId="165" fontId="27" fillId="12" borderId="44" xfId="0" applyNumberFormat="1" applyFont="1" applyFill="1" applyBorder="1" applyAlignment="1" applyProtection="1">
      <alignment horizontal="right" vertical="center" shrinkToFit="1"/>
      <protection hidden="1"/>
    </xf>
    <xf numFmtId="165" fontId="27" fillId="12" borderId="43" xfId="0" applyNumberFormat="1" applyFont="1" applyFill="1" applyBorder="1" applyAlignment="1" applyProtection="1">
      <alignment horizontal="right" vertical="center" shrinkToFit="1"/>
      <protection hidden="1"/>
    </xf>
    <xf numFmtId="165" fontId="25" fillId="8" borderId="41" xfId="0" applyNumberFormat="1" applyFont="1" applyFill="1" applyBorder="1" applyAlignment="1" applyProtection="1">
      <alignment horizontal="right" vertical="center" shrinkToFit="1"/>
      <protection hidden="1"/>
    </xf>
    <xf numFmtId="165" fontId="25" fillId="8" borderId="40" xfId="0" applyNumberFormat="1" applyFont="1" applyFill="1" applyBorder="1" applyAlignment="1" applyProtection="1">
      <alignment horizontal="right" vertical="center" shrinkToFit="1"/>
      <protection hidden="1"/>
    </xf>
    <xf numFmtId="164" fontId="34" fillId="11" borderId="30" xfId="0" applyNumberFormat="1" applyFont="1" applyFill="1" applyBorder="1" applyAlignment="1" applyProtection="1">
      <alignment horizontal="right" vertical="center" shrinkToFit="1"/>
      <protection hidden="1"/>
    </xf>
    <xf numFmtId="164" fontId="34" fillId="11" borderId="29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7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6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5" xfId="0" applyNumberFormat="1" applyFont="1" applyFill="1" applyBorder="1" applyAlignment="1" applyProtection="1">
      <alignment horizontal="right" vertical="center" shrinkToFit="1"/>
      <protection hidden="1"/>
    </xf>
    <xf numFmtId="164" fontId="25" fillId="9" borderId="15" xfId="0" applyNumberFormat="1" applyFont="1" applyFill="1" applyBorder="1" applyAlignment="1" applyProtection="1">
      <alignment horizontal="right" vertical="center" shrinkToFit="1"/>
      <protection hidden="1"/>
    </xf>
    <xf numFmtId="164" fontId="26" fillId="0" borderId="12" xfId="0" applyNumberFormat="1" applyFont="1" applyBorder="1" applyAlignment="1" applyProtection="1">
      <alignment horizontal="right" vertical="center" shrinkToFit="1"/>
      <protection hidden="1"/>
    </xf>
    <xf numFmtId="164" fontId="26" fillId="0" borderId="53" xfId="0" applyNumberFormat="1" applyFont="1" applyBorder="1" applyAlignment="1" applyProtection="1">
      <alignment horizontal="right" vertical="center" shrinkToFit="1"/>
      <protection hidden="1"/>
    </xf>
    <xf numFmtId="164" fontId="39" fillId="7" borderId="12" xfId="0" applyNumberFormat="1" applyFont="1" applyFill="1" applyBorder="1" applyAlignment="1" applyProtection="1">
      <alignment horizontal="right" vertical="center" shrinkToFit="1"/>
      <protection hidden="1"/>
    </xf>
    <xf numFmtId="164" fontId="39" fillId="7" borderId="53" xfId="0" applyNumberFormat="1" applyFont="1" applyFill="1" applyBorder="1" applyAlignment="1" applyProtection="1">
      <alignment horizontal="right" vertical="center" shrinkToFit="1"/>
      <protection hidden="1"/>
    </xf>
    <xf numFmtId="167" fontId="11" fillId="0" borderId="12" xfId="0" applyNumberFormat="1" applyFont="1" applyBorder="1" applyAlignment="1" applyProtection="1">
      <alignment horizontal="center" vertical="center" shrinkToFit="1"/>
      <protection hidden="1"/>
    </xf>
    <xf numFmtId="167" fontId="11" fillId="0" borderId="53" xfId="0" applyNumberFormat="1" applyFont="1" applyBorder="1" applyAlignment="1" applyProtection="1">
      <alignment horizontal="center" vertical="center" shrinkToFit="1"/>
      <protection hidden="1"/>
    </xf>
    <xf numFmtId="0" fontId="30" fillId="18" borderId="79" xfId="0" applyFont="1" applyFill="1" applyBorder="1" applyAlignment="1">
      <alignment horizontal="right" vertical="center" shrinkToFit="1"/>
    </xf>
    <xf numFmtId="0" fontId="30" fillId="18" borderId="82" xfId="0" applyFont="1" applyFill="1" applyBorder="1" applyAlignment="1">
      <alignment horizontal="right" vertical="center" shrinkToFit="1"/>
    </xf>
    <xf numFmtId="164" fontId="33" fillId="18" borderId="80" xfId="0" applyNumberFormat="1" applyFont="1" applyFill="1" applyBorder="1" applyAlignment="1">
      <alignment horizontal="right" vertical="center" shrinkToFit="1"/>
    </xf>
    <xf numFmtId="164" fontId="33" fillId="18" borderId="81" xfId="0" applyNumberFormat="1" applyFont="1" applyFill="1" applyBorder="1" applyAlignment="1">
      <alignment horizontal="right" vertical="center" shrinkToFit="1"/>
    </xf>
    <xf numFmtId="164" fontId="33" fillId="18" borderId="83" xfId="0" applyNumberFormat="1" applyFont="1" applyFill="1" applyBorder="1" applyAlignment="1">
      <alignment horizontal="right" vertical="center" shrinkToFit="1"/>
    </xf>
    <xf numFmtId="164" fontId="33" fillId="18" borderId="84" xfId="0" applyNumberFormat="1" applyFont="1" applyFill="1" applyBorder="1" applyAlignment="1">
      <alignment horizontal="right" vertical="center" shrinkToFit="1"/>
    </xf>
    <xf numFmtId="0" fontId="25" fillId="14" borderId="14" xfId="0" applyFont="1" applyFill="1" applyBorder="1" applyAlignment="1" applyProtection="1">
      <alignment horizontal="center" vertical="center" shrinkToFit="1"/>
      <protection locked="0"/>
    </xf>
    <xf numFmtId="0" fontId="25" fillId="14" borderId="51" xfId="0" applyFont="1" applyFill="1" applyBorder="1" applyAlignment="1" applyProtection="1">
      <alignment horizontal="center" vertical="center" shrinkToFit="1"/>
      <protection locked="0"/>
    </xf>
    <xf numFmtId="0" fontId="13" fillId="19" borderId="54" xfId="0" applyFont="1" applyFill="1" applyBorder="1" applyAlignment="1">
      <alignment horizontal="center" vertical="center"/>
    </xf>
    <xf numFmtId="0" fontId="44" fillId="15" borderId="85" xfId="0" applyFont="1" applyFill="1" applyBorder="1" applyAlignment="1">
      <alignment horizontal="centerContinuous" vertical="center"/>
    </xf>
    <xf numFmtId="0" fontId="44" fillId="15" borderId="86" xfId="0" applyFont="1" applyFill="1" applyBorder="1" applyAlignment="1">
      <alignment horizontal="centerContinuous" vertical="center"/>
    </xf>
    <xf numFmtId="0" fontId="44" fillId="15" borderId="87" xfId="0" applyFont="1" applyFill="1" applyBorder="1" applyAlignment="1">
      <alignment horizontal="centerContinuous" vertical="center"/>
    </xf>
    <xf numFmtId="0" fontId="13" fillId="19" borderId="89" xfId="0" applyFont="1" applyFill="1" applyBorder="1" applyAlignment="1">
      <alignment horizontal="left" vertical="center" indent="1" shrinkToFit="1"/>
    </xf>
    <xf numFmtId="166" fontId="13" fillId="15" borderId="88" xfId="0" applyNumberFormat="1" applyFont="1" applyFill="1" applyBorder="1" applyAlignment="1" applyProtection="1">
      <alignment vertical="center"/>
      <protection hidden="1"/>
    </xf>
    <xf numFmtId="0" fontId="15" fillId="19" borderId="89" xfId="0" applyFont="1" applyFill="1" applyBorder="1" applyAlignment="1">
      <alignment horizontal="right" vertical="center" shrinkToFit="1"/>
    </xf>
    <xf numFmtId="166" fontId="15" fillId="15" borderId="88" xfId="0" applyNumberFormat="1" applyFont="1" applyFill="1" applyBorder="1" applyAlignment="1" applyProtection="1">
      <alignment horizontal="right" vertical="center"/>
      <protection hidden="1"/>
    </xf>
    <xf numFmtId="166" fontId="13" fillId="15" borderId="88" xfId="0" applyNumberFormat="1" applyFont="1" applyFill="1" applyBorder="1" applyAlignment="1" applyProtection="1">
      <alignment horizontal="right" vertical="center"/>
      <protection hidden="1"/>
    </xf>
    <xf numFmtId="0" fontId="15" fillId="19" borderId="90" xfId="0" applyFont="1" applyFill="1" applyBorder="1" applyAlignment="1">
      <alignment horizontal="right" vertical="center" shrinkToFit="1"/>
    </xf>
    <xf numFmtId="0" fontId="13" fillId="19" borderId="91" xfId="0" applyFont="1" applyFill="1" applyBorder="1" applyAlignment="1">
      <alignment horizontal="center" vertical="center"/>
    </xf>
    <xf numFmtId="166" fontId="15" fillId="15" borderId="92" xfId="0" applyNumberFormat="1" applyFont="1" applyFill="1" applyBorder="1" applyAlignment="1" applyProtection="1">
      <alignment horizontal="right" vertical="center"/>
      <protection hidden="1"/>
    </xf>
    <xf numFmtId="0" fontId="13" fillId="19" borderId="93" xfId="0" applyFont="1" applyFill="1" applyBorder="1" applyAlignment="1">
      <alignment horizontal="left" vertical="center" indent="1" shrinkToFit="1"/>
    </xf>
    <xf numFmtId="0" fontId="13" fillId="19" borderId="94" xfId="0" applyFont="1" applyFill="1" applyBorder="1" applyAlignment="1">
      <alignment horizontal="center" vertical="center"/>
    </xf>
    <xf numFmtId="0" fontId="44" fillId="15" borderId="95" xfId="0" applyFont="1" applyFill="1" applyBorder="1" applyAlignment="1">
      <alignment horizontal="centerContinuous" vertical="center"/>
    </xf>
    <xf numFmtId="0" fontId="44" fillId="15" borderId="96" xfId="0" applyFont="1" applyFill="1" applyBorder="1" applyAlignment="1">
      <alignment horizontal="centerContinuous" vertical="center"/>
    </xf>
    <xf numFmtId="0" fontId="44" fillId="15" borderId="92" xfId="0" applyFont="1" applyFill="1" applyBorder="1" applyAlignment="1">
      <alignment horizontal="centerContinuous" vertical="center"/>
    </xf>
    <xf numFmtId="0" fontId="26" fillId="0" borderId="50" xfId="0" applyFont="1" applyBorder="1" applyAlignment="1">
      <alignment horizontal="left" vertical="center" shrinkToFit="1"/>
    </xf>
    <xf numFmtId="0" fontId="26" fillId="0" borderId="47" xfId="0" applyFont="1" applyBorder="1" applyAlignment="1">
      <alignment horizontal="left" vertical="center" shrinkToFit="1"/>
    </xf>
    <xf numFmtId="0" fontId="28" fillId="13" borderId="45" xfId="0" applyFont="1" applyFill="1" applyBorder="1" applyAlignment="1">
      <alignment horizontal="left" vertical="center" shrinkToFit="1"/>
    </xf>
    <xf numFmtId="0" fontId="26" fillId="12" borderId="45" xfId="0" applyFont="1" applyFill="1" applyBorder="1" applyAlignment="1">
      <alignment vertical="center" shrinkToFit="1"/>
    </xf>
    <xf numFmtId="0" fontId="25" fillId="8" borderId="42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26" fillId="11" borderId="31" xfId="0" applyFont="1" applyFill="1" applyBorder="1" applyAlignment="1">
      <alignment horizontal="left" vertical="center" shrinkToFit="1"/>
    </xf>
    <xf numFmtId="0" fontId="25" fillId="10" borderId="28" xfId="0" applyFont="1" applyFill="1" applyBorder="1" applyAlignment="1">
      <alignment horizontal="left" vertical="center" shrinkToFit="1"/>
    </xf>
    <xf numFmtId="0" fontId="25" fillId="9" borderId="16" xfId="0" applyFont="1" applyFill="1" applyBorder="1" applyAlignment="1">
      <alignment horizontal="left" vertical="center" shrinkToFit="1"/>
    </xf>
    <xf numFmtId="0" fontId="26" fillId="0" borderId="52" xfId="0" applyFont="1" applyBorder="1" applyAlignment="1">
      <alignment horizontal="left" vertical="center" shrinkToFit="1"/>
    </xf>
    <xf numFmtId="0" fontId="26" fillId="0" borderId="52" xfId="0" applyFont="1" applyBorder="1" applyAlignment="1">
      <alignment vertical="center" shrinkToFit="1"/>
    </xf>
    <xf numFmtId="0" fontId="38" fillId="0" borderId="13" xfId="0" applyFont="1" applyBorder="1" applyAlignment="1">
      <alignment vertical="center" shrinkToFit="1"/>
    </xf>
    <xf numFmtId="0" fontId="30" fillId="0" borderId="39" xfId="0" applyFont="1" applyBorder="1" applyAlignment="1" applyProtection="1">
      <alignment horizontal="right" vertical="center" shrinkToFit="1"/>
      <protection locked="0"/>
    </xf>
    <xf numFmtId="0" fontId="49" fillId="0" borderId="58" xfId="0" applyFont="1" applyBorder="1" applyAlignment="1" applyProtection="1">
      <alignment horizontal="center" vertical="center"/>
      <protection locked="0"/>
    </xf>
    <xf numFmtId="0" fontId="50" fillId="2" borderId="0" xfId="0" applyFont="1" applyFill="1" applyAlignment="1">
      <alignment horizontal="center" vertical="center" wrapText="1"/>
    </xf>
  </cellXfs>
  <cellStyles count="6">
    <cellStyle name="Normal 2" xfId="1" xr:uid="{3954E752-B4A6-4129-A4B7-AFC294856010}"/>
    <cellStyle name="Normal 2 2" xfId="4" xr:uid="{536D19DF-F8AB-4192-80B1-9D84BD191CDA}"/>
    <cellStyle name="Normal 3" xfId="3" xr:uid="{6CDF8B16-5B16-4C1E-8190-16EFBDFCEFB4}"/>
    <cellStyle name="Normal 3 2" xfId="5" xr:uid="{EBE6B589-17BD-473F-A3A7-5779EC871246}"/>
    <cellStyle name="ارتباط تشعبي" xfId="2" builtinId="8"/>
    <cellStyle name="عادي" xfId="0" builtinId="0"/>
  </cellStyles>
  <dxfs count="0"/>
  <tableStyles count="1" defaultTableStyle="TableStyleMedium2" defaultPivotStyle="PivotStyleLight16">
    <tableStyle name="Invisible" pivot="0" table="0" count="0" xr9:uid="{A15FF188-75E9-437E-BA6A-BFC066B8718F}"/>
  </tableStyles>
  <colors>
    <mruColors>
      <color rgb="FFCCCCCC"/>
      <color rgb="FFFAFAFA"/>
      <color rgb="FFFF7C80"/>
      <color rgb="FF595959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rgbClr val="595959"/>
                </a:solidFill>
              </a:rPr>
              <a:t>YEAR TOTAL EXPENSES &amp; YEAR TOTAL INCOME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Calc!$B$3</c:f>
              <c:strCache>
                <c:ptCount val="1"/>
                <c:pt idx="0">
                  <c:v>TOTAL INCOME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Calc!$C$2:$N$2</c:f>
              <c:strCache>
                <c:ptCount val="12"/>
                <c:pt idx="0">
                  <c:v>202</c:v>
                </c:pt>
                <c:pt idx="1">
                  <c:v>202</c:v>
                </c:pt>
                <c:pt idx="2">
                  <c:v>202</c:v>
                </c:pt>
                <c:pt idx="3">
                  <c:v>202</c:v>
                </c:pt>
                <c:pt idx="4">
                  <c:v>202</c:v>
                </c:pt>
                <c:pt idx="5">
                  <c:v>202</c:v>
                </c:pt>
                <c:pt idx="6">
                  <c:v>202</c:v>
                </c:pt>
                <c:pt idx="7">
                  <c:v>202</c:v>
                </c:pt>
                <c:pt idx="8">
                  <c:v>202</c:v>
                </c:pt>
                <c:pt idx="9">
                  <c:v>202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Calc!$C$3:$N$3</c:f>
              <c:numCache>
                <c:formatCode>[$$-409]#,##0</c:formatCode>
                <c:ptCount val="12"/>
                <c:pt idx="0">
                  <c:v>14907352.463369945</c:v>
                </c:pt>
                <c:pt idx="1">
                  <c:v>12750</c:v>
                </c:pt>
                <c:pt idx="2">
                  <c:v>8000</c:v>
                </c:pt>
                <c:pt idx="3">
                  <c:v>7250</c:v>
                </c:pt>
                <c:pt idx="4">
                  <c:v>14000</c:v>
                </c:pt>
                <c:pt idx="5">
                  <c:v>8500</c:v>
                </c:pt>
                <c:pt idx="6">
                  <c:v>6850</c:v>
                </c:pt>
                <c:pt idx="7">
                  <c:v>7900</c:v>
                </c:pt>
                <c:pt idx="8">
                  <c:v>5950</c:v>
                </c:pt>
                <c:pt idx="9">
                  <c:v>7000</c:v>
                </c:pt>
                <c:pt idx="10">
                  <c:v>6550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F-4B46-BF1B-8DF8610474D5}"/>
            </c:ext>
          </c:extLst>
        </c:ser>
        <c:ser>
          <c:idx val="1"/>
          <c:order val="1"/>
          <c:tx>
            <c:strRef>
              <c:f>Calc!$B$4</c:f>
              <c:strCache>
                <c:ptCount val="1"/>
                <c:pt idx="0">
                  <c:v>TOTAL EXPENSES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Calc!$C$2:$N$2</c:f>
              <c:strCache>
                <c:ptCount val="12"/>
                <c:pt idx="0">
                  <c:v>202</c:v>
                </c:pt>
                <c:pt idx="1">
                  <c:v>202</c:v>
                </c:pt>
                <c:pt idx="2">
                  <c:v>202</c:v>
                </c:pt>
                <c:pt idx="3">
                  <c:v>202</c:v>
                </c:pt>
                <c:pt idx="4">
                  <c:v>202</c:v>
                </c:pt>
                <c:pt idx="5">
                  <c:v>202</c:v>
                </c:pt>
                <c:pt idx="6">
                  <c:v>202</c:v>
                </c:pt>
                <c:pt idx="7">
                  <c:v>202</c:v>
                </c:pt>
                <c:pt idx="8">
                  <c:v>202</c:v>
                </c:pt>
                <c:pt idx="9">
                  <c:v>202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Calc!$C$4:$N$4</c:f>
              <c:numCache>
                <c:formatCode>[$$-409]#,##0</c:formatCode>
                <c:ptCount val="12"/>
                <c:pt idx="0">
                  <c:v>11876871.739999998</c:v>
                </c:pt>
                <c:pt idx="1">
                  <c:v>3900</c:v>
                </c:pt>
                <c:pt idx="2">
                  <c:v>4400</c:v>
                </c:pt>
                <c:pt idx="3">
                  <c:v>5150</c:v>
                </c:pt>
                <c:pt idx="4">
                  <c:v>4400</c:v>
                </c:pt>
                <c:pt idx="5">
                  <c:v>5250</c:v>
                </c:pt>
                <c:pt idx="6">
                  <c:v>3575</c:v>
                </c:pt>
                <c:pt idx="7">
                  <c:v>4075</c:v>
                </c:pt>
                <c:pt idx="8">
                  <c:v>4575</c:v>
                </c:pt>
                <c:pt idx="9">
                  <c:v>4325</c:v>
                </c:pt>
                <c:pt idx="10">
                  <c:v>4075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F-4B46-BF1B-8DF86104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698424"/>
        <c:axId val="213697440"/>
      </c:lineChart>
      <c:catAx>
        <c:axId val="213698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213697440"/>
        <c:crosses val="autoZero"/>
        <c:auto val="1"/>
        <c:lblAlgn val="ctr"/>
        <c:lblOffset val="20"/>
        <c:noMultiLvlLbl val="0"/>
      </c:catAx>
      <c:valAx>
        <c:axId val="21369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,##0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213698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0"/>
    <c:dispBlanksAs val="gap"/>
    <c:showDLblsOverMax val="0"/>
  </c:chart>
  <c:spPr>
    <a:solidFill>
      <a:srgbClr val="FAFAFA"/>
    </a:solidFill>
    <a:ln w="9525" cap="flat" cmpd="sng" algn="ctr">
      <a:solidFill>
        <a:schemeClr val="tx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hyperlink" Target="#Database!A5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Dashboard!A5"/><Relationship Id="rId2" Type="http://schemas.openxmlformats.org/officeDocument/2006/relationships/hyperlink" Target="#ToU!A4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ashboard!A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359682</xdr:colOff>
      <xdr:row>20</xdr:row>
      <xdr:rowOff>70704</xdr:rowOff>
    </xdr:from>
    <xdr:to>
      <xdr:col>19</xdr:col>
      <xdr:colOff>133350</xdr:colOff>
      <xdr:row>23</xdr:row>
      <xdr:rowOff>81470</xdr:rowOff>
    </xdr:to>
    <xdr:sp macro="" textlink="">
      <xdr:nvSpPr>
        <xdr:cNvPr id="3" name="yellownotes">
          <a:extLst>
            <a:ext uri="{FF2B5EF4-FFF2-40B4-BE49-F238E27FC236}">
              <a16:creationId xmlns:a16="http://schemas.microsoft.com/office/drawing/2014/main" id="{55A58A2C-1EC8-4C31-9CC6-CE8DCE7BA04B}"/>
            </a:ext>
          </a:extLst>
        </xdr:cNvPr>
        <xdr:cNvSpPr txBox="1"/>
      </xdr:nvSpPr>
      <xdr:spPr>
        <a:xfrm>
          <a:off x="10684782" y="3594954"/>
          <a:ext cx="1545318" cy="458441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r>
            <a:rPr lang="tr-T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month </a:t>
          </a:r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dropdown list</a:t>
          </a:r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see details.</a:t>
          </a:r>
          <a:endParaRPr lang="en-US" sz="1000" b="0">
            <a:effectLst/>
          </a:endParaRPr>
        </a:p>
      </xdr:txBody>
    </xdr:sp>
    <xdr:clientData fPrintsWithSheet="0"/>
  </xdr:twoCellAnchor>
  <xdr:twoCellAnchor editAs="oneCell">
    <xdr:from>
      <xdr:col>15</xdr:col>
      <xdr:colOff>37042</xdr:colOff>
      <xdr:row>20</xdr:row>
      <xdr:rowOff>61230</xdr:rowOff>
    </xdr:from>
    <xdr:to>
      <xdr:col>16</xdr:col>
      <xdr:colOff>265642</xdr:colOff>
      <xdr:row>21</xdr:row>
      <xdr:rowOff>238125</xdr:rowOff>
    </xdr:to>
    <xdr:sp macro="" textlink="">
      <xdr:nvSpPr>
        <xdr:cNvPr id="4" name="Left Arrow 1">
          <a:extLst>
            <a:ext uri="{FF2B5EF4-FFF2-40B4-BE49-F238E27FC236}">
              <a16:creationId xmlns:a16="http://schemas.microsoft.com/office/drawing/2014/main" id="{CD59335E-4724-4705-AB00-F89757632D38}"/>
            </a:ext>
          </a:extLst>
        </xdr:cNvPr>
        <xdr:cNvSpPr/>
      </xdr:nvSpPr>
      <xdr:spPr>
        <a:xfrm>
          <a:off x="10247842" y="3585480"/>
          <a:ext cx="342900" cy="262620"/>
        </a:xfrm>
        <a:prstGeom prst="leftArrow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twoCellAnchor>
  <xdr:twoCellAnchor editAs="oneCell">
    <xdr:from>
      <xdr:col>8</xdr:col>
      <xdr:colOff>640915</xdr:colOff>
      <xdr:row>1</xdr:row>
      <xdr:rowOff>80962</xdr:rowOff>
    </xdr:from>
    <xdr:to>
      <xdr:col>10</xdr:col>
      <xdr:colOff>634090</xdr:colOff>
      <xdr:row>2</xdr:row>
      <xdr:rowOff>222112</xdr:rowOff>
    </xdr:to>
    <xdr:sp macro="" textlink="">
      <xdr:nvSpPr>
        <xdr:cNvPr id="30" name="Rounded Rectangle 5">
          <a:hlinkClick xmlns:r="http://schemas.openxmlformats.org/officeDocument/2006/relationships" r:id="rId1" tooltip="Database"/>
          <a:extLst>
            <a:ext uri="{FF2B5EF4-FFF2-40B4-BE49-F238E27FC236}">
              <a16:creationId xmlns:a16="http://schemas.microsoft.com/office/drawing/2014/main" id="{024637D3-D1A2-411F-B35A-8441AA9B85DE}"/>
            </a:ext>
          </a:extLst>
        </xdr:cNvPr>
        <xdr:cNvSpPr/>
      </xdr:nvSpPr>
      <xdr:spPr>
        <a:xfrm>
          <a:off x="6451165" y="166687"/>
          <a:ext cx="1260000" cy="3888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r>
            <a:rPr lang="tr-TR" sz="1100" b="1"/>
            <a:t>DATABASE</a:t>
          </a:r>
        </a:p>
      </xdr:txBody>
    </xdr:sp>
    <xdr:clientData/>
  </xdr:twoCellAnchor>
  <xdr:twoCellAnchor editAs="oneCell">
    <xdr:from>
      <xdr:col>6</xdr:col>
      <xdr:colOff>0</xdr:colOff>
      <xdr:row>6</xdr:row>
      <xdr:rowOff>0</xdr:rowOff>
    </xdr:from>
    <xdr:to>
      <xdr:col>12</xdr:col>
      <xdr:colOff>171450</xdr:colOff>
      <xdr:row>20</xdr:row>
      <xdr:rowOff>19050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F8716F75-1D4F-4B1F-8543-ED1FA864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72000</xdr:colOff>
      <xdr:row>1</xdr:row>
      <xdr:rowOff>60225</xdr:rowOff>
    </xdr:from>
    <xdr:to>
      <xdr:col>1</xdr:col>
      <xdr:colOff>523050</xdr:colOff>
      <xdr:row>2</xdr:row>
      <xdr:rowOff>244575</xdr:rowOff>
    </xdr:to>
    <xdr:pic>
      <xdr:nvPicPr>
        <xdr:cNvPr id="43" name="mainicon">
          <a:extLst>
            <a:ext uri="{FF2B5EF4-FFF2-40B4-BE49-F238E27FC236}">
              <a16:creationId xmlns:a16="http://schemas.microsoft.com/office/drawing/2014/main" id="{F9253D98-E62F-4216-BF4C-9D32C110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650" y="145950"/>
          <a:ext cx="432000" cy="432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285749</xdr:colOff>
      <xdr:row>21</xdr:row>
      <xdr:rowOff>219074</xdr:rowOff>
    </xdr:from>
    <xdr:to>
      <xdr:col>4</xdr:col>
      <xdr:colOff>114299</xdr:colOff>
      <xdr:row>23</xdr:row>
      <xdr:rowOff>38099</xdr:rowOff>
    </xdr:to>
    <xdr:sp macro="" textlink="">
      <xdr:nvSpPr>
        <xdr:cNvPr id="2" name="سهم: مسنن إلى اليمين 1">
          <a:extLst>
            <a:ext uri="{FF2B5EF4-FFF2-40B4-BE49-F238E27FC236}">
              <a16:creationId xmlns:a16="http://schemas.microsoft.com/office/drawing/2014/main" id="{E5177095-1EC6-9D03-92E6-AD4A91735CD4}"/>
            </a:ext>
          </a:extLst>
        </xdr:cNvPr>
        <xdr:cNvSpPr/>
      </xdr:nvSpPr>
      <xdr:spPr>
        <a:xfrm>
          <a:off x="571499" y="3809999"/>
          <a:ext cx="2847975" cy="18097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E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72000</xdr:colOff>
      <xdr:row>1</xdr:row>
      <xdr:rowOff>60225</xdr:rowOff>
    </xdr:from>
    <xdr:to>
      <xdr:col>2</xdr:col>
      <xdr:colOff>389700</xdr:colOff>
      <xdr:row>2</xdr:row>
      <xdr:rowOff>244575</xdr:rowOff>
    </xdr:to>
    <xdr:pic>
      <xdr:nvPicPr>
        <xdr:cNvPr id="4" name="mainicon">
          <a:extLst>
            <a:ext uri="{FF2B5EF4-FFF2-40B4-BE49-F238E27FC236}">
              <a16:creationId xmlns:a16="http://schemas.microsoft.com/office/drawing/2014/main" id="{B6CB2B03-030A-4097-A871-4B93928D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650" y="145950"/>
          <a:ext cx="432000" cy="432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0</xdr:colOff>
      <xdr:row>56</xdr:row>
      <xdr:rowOff>4469</xdr:rowOff>
    </xdr:from>
    <xdr:to>
      <xdr:col>2</xdr:col>
      <xdr:colOff>846705</xdr:colOff>
      <xdr:row>57</xdr:row>
      <xdr:rowOff>0</xdr:rowOff>
    </xdr:to>
    <xdr:sp macro="" textlink="">
      <xdr:nvSpPr>
        <xdr:cNvPr id="10" name="termsbox">
          <a:hlinkClick xmlns:r="http://schemas.openxmlformats.org/officeDocument/2006/relationships" r:id="rId2" tooltip="Terms of Use"/>
          <a:extLst>
            <a:ext uri="{FF2B5EF4-FFF2-40B4-BE49-F238E27FC236}">
              <a16:creationId xmlns:a16="http://schemas.microsoft.com/office/drawing/2014/main" id="{9BB83075-C7D2-4926-8515-600C3CD02FE3}"/>
            </a:ext>
          </a:extLst>
        </xdr:cNvPr>
        <xdr:cNvSpPr/>
      </xdr:nvSpPr>
      <xdr:spPr>
        <a:xfrm>
          <a:off x="247650" y="6176669"/>
          <a:ext cx="961005" cy="2812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l"/>
          <a:r>
            <a:rPr lang="tr-TR" sz="1100" i="1" u="sng">
              <a:solidFill>
                <a:schemeClr val="bg1">
                  <a:lumMod val="95000"/>
                </a:schemeClr>
              </a:solidFill>
            </a:rPr>
            <a:t>Terms of Use</a:t>
          </a:r>
        </a:p>
      </xdr:txBody>
    </xdr:sp>
    <xdr:clientData fPrintsWithSheet="0"/>
  </xdr:twoCellAnchor>
  <xdr:twoCellAnchor editAs="oneCell">
    <xdr:from>
      <xdr:col>7</xdr:col>
      <xdr:colOff>777490</xdr:colOff>
      <xdr:row>1</xdr:row>
      <xdr:rowOff>54825</xdr:rowOff>
    </xdr:from>
    <xdr:to>
      <xdr:col>9</xdr:col>
      <xdr:colOff>106990</xdr:colOff>
      <xdr:row>2</xdr:row>
      <xdr:rowOff>257175</xdr:rowOff>
    </xdr:to>
    <xdr:grpSp>
      <xdr:nvGrpSpPr>
        <xdr:cNvPr id="15" name="backtomenu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A051281-DC57-489A-A264-2B7F62D336D4}"/>
            </a:ext>
          </a:extLst>
        </xdr:cNvPr>
        <xdr:cNvGrpSpPr/>
      </xdr:nvGrpSpPr>
      <xdr:grpSpPr>
        <a:xfrm>
          <a:off x="7397365" y="140550"/>
          <a:ext cx="1291650" cy="450000"/>
          <a:chOff x="6972831" y="127063"/>
          <a:chExt cx="1044000" cy="450000"/>
        </a:xfrm>
      </xdr:grpSpPr>
      <xdr:sp macro="" textlink="">
        <xdr:nvSpPr>
          <xdr:cNvPr id="16" name="Rounded Rectangle 2">
            <a:hlinkClick xmlns:r="http://schemas.openxmlformats.org/officeDocument/2006/relationships" r:id="rId3" tooltip="Go to"/>
            <a:extLst>
              <a:ext uri="{FF2B5EF4-FFF2-40B4-BE49-F238E27FC236}">
                <a16:creationId xmlns:a16="http://schemas.microsoft.com/office/drawing/2014/main" id="{4CF3CC0E-22B2-4474-BC6F-F000B4054E92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overflow" horzOverflow="overflow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17" name="Picture 16" descr="http://swiss-delicious.com/images/1024/icons/back.png">
            <a:hlinkClick xmlns:r="http://schemas.openxmlformats.org/officeDocument/2006/relationships" r:id="rId3" tooltip="Go to"/>
            <a:extLst>
              <a:ext uri="{FF2B5EF4-FFF2-40B4-BE49-F238E27FC236}">
                <a16:creationId xmlns:a16="http://schemas.microsoft.com/office/drawing/2014/main" id="{53BA4C67-71F2-4DA8-A632-CDADA984ED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  <xdr:oneCellAnchor>
    <xdr:from>
      <xdr:col>17</xdr:col>
      <xdr:colOff>417888</xdr:colOff>
      <xdr:row>5</xdr:row>
      <xdr:rowOff>19050</xdr:rowOff>
    </xdr:from>
    <xdr:ext cx="1800000" cy="927993"/>
    <xdr:sp macro="" textlink="">
      <xdr:nvSpPr>
        <xdr:cNvPr id="18" name="yellownotes">
          <a:extLst>
            <a:ext uri="{FF2B5EF4-FFF2-40B4-BE49-F238E27FC236}">
              <a16:creationId xmlns:a16="http://schemas.microsoft.com/office/drawing/2014/main" id="{20CC378A-65BB-4FED-B113-A77E3E017BF7}"/>
            </a:ext>
          </a:extLst>
        </xdr:cNvPr>
        <xdr:cNvSpPr txBox="1"/>
      </xdr:nvSpPr>
      <xdr:spPr>
        <a:xfrm>
          <a:off x="13286163" y="771525"/>
          <a:ext cx="1800000" cy="927993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change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order of the months. If your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financial year 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starts from March just update the order and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change names of the months</a:t>
          </a:r>
          <a:r>
            <a:rPr lang="tr-T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000" b="1">
            <a:effectLst/>
          </a:endParaRPr>
        </a:p>
      </xdr:txBody>
    </xdr:sp>
    <xdr:clientData fPrintsWithSheet="0"/>
  </xdr:oneCellAnchor>
  <xdr:twoCellAnchor editAs="oneCell">
    <xdr:from>
      <xdr:col>17</xdr:col>
      <xdr:colOff>0</xdr:colOff>
      <xdr:row>5</xdr:row>
      <xdr:rowOff>149101</xdr:rowOff>
    </xdr:from>
    <xdr:to>
      <xdr:col>17</xdr:col>
      <xdr:colOff>342900</xdr:colOff>
      <xdr:row>7</xdr:row>
      <xdr:rowOff>30721</xdr:rowOff>
    </xdr:to>
    <xdr:sp macro="" textlink="">
      <xdr:nvSpPr>
        <xdr:cNvPr id="22" name="Left Arrow 1">
          <a:extLst>
            <a:ext uri="{FF2B5EF4-FFF2-40B4-BE49-F238E27FC236}">
              <a16:creationId xmlns:a16="http://schemas.microsoft.com/office/drawing/2014/main" id="{60687660-A4DA-40A7-8EDA-BAF80794A75C}"/>
            </a:ext>
          </a:extLst>
        </xdr:cNvPr>
        <xdr:cNvSpPr/>
      </xdr:nvSpPr>
      <xdr:spPr>
        <a:xfrm>
          <a:off x="12868275" y="901576"/>
          <a:ext cx="342900" cy="262620"/>
        </a:xfrm>
        <a:prstGeom prst="leftArrow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250869</xdr:colOff>
      <xdr:row>1</xdr:row>
      <xdr:rowOff>19050</xdr:rowOff>
    </xdr:from>
    <xdr:to>
      <xdr:col>4</xdr:col>
      <xdr:colOff>113769</xdr:colOff>
      <xdr:row>2</xdr:row>
      <xdr:rowOff>221400</xdr:rowOff>
    </xdr:to>
    <xdr:grpSp>
      <xdr:nvGrpSpPr>
        <xdr:cNvPr id="8" name="backtomenu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C20CB0B2-5E71-422B-A5A2-B8DBB024EB30}"/>
            </a:ext>
          </a:extLst>
        </xdr:cNvPr>
        <xdr:cNvGrpSpPr/>
      </xdr:nvGrpSpPr>
      <xdr:grpSpPr>
        <a:xfrm>
          <a:off x="11747544" y="104775"/>
          <a:ext cx="1215450" cy="450000"/>
          <a:chOff x="6972831" y="127063"/>
          <a:chExt cx="1044000" cy="450000"/>
        </a:xfrm>
      </xdr:grpSpPr>
      <xdr:sp macro="" textlink="">
        <xdr:nvSpPr>
          <xdr:cNvPr id="9" name="Rounded Rectangle 2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B37A016F-4646-457C-93C7-3FC7EABCD5A3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horzOverflow="clip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10" name="Picture 9" descr="http://swiss-delicious.com/images/1024/icons/back.png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53AE99D6-3B39-49E0-A271-B4C5FF849F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118A-9BF4-489E-9E03-DE08EACEE93E}">
  <sheetPr codeName="Sheet5">
    <pageSetUpPr autoPageBreaks="0" fitToPage="1"/>
  </sheetPr>
  <dimension ref="A1:P41"/>
  <sheetViews>
    <sheetView showGridLines="0" zoomScaleNormal="100" zoomScaleSheetLayoutView="85" workbookViewId="0">
      <pane ySplit="4" topLeftCell="A5" activePane="bottomLeft" state="frozen"/>
      <selection activeCell="N8" sqref="N8"/>
      <selection pane="bottomLeft" activeCell="B22" sqref="B22:B33"/>
    </sheetView>
  </sheetViews>
  <sheetFormatPr defaultColWidth="8.875" defaultRowHeight="14.25" x14ac:dyDescent="0.2"/>
  <cols>
    <col min="1" max="1" width="3.75" style="9" customWidth="1"/>
    <col min="2" max="2" width="8.75" style="9" customWidth="1"/>
    <col min="3" max="3" width="29.125" style="9" bestFit="1" customWidth="1"/>
    <col min="4" max="4" width="1.75" style="9" customWidth="1"/>
    <col min="5" max="5" width="15.75" style="9" customWidth="1"/>
    <col min="6" max="6" width="2.75" style="9" customWidth="1"/>
    <col min="7" max="7" width="25.375" style="9" customWidth="1"/>
    <col min="8" max="8" width="18.875" style="9" customWidth="1"/>
    <col min="9" max="9" width="16.875" style="9" customWidth="1"/>
    <col min="10" max="10" width="1.75" style="9" customWidth="1"/>
    <col min="11" max="11" width="20" style="9" customWidth="1"/>
    <col min="12" max="12" width="10.875" style="9" customWidth="1"/>
    <col min="13" max="13" width="13.75" style="9" customWidth="1"/>
    <col min="14" max="16" width="1.75" style="9" customWidth="1"/>
    <col min="17" max="16384" width="8.875" style="9"/>
  </cols>
  <sheetData>
    <row r="1" spans="1:16" s="1" customFormat="1" ht="6.75" customHeight="1" x14ac:dyDescent="0.2">
      <c r="B1" s="2"/>
      <c r="E1" s="3"/>
      <c r="F1" s="3"/>
      <c r="G1" s="3"/>
    </row>
    <row r="2" spans="1:16" s="25" customFormat="1" ht="20.100000000000001" customHeight="1" x14ac:dyDescent="0.2">
      <c r="B2" s="22"/>
      <c r="C2" s="95" t="s">
        <v>38</v>
      </c>
      <c r="D2" s="26"/>
      <c r="E2" s="26"/>
      <c r="F2" s="26"/>
      <c r="G2" s="26"/>
      <c r="H2" s="26"/>
      <c r="I2" s="26"/>
      <c r="J2" s="26"/>
      <c r="K2" s="26"/>
      <c r="L2" s="23"/>
      <c r="M2" s="23"/>
      <c r="N2" s="23"/>
      <c r="O2" s="26"/>
      <c r="P2" s="27"/>
    </row>
    <row r="3" spans="1:16" s="4" customFormat="1" ht="24" customHeight="1" x14ac:dyDescent="0.2">
      <c r="B3" s="5"/>
      <c r="C3" s="96" t="s">
        <v>0</v>
      </c>
      <c r="D3" s="6"/>
      <c r="E3" s="6"/>
      <c r="F3" s="6"/>
      <c r="G3" s="6"/>
      <c r="H3" s="6"/>
      <c r="I3" s="6"/>
      <c r="J3" s="6"/>
      <c r="K3" s="6"/>
      <c r="L3" s="24"/>
      <c r="M3" s="24"/>
      <c r="N3" s="24"/>
      <c r="O3" s="6"/>
      <c r="P3" s="7"/>
    </row>
    <row r="4" spans="1:16" ht="4.9000000000000004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4.9000000000000004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6.95" customHeight="1" thickBot="1" x14ac:dyDescent="0.25">
      <c r="A6" s="8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0"/>
      <c r="P6" s="8"/>
    </row>
    <row r="7" spans="1:16" ht="15" customHeight="1" x14ac:dyDescent="0.2">
      <c r="B7" s="56"/>
      <c r="C7" s="213" t="s">
        <v>29</v>
      </c>
      <c r="D7" s="214"/>
      <c r="E7" s="215"/>
      <c r="F7"/>
      <c r="G7"/>
      <c r="H7"/>
      <c r="I7"/>
      <c r="J7"/>
      <c r="K7"/>
      <c r="L7"/>
      <c r="M7"/>
      <c r="N7"/>
      <c r="O7" s="11"/>
    </row>
    <row r="8" spans="1:16" ht="15" customHeight="1" thickBot="1" x14ac:dyDescent="0.25">
      <c r="B8" s="56"/>
      <c r="C8" s="226" t="s">
        <v>30</v>
      </c>
      <c r="D8" s="227"/>
      <c r="E8" s="228"/>
      <c r="F8"/>
      <c r="G8"/>
      <c r="H8"/>
      <c r="I8"/>
      <c r="J8"/>
      <c r="K8"/>
      <c r="L8"/>
      <c r="M8"/>
      <c r="N8"/>
      <c r="O8" s="11"/>
    </row>
    <row r="9" spans="1:16" ht="15" customHeight="1" x14ac:dyDescent="0.2">
      <c r="B9" s="56"/>
      <c r="C9" s="224" t="s">
        <v>24</v>
      </c>
      <c r="D9" s="225" t="s">
        <v>31</v>
      </c>
      <c r="E9" s="217">
        <f>SUM(Database!D8:O8)</f>
        <v>14754627.583369944</v>
      </c>
      <c r="F9"/>
      <c r="G9"/>
      <c r="H9"/>
      <c r="I9"/>
      <c r="J9"/>
      <c r="K9"/>
      <c r="L9"/>
      <c r="M9"/>
      <c r="N9"/>
      <c r="O9" s="11"/>
    </row>
    <row r="10" spans="1:16" ht="15" customHeight="1" x14ac:dyDescent="0.2">
      <c r="B10" s="56"/>
      <c r="C10" s="216" t="s">
        <v>23</v>
      </c>
      <c r="D10" s="212" t="s">
        <v>31</v>
      </c>
      <c r="E10" s="217">
        <f>SUM(Database!D9:O9)</f>
        <v>151000</v>
      </c>
      <c r="F10"/>
      <c r="G10"/>
      <c r="H10"/>
      <c r="I10"/>
      <c r="J10"/>
      <c r="K10"/>
      <c r="L10"/>
      <c r="M10"/>
      <c r="N10"/>
      <c r="O10" s="11"/>
    </row>
    <row r="11" spans="1:16" ht="15" customHeight="1" x14ac:dyDescent="0.2">
      <c r="B11" s="56"/>
      <c r="C11" s="216" t="s">
        <v>22</v>
      </c>
      <c r="D11" s="212" t="s">
        <v>31</v>
      </c>
      <c r="E11" s="217">
        <f>E9-E10</f>
        <v>14603627.583369944</v>
      </c>
      <c r="F11"/>
      <c r="G11"/>
      <c r="H11"/>
      <c r="I11"/>
      <c r="J11"/>
      <c r="K11"/>
      <c r="L11"/>
      <c r="M11"/>
      <c r="N11"/>
      <c r="O11" s="11"/>
    </row>
    <row r="12" spans="1:16" ht="15" customHeight="1" x14ac:dyDescent="0.2">
      <c r="B12" s="56"/>
      <c r="C12" s="216" t="s">
        <v>18</v>
      </c>
      <c r="D12" s="212" t="s">
        <v>31</v>
      </c>
      <c r="E12" s="217">
        <f>SUM(Database!D14:O14)</f>
        <v>388474.88</v>
      </c>
      <c r="F12"/>
      <c r="G12"/>
      <c r="H12"/>
      <c r="I12"/>
      <c r="J12"/>
      <c r="K12"/>
      <c r="L12"/>
      <c r="M12"/>
      <c r="N12"/>
      <c r="O12" s="11"/>
    </row>
    <row r="13" spans="1:16" ht="15" customHeight="1" x14ac:dyDescent="0.2">
      <c r="B13" s="56"/>
      <c r="C13" s="218" t="s">
        <v>32</v>
      </c>
      <c r="D13" s="212" t="s">
        <v>31</v>
      </c>
      <c r="E13" s="219">
        <f>E11+E12</f>
        <v>14992102.463369945</v>
      </c>
      <c r="F13"/>
      <c r="G13"/>
      <c r="H13"/>
      <c r="I13"/>
      <c r="J13"/>
      <c r="K13"/>
      <c r="L13"/>
      <c r="M13"/>
      <c r="N13"/>
      <c r="O13" s="11"/>
    </row>
    <row r="14" spans="1:16" ht="15" customHeight="1" x14ac:dyDescent="0.2">
      <c r="B14" s="56"/>
      <c r="C14" s="216" t="s">
        <v>16</v>
      </c>
      <c r="D14" s="212" t="s">
        <v>31</v>
      </c>
      <c r="E14" s="220">
        <f>SUM(Database!D36:O36)</f>
        <v>11880206.619999999</v>
      </c>
      <c r="F14"/>
      <c r="G14"/>
      <c r="H14"/>
      <c r="I14"/>
      <c r="J14"/>
      <c r="K14"/>
      <c r="L14"/>
      <c r="M14"/>
      <c r="N14"/>
      <c r="O14" s="11"/>
    </row>
    <row r="15" spans="1:16" ht="15" customHeight="1" x14ac:dyDescent="0.2">
      <c r="B15" s="56"/>
      <c r="C15" s="216" t="s">
        <v>13</v>
      </c>
      <c r="D15" s="212" t="s">
        <v>31</v>
      </c>
      <c r="E15" s="220">
        <f>SUM(Database!D40:O40)</f>
        <v>40390.120000000003</v>
      </c>
      <c r="F15"/>
      <c r="G15"/>
      <c r="H15"/>
      <c r="I15"/>
      <c r="J15"/>
      <c r="K15"/>
      <c r="L15"/>
      <c r="M15"/>
      <c r="N15"/>
      <c r="O15" s="11"/>
    </row>
    <row r="16" spans="1:16" ht="15" customHeight="1" x14ac:dyDescent="0.2">
      <c r="B16" s="56"/>
      <c r="C16" s="218" t="s">
        <v>12</v>
      </c>
      <c r="D16" s="212" t="s">
        <v>31</v>
      </c>
      <c r="E16" s="219">
        <f>E14+E15</f>
        <v>11920596.739999998</v>
      </c>
      <c r="F16"/>
      <c r="G16"/>
      <c r="H16"/>
      <c r="I16"/>
      <c r="J16"/>
      <c r="K16"/>
      <c r="L16"/>
      <c r="M16"/>
      <c r="N16"/>
      <c r="O16" s="11"/>
    </row>
    <row r="17" spans="2:15" ht="15" customHeight="1" x14ac:dyDescent="0.2">
      <c r="B17" s="56"/>
      <c r="C17" s="218" t="s">
        <v>7</v>
      </c>
      <c r="D17" s="212" t="s">
        <v>31</v>
      </c>
      <c r="E17" s="219">
        <f>SUM(Database!D48:O48)</f>
        <v>27860</v>
      </c>
      <c r="F17"/>
      <c r="G17"/>
      <c r="H17"/>
      <c r="I17"/>
      <c r="J17"/>
      <c r="K17"/>
      <c r="L17"/>
      <c r="M17"/>
      <c r="N17"/>
      <c r="O17" s="11"/>
    </row>
    <row r="18" spans="2:15" ht="15" customHeight="1" x14ac:dyDescent="0.2">
      <c r="B18" s="56"/>
      <c r="C18" s="218" t="s">
        <v>6</v>
      </c>
      <c r="D18" s="212" t="s">
        <v>31</v>
      </c>
      <c r="E18" s="219">
        <f>E13-E16-E17</f>
        <v>3043645.7233699467</v>
      </c>
      <c r="F18"/>
      <c r="G18"/>
      <c r="H18"/>
      <c r="I18"/>
      <c r="J18"/>
      <c r="K18"/>
      <c r="L18"/>
      <c r="M18"/>
      <c r="N18"/>
      <c r="O18" s="11"/>
    </row>
    <row r="19" spans="2:15" ht="15" customHeight="1" x14ac:dyDescent="0.2">
      <c r="B19" s="56"/>
      <c r="C19" s="218" t="s">
        <v>5</v>
      </c>
      <c r="D19" s="212" t="s">
        <v>31</v>
      </c>
      <c r="E19" s="219">
        <f>SUM(Database!D52:O52)</f>
        <v>3700</v>
      </c>
      <c r="F19"/>
      <c r="G19"/>
      <c r="H19"/>
      <c r="I19"/>
      <c r="J19"/>
      <c r="K19"/>
      <c r="L19"/>
      <c r="M19"/>
      <c r="N19"/>
      <c r="O19" s="11"/>
    </row>
    <row r="20" spans="2:15" ht="15" customHeight="1" thickBot="1" x14ac:dyDescent="0.25">
      <c r="B20" s="56"/>
      <c r="C20" s="221" t="s">
        <v>4</v>
      </c>
      <c r="D20" s="222" t="s">
        <v>31</v>
      </c>
      <c r="E20" s="223">
        <f>E18-E19</f>
        <v>3039945.7233699467</v>
      </c>
      <c r="F20"/>
      <c r="G20"/>
      <c r="H20"/>
      <c r="I20"/>
      <c r="J20"/>
      <c r="K20"/>
      <c r="L20"/>
      <c r="M20"/>
      <c r="N20"/>
      <c r="O20" s="11"/>
    </row>
    <row r="21" spans="2:15" ht="6.95" customHeight="1" thickBot="1" x14ac:dyDescent="0.25">
      <c r="B21" s="56"/>
      <c r="C21"/>
      <c r="D21"/>
      <c r="E21"/>
      <c r="F21"/>
      <c r="G21"/>
      <c r="H21"/>
      <c r="I21"/>
      <c r="J21"/>
      <c r="K21"/>
      <c r="L21"/>
      <c r="M21"/>
      <c r="N21"/>
      <c r="O21" s="11"/>
    </row>
    <row r="22" spans="2:15" ht="21.95" customHeight="1" thickBot="1" x14ac:dyDescent="0.25">
      <c r="B22" s="243" t="s">
        <v>60</v>
      </c>
      <c r="C22" s="99" t="s">
        <v>37</v>
      </c>
      <c r="D22" s="100"/>
      <c r="E22" s="242" t="s">
        <v>27</v>
      </c>
      <c r="F22"/>
      <c r="G22" s="135" t="s">
        <v>34</v>
      </c>
      <c r="H22" s="136"/>
      <c r="I22" s="136"/>
      <c r="J22" s="136"/>
      <c r="K22" s="136"/>
      <c r="L22" s="137"/>
      <c r="M22" s="137"/>
      <c r="N22" s="138"/>
      <c r="O22" s="11"/>
    </row>
    <row r="23" spans="2:15" ht="6.95" customHeight="1" thickBot="1" x14ac:dyDescent="0.25">
      <c r="B23" s="243"/>
      <c r="C23" s="101"/>
      <c r="D23" s="101"/>
      <c r="E23" s="101"/>
      <c r="F23"/>
      <c r="G23" s="139"/>
      <c r="H23" s="118"/>
      <c r="I23" s="118"/>
      <c r="J23" s="118"/>
      <c r="K23" s="118"/>
      <c r="L23" s="118"/>
      <c r="M23" s="118"/>
      <c r="N23" s="140"/>
      <c r="O23" s="11"/>
    </row>
    <row r="24" spans="2:15" ht="15" customHeight="1" x14ac:dyDescent="0.2">
      <c r="B24" s="243"/>
      <c r="C24" s="102" t="s">
        <v>33</v>
      </c>
      <c r="D24" s="103"/>
      <c r="E24" s="104"/>
      <c r="F24"/>
      <c r="G24" s="141" t="s">
        <v>35</v>
      </c>
      <c r="H24" s="119"/>
      <c r="I24" s="119"/>
      <c r="J24" s="119"/>
      <c r="K24" s="119"/>
      <c r="L24" s="120"/>
      <c r="M24" s="120"/>
      <c r="N24" s="142"/>
      <c r="O24" s="11"/>
    </row>
    <row r="25" spans="2:15" ht="15" customHeight="1" x14ac:dyDescent="0.2">
      <c r="B25" s="243"/>
      <c r="C25" s="105" t="s">
        <v>29</v>
      </c>
      <c r="D25" s="98"/>
      <c r="E25" s="106"/>
      <c r="F25"/>
      <c r="G25" s="143" t="str">
        <f>""&amp;Database!C18</f>
        <v>مصاريف الرواتب والأجور وبونص - تشغيلية</v>
      </c>
      <c r="H25" s="121">
        <f>IFERROR(INDEX(Calc!$C$21:$T$32,MATCH($C$26,Calc!$B$21:$B$32,0),MATCH(G25,Calc!$C$20:$T$20,0)),"")</f>
        <v>2500</v>
      </c>
      <c r="I25" s="122">
        <f>IFERROR(H25/$E$32,"")</f>
        <v>0.69252077562326875</v>
      </c>
      <c r="J25" s="123"/>
      <c r="K25" s="124" t="str">
        <f>""&amp;Database!C27</f>
        <v>مصاريف تذاكر السفر</v>
      </c>
      <c r="L25" s="121">
        <f>IFERROR(INDEX(Calc!$C$21:$T$32,MATCH($C$26,Calc!$B$21:$B$32,0),MATCH(K25,Calc!$C$20:$T$20,0)),"")</f>
        <v>0</v>
      </c>
      <c r="M25" s="125">
        <f>IFERROR(L25/$E$32,"")</f>
        <v>0</v>
      </c>
      <c r="N25" s="144"/>
      <c r="O25" s="11"/>
    </row>
    <row r="26" spans="2:15" ht="15" customHeight="1" thickBot="1" x14ac:dyDescent="0.25">
      <c r="B26" s="243"/>
      <c r="C26" s="97" t="str">
        <f>""&amp;E22</f>
        <v>November</v>
      </c>
      <c r="D26" s="98"/>
      <c r="E26" s="106"/>
      <c r="F26"/>
      <c r="G26" s="143" t="str">
        <f>""&amp;Database!C19</f>
        <v>الرواتب والاجور - إدارية</v>
      </c>
      <c r="H26" s="121">
        <f>IFERROR(INDEX(Calc!$C$21:$T$32,MATCH($C$26,Calc!$B$21:$B$32,0),MATCH(G26,Calc!$C$20:$T$20,0)),"")</f>
        <v>620</v>
      </c>
      <c r="I26" s="122">
        <f t="shared" ref="I26:I33" si="0">IFERROR(H26/$E$32,"")</f>
        <v>0.17174515235457063</v>
      </c>
      <c r="J26" s="123"/>
      <c r="K26" s="124" t="str">
        <f>""&amp;Database!C28</f>
        <v>مصاريف دعاية واعلان ادارية</v>
      </c>
      <c r="L26" s="121">
        <f>IFERROR(INDEX(Calc!$C$21:$T$32,MATCH($C$26,Calc!$B$21:$B$32,0),MATCH(K26,Calc!$C$20:$T$20,0)),"")</f>
        <v>0</v>
      </c>
      <c r="M26" s="125">
        <f t="shared" ref="M26:M33" si="1">IFERROR(L26/$E$32,"")</f>
        <v>0</v>
      </c>
      <c r="N26" s="144"/>
      <c r="O26" s="11"/>
    </row>
    <row r="27" spans="2:15" ht="15" customHeight="1" x14ac:dyDescent="0.2">
      <c r="B27" s="243"/>
      <c r="C27" s="107" t="s">
        <v>24</v>
      </c>
      <c r="D27" s="108" t="s">
        <v>31</v>
      </c>
      <c r="E27" s="114">
        <f>IFERROR(INDEX(Calc!$C$7:$I$18,MATCH($C$26,Calc!$B$7:$B$18,0),MATCH(C27,Calc!$C$6:$I$6,0)),"")</f>
        <v>18550</v>
      </c>
      <c r="F27"/>
      <c r="G27" s="143" t="str">
        <f>""&amp;Database!C20</f>
        <v>مصاريف تجديد اقامات وتاشيرات</v>
      </c>
      <c r="H27" s="121">
        <f>IFERROR(INDEX(Calc!$C$21:$T$32,MATCH($C$26,Calc!$B$21:$B$32,0),MATCH(G27,Calc!$C$20:$T$20,0)),"")</f>
        <v>490</v>
      </c>
      <c r="I27" s="122">
        <f t="shared" si="0"/>
        <v>0.13573407202216067</v>
      </c>
      <c r="J27" s="123"/>
      <c r="K27" s="124" t="str">
        <f>""&amp;Database!C29</f>
        <v>التامينات الاجتماعية - إدارية</v>
      </c>
      <c r="L27" s="121">
        <f>IFERROR(INDEX(Calc!$C$21:$T$32,MATCH($C$26,Calc!$B$21:$B$32,0),MATCH(K27,Calc!$C$20:$T$20,0)),"")</f>
        <v>0</v>
      </c>
      <c r="M27" s="125">
        <f t="shared" si="1"/>
        <v>0</v>
      </c>
      <c r="N27" s="144"/>
      <c r="O27" s="11"/>
    </row>
    <row r="28" spans="2:15" ht="15" customHeight="1" x14ac:dyDescent="0.2">
      <c r="B28" s="243"/>
      <c r="C28" s="109" t="s">
        <v>23</v>
      </c>
      <c r="D28" s="110" t="s">
        <v>31</v>
      </c>
      <c r="E28" s="115">
        <f>IFERROR(INDEX(Calc!$C$7:$I$18,MATCH($C$26,Calc!$B$7:$B$18,0),MATCH(C28,Calc!$C$6:$I$6,0)),"")</f>
        <v>14500</v>
      </c>
      <c r="F28"/>
      <c r="G28" s="143" t="str">
        <f>""&amp;Database!C21</f>
        <v>تجديد اقامات وتاشيرات - إدارية</v>
      </c>
      <c r="H28" s="121">
        <f>IFERROR(INDEX(Calc!$C$21:$T$32,MATCH($C$26,Calc!$B$21:$B$32,0),MATCH(G28,Calc!$C$20:$T$20,0)),"")</f>
        <v>0</v>
      </c>
      <c r="I28" s="122">
        <f t="shared" si="0"/>
        <v>0</v>
      </c>
      <c r="J28" s="123"/>
      <c r="K28" s="124" t="str">
        <f>""&amp;Database!C30</f>
        <v xml:space="preserve"> مصاريف تامين طبي وعلاج</v>
      </c>
      <c r="L28" s="121">
        <f>IFERROR(INDEX(Calc!$C$21:$T$32,MATCH($C$26,Calc!$B$21:$B$32,0),MATCH(K28,Calc!$C$20:$T$20,0)),"")</f>
        <v>0</v>
      </c>
      <c r="M28" s="125">
        <f t="shared" si="1"/>
        <v>0</v>
      </c>
      <c r="N28" s="144"/>
      <c r="O28" s="11"/>
    </row>
    <row r="29" spans="2:15" ht="15" customHeight="1" x14ac:dyDescent="0.2">
      <c r="B29" s="243"/>
      <c r="C29" s="109" t="s">
        <v>22</v>
      </c>
      <c r="D29" s="110" t="s">
        <v>31</v>
      </c>
      <c r="E29" s="115">
        <f>IFERROR(E27-E28,"")</f>
        <v>4050</v>
      </c>
      <c r="F29"/>
      <c r="G29" s="143" t="str">
        <f>""&amp;Database!C22</f>
        <v>مصاريف الكهرباء</v>
      </c>
      <c r="H29" s="121">
        <f>IFERROR(INDEX(Calc!$C$21:$T$32,MATCH($C$26,Calc!$B$21:$B$32,0),MATCH(G29,Calc!$C$20:$T$20,0)),"")</f>
        <v>0</v>
      </c>
      <c r="I29" s="122">
        <f t="shared" si="0"/>
        <v>0</v>
      </c>
      <c r="J29" s="123"/>
      <c r="K29" s="124" t="str">
        <f>""&amp;Database!C31</f>
        <v>مصاريف رسوم واشتراكات</v>
      </c>
      <c r="L29" s="121">
        <f>IFERROR(INDEX(Calc!$C$21:$T$32,MATCH($C$26,Calc!$B$21:$B$32,0),MATCH(K29,Calc!$C$20:$T$20,0)),"")</f>
        <v>0</v>
      </c>
      <c r="M29" s="125">
        <f t="shared" si="1"/>
        <v>0</v>
      </c>
      <c r="N29" s="144"/>
      <c r="O29" s="11"/>
    </row>
    <row r="30" spans="2:15" ht="15" customHeight="1" x14ac:dyDescent="0.2">
      <c r="B30" s="243"/>
      <c r="C30" s="109" t="s">
        <v>18</v>
      </c>
      <c r="D30" s="110" t="s">
        <v>31</v>
      </c>
      <c r="E30" s="115">
        <f>IFERROR(INDEX(Calc!$C$7:$I$18,MATCH($C$26,Calc!$B$7:$B$18,0),MATCH(C30,Calc!$C$6:$I$6,0)),"")</f>
        <v>2500</v>
      </c>
      <c r="F30"/>
      <c r="G30" s="143" t="str">
        <f>""&amp;Database!C23</f>
        <v>مصاريف المياه ونزح مياه</v>
      </c>
      <c r="H30" s="121">
        <f>IFERROR(INDEX(Calc!$C$21:$T$32,MATCH($C$26,Calc!$B$21:$B$32,0),MATCH(G30,Calc!$C$20:$T$20,0)),"")</f>
        <v>0</v>
      </c>
      <c r="I30" s="122">
        <f t="shared" si="0"/>
        <v>0</v>
      </c>
      <c r="J30" s="123"/>
      <c r="K30" s="124" t="str">
        <f>""&amp;Database!C32</f>
        <v>مصاريف مكافأة نهاية الخدمة</v>
      </c>
      <c r="L30" s="121">
        <f>IFERROR(INDEX(Calc!$C$21:$T$32,MATCH($C$26,Calc!$B$21:$B$32,0),MATCH(K30,Calc!$C$20:$T$20,0)),"")</f>
        <v>0</v>
      </c>
      <c r="M30" s="125">
        <f t="shared" si="1"/>
        <v>0</v>
      </c>
      <c r="N30" s="144"/>
      <c r="O30" s="11"/>
    </row>
    <row r="31" spans="2:15" ht="15" customHeight="1" x14ac:dyDescent="0.2">
      <c r="B31" s="243"/>
      <c r="C31" s="111" t="s">
        <v>32</v>
      </c>
      <c r="D31" s="110" t="s">
        <v>31</v>
      </c>
      <c r="E31" s="116">
        <f>IFERROR(E29+E30,"")</f>
        <v>6550</v>
      </c>
      <c r="F31"/>
      <c r="G31" s="143" t="str">
        <f>""&amp;Database!C24</f>
        <v>مصاريف هاتف وانترنت وجوالات</v>
      </c>
      <c r="H31" s="121">
        <f>IFERROR(INDEX(Calc!$C$21:$T$32,MATCH($C$26,Calc!$B$21:$B$32,0),MATCH(G31,Calc!$C$20:$T$20,0)),"")</f>
        <v>0</v>
      </c>
      <c r="I31" s="122">
        <f t="shared" si="0"/>
        <v>0</v>
      </c>
      <c r="J31" s="123"/>
      <c r="K31" s="124" t="str">
        <f>""&amp;Database!C33</f>
        <v>خدمات إستشارية وقانونية  - ادارية</v>
      </c>
      <c r="L31" s="121">
        <f>IFERROR(INDEX(Calc!$C$21:$T$32,MATCH($C$26,Calc!$B$21:$B$32,0),MATCH(K31,Calc!$C$20:$T$20,0)),"")</f>
        <v>0</v>
      </c>
      <c r="M31" s="125">
        <f t="shared" si="1"/>
        <v>0</v>
      </c>
      <c r="N31" s="144"/>
      <c r="O31" s="11"/>
    </row>
    <row r="32" spans="2:15" ht="15" customHeight="1" x14ac:dyDescent="0.2">
      <c r="B32" s="243"/>
      <c r="C32" s="109" t="s">
        <v>16</v>
      </c>
      <c r="D32" s="110" t="s">
        <v>31</v>
      </c>
      <c r="E32" s="115">
        <f>IFERROR(INDEX(Calc!$C$7:$I$18,MATCH($C$26,Calc!$B$7:$B$18,0),MATCH(C32,Calc!$C$6:$I$6,0)),"")</f>
        <v>3610</v>
      </c>
      <c r="F32"/>
      <c r="G32" s="143" t="str">
        <f>""&amp;Database!C25</f>
        <v xml:space="preserve">مصاريف الإيجارات </v>
      </c>
      <c r="H32" s="121">
        <f>IFERROR(INDEX(Calc!$C$21:$T$32,MATCH($C$26,Calc!$B$21:$B$32,0),MATCH(G32,Calc!$C$20:$T$20,0)),"")</f>
        <v>0</v>
      </c>
      <c r="I32" s="122">
        <f t="shared" si="0"/>
        <v>0</v>
      </c>
      <c r="J32" s="123"/>
      <c r="K32" s="124" t="str">
        <f>""&amp;Database!C34</f>
        <v>مصاريف متنوعه - إدارية</v>
      </c>
      <c r="L32" s="121">
        <f>IFERROR(INDEX(Calc!$C$21:$T$32,MATCH($C$26,Calc!$B$21:$B$32,0),MATCH(K32,Calc!$C$20:$T$20,0)),"")</f>
        <v>0</v>
      </c>
      <c r="M32" s="125">
        <f t="shared" si="1"/>
        <v>0</v>
      </c>
      <c r="N32" s="144"/>
      <c r="O32" s="11"/>
    </row>
    <row r="33" spans="2:15" ht="15" customHeight="1" x14ac:dyDescent="0.2">
      <c r="B33" s="243"/>
      <c r="C33" s="109" t="s">
        <v>13</v>
      </c>
      <c r="D33" s="110" t="s">
        <v>31</v>
      </c>
      <c r="E33" s="115">
        <f>IFERROR(INDEX(Calc!$C$7:$I$18,MATCH($C$26,Calc!$B$7:$B$18,0),MATCH(C33,Calc!$C$6:$I$6,0)),"")</f>
        <v>465</v>
      </c>
      <c r="F33"/>
      <c r="G33" s="143" t="str">
        <f>""&amp;Database!C26</f>
        <v xml:space="preserve">مصاريف محروقات </v>
      </c>
      <c r="H33" s="121">
        <f>IFERROR(INDEX(Calc!$C$21:$T$32,MATCH($C$26,Calc!$B$21:$B$32,0),MATCH(G33,Calc!$C$20:$T$20,0)),"")</f>
        <v>0</v>
      </c>
      <c r="I33" s="122">
        <f t="shared" si="0"/>
        <v>0</v>
      </c>
      <c r="J33" s="123"/>
      <c r="K33" s="124" t="str">
        <f>""&amp;Database!C35</f>
        <v>مصاريف تشغيلية وصيانة  للفروع</v>
      </c>
      <c r="L33" s="121">
        <f>IFERROR(INDEX(Calc!$C$21:$T$32,MATCH($C$26,Calc!$B$21:$B$32,0),MATCH(K33,Calc!$C$20:$T$20,0)),"")</f>
        <v>0</v>
      </c>
      <c r="M33" s="125">
        <f t="shared" si="1"/>
        <v>0</v>
      </c>
      <c r="N33" s="144"/>
      <c r="O33" s="11"/>
    </row>
    <row r="34" spans="2:15" ht="15" customHeight="1" x14ac:dyDescent="0.2">
      <c r="B34" s="56"/>
      <c r="C34" s="111" t="s">
        <v>12</v>
      </c>
      <c r="D34" s="110" t="s">
        <v>31</v>
      </c>
      <c r="E34" s="116">
        <f>IFERROR(E32+E33,"")</f>
        <v>4075</v>
      </c>
      <c r="F34"/>
      <c r="G34" s="145"/>
      <c r="H34" s="126"/>
      <c r="I34" s="126"/>
      <c r="J34" s="127"/>
      <c r="K34" s="128"/>
      <c r="L34" s="127"/>
      <c r="M34" s="127"/>
      <c r="N34" s="146"/>
      <c r="O34" s="11"/>
    </row>
    <row r="35" spans="2:15" ht="15" customHeight="1" x14ac:dyDescent="0.2">
      <c r="B35" s="56"/>
      <c r="C35" s="111" t="s">
        <v>7</v>
      </c>
      <c r="D35" s="110" t="s">
        <v>31</v>
      </c>
      <c r="E35" s="116">
        <f>IFERROR(INDEX(Calc!$C$7:$I$18,MATCH($C$26,Calc!$B$7:$B$18,0),MATCH(C35,Calc!$C$6:$I$6,0)),"")</f>
        <v>382</v>
      </c>
      <c r="F35"/>
      <c r="G35" s="141" t="s">
        <v>36</v>
      </c>
      <c r="H35" s="129"/>
      <c r="I35" s="130"/>
      <c r="J35" s="131"/>
      <c r="K35" s="131"/>
      <c r="L35" s="131"/>
      <c r="M35" s="131"/>
      <c r="N35" s="147"/>
      <c r="O35" s="11"/>
    </row>
    <row r="36" spans="2:15" ht="15" customHeight="1" x14ac:dyDescent="0.2">
      <c r="B36" s="56"/>
      <c r="C36" s="111" t="s">
        <v>6</v>
      </c>
      <c r="D36" s="110" t="s">
        <v>31</v>
      </c>
      <c r="E36" s="116">
        <f>IFERROR(E31-E34-E35,"")</f>
        <v>2093</v>
      </c>
      <c r="F36"/>
      <c r="G36" s="143" t="str">
        <f>""&amp;Database!C37</f>
        <v>Soft&amp;Hardware Equipments</v>
      </c>
      <c r="H36" s="121">
        <f>IFERROR(INDEX(Calc!$C$35:$E$46,MATCH(Dashboard!$C$26,Calc!$B$35:$B$46,0),MATCH(Dashboard!G36,Calc!$C$34:$E$34,0)),"")</f>
        <v>465</v>
      </c>
      <c r="I36" s="125">
        <f>IFERROR(H36/$E$33,"")</f>
        <v>1</v>
      </c>
      <c r="J36" s="132"/>
      <c r="K36" s="133"/>
      <c r="L36" s="127"/>
      <c r="M36" s="127"/>
      <c r="N36" s="146"/>
      <c r="O36" s="11"/>
    </row>
    <row r="37" spans="2:15" ht="15" customHeight="1" x14ac:dyDescent="0.2">
      <c r="B37" s="56"/>
      <c r="C37" s="111" t="s">
        <v>5</v>
      </c>
      <c r="D37" s="110" t="s">
        <v>31</v>
      </c>
      <c r="E37" s="116" t="str">
        <f>IFERROR(INDEX(Calc!$C$7:$I$18,MATCH($C$26,Calc!$B$7:$B$18,0),MATCH(C37,Calc!$C$6:$I$6,0)),"")</f>
        <v/>
      </c>
      <c r="F37"/>
      <c r="G37" s="143" t="str">
        <f>""&amp;Database!C38</f>
        <v>Gifts and Rewards Given</v>
      </c>
      <c r="H37" s="121">
        <f>IFERROR(INDEX(Calc!$C$35:$E$46,MATCH(Dashboard!$C$26,Calc!$B$35:$B$46,0),MATCH(Dashboard!G37,Calc!$C$34:$E$34,0)),"")</f>
        <v>0</v>
      </c>
      <c r="I37" s="125">
        <f t="shared" ref="I37:I38" si="2">IFERROR(H37/$E$33,"")</f>
        <v>0</v>
      </c>
      <c r="J37" s="132"/>
      <c r="K37" s="134"/>
      <c r="L37" s="127"/>
      <c r="M37" s="127"/>
      <c r="N37" s="146"/>
      <c r="O37" s="11"/>
    </row>
    <row r="38" spans="2:15" ht="15" customHeight="1" thickBot="1" x14ac:dyDescent="0.25">
      <c r="B38" s="56"/>
      <c r="C38" s="112" t="s">
        <v>4</v>
      </c>
      <c r="D38" s="113" t="s">
        <v>31</v>
      </c>
      <c r="E38" s="117" t="str">
        <f>IFERROR(E36-E37,"")</f>
        <v/>
      </c>
      <c r="F38"/>
      <c r="G38" s="148" t="str">
        <f>""&amp;Database!C39</f>
        <v>مصروفات وفوائد قرض بنك البلاد - ادارية</v>
      </c>
      <c r="H38" s="149">
        <f>IFERROR(INDEX(Calc!$C$35:$E$46,MATCH(Dashboard!$C$26,Calc!$B$35:$B$46,0),MATCH(Dashboard!G38,Calc!$C$34:$E$34,0)),"")</f>
        <v>0</v>
      </c>
      <c r="I38" s="150">
        <f t="shared" si="2"/>
        <v>0</v>
      </c>
      <c r="J38" s="151"/>
      <c r="K38" s="152"/>
      <c r="L38" s="153"/>
      <c r="M38" s="153"/>
      <c r="N38" s="154"/>
      <c r="O38" s="11"/>
    </row>
    <row r="39" spans="2:15" ht="6.95" customHeight="1" x14ac:dyDescent="0.2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</row>
    <row r="40" spans="2:15" ht="7.15" customHeight="1" x14ac:dyDescent="0.2"/>
    <row r="41" spans="2:15" s="15" customFormat="1" ht="22.9" customHeight="1" x14ac:dyDescent="0.2">
      <c r="B41" s="16"/>
      <c r="C41" s="16"/>
      <c r="D41" s="17"/>
      <c r="E41" s="18"/>
      <c r="F41" s="18"/>
      <c r="G41" s="18"/>
      <c r="H41" s="16"/>
      <c r="I41" s="16"/>
      <c r="J41" s="16"/>
      <c r="K41" s="16"/>
      <c r="L41" s="16"/>
      <c r="M41" s="16"/>
      <c r="N41" s="16"/>
      <c r="O41" s="16"/>
    </row>
  </sheetData>
  <mergeCells count="1">
    <mergeCell ref="B22:B33"/>
  </mergeCells>
  <conditionalFormatting sqref="I25:J33 M25:N33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{60109F4C-2D12-435B-87F6-65F3CF3296C7}</x14:id>
        </ext>
      </extLst>
    </cfRule>
  </conditionalFormatting>
  <conditionalFormatting sqref="I36:J3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{C77C77C9-4531-4756-B918-09BB312F01FC}</x14:id>
        </ext>
      </extLst>
    </cfRule>
  </conditionalFormatting>
  <printOptions horizontalCentered="1"/>
  <pageMargins left="0.31496062992125984" right="0.31496062992125984" top="0.31496062992125984" bottom="0.31496062992125984" header="0.31496062992125984" footer="0.31496062992125984"/>
  <pageSetup paperSize="9" scale="91" orientation="landscape" r:id="rId1"/>
  <ignoredErrors>
    <ignoredError sqref="E29 E31 E34 E36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109F4C-2D12-435B-87F6-65F3CF329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I25:J33 M25:N33</xm:sqref>
        </x14:conditionalFormatting>
        <x14:conditionalFormatting xmlns:xm="http://schemas.microsoft.com/office/excel/2006/main">
          <x14:cfRule type="dataBar" id="{C77C77C9-4531-4756-B918-09BB312F01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I36:J38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8734D5-CAAA-4C4B-B854-0175F5B3CAE7}">
          <x14:formula1>
            <xm:f>Calc!$B$21:$B$32</xm:f>
          </x14:formula1>
          <xm:sqref>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6442-75E3-4605-B15F-E1464EB7CAA7}">
  <sheetPr>
    <pageSetUpPr autoPageBreaks="0" fitToPage="1"/>
  </sheetPr>
  <dimension ref="A1:Q57"/>
  <sheetViews>
    <sheetView showGridLines="0" zoomScaleNormal="100" zoomScaleSheetLayoutView="85" workbookViewId="0">
      <pane ySplit="4" topLeftCell="A44" activePane="bottomLeft" state="frozen"/>
      <selection pane="bottomLeft" activeCell="J68" sqref="J68"/>
    </sheetView>
  </sheetViews>
  <sheetFormatPr defaultColWidth="8.875" defaultRowHeight="14.25" x14ac:dyDescent="0.2"/>
  <cols>
    <col min="1" max="1" width="3.75" style="32" customWidth="1"/>
    <col min="2" max="2" width="1.75" style="32" customWidth="1"/>
    <col min="3" max="3" width="29.875" style="32" bestFit="1" customWidth="1"/>
    <col min="4" max="15" width="12.875" style="32" customWidth="1"/>
    <col min="16" max="17" width="1.75" style="32" customWidth="1"/>
    <col min="18" max="16384" width="8.875" style="32"/>
  </cols>
  <sheetData>
    <row r="1" spans="1:17" s="15" customFormat="1" ht="6.75" customHeight="1" x14ac:dyDescent="0.2">
      <c r="B1" s="41"/>
      <c r="E1" s="42"/>
      <c r="F1" s="42"/>
      <c r="G1" s="42"/>
    </row>
    <row r="2" spans="1:17" s="43" customFormat="1" ht="20.100000000000001" customHeight="1" x14ac:dyDescent="0.2">
      <c r="B2" s="44"/>
      <c r="C2" s="93" t="s">
        <v>38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5"/>
      <c r="Q2" s="47"/>
    </row>
    <row r="3" spans="1:17" s="48" customFormat="1" ht="24" customHeight="1" x14ac:dyDescent="0.2">
      <c r="B3" s="49"/>
      <c r="C3" s="94" t="s">
        <v>3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51"/>
      <c r="P3" s="50"/>
      <c r="Q3" s="52"/>
    </row>
    <row r="4" spans="1:17" ht="4.9000000000000004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ht="4.9000000000000004" customHeigh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x14ac:dyDescent="0.2">
      <c r="A6" s="53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0"/>
      <c r="Q6" s="53"/>
    </row>
    <row r="7" spans="1:17" ht="15" customHeight="1" x14ac:dyDescent="0.2">
      <c r="B7" s="56"/>
      <c r="C7" s="58" t="s">
        <v>25</v>
      </c>
      <c r="D7" s="210">
        <v>2021</v>
      </c>
      <c r="E7" s="210">
        <v>2021</v>
      </c>
      <c r="F7" s="210">
        <v>2021</v>
      </c>
      <c r="G7" s="210">
        <v>2021</v>
      </c>
      <c r="H7" s="210">
        <v>2021</v>
      </c>
      <c r="I7" s="210">
        <v>2021</v>
      </c>
      <c r="J7" s="210">
        <v>2021</v>
      </c>
      <c r="K7" s="210">
        <v>2021</v>
      </c>
      <c r="L7" s="210">
        <v>2021</v>
      </c>
      <c r="M7" s="210">
        <v>2021</v>
      </c>
      <c r="N7" s="210" t="s">
        <v>27</v>
      </c>
      <c r="O7" s="211" t="s">
        <v>26</v>
      </c>
      <c r="P7" s="11"/>
    </row>
    <row r="8" spans="1:17" ht="15" customHeight="1" x14ac:dyDescent="0.2">
      <c r="B8" s="56"/>
      <c r="C8" s="229" t="s">
        <v>24</v>
      </c>
      <c r="D8" s="59">
        <v>14548877.583369944</v>
      </c>
      <c r="E8" s="59">
        <v>25000</v>
      </c>
      <c r="F8" s="59">
        <v>19500</v>
      </c>
      <c r="G8" s="59">
        <v>19000</v>
      </c>
      <c r="H8" s="59">
        <v>25000</v>
      </c>
      <c r="I8" s="59">
        <v>20000</v>
      </c>
      <c r="J8" s="59">
        <v>20350</v>
      </c>
      <c r="K8" s="59">
        <v>19900</v>
      </c>
      <c r="L8" s="59">
        <v>19450</v>
      </c>
      <c r="M8" s="59">
        <v>19000</v>
      </c>
      <c r="N8" s="59">
        <v>18550</v>
      </c>
      <c r="O8" s="60"/>
      <c r="P8" s="11"/>
    </row>
    <row r="9" spans="1:17" ht="15" customHeight="1" x14ac:dyDescent="0.2">
      <c r="B9" s="56"/>
      <c r="C9" s="230" t="s">
        <v>23</v>
      </c>
      <c r="D9" s="61">
        <v>0</v>
      </c>
      <c r="E9" s="61">
        <v>16000</v>
      </c>
      <c r="F9" s="61">
        <v>14500</v>
      </c>
      <c r="G9" s="61">
        <v>16000</v>
      </c>
      <c r="H9" s="61">
        <v>14500</v>
      </c>
      <c r="I9" s="61">
        <v>14500</v>
      </c>
      <c r="J9" s="61">
        <v>16000</v>
      </c>
      <c r="K9" s="61">
        <v>14500</v>
      </c>
      <c r="L9" s="61">
        <v>16000</v>
      </c>
      <c r="M9" s="61">
        <v>14500</v>
      </c>
      <c r="N9" s="61">
        <v>14500</v>
      </c>
      <c r="O9" s="62"/>
      <c r="P9" s="11"/>
    </row>
    <row r="10" spans="1:17" ht="15" customHeight="1" x14ac:dyDescent="0.2">
      <c r="B10" s="56"/>
      <c r="C10" s="231" t="s">
        <v>22</v>
      </c>
      <c r="D10" s="186">
        <f t="shared" ref="D10:O10" si="0">D8-D9</f>
        <v>14548877.583369944</v>
      </c>
      <c r="E10" s="186">
        <f t="shared" si="0"/>
        <v>9000</v>
      </c>
      <c r="F10" s="186">
        <f t="shared" si="0"/>
        <v>5000</v>
      </c>
      <c r="G10" s="186">
        <f t="shared" si="0"/>
        <v>3000</v>
      </c>
      <c r="H10" s="186">
        <f t="shared" si="0"/>
        <v>10500</v>
      </c>
      <c r="I10" s="186">
        <f t="shared" si="0"/>
        <v>5500</v>
      </c>
      <c r="J10" s="186">
        <f t="shared" si="0"/>
        <v>4350</v>
      </c>
      <c r="K10" s="186">
        <f t="shared" si="0"/>
        <v>5400</v>
      </c>
      <c r="L10" s="186">
        <f t="shared" si="0"/>
        <v>3450</v>
      </c>
      <c r="M10" s="186">
        <f t="shared" si="0"/>
        <v>4500</v>
      </c>
      <c r="N10" s="186">
        <f t="shared" si="0"/>
        <v>4050</v>
      </c>
      <c r="O10" s="187">
        <f t="shared" si="0"/>
        <v>0</v>
      </c>
      <c r="P10" s="11"/>
    </row>
    <row r="11" spans="1:17" ht="15" customHeight="1" x14ac:dyDescent="0.2">
      <c r="B11" s="56"/>
      <c r="C11" s="63" t="s">
        <v>21</v>
      </c>
      <c r="D11" s="61">
        <v>0</v>
      </c>
      <c r="E11" s="61">
        <v>1000</v>
      </c>
      <c r="F11" s="61">
        <v>1500</v>
      </c>
      <c r="G11" s="61">
        <v>1500</v>
      </c>
      <c r="H11" s="61">
        <v>2000</v>
      </c>
      <c r="I11" s="61">
        <v>1500</v>
      </c>
      <c r="J11" s="61">
        <v>1500</v>
      </c>
      <c r="K11" s="61">
        <v>1500</v>
      </c>
      <c r="L11" s="61">
        <v>1500</v>
      </c>
      <c r="M11" s="61">
        <v>1500</v>
      </c>
      <c r="N11" s="61">
        <v>1500</v>
      </c>
      <c r="O11" s="62"/>
      <c r="P11" s="11"/>
    </row>
    <row r="12" spans="1:17" ht="15" customHeight="1" x14ac:dyDescent="0.2">
      <c r="B12" s="56"/>
      <c r="C12" s="63" t="s">
        <v>20</v>
      </c>
      <c r="D12" s="61">
        <v>0</v>
      </c>
      <c r="E12" s="61">
        <v>2000</v>
      </c>
      <c r="F12" s="61">
        <v>1000</v>
      </c>
      <c r="G12" s="61">
        <v>2000</v>
      </c>
      <c r="H12" s="61">
        <v>1000</v>
      </c>
      <c r="I12" s="61">
        <v>1000</v>
      </c>
      <c r="J12" s="61">
        <v>1000</v>
      </c>
      <c r="K12" s="61">
        <v>1000</v>
      </c>
      <c r="L12" s="61">
        <v>1000</v>
      </c>
      <c r="M12" s="61">
        <v>1000</v>
      </c>
      <c r="N12" s="61">
        <v>1000</v>
      </c>
      <c r="O12" s="62"/>
      <c r="P12" s="11"/>
    </row>
    <row r="13" spans="1:17" ht="15" customHeight="1" x14ac:dyDescent="0.2">
      <c r="B13" s="56"/>
      <c r="C13" s="63" t="s">
        <v>19</v>
      </c>
      <c r="D13" s="61">
        <v>358474.88</v>
      </c>
      <c r="E13" s="61">
        <v>750</v>
      </c>
      <c r="F13" s="61">
        <v>500</v>
      </c>
      <c r="G13" s="61">
        <v>750</v>
      </c>
      <c r="H13" s="61">
        <v>500</v>
      </c>
      <c r="I13" s="61">
        <v>500</v>
      </c>
      <c r="J13" s="61"/>
      <c r="K13" s="61"/>
      <c r="L13" s="61"/>
      <c r="M13" s="61"/>
      <c r="N13" s="61"/>
      <c r="O13" s="62"/>
      <c r="P13" s="11"/>
    </row>
    <row r="14" spans="1:17" ht="15" customHeight="1" x14ac:dyDescent="0.2">
      <c r="B14" s="56"/>
      <c r="C14" s="232" t="s">
        <v>18</v>
      </c>
      <c r="D14" s="188">
        <f t="shared" ref="D14:O14" si="1">SUM(D11:D13)</f>
        <v>358474.88</v>
      </c>
      <c r="E14" s="188">
        <f t="shared" si="1"/>
        <v>3750</v>
      </c>
      <c r="F14" s="188">
        <f t="shared" si="1"/>
        <v>3000</v>
      </c>
      <c r="G14" s="188">
        <f t="shared" si="1"/>
        <v>4250</v>
      </c>
      <c r="H14" s="188">
        <f t="shared" si="1"/>
        <v>3500</v>
      </c>
      <c r="I14" s="188">
        <f t="shared" si="1"/>
        <v>3000</v>
      </c>
      <c r="J14" s="188">
        <f t="shared" si="1"/>
        <v>2500</v>
      </c>
      <c r="K14" s="188">
        <f t="shared" si="1"/>
        <v>2500</v>
      </c>
      <c r="L14" s="188">
        <f t="shared" si="1"/>
        <v>2500</v>
      </c>
      <c r="M14" s="188">
        <f t="shared" si="1"/>
        <v>2500</v>
      </c>
      <c r="N14" s="188">
        <f t="shared" si="1"/>
        <v>2500</v>
      </c>
      <c r="O14" s="189">
        <f t="shared" si="1"/>
        <v>0</v>
      </c>
      <c r="P14" s="11"/>
    </row>
    <row r="15" spans="1:17" ht="15" customHeight="1" x14ac:dyDescent="0.2">
      <c r="B15" s="56"/>
      <c r="C15" s="233" t="s">
        <v>28</v>
      </c>
      <c r="D15" s="190">
        <f t="shared" ref="D15:O15" si="2">D10+D14</f>
        <v>14907352.463369945</v>
      </c>
      <c r="E15" s="190">
        <f t="shared" si="2"/>
        <v>12750</v>
      </c>
      <c r="F15" s="190">
        <f t="shared" si="2"/>
        <v>8000</v>
      </c>
      <c r="G15" s="190">
        <f t="shared" si="2"/>
        <v>7250</v>
      </c>
      <c r="H15" s="190">
        <f t="shared" si="2"/>
        <v>14000</v>
      </c>
      <c r="I15" s="190">
        <f t="shared" si="2"/>
        <v>8500</v>
      </c>
      <c r="J15" s="190">
        <f t="shared" si="2"/>
        <v>6850</v>
      </c>
      <c r="K15" s="190">
        <f t="shared" si="2"/>
        <v>7900</v>
      </c>
      <c r="L15" s="190">
        <f t="shared" si="2"/>
        <v>5950</v>
      </c>
      <c r="M15" s="190">
        <f t="shared" si="2"/>
        <v>7000</v>
      </c>
      <c r="N15" s="190">
        <f t="shared" si="2"/>
        <v>6550</v>
      </c>
      <c r="O15" s="191">
        <f t="shared" si="2"/>
        <v>0</v>
      </c>
      <c r="P15" s="11"/>
    </row>
    <row r="16" spans="1:17" ht="6.95" customHeight="1" x14ac:dyDescent="0.2">
      <c r="B16" s="56"/>
      <c r="C16" s="87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11"/>
    </row>
    <row r="17" spans="2:16" ht="21.95" customHeight="1" x14ac:dyDescent="0.2">
      <c r="B17" s="56"/>
      <c r="C17" s="234" t="s">
        <v>17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11"/>
    </row>
    <row r="18" spans="2:16" ht="15" customHeight="1" x14ac:dyDescent="0.2">
      <c r="B18" s="56"/>
      <c r="C18" s="241" t="s">
        <v>51</v>
      </c>
      <c r="D18" s="66">
        <v>5171170</v>
      </c>
      <c r="E18" s="66">
        <v>2000</v>
      </c>
      <c r="F18" s="66">
        <v>2500</v>
      </c>
      <c r="G18" s="66">
        <v>3000</v>
      </c>
      <c r="H18" s="66">
        <v>2750</v>
      </c>
      <c r="I18" s="66">
        <v>3500</v>
      </c>
      <c r="J18" s="66">
        <v>2000</v>
      </c>
      <c r="K18" s="66">
        <v>2500</v>
      </c>
      <c r="L18" s="66">
        <v>3000</v>
      </c>
      <c r="M18" s="66">
        <v>2750</v>
      </c>
      <c r="N18" s="66">
        <v>2500</v>
      </c>
      <c r="O18" s="67"/>
      <c r="P18" s="11"/>
    </row>
    <row r="19" spans="2:16" ht="15" customHeight="1" x14ac:dyDescent="0.2">
      <c r="B19" s="56"/>
      <c r="C19" s="68" t="s">
        <v>39</v>
      </c>
      <c r="D19" s="69">
        <v>885560</v>
      </c>
      <c r="E19" s="69">
        <v>950</v>
      </c>
      <c r="F19" s="69">
        <v>800</v>
      </c>
      <c r="G19" s="69">
        <v>750</v>
      </c>
      <c r="H19" s="69">
        <v>700</v>
      </c>
      <c r="I19" s="69">
        <v>750</v>
      </c>
      <c r="J19" s="69">
        <v>700</v>
      </c>
      <c r="K19" s="69">
        <v>680</v>
      </c>
      <c r="L19" s="69">
        <v>660</v>
      </c>
      <c r="M19" s="69">
        <v>640</v>
      </c>
      <c r="N19" s="69">
        <v>620</v>
      </c>
      <c r="O19" s="70"/>
      <c r="P19" s="11"/>
    </row>
    <row r="20" spans="2:16" ht="15" customHeight="1" x14ac:dyDescent="0.2">
      <c r="B20" s="56"/>
      <c r="C20" s="68" t="s">
        <v>40</v>
      </c>
      <c r="D20" s="69">
        <v>1509520.31</v>
      </c>
      <c r="E20" s="69">
        <v>500</v>
      </c>
      <c r="F20" s="69">
        <v>400</v>
      </c>
      <c r="G20" s="69">
        <v>450</v>
      </c>
      <c r="H20" s="69">
        <v>400</v>
      </c>
      <c r="I20" s="69">
        <v>450</v>
      </c>
      <c r="J20" s="69">
        <v>450</v>
      </c>
      <c r="K20" s="69">
        <v>460</v>
      </c>
      <c r="L20" s="69">
        <v>470</v>
      </c>
      <c r="M20" s="69">
        <v>480</v>
      </c>
      <c r="N20" s="69">
        <v>490</v>
      </c>
      <c r="O20" s="70"/>
      <c r="P20" s="11"/>
    </row>
    <row r="21" spans="2:16" ht="15" customHeight="1" x14ac:dyDescent="0.2">
      <c r="B21" s="56"/>
      <c r="C21" s="68" t="s">
        <v>41</v>
      </c>
      <c r="D21" s="69">
        <v>62353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  <c r="P21" s="11"/>
    </row>
    <row r="22" spans="2:16" ht="15" customHeight="1" x14ac:dyDescent="0.2">
      <c r="B22" s="56"/>
      <c r="C22" s="68" t="s">
        <v>42</v>
      </c>
      <c r="D22" s="69">
        <v>338934.05000000005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70"/>
      <c r="P22" s="11"/>
    </row>
    <row r="23" spans="2:16" ht="15" customHeight="1" x14ac:dyDescent="0.2">
      <c r="B23" s="56"/>
      <c r="C23" s="204" t="s">
        <v>43</v>
      </c>
      <c r="D23" s="206">
        <v>10511</v>
      </c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7"/>
      <c r="P23" s="11"/>
    </row>
    <row r="24" spans="2:16" ht="15" customHeight="1" x14ac:dyDescent="0.2">
      <c r="B24" s="56"/>
      <c r="C24" s="204" t="s">
        <v>44</v>
      </c>
      <c r="D24" s="206">
        <v>66062</v>
      </c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7"/>
      <c r="P24" s="11"/>
    </row>
    <row r="25" spans="2:16" ht="15" customHeight="1" x14ac:dyDescent="0.2">
      <c r="B25" s="56"/>
      <c r="C25" s="204" t="s">
        <v>45</v>
      </c>
      <c r="D25" s="206">
        <v>1090095</v>
      </c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7"/>
      <c r="P25" s="11"/>
    </row>
    <row r="26" spans="2:16" ht="15" customHeight="1" x14ac:dyDescent="0.2">
      <c r="B26" s="56"/>
      <c r="C26" s="204" t="s">
        <v>46</v>
      </c>
      <c r="D26" s="206">
        <v>44792</v>
      </c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7"/>
      <c r="P26" s="11"/>
    </row>
    <row r="27" spans="2:16" ht="15" customHeight="1" x14ac:dyDescent="0.2">
      <c r="B27" s="56"/>
      <c r="C27" s="204" t="s">
        <v>47</v>
      </c>
      <c r="D27" s="206">
        <v>223055</v>
      </c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7"/>
      <c r="P27" s="11"/>
    </row>
    <row r="28" spans="2:16" ht="15" customHeight="1" x14ac:dyDescent="0.2">
      <c r="B28" s="56"/>
      <c r="C28" s="204" t="s">
        <v>48</v>
      </c>
      <c r="D28" s="206">
        <v>110807</v>
      </c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7"/>
      <c r="P28" s="11"/>
    </row>
    <row r="29" spans="2:16" ht="15" customHeight="1" x14ac:dyDescent="0.2">
      <c r="B29" s="56"/>
      <c r="C29" s="204" t="s">
        <v>49</v>
      </c>
      <c r="D29" s="206">
        <v>658650.76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7"/>
      <c r="P29" s="11"/>
    </row>
    <row r="30" spans="2:16" ht="15" customHeight="1" x14ac:dyDescent="0.2">
      <c r="B30" s="56"/>
      <c r="C30" s="204" t="s">
        <v>50</v>
      </c>
      <c r="D30" s="206">
        <v>227761</v>
      </c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7"/>
      <c r="P30" s="11"/>
    </row>
    <row r="31" spans="2:16" ht="15" customHeight="1" x14ac:dyDescent="0.2">
      <c r="B31" s="56"/>
      <c r="C31" s="204" t="s">
        <v>52</v>
      </c>
      <c r="D31" s="206">
        <v>250939</v>
      </c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7"/>
      <c r="P31" s="11"/>
    </row>
    <row r="32" spans="2:16" ht="15" customHeight="1" x14ac:dyDescent="0.2">
      <c r="B32" s="56"/>
      <c r="C32" s="204" t="s">
        <v>53</v>
      </c>
      <c r="D32" s="206">
        <v>123677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7"/>
      <c r="P32" s="11"/>
    </row>
    <row r="33" spans="2:16" ht="15" customHeight="1" x14ac:dyDescent="0.2">
      <c r="B33" s="56"/>
      <c r="C33" s="204" t="s">
        <v>54</v>
      </c>
      <c r="D33" s="206">
        <v>89162.5</v>
      </c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7"/>
      <c r="P33" s="11"/>
    </row>
    <row r="34" spans="2:16" ht="15" customHeight="1" x14ac:dyDescent="0.2">
      <c r="B34" s="56"/>
      <c r="C34" s="204" t="s">
        <v>55</v>
      </c>
      <c r="D34" s="206">
        <v>160937</v>
      </c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7"/>
      <c r="P34" s="11"/>
    </row>
    <row r="35" spans="2:16" ht="15" customHeight="1" x14ac:dyDescent="0.2">
      <c r="B35" s="56"/>
      <c r="C35" s="205" t="s">
        <v>56</v>
      </c>
      <c r="D35" s="208">
        <v>817920</v>
      </c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9"/>
      <c r="P35" s="11"/>
    </row>
    <row r="36" spans="2:16" ht="15" customHeight="1" x14ac:dyDescent="0.2">
      <c r="B36" s="56"/>
      <c r="C36" s="235" t="s">
        <v>16</v>
      </c>
      <c r="D36" s="192">
        <f>SUM(D18:D35)</f>
        <v>11841906.619999999</v>
      </c>
      <c r="E36" s="192">
        <f t="shared" ref="E36:O36" si="3">SUM(E18:E35)</f>
        <v>3450</v>
      </c>
      <c r="F36" s="192">
        <f t="shared" si="3"/>
        <v>3700</v>
      </c>
      <c r="G36" s="192">
        <f t="shared" si="3"/>
        <v>4200</v>
      </c>
      <c r="H36" s="192">
        <f t="shared" si="3"/>
        <v>3850</v>
      </c>
      <c r="I36" s="192">
        <f t="shared" si="3"/>
        <v>4700</v>
      </c>
      <c r="J36" s="192">
        <f t="shared" si="3"/>
        <v>3150</v>
      </c>
      <c r="K36" s="192">
        <f t="shared" si="3"/>
        <v>3640</v>
      </c>
      <c r="L36" s="192">
        <f t="shared" si="3"/>
        <v>4130</v>
      </c>
      <c r="M36" s="192">
        <f t="shared" si="3"/>
        <v>3870</v>
      </c>
      <c r="N36" s="192">
        <f t="shared" si="3"/>
        <v>3610</v>
      </c>
      <c r="O36" s="193">
        <f t="shared" si="3"/>
        <v>0</v>
      </c>
      <c r="P36" s="11"/>
    </row>
    <row r="37" spans="2:16" ht="15" customHeight="1" x14ac:dyDescent="0.2">
      <c r="B37" s="56"/>
      <c r="C37" s="68" t="s">
        <v>15</v>
      </c>
      <c r="D37" s="72">
        <v>0</v>
      </c>
      <c r="E37" s="72">
        <v>250</v>
      </c>
      <c r="F37" s="72">
        <v>350</v>
      </c>
      <c r="G37" s="72">
        <v>450</v>
      </c>
      <c r="H37" s="72">
        <v>400</v>
      </c>
      <c r="I37" s="72">
        <v>400</v>
      </c>
      <c r="J37" s="72">
        <v>425</v>
      </c>
      <c r="K37" s="72">
        <v>435</v>
      </c>
      <c r="L37" s="72">
        <v>445</v>
      </c>
      <c r="M37" s="72">
        <v>455</v>
      </c>
      <c r="N37" s="72">
        <v>465</v>
      </c>
      <c r="O37" s="73"/>
      <c r="P37" s="11"/>
    </row>
    <row r="38" spans="2:16" ht="15" customHeight="1" x14ac:dyDescent="0.2">
      <c r="B38" s="56"/>
      <c r="C38" s="68" t="s">
        <v>14</v>
      </c>
      <c r="D38" s="72">
        <v>0</v>
      </c>
      <c r="E38" s="72">
        <v>200</v>
      </c>
      <c r="F38" s="72">
        <v>350</v>
      </c>
      <c r="G38" s="72">
        <v>500</v>
      </c>
      <c r="H38" s="72">
        <v>150</v>
      </c>
      <c r="I38" s="72">
        <v>150</v>
      </c>
      <c r="J38" s="72"/>
      <c r="K38" s="72"/>
      <c r="L38" s="72"/>
      <c r="M38" s="72"/>
      <c r="N38" s="72"/>
      <c r="O38" s="73"/>
      <c r="P38" s="11"/>
    </row>
    <row r="39" spans="2:16" ht="15" customHeight="1" x14ac:dyDescent="0.2">
      <c r="B39" s="56"/>
      <c r="C39" s="71" t="s">
        <v>57</v>
      </c>
      <c r="D39" s="74">
        <v>34965.120000000003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/>
      <c r="K39" s="74"/>
      <c r="L39" s="74"/>
      <c r="M39" s="74"/>
      <c r="N39" s="74"/>
      <c r="O39" s="75"/>
      <c r="P39" s="11"/>
    </row>
    <row r="40" spans="2:16" ht="15" customHeight="1" x14ac:dyDescent="0.2">
      <c r="B40" s="56"/>
      <c r="C40" s="235" t="s">
        <v>13</v>
      </c>
      <c r="D40" s="192">
        <f t="shared" ref="D40:O40" si="4">SUM(D37:D39)</f>
        <v>34965.120000000003</v>
      </c>
      <c r="E40" s="192">
        <f t="shared" si="4"/>
        <v>450</v>
      </c>
      <c r="F40" s="192">
        <f t="shared" si="4"/>
        <v>700</v>
      </c>
      <c r="G40" s="192">
        <f t="shared" si="4"/>
        <v>950</v>
      </c>
      <c r="H40" s="192">
        <f t="shared" si="4"/>
        <v>550</v>
      </c>
      <c r="I40" s="192">
        <f t="shared" si="4"/>
        <v>550</v>
      </c>
      <c r="J40" s="192">
        <f t="shared" si="4"/>
        <v>425</v>
      </c>
      <c r="K40" s="192">
        <f t="shared" si="4"/>
        <v>435</v>
      </c>
      <c r="L40" s="192">
        <f t="shared" si="4"/>
        <v>445</v>
      </c>
      <c r="M40" s="192">
        <f t="shared" si="4"/>
        <v>455</v>
      </c>
      <c r="N40" s="192">
        <f t="shared" si="4"/>
        <v>465</v>
      </c>
      <c r="O40" s="193">
        <f t="shared" si="4"/>
        <v>0</v>
      </c>
      <c r="P40" s="11"/>
    </row>
    <row r="41" spans="2:16" ht="15" customHeight="1" x14ac:dyDescent="0.2">
      <c r="B41" s="56"/>
      <c r="C41" s="236" t="s">
        <v>12</v>
      </c>
      <c r="D41" s="194">
        <f t="shared" ref="D41:O41" si="5">D36+D40</f>
        <v>11876871.739999998</v>
      </c>
      <c r="E41" s="195">
        <f t="shared" si="5"/>
        <v>3900</v>
      </c>
      <c r="F41" s="195">
        <f t="shared" si="5"/>
        <v>4400</v>
      </c>
      <c r="G41" s="195">
        <f t="shared" si="5"/>
        <v>5150</v>
      </c>
      <c r="H41" s="195">
        <f t="shared" si="5"/>
        <v>4400</v>
      </c>
      <c r="I41" s="195">
        <f t="shared" si="5"/>
        <v>5250</v>
      </c>
      <c r="J41" s="195">
        <f t="shared" si="5"/>
        <v>3575</v>
      </c>
      <c r="K41" s="195">
        <f t="shared" si="5"/>
        <v>4075</v>
      </c>
      <c r="L41" s="195">
        <f t="shared" si="5"/>
        <v>4575</v>
      </c>
      <c r="M41" s="195">
        <f t="shared" si="5"/>
        <v>4325</v>
      </c>
      <c r="N41" s="195">
        <f t="shared" si="5"/>
        <v>4075</v>
      </c>
      <c r="O41" s="196">
        <f t="shared" si="5"/>
        <v>0</v>
      </c>
      <c r="P41" s="11"/>
    </row>
    <row r="42" spans="2:16" ht="6.95" customHeight="1" x14ac:dyDescent="0.2">
      <c r="B42" s="5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11"/>
    </row>
    <row r="43" spans="2:16" ht="21.95" customHeight="1" x14ac:dyDescent="0.2">
      <c r="B43" s="56"/>
      <c r="C43" s="78" t="s">
        <v>11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11"/>
    </row>
    <row r="44" spans="2:16" x14ac:dyDescent="0.2">
      <c r="B44" s="56"/>
      <c r="C44" s="79" t="s">
        <v>58</v>
      </c>
      <c r="D44" s="80">
        <v>24125</v>
      </c>
      <c r="E44" s="80">
        <v>130</v>
      </c>
      <c r="F44" s="80">
        <v>140</v>
      </c>
      <c r="G44" s="80">
        <v>150</v>
      </c>
      <c r="H44" s="80">
        <v>150</v>
      </c>
      <c r="I44" s="80">
        <v>160</v>
      </c>
      <c r="J44" s="80">
        <v>165</v>
      </c>
      <c r="K44" s="80">
        <v>171</v>
      </c>
      <c r="L44" s="80">
        <v>177</v>
      </c>
      <c r="M44" s="80">
        <v>183</v>
      </c>
      <c r="N44" s="80">
        <v>189</v>
      </c>
      <c r="O44" s="81"/>
      <c r="P44" s="11"/>
    </row>
    <row r="45" spans="2:16" x14ac:dyDescent="0.2">
      <c r="B45" s="56"/>
      <c r="C45" s="82" t="s">
        <v>10</v>
      </c>
      <c r="D45" s="69">
        <v>0</v>
      </c>
      <c r="E45" s="69">
        <v>120</v>
      </c>
      <c r="F45" s="69">
        <v>160</v>
      </c>
      <c r="G45" s="69">
        <v>160</v>
      </c>
      <c r="H45" s="69">
        <v>160</v>
      </c>
      <c r="I45" s="69">
        <v>175</v>
      </c>
      <c r="J45" s="69">
        <v>175</v>
      </c>
      <c r="K45" s="69">
        <v>179.5</v>
      </c>
      <c r="L45" s="69">
        <v>184</v>
      </c>
      <c r="M45" s="69">
        <v>188.5</v>
      </c>
      <c r="N45" s="69">
        <v>193</v>
      </c>
      <c r="O45" s="83"/>
      <c r="P45" s="11"/>
    </row>
    <row r="46" spans="2:16" x14ac:dyDescent="0.2">
      <c r="B46" s="56"/>
      <c r="C46" s="82" t="s">
        <v>9</v>
      </c>
      <c r="D46" s="69">
        <v>0</v>
      </c>
      <c r="E46" s="69">
        <v>50</v>
      </c>
      <c r="F46" s="69">
        <v>50</v>
      </c>
      <c r="G46" s="69">
        <v>50</v>
      </c>
      <c r="H46" s="69">
        <v>50</v>
      </c>
      <c r="I46" s="69">
        <v>75</v>
      </c>
      <c r="J46" s="69"/>
      <c r="K46" s="69"/>
      <c r="L46" s="69"/>
      <c r="M46" s="69"/>
      <c r="N46" s="69"/>
      <c r="O46" s="83"/>
      <c r="P46" s="11"/>
    </row>
    <row r="47" spans="2:16" x14ac:dyDescent="0.2">
      <c r="B47" s="56"/>
      <c r="C47" s="84" t="s">
        <v>8</v>
      </c>
      <c r="D47" s="85">
        <v>0</v>
      </c>
      <c r="E47" s="85">
        <v>30</v>
      </c>
      <c r="F47" s="85">
        <v>30</v>
      </c>
      <c r="G47" s="85">
        <v>30</v>
      </c>
      <c r="H47" s="85">
        <v>30</v>
      </c>
      <c r="I47" s="85">
        <v>30</v>
      </c>
      <c r="J47" s="85"/>
      <c r="K47" s="85"/>
      <c r="L47" s="85"/>
      <c r="M47" s="85"/>
      <c r="N47" s="85"/>
      <c r="O47" s="86"/>
      <c r="P47" s="11"/>
    </row>
    <row r="48" spans="2:16" ht="15" x14ac:dyDescent="0.2">
      <c r="B48" s="56"/>
      <c r="C48" s="237" t="s">
        <v>7</v>
      </c>
      <c r="D48" s="197">
        <f t="shared" ref="D48:O48" si="6">SUM(D44:D47)</f>
        <v>24125</v>
      </c>
      <c r="E48" s="197">
        <f t="shared" si="6"/>
        <v>330</v>
      </c>
      <c r="F48" s="197">
        <f t="shared" si="6"/>
        <v>380</v>
      </c>
      <c r="G48" s="197">
        <f t="shared" si="6"/>
        <v>390</v>
      </c>
      <c r="H48" s="197">
        <f t="shared" si="6"/>
        <v>390</v>
      </c>
      <c r="I48" s="197">
        <f t="shared" si="6"/>
        <v>440</v>
      </c>
      <c r="J48" s="197">
        <f t="shared" si="6"/>
        <v>340</v>
      </c>
      <c r="K48" s="197">
        <f t="shared" si="6"/>
        <v>350.5</v>
      </c>
      <c r="L48" s="197">
        <f t="shared" si="6"/>
        <v>361</v>
      </c>
      <c r="M48" s="197">
        <f t="shared" si="6"/>
        <v>371.5</v>
      </c>
      <c r="N48" s="197">
        <f t="shared" si="6"/>
        <v>382</v>
      </c>
      <c r="O48" s="197">
        <f t="shared" si="6"/>
        <v>0</v>
      </c>
      <c r="P48" s="11"/>
    </row>
    <row r="49" spans="2:16" ht="9.9499999999999993" customHeight="1" x14ac:dyDescent="0.2">
      <c r="B49" s="56"/>
      <c r="C49" s="92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11"/>
    </row>
    <row r="50" spans="2:16" ht="15" x14ac:dyDescent="0.2">
      <c r="B50" s="56"/>
      <c r="C50" s="238" t="s">
        <v>6</v>
      </c>
      <c r="D50" s="198">
        <f>D15-D41-D48</f>
        <v>3006355.7233699467</v>
      </c>
      <c r="E50" s="198">
        <f t="shared" ref="E50:O50" si="7">E15-E41-E48</f>
        <v>8520</v>
      </c>
      <c r="F50" s="198">
        <f t="shared" si="7"/>
        <v>3220</v>
      </c>
      <c r="G50" s="198">
        <f t="shared" si="7"/>
        <v>1710</v>
      </c>
      <c r="H50" s="198">
        <f t="shared" si="7"/>
        <v>9210</v>
      </c>
      <c r="I50" s="198">
        <f t="shared" si="7"/>
        <v>2810</v>
      </c>
      <c r="J50" s="198">
        <f t="shared" si="7"/>
        <v>2935</v>
      </c>
      <c r="K50" s="198">
        <f t="shared" si="7"/>
        <v>3474.5</v>
      </c>
      <c r="L50" s="198">
        <f t="shared" si="7"/>
        <v>1014</v>
      </c>
      <c r="M50" s="198">
        <f t="shared" si="7"/>
        <v>2303.5</v>
      </c>
      <c r="N50" s="198">
        <f t="shared" si="7"/>
        <v>2093</v>
      </c>
      <c r="O50" s="199">
        <f t="shared" si="7"/>
        <v>0</v>
      </c>
      <c r="P50" s="11"/>
    </row>
    <row r="51" spans="2:16" ht="9.9499999999999993" customHeight="1" x14ac:dyDescent="0.2">
      <c r="B51" s="56"/>
      <c r="C51" s="87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11"/>
    </row>
    <row r="52" spans="2:16" ht="15" x14ac:dyDescent="0.2">
      <c r="B52" s="56"/>
      <c r="C52" s="239" t="s">
        <v>59</v>
      </c>
      <c r="D52" s="90">
        <v>0</v>
      </c>
      <c r="E52" s="90">
        <v>850</v>
      </c>
      <c r="F52" s="90">
        <v>450</v>
      </c>
      <c r="G52" s="90">
        <v>500</v>
      </c>
      <c r="H52" s="90">
        <v>1400</v>
      </c>
      <c r="I52" s="90">
        <v>500</v>
      </c>
      <c r="J52" s="90"/>
      <c r="K52" s="90"/>
      <c r="L52" s="90"/>
      <c r="M52" s="90"/>
      <c r="N52" s="90"/>
      <c r="O52" s="91"/>
      <c r="P52" s="11"/>
    </row>
    <row r="53" spans="2:16" ht="9.9499999999999993" customHeight="1" x14ac:dyDescent="0.2">
      <c r="B53" s="56"/>
      <c r="C53" s="88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</row>
    <row r="54" spans="2:16" ht="18" x14ac:dyDescent="0.2">
      <c r="B54" s="56"/>
      <c r="C54" s="240" t="s">
        <v>4</v>
      </c>
      <c r="D54" s="200">
        <f t="shared" ref="D54:O54" si="8">D50-D52</f>
        <v>3006355.7233699467</v>
      </c>
      <c r="E54" s="200">
        <f t="shared" si="8"/>
        <v>7670</v>
      </c>
      <c r="F54" s="200">
        <f t="shared" si="8"/>
        <v>2770</v>
      </c>
      <c r="G54" s="200">
        <f t="shared" si="8"/>
        <v>1210</v>
      </c>
      <c r="H54" s="200">
        <f t="shared" si="8"/>
        <v>7810</v>
      </c>
      <c r="I54" s="200">
        <f t="shared" si="8"/>
        <v>2310</v>
      </c>
      <c r="J54" s="200">
        <f t="shared" si="8"/>
        <v>2935</v>
      </c>
      <c r="K54" s="200">
        <f t="shared" si="8"/>
        <v>3474.5</v>
      </c>
      <c r="L54" s="200">
        <f t="shared" si="8"/>
        <v>1014</v>
      </c>
      <c r="M54" s="200">
        <f t="shared" si="8"/>
        <v>2303.5</v>
      </c>
      <c r="N54" s="200">
        <f t="shared" si="8"/>
        <v>2093</v>
      </c>
      <c r="O54" s="201">
        <f t="shared" si="8"/>
        <v>0</v>
      </c>
      <c r="P54" s="11"/>
    </row>
    <row r="55" spans="2:16" ht="9.9499999999999993" customHeight="1" x14ac:dyDescent="0.2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4"/>
    </row>
    <row r="56" spans="2:16" ht="7.15" customHeight="1" x14ac:dyDescent="0.2"/>
    <row r="57" spans="2:16" s="15" customFormat="1" ht="22.9" customHeight="1" x14ac:dyDescent="0.2">
      <c r="B57" s="16"/>
      <c r="C57" s="16"/>
      <c r="D57" s="57"/>
      <c r="E57" s="18"/>
      <c r="F57" s="18"/>
      <c r="G57" s="18"/>
      <c r="H57" s="16"/>
      <c r="I57" s="16"/>
      <c r="J57" s="16"/>
      <c r="K57" s="16"/>
      <c r="L57" s="16"/>
      <c r="M57" s="16"/>
      <c r="N57" s="16"/>
      <c r="O57" s="16"/>
      <c r="P57" s="16"/>
    </row>
  </sheetData>
  <phoneticPr fontId="48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4401-B860-430C-AD7F-3FD3329A0FBD}">
  <dimension ref="B2:W46"/>
  <sheetViews>
    <sheetView showGridLines="0" showRowColHeaders="0" tabSelected="1" workbookViewId="0">
      <selection activeCell="J13" sqref="J13"/>
    </sheetView>
  </sheetViews>
  <sheetFormatPr defaultColWidth="9.125" defaultRowHeight="14.25" x14ac:dyDescent="0.2"/>
  <cols>
    <col min="1" max="1" width="9.125" style="159"/>
    <col min="2" max="20" width="15.75" style="159" customWidth="1"/>
    <col min="21" max="16384" width="9.125" style="159"/>
  </cols>
  <sheetData>
    <row r="2" spans="2:23" x14ac:dyDescent="0.2">
      <c r="B2" s="155"/>
      <c r="C2" s="156" t="str">
        <f>LEFT(Database!D7,3)</f>
        <v>202</v>
      </c>
      <c r="D2" s="157" t="str">
        <f>LEFT(Database!E7,3)</f>
        <v>202</v>
      </c>
      <c r="E2" s="157" t="str">
        <f>LEFT(Database!F7,3)</f>
        <v>202</v>
      </c>
      <c r="F2" s="157" t="str">
        <f>LEFT(Database!G7,3)</f>
        <v>202</v>
      </c>
      <c r="G2" s="157" t="str">
        <f>LEFT(Database!H7,3)</f>
        <v>202</v>
      </c>
      <c r="H2" s="157" t="str">
        <f>LEFT(Database!I7,3)</f>
        <v>202</v>
      </c>
      <c r="I2" s="157" t="str">
        <f>LEFT(Database!J7,3)</f>
        <v>202</v>
      </c>
      <c r="J2" s="157" t="str">
        <f>LEFT(Database!K7,3)</f>
        <v>202</v>
      </c>
      <c r="K2" s="157" t="str">
        <f>LEFT(Database!L7,3)</f>
        <v>202</v>
      </c>
      <c r="L2" s="157" t="str">
        <f>LEFT(Database!M7,3)</f>
        <v>202</v>
      </c>
      <c r="M2" s="157" t="str">
        <f>LEFT(Database!N7,3)</f>
        <v>Nov</v>
      </c>
      <c r="N2" s="158" t="str">
        <f>LEFT(Database!O7,3)</f>
        <v>Dec</v>
      </c>
      <c r="O2" s="155"/>
      <c r="P2" s="155"/>
      <c r="Q2" s="155"/>
      <c r="R2" s="155"/>
      <c r="S2" s="155"/>
      <c r="T2" s="155"/>
      <c r="U2" s="155"/>
      <c r="V2" s="155"/>
      <c r="W2" s="155"/>
    </row>
    <row r="3" spans="2:23" x14ac:dyDescent="0.2">
      <c r="B3" s="160" t="s">
        <v>32</v>
      </c>
      <c r="C3" s="161">
        <f>INDEX(Database!$D$15:$O$15,1,COLUMN(C2)-COLUMN($B$2))</f>
        <v>14907352.463369945</v>
      </c>
      <c r="D3" s="162">
        <f>INDEX(Database!$D$15:$O$15,1,COLUMN(D2)-COLUMN($B$2))</f>
        <v>12750</v>
      </c>
      <c r="E3" s="162">
        <f>INDEX(Database!$D$15:$O$15,1,COLUMN(E2)-COLUMN($B$2))</f>
        <v>8000</v>
      </c>
      <c r="F3" s="162">
        <f>INDEX(Database!$D$15:$O$15,1,COLUMN(F2)-COLUMN($B$2))</f>
        <v>7250</v>
      </c>
      <c r="G3" s="162">
        <f>INDEX(Database!$D$15:$O$15,1,COLUMN(G2)-COLUMN($B$2))</f>
        <v>14000</v>
      </c>
      <c r="H3" s="162">
        <f>INDEX(Database!$D$15:$O$15,1,COLUMN(H2)-COLUMN($B$2))</f>
        <v>8500</v>
      </c>
      <c r="I3" s="162">
        <f>INDEX(Database!$D$15:$O$15,1,COLUMN(I2)-COLUMN($B$2))</f>
        <v>6850</v>
      </c>
      <c r="J3" s="162">
        <f>INDEX(Database!$D$15:$O$15,1,COLUMN(J2)-COLUMN($B$2))</f>
        <v>7900</v>
      </c>
      <c r="K3" s="162">
        <f>INDEX(Database!$D$15:$O$15,1,COLUMN(K2)-COLUMN($B$2))</f>
        <v>5950</v>
      </c>
      <c r="L3" s="162">
        <f>INDEX(Database!$D$15:$O$15,1,COLUMN(L2)-COLUMN($B$2))</f>
        <v>7000</v>
      </c>
      <c r="M3" s="162">
        <f>INDEX(Database!$D$15:$O$15,1,COLUMN(M2)-COLUMN($B$2))</f>
        <v>6550</v>
      </c>
      <c r="N3" s="163">
        <f>INDEX(Database!$D$15:$O$15,1,COLUMN(N2)-COLUMN($B$2))</f>
        <v>0</v>
      </c>
      <c r="O3" s="155"/>
      <c r="P3" s="155"/>
      <c r="Q3" s="155"/>
      <c r="R3" s="155"/>
      <c r="S3" s="155"/>
      <c r="T3" s="155"/>
      <c r="U3" s="155"/>
      <c r="V3" s="155"/>
      <c r="W3" s="155"/>
    </row>
    <row r="4" spans="2:23" x14ac:dyDescent="0.2">
      <c r="B4" s="164" t="s">
        <v>12</v>
      </c>
      <c r="C4" s="165">
        <f>INDEX(Database!$D$41:$O$41,1,COLUMN(C2)-COLUMN($B$2))</f>
        <v>11876871.739999998</v>
      </c>
      <c r="D4" s="166">
        <f>INDEX(Database!$D$41:$O$41,1,COLUMN(D2)-COLUMN($B$2))</f>
        <v>3900</v>
      </c>
      <c r="E4" s="166">
        <f>INDEX(Database!$D$41:$O$41,1,COLUMN(E2)-COLUMN($B$2))</f>
        <v>4400</v>
      </c>
      <c r="F4" s="166">
        <f>INDEX(Database!$D$41:$O$41,1,COLUMN(F2)-COLUMN($B$2))</f>
        <v>5150</v>
      </c>
      <c r="G4" s="166">
        <f>INDEX(Database!$D$41:$O$41,1,COLUMN(G2)-COLUMN($B$2))</f>
        <v>4400</v>
      </c>
      <c r="H4" s="166">
        <f>INDEX(Database!$D$41:$O$41,1,COLUMN(H2)-COLUMN($B$2))</f>
        <v>5250</v>
      </c>
      <c r="I4" s="166">
        <f>INDEX(Database!$D$41:$O$41,1,COLUMN(I2)-COLUMN($B$2))</f>
        <v>3575</v>
      </c>
      <c r="J4" s="166">
        <f>INDEX(Database!$D$41:$O$41,1,COLUMN(J2)-COLUMN($B$2))</f>
        <v>4075</v>
      </c>
      <c r="K4" s="166">
        <f>INDEX(Database!$D$41:$O$41,1,COLUMN(K2)-COLUMN($B$2))</f>
        <v>4575</v>
      </c>
      <c r="L4" s="166">
        <f>INDEX(Database!$D$41:$O$41,1,COLUMN(L2)-COLUMN($B$2))</f>
        <v>4325</v>
      </c>
      <c r="M4" s="166">
        <f>INDEX(Database!$D$41:$O$41,1,COLUMN(M2)-COLUMN($B$2))</f>
        <v>4075</v>
      </c>
      <c r="N4" s="167">
        <f>INDEX(Database!$D$41:$O$41,1,COLUMN(N2)-COLUMN($B$2))</f>
        <v>0</v>
      </c>
      <c r="O4" s="155"/>
      <c r="P4" s="155"/>
      <c r="Q4" s="155"/>
      <c r="R4" s="155"/>
      <c r="S4" s="155"/>
      <c r="T4" s="155"/>
      <c r="U4" s="155"/>
      <c r="V4" s="155"/>
      <c r="W4" s="155"/>
    </row>
    <row r="5" spans="2:23" x14ac:dyDescent="0.2">
      <c r="B5" s="168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55"/>
      <c r="P5" s="155"/>
      <c r="Q5" s="155"/>
      <c r="R5" s="155"/>
      <c r="S5" s="155"/>
      <c r="T5" s="155"/>
      <c r="U5" s="155"/>
      <c r="V5" s="155"/>
      <c r="W5" s="155"/>
    </row>
    <row r="6" spans="2:23" ht="15" x14ac:dyDescent="0.2">
      <c r="B6" s="170">
        <v>1</v>
      </c>
      <c r="C6" s="171" t="str">
        <f>Database!C8</f>
        <v>Total Sales Revenue</v>
      </c>
      <c r="D6" s="172" t="str">
        <f>Database!C9</f>
        <v>Total Cost of Sales</v>
      </c>
      <c r="E6" s="172" t="str">
        <f>Database!C14</f>
        <v>Total Non-Operational Income</v>
      </c>
      <c r="F6" s="172" t="str">
        <f>Database!C36</f>
        <v>Total Operating Expenses</v>
      </c>
      <c r="G6" s="172" t="str">
        <f>Database!C40</f>
        <v>Total Non-Recurring Expenses</v>
      </c>
      <c r="H6" s="172" t="str">
        <f>Database!C48</f>
        <v>TOTAL TAXES</v>
      </c>
      <c r="I6" s="173" t="str">
        <f>Database!C52</f>
        <v>إجمالي توزيعات الأرباح على الشركاء</v>
      </c>
      <c r="J6" s="169"/>
      <c r="K6" s="169"/>
      <c r="L6" s="169"/>
      <c r="M6" s="169"/>
      <c r="N6" s="169"/>
      <c r="O6" s="155"/>
      <c r="P6" s="155"/>
      <c r="Q6" s="155"/>
      <c r="R6" s="155"/>
      <c r="S6" s="155"/>
      <c r="T6" s="155"/>
      <c r="U6" s="155"/>
      <c r="V6" s="155"/>
      <c r="W6" s="155"/>
    </row>
    <row r="7" spans="2:23" ht="15" x14ac:dyDescent="0.2">
      <c r="B7" s="174">
        <f>INDEX(Database!$D$7:$O$7,1,ROW(B7)-ROW($B$6))</f>
        <v>2021</v>
      </c>
      <c r="C7" s="175">
        <f>INDEX(Database!$D$8:$O$52,MATCH($C$6,Database!$C$8:$C$52,0),MATCH(B7,Database!$D$7:$O$7,0))</f>
        <v>14548877.583369944</v>
      </c>
      <c r="D7" s="175">
        <f>INDEX(Database!$D$8:$O$52,MATCH($D$6,Database!$C$8:$C$52,0),MATCH(B7,Database!$D$7:$O$7,0))</f>
        <v>0</v>
      </c>
      <c r="E7" s="175">
        <f>INDEX(Database!$D$8:$O$52,MATCH($E$6,Database!$C$8:$C$52,0),MATCH(B7,Database!$D$7:$O$7,0))</f>
        <v>358474.88</v>
      </c>
      <c r="F7" s="175">
        <f>INDEX(Database!$D$8:$O$52,MATCH($F$6,Database!$C$8:$C$52,0),MATCH(B7,Database!$D$7:$O$7,0))</f>
        <v>11841906.619999999</v>
      </c>
      <c r="G7" s="175">
        <f>INDEX(Database!$D$8:$O$52,MATCH($G$6,Database!$C$8:$C$52,0),MATCH(B7,Database!$D$7:$O$7,0))</f>
        <v>34965.120000000003</v>
      </c>
      <c r="H7" s="175">
        <f>INDEX(Database!$D$8:$O$52,MATCH($H$6,Database!$C$8:$C$52,0),MATCH(B7,Database!$D$7:$O$7,0))</f>
        <v>24125</v>
      </c>
      <c r="I7" s="176">
        <f>INDEX(Database!$D$8:$O$52,MATCH($I$6,Database!$C$8:$C$52,0),MATCH(B7,Database!$D$7:$O$7,0))</f>
        <v>0</v>
      </c>
      <c r="J7" s="169"/>
      <c r="K7" s="169"/>
      <c r="L7" s="169"/>
      <c r="M7" s="169"/>
      <c r="N7" s="169"/>
      <c r="O7" s="155"/>
      <c r="P7" s="155"/>
      <c r="Q7" s="155"/>
      <c r="R7" s="155"/>
      <c r="S7" s="155"/>
      <c r="T7" s="155"/>
      <c r="U7" s="155"/>
      <c r="V7" s="155"/>
      <c r="W7" s="155"/>
    </row>
    <row r="8" spans="2:23" ht="15" x14ac:dyDescent="0.2">
      <c r="B8" s="177">
        <f>INDEX(Database!$D$7:$O$7,1,ROW(B8)-ROW($B$6))</f>
        <v>2021</v>
      </c>
      <c r="C8" s="175">
        <f>INDEX(Database!$D$8:$O$52,MATCH($C$6,Database!$C$8:$C$52,0),MATCH(B8,Database!$D$7:$O$7,0))</f>
        <v>14548877.583369944</v>
      </c>
      <c r="D8" s="175">
        <f>INDEX(Database!$D$8:$O$52,MATCH($D$6,Database!$C$8:$C$52,0),MATCH(B8,Database!$D$7:$O$7,0))</f>
        <v>0</v>
      </c>
      <c r="E8" s="175">
        <f>INDEX(Database!$D$8:$O$52,MATCH($E$6,Database!$C$8:$C$52,0),MATCH(B8,Database!$D$7:$O$7,0))</f>
        <v>358474.88</v>
      </c>
      <c r="F8" s="175">
        <f>INDEX(Database!$D$8:$O$52,MATCH($F$6,Database!$C$8:$C$52,0),MATCH(B8,Database!$D$7:$O$7,0))</f>
        <v>11841906.619999999</v>
      </c>
      <c r="G8" s="175">
        <f>INDEX(Database!$D$8:$O$52,MATCH($G$6,Database!$C$8:$C$52,0),MATCH(B8,Database!$D$7:$O$7,0))</f>
        <v>34965.120000000003</v>
      </c>
      <c r="H8" s="175">
        <f>INDEX(Database!$D$8:$O$52,MATCH($H$6,Database!$C$8:$C$52,0),MATCH(B8,Database!$D$7:$O$7,0))</f>
        <v>24125</v>
      </c>
      <c r="I8" s="176">
        <f>INDEX(Database!$D$8:$O$52,MATCH($I$6,Database!$C$8:$C$52,0),MATCH(B8,Database!$D$7:$O$7,0))</f>
        <v>0</v>
      </c>
      <c r="J8" s="169"/>
      <c r="K8" s="169"/>
      <c r="L8" s="169"/>
      <c r="M8" s="169"/>
      <c r="N8" s="169"/>
      <c r="O8" s="155"/>
      <c r="P8" s="155"/>
      <c r="Q8" s="155"/>
      <c r="R8" s="155"/>
      <c r="S8" s="155"/>
      <c r="T8" s="155"/>
      <c r="U8" s="155"/>
      <c r="V8" s="155"/>
      <c r="W8" s="155"/>
    </row>
    <row r="9" spans="2:23" ht="15" x14ac:dyDescent="0.2">
      <c r="B9" s="177">
        <f>INDEX(Database!$D$7:$O$7,1,ROW(B9)-ROW($B$6))</f>
        <v>2021</v>
      </c>
      <c r="C9" s="175">
        <f>INDEX(Database!$D$8:$O$52,MATCH($C$6,Database!$C$8:$C$52,0),MATCH(B9,Database!$D$7:$O$7,0))</f>
        <v>14548877.583369944</v>
      </c>
      <c r="D9" s="175">
        <f>INDEX(Database!$D$8:$O$52,MATCH($D$6,Database!$C$8:$C$52,0),MATCH(B9,Database!$D$7:$O$7,0))</f>
        <v>0</v>
      </c>
      <c r="E9" s="175">
        <f>INDEX(Database!$D$8:$O$52,MATCH($E$6,Database!$C$8:$C$52,0),MATCH(B9,Database!$D$7:$O$7,0))</f>
        <v>358474.88</v>
      </c>
      <c r="F9" s="175">
        <f>INDEX(Database!$D$8:$O$52,MATCH($F$6,Database!$C$8:$C$52,0),MATCH(B9,Database!$D$7:$O$7,0))</f>
        <v>11841906.619999999</v>
      </c>
      <c r="G9" s="175">
        <f>INDEX(Database!$D$8:$O$52,MATCH($G$6,Database!$C$8:$C$52,0),MATCH(B9,Database!$D$7:$O$7,0))</f>
        <v>34965.120000000003</v>
      </c>
      <c r="H9" s="175">
        <f>INDEX(Database!$D$8:$O$52,MATCH($H$6,Database!$C$8:$C$52,0),MATCH(B9,Database!$D$7:$O$7,0))</f>
        <v>24125</v>
      </c>
      <c r="I9" s="176">
        <f>INDEX(Database!$D$8:$O$52,MATCH($I$6,Database!$C$8:$C$52,0),MATCH(B9,Database!$D$7:$O$7,0))</f>
        <v>0</v>
      </c>
      <c r="J9" s="169"/>
      <c r="K9" s="169"/>
      <c r="L9" s="169"/>
      <c r="M9" s="169"/>
      <c r="N9" s="169"/>
      <c r="O9" s="155"/>
      <c r="P9" s="155"/>
      <c r="Q9" s="155"/>
      <c r="R9" s="155"/>
      <c r="S9" s="155"/>
      <c r="T9" s="155"/>
      <c r="U9" s="155"/>
      <c r="V9" s="155"/>
      <c r="W9" s="155"/>
    </row>
    <row r="10" spans="2:23" ht="15" x14ac:dyDescent="0.2">
      <c r="B10" s="177">
        <f>INDEX(Database!$D$7:$O$7,1,ROW(B10)-ROW($B$6))</f>
        <v>2021</v>
      </c>
      <c r="C10" s="175">
        <f>INDEX(Database!$D$8:$O$52,MATCH($C$6,Database!$C$8:$C$52,0),MATCH(B10,Database!$D$7:$O$7,0))</f>
        <v>14548877.583369944</v>
      </c>
      <c r="D10" s="175">
        <f>INDEX(Database!$D$8:$O$52,MATCH($D$6,Database!$C$8:$C$52,0),MATCH(B10,Database!$D$7:$O$7,0))</f>
        <v>0</v>
      </c>
      <c r="E10" s="175">
        <f>INDEX(Database!$D$8:$O$52,MATCH($E$6,Database!$C$8:$C$52,0),MATCH(B10,Database!$D$7:$O$7,0))</f>
        <v>358474.88</v>
      </c>
      <c r="F10" s="175">
        <f>INDEX(Database!$D$8:$O$52,MATCH($F$6,Database!$C$8:$C$52,0),MATCH(B10,Database!$D$7:$O$7,0))</f>
        <v>11841906.619999999</v>
      </c>
      <c r="G10" s="175">
        <f>INDEX(Database!$D$8:$O$52,MATCH($G$6,Database!$C$8:$C$52,0),MATCH(B10,Database!$D$7:$O$7,0))</f>
        <v>34965.120000000003</v>
      </c>
      <c r="H10" s="175">
        <f>INDEX(Database!$D$8:$O$52,MATCH($H$6,Database!$C$8:$C$52,0),MATCH(B10,Database!$D$7:$O$7,0))</f>
        <v>24125</v>
      </c>
      <c r="I10" s="176">
        <f>INDEX(Database!$D$8:$O$52,MATCH($I$6,Database!$C$8:$C$52,0),MATCH(B10,Database!$D$7:$O$7,0))</f>
        <v>0</v>
      </c>
      <c r="J10" s="169"/>
      <c r="K10" s="169"/>
      <c r="L10" s="169"/>
      <c r="M10" s="169"/>
      <c r="N10" s="169"/>
      <c r="O10" s="155"/>
      <c r="P10" s="155"/>
      <c r="Q10" s="155"/>
      <c r="R10" s="155"/>
      <c r="S10" s="155"/>
      <c r="T10" s="155"/>
      <c r="U10" s="155"/>
      <c r="V10" s="155"/>
      <c r="W10" s="155"/>
    </row>
    <row r="11" spans="2:23" ht="15" x14ac:dyDescent="0.2">
      <c r="B11" s="177">
        <f>INDEX(Database!$D$7:$O$7,1,ROW(B11)-ROW($B$6))</f>
        <v>2021</v>
      </c>
      <c r="C11" s="175">
        <f>INDEX(Database!$D$8:$O$52,MATCH($C$6,Database!$C$8:$C$52,0),MATCH(B11,Database!$D$7:$O$7,0))</f>
        <v>14548877.583369944</v>
      </c>
      <c r="D11" s="175">
        <f>INDEX(Database!$D$8:$O$52,MATCH($D$6,Database!$C$8:$C$52,0),MATCH(B11,Database!$D$7:$O$7,0))</f>
        <v>0</v>
      </c>
      <c r="E11" s="175">
        <f>INDEX(Database!$D$8:$O$52,MATCH($E$6,Database!$C$8:$C$52,0),MATCH(B11,Database!$D$7:$O$7,0))</f>
        <v>358474.88</v>
      </c>
      <c r="F11" s="175">
        <f>INDEX(Database!$D$8:$O$52,MATCH($F$6,Database!$C$8:$C$52,0),MATCH(B11,Database!$D$7:$O$7,0))</f>
        <v>11841906.619999999</v>
      </c>
      <c r="G11" s="175">
        <f>INDEX(Database!$D$8:$O$52,MATCH($G$6,Database!$C$8:$C$52,0),MATCH(B11,Database!$D$7:$O$7,0))</f>
        <v>34965.120000000003</v>
      </c>
      <c r="H11" s="175">
        <f>INDEX(Database!$D$8:$O$52,MATCH($H$6,Database!$C$8:$C$52,0),MATCH(B11,Database!$D$7:$O$7,0))</f>
        <v>24125</v>
      </c>
      <c r="I11" s="176">
        <f>INDEX(Database!$D$8:$O$52,MATCH($I$6,Database!$C$8:$C$52,0),MATCH(B11,Database!$D$7:$O$7,0))</f>
        <v>0</v>
      </c>
      <c r="J11" s="169"/>
      <c r="K11" s="169"/>
      <c r="L11" s="169"/>
      <c r="M11" s="169"/>
      <c r="N11" s="169"/>
      <c r="O11" s="155"/>
      <c r="P11" s="155"/>
      <c r="Q11" s="155"/>
      <c r="R11" s="155"/>
      <c r="S11" s="155"/>
      <c r="T11" s="155"/>
      <c r="U11" s="155"/>
      <c r="V11" s="155"/>
      <c r="W11" s="155"/>
    </row>
    <row r="12" spans="2:23" ht="15" x14ac:dyDescent="0.2">
      <c r="B12" s="177">
        <f>INDEX(Database!$D$7:$O$7,1,ROW(B12)-ROW($B$6))</f>
        <v>2021</v>
      </c>
      <c r="C12" s="175">
        <f>INDEX(Database!$D$8:$O$52,MATCH($C$6,Database!$C$8:$C$52,0),MATCH(B12,Database!$D$7:$O$7,0))</f>
        <v>14548877.583369944</v>
      </c>
      <c r="D12" s="175">
        <f>INDEX(Database!$D$8:$O$52,MATCH($D$6,Database!$C$8:$C$52,0),MATCH(B12,Database!$D$7:$O$7,0))</f>
        <v>0</v>
      </c>
      <c r="E12" s="175">
        <f>INDEX(Database!$D$8:$O$52,MATCH($E$6,Database!$C$8:$C$52,0),MATCH(B12,Database!$D$7:$O$7,0))</f>
        <v>358474.88</v>
      </c>
      <c r="F12" s="175">
        <f>INDEX(Database!$D$8:$O$52,MATCH($F$6,Database!$C$8:$C$52,0),MATCH(B12,Database!$D$7:$O$7,0))</f>
        <v>11841906.619999999</v>
      </c>
      <c r="G12" s="175">
        <f>INDEX(Database!$D$8:$O$52,MATCH($G$6,Database!$C$8:$C$52,0),MATCH(B12,Database!$D$7:$O$7,0))</f>
        <v>34965.120000000003</v>
      </c>
      <c r="H12" s="175">
        <f>INDEX(Database!$D$8:$O$52,MATCH($H$6,Database!$C$8:$C$52,0),MATCH(B12,Database!$D$7:$O$7,0))</f>
        <v>24125</v>
      </c>
      <c r="I12" s="176">
        <f>INDEX(Database!$D$8:$O$52,MATCH($I$6,Database!$C$8:$C$52,0),MATCH(B12,Database!$D$7:$O$7,0))</f>
        <v>0</v>
      </c>
      <c r="J12" s="169"/>
      <c r="K12" s="169"/>
      <c r="L12" s="169"/>
      <c r="M12" s="169"/>
      <c r="N12" s="169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2:23" ht="15" x14ac:dyDescent="0.2">
      <c r="B13" s="177">
        <f>INDEX(Database!$D$7:$O$7,1,ROW(B13)-ROW($B$6))</f>
        <v>2021</v>
      </c>
      <c r="C13" s="175">
        <f>INDEX(Database!$D$8:$O$52,MATCH($C$6,Database!$C$8:$C$52,0),MATCH(B13,Database!$D$7:$O$7,0))</f>
        <v>14548877.583369944</v>
      </c>
      <c r="D13" s="175">
        <f>INDEX(Database!$D$8:$O$52,MATCH($D$6,Database!$C$8:$C$52,0),MATCH(B13,Database!$D$7:$O$7,0))</f>
        <v>0</v>
      </c>
      <c r="E13" s="175">
        <f>INDEX(Database!$D$8:$O$52,MATCH($E$6,Database!$C$8:$C$52,0),MATCH(B13,Database!$D$7:$O$7,0))</f>
        <v>358474.88</v>
      </c>
      <c r="F13" s="175">
        <f>INDEX(Database!$D$8:$O$52,MATCH($F$6,Database!$C$8:$C$52,0),MATCH(B13,Database!$D$7:$O$7,0))</f>
        <v>11841906.619999999</v>
      </c>
      <c r="G13" s="175">
        <f>INDEX(Database!$D$8:$O$52,MATCH($G$6,Database!$C$8:$C$52,0),MATCH(B13,Database!$D$7:$O$7,0))</f>
        <v>34965.120000000003</v>
      </c>
      <c r="H13" s="175">
        <f>INDEX(Database!$D$8:$O$52,MATCH($H$6,Database!$C$8:$C$52,0),MATCH(B13,Database!$D$7:$O$7,0))</f>
        <v>24125</v>
      </c>
      <c r="I13" s="176">
        <f>INDEX(Database!$D$8:$O$52,MATCH($I$6,Database!$C$8:$C$52,0),MATCH(B13,Database!$D$7:$O$7,0))</f>
        <v>0</v>
      </c>
      <c r="J13" s="169"/>
      <c r="K13" s="169"/>
      <c r="L13" s="169"/>
      <c r="M13" s="169"/>
      <c r="N13" s="169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2:23" ht="15" x14ac:dyDescent="0.2">
      <c r="B14" s="177">
        <f>INDEX(Database!$D$7:$O$7,1,ROW(B14)-ROW($B$6))</f>
        <v>2021</v>
      </c>
      <c r="C14" s="175">
        <f>INDEX(Database!$D$8:$O$52,MATCH($C$6,Database!$C$8:$C$52,0),MATCH(B14,Database!$D$7:$O$7,0))</f>
        <v>14548877.583369944</v>
      </c>
      <c r="D14" s="175">
        <f>INDEX(Database!$D$8:$O$52,MATCH($D$6,Database!$C$8:$C$52,0),MATCH(B14,Database!$D$7:$O$7,0))</f>
        <v>0</v>
      </c>
      <c r="E14" s="175">
        <f>INDEX(Database!$D$8:$O$52,MATCH($E$6,Database!$C$8:$C$52,0),MATCH(B14,Database!$D$7:$O$7,0))</f>
        <v>358474.88</v>
      </c>
      <c r="F14" s="175">
        <f>INDEX(Database!$D$8:$O$52,MATCH($F$6,Database!$C$8:$C$52,0),MATCH(B14,Database!$D$7:$O$7,0))</f>
        <v>11841906.619999999</v>
      </c>
      <c r="G14" s="175">
        <f>INDEX(Database!$D$8:$O$52,MATCH($G$6,Database!$C$8:$C$52,0),MATCH(B14,Database!$D$7:$O$7,0))</f>
        <v>34965.120000000003</v>
      </c>
      <c r="H14" s="175">
        <f>INDEX(Database!$D$8:$O$52,MATCH($H$6,Database!$C$8:$C$52,0),MATCH(B14,Database!$D$7:$O$7,0))</f>
        <v>24125</v>
      </c>
      <c r="I14" s="176">
        <f>INDEX(Database!$D$8:$O$52,MATCH($I$6,Database!$C$8:$C$52,0),MATCH(B14,Database!$D$7:$O$7,0))</f>
        <v>0</v>
      </c>
      <c r="J14" s="169"/>
      <c r="K14" s="169"/>
      <c r="L14" s="169"/>
      <c r="M14" s="169"/>
      <c r="N14" s="169"/>
      <c r="O14" s="155"/>
      <c r="P14" s="155"/>
      <c r="Q14" s="155"/>
      <c r="R14" s="155"/>
      <c r="S14" s="155"/>
      <c r="T14" s="155"/>
      <c r="U14" s="155"/>
      <c r="V14" s="155"/>
      <c r="W14" s="155"/>
    </row>
    <row r="15" spans="2:23" ht="15" x14ac:dyDescent="0.2">
      <c r="B15" s="177">
        <f>INDEX(Database!$D$7:$O$7,1,ROW(B15)-ROW($B$6))</f>
        <v>2021</v>
      </c>
      <c r="C15" s="175">
        <f>INDEX(Database!$D$8:$O$52,MATCH($C$6,Database!$C$8:$C$52,0),MATCH(B15,Database!$D$7:$O$7,0))</f>
        <v>14548877.583369944</v>
      </c>
      <c r="D15" s="175">
        <f>INDEX(Database!$D$8:$O$52,MATCH($D$6,Database!$C$8:$C$52,0),MATCH(B15,Database!$D$7:$O$7,0))</f>
        <v>0</v>
      </c>
      <c r="E15" s="175">
        <f>INDEX(Database!$D$8:$O$52,MATCH($E$6,Database!$C$8:$C$52,0),MATCH(B15,Database!$D$7:$O$7,0))</f>
        <v>358474.88</v>
      </c>
      <c r="F15" s="175">
        <f>INDEX(Database!$D$8:$O$52,MATCH($F$6,Database!$C$8:$C$52,0),MATCH(B15,Database!$D$7:$O$7,0))</f>
        <v>11841906.619999999</v>
      </c>
      <c r="G15" s="175">
        <f>INDEX(Database!$D$8:$O$52,MATCH($G$6,Database!$C$8:$C$52,0),MATCH(B15,Database!$D$7:$O$7,0))</f>
        <v>34965.120000000003</v>
      </c>
      <c r="H15" s="175">
        <f>INDEX(Database!$D$8:$O$52,MATCH($H$6,Database!$C$8:$C$52,0),MATCH(B15,Database!$D$7:$O$7,0))</f>
        <v>24125</v>
      </c>
      <c r="I15" s="176">
        <f>INDEX(Database!$D$8:$O$52,MATCH($I$6,Database!$C$8:$C$52,0),MATCH(B15,Database!$D$7:$O$7,0))</f>
        <v>0</v>
      </c>
      <c r="J15" s="169"/>
      <c r="K15" s="169"/>
      <c r="L15" s="169"/>
      <c r="M15" s="169"/>
      <c r="N15" s="169"/>
      <c r="O15" s="155"/>
      <c r="P15" s="155"/>
      <c r="Q15" s="155"/>
      <c r="R15" s="155"/>
      <c r="S15" s="155"/>
      <c r="T15" s="155"/>
      <c r="U15" s="155"/>
      <c r="V15" s="155"/>
      <c r="W15" s="155"/>
    </row>
    <row r="16" spans="2:23" ht="15" x14ac:dyDescent="0.2">
      <c r="B16" s="177">
        <f>INDEX(Database!$D$7:$O$7,1,ROW(B16)-ROW($B$6))</f>
        <v>2021</v>
      </c>
      <c r="C16" s="175">
        <f>INDEX(Database!$D$8:$O$52,MATCH($C$6,Database!$C$8:$C$52,0),MATCH(B16,Database!$D$7:$O$7,0))</f>
        <v>14548877.583369944</v>
      </c>
      <c r="D16" s="175">
        <f>INDEX(Database!$D$8:$O$52,MATCH($D$6,Database!$C$8:$C$52,0),MATCH(B16,Database!$D$7:$O$7,0))</f>
        <v>0</v>
      </c>
      <c r="E16" s="175">
        <f>INDEX(Database!$D$8:$O$52,MATCH($E$6,Database!$C$8:$C$52,0),MATCH(B16,Database!$D$7:$O$7,0))</f>
        <v>358474.88</v>
      </c>
      <c r="F16" s="175">
        <f>INDEX(Database!$D$8:$O$52,MATCH($F$6,Database!$C$8:$C$52,0),MATCH(B16,Database!$D$7:$O$7,0))</f>
        <v>11841906.619999999</v>
      </c>
      <c r="G16" s="175">
        <f>INDEX(Database!$D$8:$O$52,MATCH($G$6,Database!$C$8:$C$52,0),MATCH(B16,Database!$D$7:$O$7,0))</f>
        <v>34965.120000000003</v>
      </c>
      <c r="H16" s="175">
        <f>INDEX(Database!$D$8:$O$52,MATCH($H$6,Database!$C$8:$C$52,0),MATCH(B16,Database!$D$7:$O$7,0))</f>
        <v>24125</v>
      </c>
      <c r="I16" s="176">
        <f>INDEX(Database!$D$8:$O$52,MATCH($I$6,Database!$C$8:$C$52,0),MATCH(B16,Database!$D$7:$O$7,0))</f>
        <v>0</v>
      </c>
      <c r="J16" s="169"/>
      <c r="K16" s="169"/>
      <c r="L16" s="169"/>
      <c r="M16" s="169"/>
      <c r="N16" s="169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2:23" ht="15" x14ac:dyDescent="0.2">
      <c r="B17" s="177" t="str">
        <f>INDEX(Database!$D$7:$O$7,1,ROW(B17)-ROW($B$6))</f>
        <v>November</v>
      </c>
      <c r="C17" s="175">
        <f>INDEX(Database!$D$8:$O$52,MATCH($C$6,Database!$C$8:$C$52,0),MATCH(B17,Database!$D$7:$O$7,0))</f>
        <v>18550</v>
      </c>
      <c r="D17" s="175">
        <f>INDEX(Database!$D$8:$O$52,MATCH($D$6,Database!$C$8:$C$52,0),MATCH(B17,Database!$D$7:$O$7,0))</f>
        <v>14500</v>
      </c>
      <c r="E17" s="175">
        <f>INDEX(Database!$D$8:$O$52,MATCH($E$6,Database!$C$8:$C$52,0),MATCH(B17,Database!$D$7:$O$7,0))</f>
        <v>2500</v>
      </c>
      <c r="F17" s="175">
        <f>INDEX(Database!$D$8:$O$52,MATCH($F$6,Database!$C$8:$C$52,0),MATCH(B17,Database!$D$7:$O$7,0))</f>
        <v>3610</v>
      </c>
      <c r="G17" s="175">
        <f>INDEX(Database!$D$8:$O$52,MATCH($G$6,Database!$C$8:$C$52,0),MATCH(B17,Database!$D$7:$O$7,0))</f>
        <v>465</v>
      </c>
      <c r="H17" s="175">
        <f>INDEX(Database!$D$8:$O$52,MATCH($H$6,Database!$C$8:$C$52,0),MATCH(B17,Database!$D$7:$O$7,0))</f>
        <v>382</v>
      </c>
      <c r="I17" s="176">
        <f>INDEX(Database!$D$8:$O$52,MATCH($I$6,Database!$C$8:$C$52,0),MATCH(B17,Database!$D$7:$O$7,0))</f>
        <v>0</v>
      </c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</row>
    <row r="18" spans="2:23" ht="15" x14ac:dyDescent="0.2">
      <c r="B18" s="178" t="str">
        <f>INDEX(Database!$D$7:$O$7,1,ROW(B18)-ROW($B$6))</f>
        <v>December</v>
      </c>
      <c r="C18" s="179">
        <f>INDEX(Database!$D$8:$O$52,MATCH($C$6,Database!$C$8:$C$52,0),MATCH(B18,Database!$D$7:$O$7,0))</f>
        <v>0</v>
      </c>
      <c r="D18" s="180">
        <f>INDEX(Database!$D$8:$O$52,MATCH($D$6,Database!$C$8:$C$52,0),MATCH(B18,Database!$D$7:$O$7,0))</f>
        <v>0</v>
      </c>
      <c r="E18" s="180">
        <f>INDEX(Database!$D$8:$O$52,MATCH($E$6,Database!$C$8:$C$52,0),MATCH(B18,Database!$D$7:$O$7,0))</f>
        <v>0</v>
      </c>
      <c r="F18" s="180">
        <f>INDEX(Database!$D$8:$O$52,MATCH($F$6,Database!$C$8:$C$52,0),MATCH(B18,Database!$D$7:$O$7,0))</f>
        <v>0</v>
      </c>
      <c r="G18" s="180">
        <f>INDEX(Database!$D$8:$O$52,MATCH($G$6,Database!$C$8:$C$52,0),MATCH(B18,Database!$D$7:$O$7,0))</f>
        <v>0</v>
      </c>
      <c r="H18" s="180">
        <f>INDEX(Database!$D$8:$O$52,MATCH($H$6,Database!$C$8:$C$52,0),MATCH(B18,Database!$D$7:$O$7,0))</f>
        <v>0</v>
      </c>
      <c r="I18" s="181">
        <f>INDEX(Database!$D$8:$O$52,MATCH($I$6,Database!$C$8:$C$52,0),MATCH(B18,Database!$D$7:$O$7,0))</f>
        <v>0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</row>
    <row r="19" spans="2:23" x14ac:dyDescent="0.2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</row>
    <row r="20" spans="2:23" ht="15" x14ac:dyDescent="0.2">
      <c r="B20" s="155"/>
      <c r="C20" s="182" t="str">
        <f>""&amp;INDEX( Database!$C$18:$C$35,COLUMN(C20)-COLUMN($B$20),1)</f>
        <v>مصاريف الرواتب والأجور وبونص - تشغيلية</v>
      </c>
      <c r="D20" s="202" t="str">
        <f>""&amp;INDEX( Database!$C$18:$C$35,COLUMN(D20)-COLUMN($B$20),1)</f>
        <v>الرواتب والاجور - إدارية</v>
      </c>
      <c r="E20" s="202" t="str">
        <f>""&amp;INDEX( Database!$C$18:$C$35,COLUMN(E20)-COLUMN($B$20),1)</f>
        <v>مصاريف تجديد اقامات وتاشيرات</v>
      </c>
      <c r="F20" s="202" t="str">
        <f>""&amp;INDEX( Database!$C$18:$C$35,COLUMN(F20)-COLUMN($B$20),1)</f>
        <v>تجديد اقامات وتاشيرات - إدارية</v>
      </c>
      <c r="G20" s="202" t="str">
        <f>""&amp;INDEX( Database!$C$18:$C$35,COLUMN(G20)-COLUMN($B$20),1)</f>
        <v>مصاريف الكهرباء</v>
      </c>
      <c r="H20" s="202" t="str">
        <f>""&amp;INDEX( Database!$C$18:$C$35,COLUMN(H20)-COLUMN($B$20),1)</f>
        <v>مصاريف المياه ونزح مياه</v>
      </c>
      <c r="I20" s="202" t="str">
        <f>""&amp;INDEX( Database!$C$18:$C$35,COLUMN(I20)-COLUMN($B$20),1)</f>
        <v>مصاريف هاتف وانترنت وجوالات</v>
      </c>
      <c r="J20" s="202" t="str">
        <f>""&amp;INDEX( Database!$C$18:$C$35,COLUMN(J20)-COLUMN($B$20),1)</f>
        <v xml:space="preserve">مصاريف الإيجارات </v>
      </c>
      <c r="K20" s="202" t="str">
        <f>""&amp;INDEX( Database!$C$18:$C$35,COLUMN(K20)-COLUMN($B$20),1)</f>
        <v xml:space="preserve">مصاريف محروقات </v>
      </c>
      <c r="L20" s="202" t="str">
        <f>""&amp;INDEX( Database!$C$18:$C$35,COLUMN(L20)-COLUMN($B$20),1)</f>
        <v>مصاريف تذاكر السفر</v>
      </c>
      <c r="M20" s="202" t="str">
        <f>""&amp;INDEX( Database!$C$18:$C$35,COLUMN(M20)-COLUMN($B$20),1)</f>
        <v>مصاريف دعاية واعلان ادارية</v>
      </c>
      <c r="N20" s="202" t="str">
        <f>""&amp;INDEX( Database!$C$18:$C$35,COLUMN(N20)-COLUMN($B$20),1)</f>
        <v>التامينات الاجتماعية - إدارية</v>
      </c>
      <c r="O20" s="202" t="str">
        <f>""&amp;INDEX( Database!$C$18:$C$35,COLUMN(O20)-COLUMN($B$20),1)</f>
        <v xml:space="preserve"> مصاريف تامين طبي وعلاج</v>
      </c>
      <c r="P20" s="202" t="str">
        <f>""&amp;INDEX( Database!$C$18:$C$35,COLUMN(P20)-COLUMN($B$20),1)</f>
        <v>مصاريف رسوم واشتراكات</v>
      </c>
      <c r="Q20" s="202" t="str">
        <f>""&amp;INDEX( Database!$C$18:$C$35,COLUMN(Q20)-COLUMN($B$20),1)</f>
        <v>مصاريف مكافأة نهاية الخدمة</v>
      </c>
      <c r="R20" s="202" t="str">
        <f>""&amp;INDEX( Database!$C$18:$C$35,COLUMN(R20)-COLUMN($B$20),1)</f>
        <v>خدمات إستشارية وقانونية  - ادارية</v>
      </c>
      <c r="S20" s="202" t="str">
        <f>""&amp;INDEX( Database!$C$18:$C$35,COLUMN(S20)-COLUMN($B$20),1)</f>
        <v>مصاريف متنوعه - إدارية</v>
      </c>
      <c r="T20" s="203" t="str">
        <f>""&amp;INDEX( Database!$C$18:$C$35,COLUMN(T20)-COLUMN($B$20),1)</f>
        <v>مصاريف تشغيلية وصيانة  للفروع</v>
      </c>
      <c r="U20" s="155"/>
      <c r="V20" s="155"/>
    </row>
    <row r="21" spans="2:23" ht="15" x14ac:dyDescent="0.2">
      <c r="B21" s="174">
        <f>B7</f>
        <v>2021</v>
      </c>
      <c r="C21" s="183">
        <f>INDEX(Database!$D$8:$O$52,MATCH($C$20,Database!$C$8:$C$52,0),MATCH(B21,Database!$D$7:$O$7,0))</f>
        <v>5171170</v>
      </c>
      <c r="D21" s="175">
        <f>INDEX(Database!$D$8:$O$52,MATCH($D$20,Database!$C$8:$C$52,0),MATCH(B21,Database!$D$7:$O$7,0))</f>
        <v>885560</v>
      </c>
      <c r="E21" s="175">
        <f>INDEX(Database!$D$8:$O$52,MATCH($E$20,Database!$C$8:$C$52,0),MATCH(B21,Database!$D$7:$O$7,0))</f>
        <v>1509520.31</v>
      </c>
      <c r="F21" s="175">
        <f>INDEX(Database!$D$8:$O$52,MATCH($F$20,Database!$C$8:$C$52,0),MATCH(B21,Database!$D$7:$O$7,0))</f>
        <v>62353</v>
      </c>
      <c r="G21" s="175">
        <f>INDEX(Database!$D$8:$O$52,MATCH($G$20,Database!$C$8:$C$52,0),MATCH(B21,Database!$D$7:$O$7,0))</f>
        <v>338934.05000000005</v>
      </c>
      <c r="H21" s="175">
        <f>INDEX(Database!$D$8:$O$52,MATCH($H$20,Database!$C$8:$C$52,0),MATCH(B21,Database!$D$7:$O$7,0))</f>
        <v>10511</v>
      </c>
      <c r="I21" s="175">
        <f>INDEX(Database!$D$8:$O$52,MATCH($I$20,Database!$C$8:$C$52,0),MATCH(B21,Database!$D$7:$O$7,0))</f>
        <v>66062</v>
      </c>
      <c r="J21" s="175">
        <f>INDEX(Database!$D$8:$O$52,MATCH($J$20,Database!$C$8:$C$52,0),MATCH(B21,Database!$D$7:$O$7,0))</f>
        <v>1090095</v>
      </c>
      <c r="K21" s="175">
        <f>INDEX(Database!$D$8:$O$52,MATCH($K$20,Database!$C$8:$C$52,0),MATCH(B21,Database!$D$7:$O$7,0))</f>
        <v>44792</v>
      </c>
      <c r="L21" s="175">
        <f>INDEX(Database!$D$8:$O$52,MATCH($L$20,Database!$C$8:$C$52,0),MATCH(B21,Database!$D$7:$O$7,0))</f>
        <v>223055</v>
      </c>
      <c r="M21" s="175">
        <f>INDEX(Database!$D$8:$O$52,MATCH($M$20,Database!$C$8:$C$52,0),MATCH(B21,Database!$D$7:$O$7,0))</f>
        <v>110807</v>
      </c>
      <c r="N21" s="175">
        <f>INDEX(Database!$D$8:$O$52,MATCH($N$20,Database!$C$8:$C$52,0),MATCH(B21,Database!$D$7:$O$7,0))</f>
        <v>658650.76</v>
      </c>
      <c r="O21" s="175">
        <f>INDEX(Database!$D$8:$O$52,MATCH($O$20,Database!$C$8:$C$52,0),MATCH(B21,Database!$D$7:$O$7,0))</f>
        <v>227761</v>
      </c>
      <c r="P21" s="175">
        <f>INDEX(Database!$D$8:$O$52,MATCH($P$20,Database!$C$8:$C$52,0),MATCH(B21,Database!$D$7:$O$7,0))</f>
        <v>250939</v>
      </c>
      <c r="Q21" s="175">
        <f>INDEX(Database!$D$8:$O$52,MATCH($Q$20,Database!$C$8:$C$52,0),MATCH(B21,Database!$D$7:$O$7,0))</f>
        <v>123677</v>
      </c>
      <c r="R21" s="175">
        <f>INDEX(Database!$D$8:$O$52,MATCH($R$20,Database!$C$8:$C$52,0),MATCH(B21,Database!$D$7:$O$7,0))</f>
        <v>89162.5</v>
      </c>
      <c r="S21" s="175">
        <f>INDEX(Database!$D$8:$O$52,MATCH($S$20,Database!$C$8:$C$52,0),MATCH(B21,Database!$D$7:$O$7,0))</f>
        <v>160937</v>
      </c>
      <c r="T21" s="176">
        <f>INDEX(Database!$D$8:$O$52,MATCH($T$20,Database!$C$8:$C$52,0),MATCH(B21,Database!$D$7:$O$7,0))</f>
        <v>817920</v>
      </c>
      <c r="U21" s="155"/>
      <c r="V21" s="155"/>
      <c r="W21" s="155"/>
    </row>
    <row r="22" spans="2:23" ht="15" x14ac:dyDescent="0.2">
      <c r="B22" s="177">
        <f t="shared" ref="B22:B32" si="0">B8</f>
        <v>2021</v>
      </c>
      <c r="C22" s="183">
        <f>INDEX(Database!$D$8:$O$52,MATCH($C$20,Database!$C$8:$C$52,0),MATCH(B22,Database!$D$7:$O$7,0))</f>
        <v>5171170</v>
      </c>
      <c r="D22" s="175">
        <f>INDEX(Database!$D$8:$O$52,MATCH($D$20,Database!$C$8:$C$52,0),MATCH(B22,Database!$D$7:$O$7,0))</f>
        <v>885560</v>
      </c>
      <c r="E22" s="175">
        <f>INDEX(Database!$D$8:$O$52,MATCH($E$20,Database!$C$8:$C$52,0),MATCH(B22,Database!$D$7:$O$7,0))</f>
        <v>1509520.31</v>
      </c>
      <c r="F22" s="175">
        <f>INDEX(Database!$D$8:$O$52,MATCH($F$20,Database!$C$8:$C$52,0),MATCH(B22,Database!$D$7:$O$7,0))</f>
        <v>62353</v>
      </c>
      <c r="G22" s="175">
        <f>INDEX(Database!$D$8:$O$52,MATCH($G$20,Database!$C$8:$C$52,0),MATCH(B22,Database!$D$7:$O$7,0))</f>
        <v>338934.05000000005</v>
      </c>
      <c r="H22" s="175">
        <f>INDEX(Database!$D$8:$O$52,MATCH($H$20,Database!$C$8:$C$52,0),MATCH(B22,Database!$D$7:$O$7,0))</f>
        <v>10511</v>
      </c>
      <c r="I22" s="175">
        <f>INDEX(Database!$D$8:$O$52,MATCH($I$20,Database!$C$8:$C$52,0),MATCH(B22,Database!$D$7:$O$7,0))</f>
        <v>66062</v>
      </c>
      <c r="J22" s="175">
        <f>INDEX(Database!$D$8:$O$52,MATCH($J$20,Database!$C$8:$C$52,0),MATCH(B22,Database!$D$7:$O$7,0))</f>
        <v>1090095</v>
      </c>
      <c r="K22" s="175">
        <f>INDEX(Database!$D$8:$O$52,MATCH($K$20,Database!$C$8:$C$52,0),MATCH(B22,Database!$D$7:$O$7,0))</f>
        <v>44792</v>
      </c>
      <c r="L22" s="175">
        <f>INDEX(Database!$D$8:$O$52,MATCH($L$20,Database!$C$8:$C$52,0),MATCH(B22,Database!$D$7:$O$7,0))</f>
        <v>223055</v>
      </c>
      <c r="M22" s="175">
        <f>INDEX(Database!$D$8:$O$52,MATCH($M$20,Database!$C$8:$C$52,0),MATCH(B22,Database!$D$7:$O$7,0))</f>
        <v>110807</v>
      </c>
      <c r="N22" s="175">
        <f>INDEX(Database!$D$8:$O$52,MATCH($N$20,Database!$C$8:$C$52,0),MATCH(B22,Database!$D$7:$O$7,0))</f>
        <v>658650.76</v>
      </c>
      <c r="O22" s="175">
        <f>INDEX(Database!$D$8:$O$52,MATCH($O$20,Database!$C$8:$C$52,0),MATCH(B22,Database!$D$7:$O$7,0))</f>
        <v>227761</v>
      </c>
      <c r="P22" s="175">
        <f>INDEX(Database!$D$8:$O$52,MATCH($P$20,Database!$C$8:$C$52,0),MATCH(B22,Database!$D$7:$O$7,0))</f>
        <v>250939</v>
      </c>
      <c r="Q22" s="175">
        <f>INDEX(Database!$D$8:$O$52,MATCH($Q$20,Database!$C$8:$C$52,0),MATCH(B22,Database!$D$7:$O$7,0))</f>
        <v>123677</v>
      </c>
      <c r="R22" s="175">
        <f>INDEX(Database!$D$8:$O$52,MATCH($R$20,Database!$C$8:$C$52,0),MATCH(B22,Database!$D$7:$O$7,0))</f>
        <v>89162.5</v>
      </c>
      <c r="S22" s="175">
        <f>INDEX(Database!$D$8:$O$52,MATCH($S$20,Database!$C$8:$C$52,0),MATCH(B22,Database!$D$7:$O$7,0))</f>
        <v>160937</v>
      </c>
      <c r="T22" s="176">
        <f>INDEX(Database!$D$8:$O$52,MATCH($T$20,Database!$C$8:$C$52,0),MATCH(B22,Database!$D$7:$O$7,0))</f>
        <v>817920</v>
      </c>
      <c r="U22" s="155"/>
      <c r="V22" s="155"/>
      <c r="W22" s="155"/>
    </row>
    <row r="23" spans="2:23" ht="15" x14ac:dyDescent="0.2">
      <c r="B23" s="177">
        <f t="shared" si="0"/>
        <v>2021</v>
      </c>
      <c r="C23" s="183">
        <f>INDEX(Database!$D$8:$O$52,MATCH($C$20,Database!$C$8:$C$52,0),MATCH(B23,Database!$D$7:$O$7,0))</f>
        <v>5171170</v>
      </c>
      <c r="D23" s="175">
        <f>INDEX(Database!$D$8:$O$52,MATCH($D$20,Database!$C$8:$C$52,0),MATCH(B23,Database!$D$7:$O$7,0))</f>
        <v>885560</v>
      </c>
      <c r="E23" s="175">
        <f>INDEX(Database!$D$8:$O$52,MATCH($E$20,Database!$C$8:$C$52,0),MATCH(B23,Database!$D$7:$O$7,0))</f>
        <v>1509520.31</v>
      </c>
      <c r="F23" s="175">
        <f>INDEX(Database!$D$8:$O$52,MATCH($F$20,Database!$C$8:$C$52,0),MATCH(B23,Database!$D$7:$O$7,0))</f>
        <v>62353</v>
      </c>
      <c r="G23" s="175">
        <f>INDEX(Database!$D$8:$O$52,MATCH($G$20,Database!$C$8:$C$52,0),MATCH(B23,Database!$D$7:$O$7,0))</f>
        <v>338934.05000000005</v>
      </c>
      <c r="H23" s="175">
        <f>INDEX(Database!$D$8:$O$52,MATCH($H$20,Database!$C$8:$C$52,0),MATCH(B23,Database!$D$7:$O$7,0))</f>
        <v>10511</v>
      </c>
      <c r="I23" s="175">
        <f>INDEX(Database!$D$8:$O$52,MATCH($I$20,Database!$C$8:$C$52,0),MATCH(B23,Database!$D$7:$O$7,0))</f>
        <v>66062</v>
      </c>
      <c r="J23" s="175">
        <f>INDEX(Database!$D$8:$O$52,MATCH($J$20,Database!$C$8:$C$52,0),MATCH(B23,Database!$D$7:$O$7,0))</f>
        <v>1090095</v>
      </c>
      <c r="K23" s="175">
        <f>INDEX(Database!$D$8:$O$52,MATCH($K$20,Database!$C$8:$C$52,0),MATCH(B23,Database!$D$7:$O$7,0))</f>
        <v>44792</v>
      </c>
      <c r="L23" s="175">
        <f>INDEX(Database!$D$8:$O$52,MATCH($L$20,Database!$C$8:$C$52,0),MATCH(B23,Database!$D$7:$O$7,0))</f>
        <v>223055</v>
      </c>
      <c r="M23" s="175">
        <f>INDEX(Database!$D$8:$O$52,MATCH($M$20,Database!$C$8:$C$52,0),MATCH(B23,Database!$D$7:$O$7,0))</f>
        <v>110807</v>
      </c>
      <c r="N23" s="175">
        <f>INDEX(Database!$D$8:$O$52,MATCH($N$20,Database!$C$8:$C$52,0),MATCH(B23,Database!$D$7:$O$7,0))</f>
        <v>658650.76</v>
      </c>
      <c r="O23" s="175">
        <f>INDEX(Database!$D$8:$O$52,MATCH($O$20,Database!$C$8:$C$52,0),MATCH(B23,Database!$D$7:$O$7,0))</f>
        <v>227761</v>
      </c>
      <c r="P23" s="175">
        <f>INDEX(Database!$D$8:$O$52,MATCH($P$20,Database!$C$8:$C$52,0),MATCH(B23,Database!$D$7:$O$7,0))</f>
        <v>250939</v>
      </c>
      <c r="Q23" s="175">
        <f>INDEX(Database!$D$8:$O$52,MATCH($Q$20,Database!$C$8:$C$52,0),MATCH(B23,Database!$D$7:$O$7,0))</f>
        <v>123677</v>
      </c>
      <c r="R23" s="175">
        <f>INDEX(Database!$D$8:$O$52,MATCH($R$20,Database!$C$8:$C$52,0),MATCH(B23,Database!$D$7:$O$7,0))</f>
        <v>89162.5</v>
      </c>
      <c r="S23" s="175">
        <f>INDEX(Database!$D$8:$O$52,MATCH($S$20,Database!$C$8:$C$52,0),MATCH(B23,Database!$D$7:$O$7,0))</f>
        <v>160937</v>
      </c>
      <c r="T23" s="176">
        <f>INDEX(Database!$D$8:$O$52,MATCH($T$20,Database!$C$8:$C$52,0),MATCH(B23,Database!$D$7:$O$7,0))</f>
        <v>817920</v>
      </c>
      <c r="U23" s="155"/>
      <c r="V23" s="155"/>
      <c r="W23" s="155"/>
    </row>
    <row r="24" spans="2:23" ht="15" x14ac:dyDescent="0.2">
      <c r="B24" s="177">
        <f t="shared" si="0"/>
        <v>2021</v>
      </c>
      <c r="C24" s="183">
        <f>INDEX(Database!$D$8:$O$52,MATCH($C$20,Database!$C$8:$C$52,0),MATCH(B24,Database!$D$7:$O$7,0))</f>
        <v>5171170</v>
      </c>
      <c r="D24" s="175">
        <f>INDEX(Database!$D$8:$O$52,MATCH($D$20,Database!$C$8:$C$52,0),MATCH(B24,Database!$D$7:$O$7,0))</f>
        <v>885560</v>
      </c>
      <c r="E24" s="175">
        <f>INDEX(Database!$D$8:$O$52,MATCH($E$20,Database!$C$8:$C$52,0),MATCH(B24,Database!$D$7:$O$7,0))</f>
        <v>1509520.31</v>
      </c>
      <c r="F24" s="175">
        <f>INDEX(Database!$D$8:$O$52,MATCH($F$20,Database!$C$8:$C$52,0),MATCH(B24,Database!$D$7:$O$7,0))</f>
        <v>62353</v>
      </c>
      <c r="G24" s="175">
        <f>INDEX(Database!$D$8:$O$52,MATCH($G$20,Database!$C$8:$C$52,0),MATCH(B24,Database!$D$7:$O$7,0))</f>
        <v>338934.05000000005</v>
      </c>
      <c r="H24" s="175">
        <f>INDEX(Database!$D$8:$O$52,MATCH($H$20,Database!$C$8:$C$52,0),MATCH(B24,Database!$D$7:$O$7,0))</f>
        <v>10511</v>
      </c>
      <c r="I24" s="175">
        <f>INDEX(Database!$D$8:$O$52,MATCH($I$20,Database!$C$8:$C$52,0),MATCH(B24,Database!$D$7:$O$7,0))</f>
        <v>66062</v>
      </c>
      <c r="J24" s="175">
        <f>INDEX(Database!$D$8:$O$52,MATCH($J$20,Database!$C$8:$C$52,0),MATCH(B24,Database!$D$7:$O$7,0))</f>
        <v>1090095</v>
      </c>
      <c r="K24" s="175">
        <f>INDEX(Database!$D$8:$O$52,MATCH($K$20,Database!$C$8:$C$52,0),MATCH(B24,Database!$D$7:$O$7,0))</f>
        <v>44792</v>
      </c>
      <c r="L24" s="175">
        <f>INDEX(Database!$D$8:$O$52,MATCH($L$20,Database!$C$8:$C$52,0),MATCH(B24,Database!$D$7:$O$7,0))</f>
        <v>223055</v>
      </c>
      <c r="M24" s="175">
        <f>INDEX(Database!$D$8:$O$52,MATCH($M$20,Database!$C$8:$C$52,0),MATCH(B24,Database!$D$7:$O$7,0))</f>
        <v>110807</v>
      </c>
      <c r="N24" s="175">
        <f>INDEX(Database!$D$8:$O$52,MATCH($N$20,Database!$C$8:$C$52,0),MATCH(B24,Database!$D$7:$O$7,0))</f>
        <v>658650.76</v>
      </c>
      <c r="O24" s="175">
        <f>INDEX(Database!$D$8:$O$52,MATCH($O$20,Database!$C$8:$C$52,0),MATCH(B24,Database!$D$7:$O$7,0))</f>
        <v>227761</v>
      </c>
      <c r="P24" s="175">
        <f>INDEX(Database!$D$8:$O$52,MATCH($P$20,Database!$C$8:$C$52,0),MATCH(B24,Database!$D$7:$O$7,0))</f>
        <v>250939</v>
      </c>
      <c r="Q24" s="175">
        <f>INDEX(Database!$D$8:$O$52,MATCH($Q$20,Database!$C$8:$C$52,0),MATCH(B24,Database!$D$7:$O$7,0))</f>
        <v>123677</v>
      </c>
      <c r="R24" s="175">
        <f>INDEX(Database!$D$8:$O$52,MATCH($R$20,Database!$C$8:$C$52,0),MATCH(B24,Database!$D$7:$O$7,0))</f>
        <v>89162.5</v>
      </c>
      <c r="S24" s="175">
        <f>INDEX(Database!$D$8:$O$52,MATCH($S$20,Database!$C$8:$C$52,0),MATCH(B24,Database!$D$7:$O$7,0))</f>
        <v>160937</v>
      </c>
      <c r="T24" s="176">
        <f>INDEX(Database!$D$8:$O$52,MATCH($T$20,Database!$C$8:$C$52,0),MATCH(B24,Database!$D$7:$O$7,0))</f>
        <v>817920</v>
      </c>
      <c r="U24" s="155"/>
      <c r="V24" s="155"/>
      <c r="W24" s="155"/>
    </row>
    <row r="25" spans="2:23" ht="15" x14ac:dyDescent="0.2">
      <c r="B25" s="177">
        <f t="shared" si="0"/>
        <v>2021</v>
      </c>
      <c r="C25" s="183">
        <f>INDEX(Database!$D$8:$O$52,MATCH($C$20,Database!$C$8:$C$52,0),MATCH(B25,Database!$D$7:$O$7,0))</f>
        <v>5171170</v>
      </c>
      <c r="D25" s="175">
        <f>INDEX(Database!$D$8:$O$52,MATCH($D$20,Database!$C$8:$C$52,0),MATCH(B25,Database!$D$7:$O$7,0))</f>
        <v>885560</v>
      </c>
      <c r="E25" s="175">
        <f>INDEX(Database!$D$8:$O$52,MATCH($E$20,Database!$C$8:$C$52,0),MATCH(B25,Database!$D$7:$O$7,0))</f>
        <v>1509520.31</v>
      </c>
      <c r="F25" s="175">
        <f>INDEX(Database!$D$8:$O$52,MATCH($F$20,Database!$C$8:$C$52,0),MATCH(B25,Database!$D$7:$O$7,0))</f>
        <v>62353</v>
      </c>
      <c r="G25" s="175">
        <f>INDEX(Database!$D$8:$O$52,MATCH($G$20,Database!$C$8:$C$52,0),MATCH(B25,Database!$D$7:$O$7,0))</f>
        <v>338934.05000000005</v>
      </c>
      <c r="H25" s="175">
        <f>INDEX(Database!$D$8:$O$52,MATCH($H$20,Database!$C$8:$C$52,0),MATCH(B25,Database!$D$7:$O$7,0))</f>
        <v>10511</v>
      </c>
      <c r="I25" s="175">
        <f>INDEX(Database!$D$8:$O$52,MATCH($I$20,Database!$C$8:$C$52,0),MATCH(B25,Database!$D$7:$O$7,0))</f>
        <v>66062</v>
      </c>
      <c r="J25" s="175">
        <f>INDEX(Database!$D$8:$O$52,MATCH($J$20,Database!$C$8:$C$52,0),MATCH(B25,Database!$D$7:$O$7,0))</f>
        <v>1090095</v>
      </c>
      <c r="K25" s="175">
        <f>INDEX(Database!$D$8:$O$52,MATCH($K$20,Database!$C$8:$C$52,0),MATCH(B25,Database!$D$7:$O$7,0))</f>
        <v>44792</v>
      </c>
      <c r="L25" s="175">
        <f>INDEX(Database!$D$8:$O$52,MATCH($L$20,Database!$C$8:$C$52,0),MATCH(B25,Database!$D$7:$O$7,0))</f>
        <v>223055</v>
      </c>
      <c r="M25" s="175">
        <f>INDEX(Database!$D$8:$O$52,MATCH($M$20,Database!$C$8:$C$52,0),MATCH(B25,Database!$D$7:$O$7,0))</f>
        <v>110807</v>
      </c>
      <c r="N25" s="175">
        <f>INDEX(Database!$D$8:$O$52,MATCH($N$20,Database!$C$8:$C$52,0),MATCH(B25,Database!$D$7:$O$7,0))</f>
        <v>658650.76</v>
      </c>
      <c r="O25" s="175">
        <f>INDEX(Database!$D$8:$O$52,MATCH($O$20,Database!$C$8:$C$52,0),MATCH(B25,Database!$D$7:$O$7,0))</f>
        <v>227761</v>
      </c>
      <c r="P25" s="175">
        <f>INDEX(Database!$D$8:$O$52,MATCH($P$20,Database!$C$8:$C$52,0),MATCH(B25,Database!$D$7:$O$7,0))</f>
        <v>250939</v>
      </c>
      <c r="Q25" s="175">
        <f>INDEX(Database!$D$8:$O$52,MATCH($Q$20,Database!$C$8:$C$52,0),MATCH(B25,Database!$D$7:$O$7,0))</f>
        <v>123677</v>
      </c>
      <c r="R25" s="175">
        <f>INDEX(Database!$D$8:$O$52,MATCH($R$20,Database!$C$8:$C$52,0),MATCH(B25,Database!$D$7:$O$7,0))</f>
        <v>89162.5</v>
      </c>
      <c r="S25" s="175">
        <f>INDEX(Database!$D$8:$O$52,MATCH($S$20,Database!$C$8:$C$52,0),MATCH(B25,Database!$D$7:$O$7,0))</f>
        <v>160937</v>
      </c>
      <c r="T25" s="176">
        <f>INDEX(Database!$D$8:$O$52,MATCH($T$20,Database!$C$8:$C$52,0),MATCH(B25,Database!$D$7:$O$7,0))</f>
        <v>817920</v>
      </c>
      <c r="U25" s="155"/>
      <c r="V25" s="155"/>
      <c r="W25" s="155"/>
    </row>
    <row r="26" spans="2:23" ht="15" x14ac:dyDescent="0.2">
      <c r="B26" s="177">
        <f t="shared" si="0"/>
        <v>2021</v>
      </c>
      <c r="C26" s="183">
        <f>INDEX(Database!$D$8:$O$52,MATCH($C$20,Database!$C$8:$C$52,0),MATCH(B26,Database!$D$7:$O$7,0))</f>
        <v>5171170</v>
      </c>
      <c r="D26" s="175">
        <f>INDEX(Database!$D$8:$O$52,MATCH($D$20,Database!$C$8:$C$52,0),MATCH(B26,Database!$D$7:$O$7,0))</f>
        <v>885560</v>
      </c>
      <c r="E26" s="175">
        <f>INDEX(Database!$D$8:$O$52,MATCH($E$20,Database!$C$8:$C$52,0),MATCH(B26,Database!$D$7:$O$7,0))</f>
        <v>1509520.31</v>
      </c>
      <c r="F26" s="175">
        <f>INDEX(Database!$D$8:$O$52,MATCH($F$20,Database!$C$8:$C$52,0),MATCH(B26,Database!$D$7:$O$7,0))</f>
        <v>62353</v>
      </c>
      <c r="G26" s="175">
        <f>INDEX(Database!$D$8:$O$52,MATCH($G$20,Database!$C$8:$C$52,0),MATCH(B26,Database!$D$7:$O$7,0))</f>
        <v>338934.05000000005</v>
      </c>
      <c r="H26" s="175">
        <f>INDEX(Database!$D$8:$O$52,MATCH($H$20,Database!$C$8:$C$52,0),MATCH(B26,Database!$D$7:$O$7,0))</f>
        <v>10511</v>
      </c>
      <c r="I26" s="175">
        <f>INDEX(Database!$D$8:$O$52,MATCH($I$20,Database!$C$8:$C$52,0),MATCH(B26,Database!$D$7:$O$7,0))</f>
        <v>66062</v>
      </c>
      <c r="J26" s="175">
        <f>INDEX(Database!$D$8:$O$52,MATCH($J$20,Database!$C$8:$C$52,0),MATCH(B26,Database!$D$7:$O$7,0))</f>
        <v>1090095</v>
      </c>
      <c r="K26" s="175">
        <f>INDEX(Database!$D$8:$O$52,MATCH($K$20,Database!$C$8:$C$52,0),MATCH(B26,Database!$D$7:$O$7,0))</f>
        <v>44792</v>
      </c>
      <c r="L26" s="175">
        <f>INDEX(Database!$D$8:$O$52,MATCH($L$20,Database!$C$8:$C$52,0),MATCH(B26,Database!$D$7:$O$7,0))</f>
        <v>223055</v>
      </c>
      <c r="M26" s="175">
        <f>INDEX(Database!$D$8:$O$52,MATCH($M$20,Database!$C$8:$C$52,0),MATCH(B26,Database!$D$7:$O$7,0))</f>
        <v>110807</v>
      </c>
      <c r="N26" s="175">
        <f>INDEX(Database!$D$8:$O$52,MATCH($N$20,Database!$C$8:$C$52,0),MATCH(B26,Database!$D$7:$O$7,0))</f>
        <v>658650.76</v>
      </c>
      <c r="O26" s="175">
        <f>INDEX(Database!$D$8:$O$52,MATCH($O$20,Database!$C$8:$C$52,0),MATCH(B26,Database!$D$7:$O$7,0))</f>
        <v>227761</v>
      </c>
      <c r="P26" s="175">
        <f>INDEX(Database!$D$8:$O$52,MATCH($P$20,Database!$C$8:$C$52,0),MATCH(B26,Database!$D$7:$O$7,0))</f>
        <v>250939</v>
      </c>
      <c r="Q26" s="175">
        <f>INDEX(Database!$D$8:$O$52,MATCH($Q$20,Database!$C$8:$C$52,0),MATCH(B26,Database!$D$7:$O$7,0))</f>
        <v>123677</v>
      </c>
      <c r="R26" s="175">
        <f>INDEX(Database!$D$8:$O$52,MATCH($R$20,Database!$C$8:$C$52,0),MATCH(B26,Database!$D$7:$O$7,0))</f>
        <v>89162.5</v>
      </c>
      <c r="S26" s="175">
        <f>INDEX(Database!$D$8:$O$52,MATCH($S$20,Database!$C$8:$C$52,0),MATCH(B26,Database!$D$7:$O$7,0))</f>
        <v>160937</v>
      </c>
      <c r="T26" s="176">
        <f>INDEX(Database!$D$8:$O$52,MATCH($T$20,Database!$C$8:$C$52,0),MATCH(B26,Database!$D$7:$O$7,0))</f>
        <v>817920</v>
      </c>
      <c r="U26" s="155"/>
      <c r="V26" s="155"/>
      <c r="W26" s="155"/>
    </row>
    <row r="27" spans="2:23" ht="15" x14ac:dyDescent="0.2">
      <c r="B27" s="177">
        <f t="shared" si="0"/>
        <v>2021</v>
      </c>
      <c r="C27" s="183">
        <f>INDEX(Database!$D$8:$O$52,MATCH($C$20,Database!$C$8:$C$52,0),MATCH(B27,Database!$D$7:$O$7,0))</f>
        <v>5171170</v>
      </c>
      <c r="D27" s="175">
        <f>INDEX(Database!$D$8:$O$52,MATCH($D$20,Database!$C$8:$C$52,0),MATCH(B27,Database!$D$7:$O$7,0))</f>
        <v>885560</v>
      </c>
      <c r="E27" s="175">
        <f>INDEX(Database!$D$8:$O$52,MATCH($E$20,Database!$C$8:$C$52,0),MATCH(B27,Database!$D$7:$O$7,0))</f>
        <v>1509520.31</v>
      </c>
      <c r="F27" s="175">
        <f>INDEX(Database!$D$8:$O$52,MATCH($F$20,Database!$C$8:$C$52,0),MATCH(B27,Database!$D$7:$O$7,0))</f>
        <v>62353</v>
      </c>
      <c r="G27" s="175">
        <f>INDEX(Database!$D$8:$O$52,MATCH($G$20,Database!$C$8:$C$52,0),MATCH(B27,Database!$D$7:$O$7,0))</f>
        <v>338934.05000000005</v>
      </c>
      <c r="H27" s="175">
        <f>INDEX(Database!$D$8:$O$52,MATCH($H$20,Database!$C$8:$C$52,0),MATCH(B27,Database!$D$7:$O$7,0))</f>
        <v>10511</v>
      </c>
      <c r="I27" s="175">
        <f>INDEX(Database!$D$8:$O$52,MATCH($I$20,Database!$C$8:$C$52,0),MATCH(B27,Database!$D$7:$O$7,0))</f>
        <v>66062</v>
      </c>
      <c r="J27" s="175">
        <f>INDEX(Database!$D$8:$O$52,MATCH($J$20,Database!$C$8:$C$52,0),MATCH(B27,Database!$D$7:$O$7,0))</f>
        <v>1090095</v>
      </c>
      <c r="K27" s="175">
        <f>INDEX(Database!$D$8:$O$52,MATCH($K$20,Database!$C$8:$C$52,0),MATCH(B27,Database!$D$7:$O$7,0))</f>
        <v>44792</v>
      </c>
      <c r="L27" s="175">
        <f>INDEX(Database!$D$8:$O$52,MATCH($L$20,Database!$C$8:$C$52,0),MATCH(B27,Database!$D$7:$O$7,0))</f>
        <v>223055</v>
      </c>
      <c r="M27" s="175">
        <f>INDEX(Database!$D$8:$O$52,MATCH($M$20,Database!$C$8:$C$52,0),MATCH(B27,Database!$D$7:$O$7,0))</f>
        <v>110807</v>
      </c>
      <c r="N27" s="175">
        <f>INDEX(Database!$D$8:$O$52,MATCH($N$20,Database!$C$8:$C$52,0),MATCH(B27,Database!$D$7:$O$7,0))</f>
        <v>658650.76</v>
      </c>
      <c r="O27" s="175">
        <f>INDEX(Database!$D$8:$O$52,MATCH($O$20,Database!$C$8:$C$52,0),MATCH(B27,Database!$D$7:$O$7,0))</f>
        <v>227761</v>
      </c>
      <c r="P27" s="175">
        <f>INDEX(Database!$D$8:$O$52,MATCH($P$20,Database!$C$8:$C$52,0),MATCH(B27,Database!$D$7:$O$7,0))</f>
        <v>250939</v>
      </c>
      <c r="Q27" s="175">
        <f>INDEX(Database!$D$8:$O$52,MATCH($Q$20,Database!$C$8:$C$52,0),MATCH(B27,Database!$D$7:$O$7,0))</f>
        <v>123677</v>
      </c>
      <c r="R27" s="175">
        <f>INDEX(Database!$D$8:$O$52,MATCH($R$20,Database!$C$8:$C$52,0),MATCH(B27,Database!$D$7:$O$7,0))</f>
        <v>89162.5</v>
      </c>
      <c r="S27" s="175">
        <f>INDEX(Database!$D$8:$O$52,MATCH($S$20,Database!$C$8:$C$52,0),MATCH(B27,Database!$D$7:$O$7,0))</f>
        <v>160937</v>
      </c>
      <c r="T27" s="176">
        <f>INDEX(Database!$D$8:$O$52,MATCH($T$20,Database!$C$8:$C$52,0),MATCH(B27,Database!$D$7:$O$7,0))</f>
        <v>817920</v>
      </c>
      <c r="U27" s="155"/>
      <c r="V27" s="155"/>
      <c r="W27" s="155"/>
    </row>
    <row r="28" spans="2:23" ht="15" x14ac:dyDescent="0.2">
      <c r="B28" s="177">
        <f t="shared" si="0"/>
        <v>2021</v>
      </c>
      <c r="C28" s="183">
        <f>INDEX(Database!$D$8:$O$52,MATCH($C$20,Database!$C$8:$C$52,0),MATCH(B28,Database!$D$7:$O$7,0))</f>
        <v>5171170</v>
      </c>
      <c r="D28" s="175">
        <f>INDEX(Database!$D$8:$O$52,MATCH($D$20,Database!$C$8:$C$52,0),MATCH(B28,Database!$D$7:$O$7,0))</f>
        <v>885560</v>
      </c>
      <c r="E28" s="175">
        <f>INDEX(Database!$D$8:$O$52,MATCH($E$20,Database!$C$8:$C$52,0),MATCH(B28,Database!$D$7:$O$7,0))</f>
        <v>1509520.31</v>
      </c>
      <c r="F28" s="175">
        <f>INDEX(Database!$D$8:$O$52,MATCH($F$20,Database!$C$8:$C$52,0),MATCH(B28,Database!$D$7:$O$7,0))</f>
        <v>62353</v>
      </c>
      <c r="G28" s="175">
        <f>INDEX(Database!$D$8:$O$52,MATCH($G$20,Database!$C$8:$C$52,0),MATCH(B28,Database!$D$7:$O$7,0))</f>
        <v>338934.05000000005</v>
      </c>
      <c r="H28" s="175">
        <f>INDEX(Database!$D$8:$O$52,MATCH($H$20,Database!$C$8:$C$52,0),MATCH(B28,Database!$D$7:$O$7,0))</f>
        <v>10511</v>
      </c>
      <c r="I28" s="175">
        <f>INDEX(Database!$D$8:$O$52,MATCH($I$20,Database!$C$8:$C$52,0),MATCH(B28,Database!$D$7:$O$7,0))</f>
        <v>66062</v>
      </c>
      <c r="J28" s="175">
        <f>INDEX(Database!$D$8:$O$52,MATCH($J$20,Database!$C$8:$C$52,0),MATCH(B28,Database!$D$7:$O$7,0))</f>
        <v>1090095</v>
      </c>
      <c r="K28" s="175">
        <f>INDEX(Database!$D$8:$O$52,MATCH($K$20,Database!$C$8:$C$52,0),MATCH(B28,Database!$D$7:$O$7,0))</f>
        <v>44792</v>
      </c>
      <c r="L28" s="175">
        <f>INDEX(Database!$D$8:$O$52,MATCH($L$20,Database!$C$8:$C$52,0),MATCH(B28,Database!$D$7:$O$7,0))</f>
        <v>223055</v>
      </c>
      <c r="M28" s="175">
        <f>INDEX(Database!$D$8:$O$52,MATCH($M$20,Database!$C$8:$C$52,0),MATCH(B28,Database!$D$7:$O$7,0))</f>
        <v>110807</v>
      </c>
      <c r="N28" s="175">
        <f>INDEX(Database!$D$8:$O$52,MATCH($N$20,Database!$C$8:$C$52,0),MATCH(B28,Database!$D$7:$O$7,0))</f>
        <v>658650.76</v>
      </c>
      <c r="O28" s="175">
        <f>INDEX(Database!$D$8:$O$52,MATCH($O$20,Database!$C$8:$C$52,0),MATCH(B28,Database!$D$7:$O$7,0))</f>
        <v>227761</v>
      </c>
      <c r="P28" s="175">
        <f>INDEX(Database!$D$8:$O$52,MATCH($P$20,Database!$C$8:$C$52,0),MATCH(B28,Database!$D$7:$O$7,0))</f>
        <v>250939</v>
      </c>
      <c r="Q28" s="175">
        <f>INDEX(Database!$D$8:$O$52,MATCH($Q$20,Database!$C$8:$C$52,0),MATCH(B28,Database!$D$7:$O$7,0))</f>
        <v>123677</v>
      </c>
      <c r="R28" s="175">
        <f>INDEX(Database!$D$8:$O$52,MATCH($R$20,Database!$C$8:$C$52,0),MATCH(B28,Database!$D$7:$O$7,0))</f>
        <v>89162.5</v>
      </c>
      <c r="S28" s="175">
        <f>INDEX(Database!$D$8:$O$52,MATCH($S$20,Database!$C$8:$C$52,0),MATCH(B28,Database!$D$7:$O$7,0))</f>
        <v>160937</v>
      </c>
      <c r="T28" s="176">
        <f>INDEX(Database!$D$8:$O$52,MATCH($T$20,Database!$C$8:$C$52,0),MATCH(B28,Database!$D$7:$O$7,0))</f>
        <v>817920</v>
      </c>
      <c r="U28" s="155"/>
      <c r="V28" s="155"/>
      <c r="W28" s="155"/>
    </row>
    <row r="29" spans="2:23" ht="15" x14ac:dyDescent="0.2">
      <c r="B29" s="177">
        <f t="shared" si="0"/>
        <v>2021</v>
      </c>
      <c r="C29" s="183">
        <f>INDEX(Database!$D$8:$O$52,MATCH($C$20,Database!$C$8:$C$52,0),MATCH(B29,Database!$D$7:$O$7,0))</f>
        <v>5171170</v>
      </c>
      <c r="D29" s="175">
        <f>INDEX(Database!$D$8:$O$52,MATCH($D$20,Database!$C$8:$C$52,0),MATCH(B29,Database!$D$7:$O$7,0))</f>
        <v>885560</v>
      </c>
      <c r="E29" s="175">
        <f>INDEX(Database!$D$8:$O$52,MATCH($E$20,Database!$C$8:$C$52,0),MATCH(B29,Database!$D$7:$O$7,0))</f>
        <v>1509520.31</v>
      </c>
      <c r="F29" s="175">
        <f>INDEX(Database!$D$8:$O$52,MATCH($F$20,Database!$C$8:$C$52,0),MATCH(B29,Database!$D$7:$O$7,0))</f>
        <v>62353</v>
      </c>
      <c r="G29" s="175">
        <f>INDEX(Database!$D$8:$O$52,MATCH($G$20,Database!$C$8:$C$52,0),MATCH(B29,Database!$D$7:$O$7,0))</f>
        <v>338934.05000000005</v>
      </c>
      <c r="H29" s="175">
        <f>INDEX(Database!$D$8:$O$52,MATCH($H$20,Database!$C$8:$C$52,0),MATCH(B29,Database!$D$7:$O$7,0))</f>
        <v>10511</v>
      </c>
      <c r="I29" s="175">
        <f>INDEX(Database!$D$8:$O$52,MATCH($I$20,Database!$C$8:$C$52,0),MATCH(B29,Database!$D$7:$O$7,0))</f>
        <v>66062</v>
      </c>
      <c r="J29" s="175">
        <f>INDEX(Database!$D$8:$O$52,MATCH($J$20,Database!$C$8:$C$52,0),MATCH(B29,Database!$D$7:$O$7,0))</f>
        <v>1090095</v>
      </c>
      <c r="K29" s="175">
        <f>INDEX(Database!$D$8:$O$52,MATCH($K$20,Database!$C$8:$C$52,0),MATCH(B29,Database!$D$7:$O$7,0))</f>
        <v>44792</v>
      </c>
      <c r="L29" s="175">
        <f>INDEX(Database!$D$8:$O$52,MATCH($L$20,Database!$C$8:$C$52,0),MATCH(B29,Database!$D$7:$O$7,0))</f>
        <v>223055</v>
      </c>
      <c r="M29" s="175">
        <f>INDEX(Database!$D$8:$O$52,MATCH($M$20,Database!$C$8:$C$52,0),MATCH(B29,Database!$D$7:$O$7,0))</f>
        <v>110807</v>
      </c>
      <c r="N29" s="175">
        <f>INDEX(Database!$D$8:$O$52,MATCH($N$20,Database!$C$8:$C$52,0),MATCH(B29,Database!$D$7:$O$7,0))</f>
        <v>658650.76</v>
      </c>
      <c r="O29" s="175">
        <f>INDEX(Database!$D$8:$O$52,MATCH($O$20,Database!$C$8:$C$52,0),MATCH(B29,Database!$D$7:$O$7,0))</f>
        <v>227761</v>
      </c>
      <c r="P29" s="175">
        <f>INDEX(Database!$D$8:$O$52,MATCH($P$20,Database!$C$8:$C$52,0),MATCH(B29,Database!$D$7:$O$7,0))</f>
        <v>250939</v>
      </c>
      <c r="Q29" s="175">
        <f>INDEX(Database!$D$8:$O$52,MATCH($Q$20,Database!$C$8:$C$52,0),MATCH(B29,Database!$D$7:$O$7,0))</f>
        <v>123677</v>
      </c>
      <c r="R29" s="175">
        <f>INDEX(Database!$D$8:$O$52,MATCH($R$20,Database!$C$8:$C$52,0),MATCH(B29,Database!$D$7:$O$7,0))</f>
        <v>89162.5</v>
      </c>
      <c r="S29" s="175">
        <f>INDEX(Database!$D$8:$O$52,MATCH($S$20,Database!$C$8:$C$52,0),MATCH(B29,Database!$D$7:$O$7,0))</f>
        <v>160937</v>
      </c>
      <c r="T29" s="176">
        <f>INDEX(Database!$D$8:$O$52,MATCH($T$20,Database!$C$8:$C$52,0),MATCH(B29,Database!$D$7:$O$7,0))</f>
        <v>817920</v>
      </c>
      <c r="U29" s="155"/>
      <c r="V29" s="155"/>
      <c r="W29" s="155"/>
    </row>
    <row r="30" spans="2:23" ht="15" x14ac:dyDescent="0.2">
      <c r="B30" s="177">
        <f t="shared" si="0"/>
        <v>2021</v>
      </c>
      <c r="C30" s="183">
        <f>INDEX(Database!$D$8:$O$52,MATCH($C$20,Database!$C$8:$C$52,0),MATCH(B30,Database!$D$7:$O$7,0))</f>
        <v>5171170</v>
      </c>
      <c r="D30" s="175">
        <f>INDEX(Database!$D$8:$O$52,MATCH($D$20,Database!$C$8:$C$52,0),MATCH(B30,Database!$D$7:$O$7,0))</f>
        <v>885560</v>
      </c>
      <c r="E30" s="175">
        <f>INDEX(Database!$D$8:$O$52,MATCH($E$20,Database!$C$8:$C$52,0),MATCH(B30,Database!$D$7:$O$7,0))</f>
        <v>1509520.31</v>
      </c>
      <c r="F30" s="175">
        <f>INDEX(Database!$D$8:$O$52,MATCH($F$20,Database!$C$8:$C$52,0),MATCH(B30,Database!$D$7:$O$7,0))</f>
        <v>62353</v>
      </c>
      <c r="G30" s="175">
        <f>INDEX(Database!$D$8:$O$52,MATCH($G$20,Database!$C$8:$C$52,0),MATCH(B30,Database!$D$7:$O$7,0))</f>
        <v>338934.05000000005</v>
      </c>
      <c r="H30" s="175">
        <f>INDEX(Database!$D$8:$O$52,MATCH($H$20,Database!$C$8:$C$52,0),MATCH(B30,Database!$D$7:$O$7,0))</f>
        <v>10511</v>
      </c>
      <c r="I30" s="175">
        <f>INDEX(Database!$D$8:$O$52,MATCH($I$20,Database!$C$8:$C$52,0),MATCH(B30,Database!$D$7:$O$7,0))</f>
        <v>66062</v>
      </c>
      <c r="J30" s="175">
        <f>INDEX(Database!$D$8:$O$52,MATCH($J$20,Database!$C$8:$C$52,0),MATCH(B30,Database!$D$7:$O$7,0))</f>
        <v>1090095</v>
      </c>
      <c r="K30" s="175">
        <f>INDEX(Database!$D$8:$O$52,MATCH($K$20,Database!$C$8:$C$52,0),MATCH(B30,Database!$D$7:$O$7,0))</f>
        <v>44792</v>
      </c>
      <c r="L30" s="175">
        <f>INDEX(Database!$D$8:$O$52,MATCH($L$20,Database!$C$8:$C$52,0),MATCH(B30,Database!$D$7:$O$7,0))</f>
        <v>223055</v>
      </c>
      <c r="M30" s="175">
        <f>INDEX(Database!$D$8:$O$52,MATCH($M$20,Database!$C$8:$C$52,0),MATCH(B30,Database!$D$7:$O$7,0))</f>
        <v>110807</v>
      </c>
      <c r="N30" s="175">
        <f>INDEX(Database!$D$8:$O$52,MATCH($N$20,Database!$C$8:$C$52,0),MATCH(B30,Database!$D$7:$O$7,0))</f>
        <v>658650.76</v>
      </c>
      <c r="O30" s="175">
        <f>INDEX(Database!$D$8:$O$52,MATCH($O$20,Database!$C$8:$C$52,0),MATCH(B30,Database!$D$7:$O$7,0))</f>
        <v>227761</v>
      </c>
      <c r="P30" s="175">
        <f>INDEX(Database!$D$8:$O$52,MATCH($P$20,Database!$C$8:$C$52,0),MATCH(B30,Database!$D$7:$O$7,0))</f>
        <v>250939</v>
      </c>
      <c r="Q30" s="175">
        <f>INDEX(Database!$D$8:$O$52,MATCH($Q$20,Database!$C$8:$C$52,0),MATCH(B30,Database!$D$7:$O$7,0))</f>
        <v>123677</v>
      </c>
      <c r="R30" s="175">
        <f>INDEX(Database!$D$8:$O$52,MATCH($R$20,Database!$C$8:$C$52,0),MATCH(B30,Database!$D$7:$O$7,0))</f>
        <v>89162.5</v>
      </c>
      <c r="S30" s="175">
        <f>INDEX(Database!$D$8:$O$52,MATCH($S$20,Database!$C$8:$C$52,0),MATCH(B30,Database!$D$7:$O$7,0))</f>
        <v>160937</v>
      </c>
      <c r="T30" s="176">
        <f>INDEX(Database!$D$8:$O$52,MATCH($T$20,Database!$C$8:$C$52,0),MATCH(B30,Database!$D$7:$O$7,0))</f>
        <v>817920</v>
      </c>
      <c r="U30" s="155"/>
      <c r="V30" s="155"/>
      <c r="W30" s="155"/>
    </row>
    <row r="31" spans="2:23" ht="15" x14ac:dyDescent="0.2">
      <c r="B31" s="177" t="str">
        <f t="shared" si="0"/>
        <v>November</v>
      </c>
      <c r="C31" s="183">
        <f>INDEX(Database!$D$8:$O$52,MATCH($C$20,Database!$C$8:$C$52,0),MATCH(B31,Database!$D$7:$O$7,0))</f>
        <v>2500</v>
      </c>
      <c r="D31" s="175">
        <f>INDEX(Database!$D$8:$O$52,MATCH($D$20,Database!$C$8:$C$52,0),MATCH(B31,Database!$D$7:$O$7,0))</f>
        <v>620</v>
      </c>
      <c r="E31" s="175">
        <f>INDEX(Database!$D$8:$O$52,MATCH($E$20,Database!$C$8:$C$52,0),MATCH(B31,Database!$D$7:$O$7,0))</f>
        <v>490</v>
      </c>
      <c r="F31" s="175">
        <f>INDEX(Database!$D$8:$O$52,MATCH($F$20,Database!$C$8:$C$52,0),MATCH(B31,Database!$D$7:$O$7,0))</f>
        <v>0</v>
      </c>
      <c r="G31" s="175">
        <f>INDEX(Database!$D$8:$O$52,MATCH($G$20,Database!$C$8:$C$52,0),MATCH(B31,Database!$D$7:$O$7,0))</f>
        <v>0</v>
      </c>
      <c r="H31" s="175">
        <f>INDEX(Database!$D$8:$O$52,MATCH($H$20,Database!$C$8:$C$52,0),MATCH(B31,Database!$D$7:$O$7,0))</f>
        <v>0</v>
      </c>
      <c r="I31" s="175">
        <f>INDEX(Database!$D$8:$O$52,MATCH($I$20,Database!$C$8:$C$52,0),MATCH(B31,Database!$D$7:$O$7,0))</f>
        <v>0</v>
      </c>
      <c r="J31" s="175">
        <f>INDEX(Database!$D$8:$O$52,MATCH($J$20,Database!$C$8:$C$52,0),MATCH(B31,Database!$D$7:$O$7,0))</f>
        <v>0</v>
      </c>
      <c r="K31" s="175">
        <f>INDEX(Database!$D$8:$O$52,MATCH($K$20,Database!$C$8:$C$52,0),MATCH(B31,Database!$D$7:$O$7,0))</f>
        <v>0</v>
      </c>
      <c r="L31" s="175">
        <f>INDEX(Database!$D$8:$O$52,MATCH($L$20,Database!$C$8:$C$52,0),MATCH(B31,Database!$D$7:$O$7,0))</f>
        <v>0</v>
      </c>
      <c r="M31" s="175">
        <f>INDEX(Database!$D$8:$O$52,MATCH($M$20,Database!$C$8:$C$52,0),MATCH(B31,Database!$D$7:$O$7,0))</f>
        <v>0</v>
      </c>
      <c r="N31" s="175">
        <f>INDEX(Database!$D$8:$O$52,MATCH($N$20,Database!$C$8:$C$52,0),MATCH(B31,Database!$D$7:$O$7,0))</f>
        <v>0</v>
      </c>
      <c r="O31" s="175">
        <f>INDEX(Database!$D$8:$O$52,MATCH($O$20,Database!$C$8:$C$52,0),MATCH(B31,Database!$D$7:$O$7,0))</f>
        <v>0</v>
      </c>
      <c r="P31" s="175">
        <f>INDEX(Database!$D$8:$O$52,MATCH($P$20,Database!$C$8:$C$52,0),MATCH(B31,Database!$D$7:$O$7,0))</f>
        <v>0</v>
      </c>
      <c r="Q31" s="175">
        <f>INDEX(Database!$D$8:$O$52,MATCH($Q$20,Database!$C$8:$C$52,0),MATCH(B31,Database!$D$7:$O$7,0))</f>
        <v>0</v>
      </c>
      <c r="R31" s="175">
        <f>INDEX(Database!$D$8:$O$52,MATCH($R$20,Database!$C$8:$C$52,0),MATCH(B31,Database!$D$7:$O$7,0))</f>
        <v>0</v>
      </c>
      <c r="S31" s="175">
        <f>INDEX(Database!$D$8:$O$52,MATCH($S$20,Database!$C$8:$C$52,0),MATCH(B31,Database!$D$7:$O$7,0))</f>
        <v>0</v>
      </c>
      <c r="T31" s="176">
        <f>INDEX(Database!$D$8:$O$52,MATCH($T$20,Database!$C$8:$C$52,0),MATCH(B31,Database!$D$7:$O$7,0))</f>
        <v>0</v>
      </c>
      <c r="U31" s="155"/>
      <c r="V31" s="155"/>
      <c r="W31" s="155"/>
    </row>
    <row r="32" spans="2:23" ht="15" x14ac:dyDescent="0.2">
      <c r="B32" s="178" t="str">
        <f t="shared" si="0"/>
        <v>December</v>
      </c>
      <c r="C32" s="179">
        <f>INDEX(Database!$D$8:$O$52,MATCH($C$20,Database!$C$8:$C$52,0),MATCH(B32,Database!$D$7:$O$7,0))</f>
        <v>0</v>
      </c>
      <c r="D32" s="180">
        <f>INDEX(Database!$D$8:$O$52,MATCH($D$20,Database!$C$8:$C$52,0),MATCH(B32,Database!$D$7:$O$7,0))</f>
        <v>0</v>
      </c>
      <c r="E32" s="180">
        <f>INDEX(Database!$D$8:$O$52,MATCH($E$20,Database!$C$8:$C$52,0),MATCH(B32,Database!$D$7:$O$7,0))</f>
        <v>0</v>
      </c>
      <c r="F32" s="180">
        <f>INDEX(Database!$D$8:$O$52,MATCH($F$20,Database!$C$8:$C$52,0),MATCH(B32,Database!$D$7:$O$7,0))</f>
        <v>0</v>
      </c>
      <c r="G32" s="180">
        <f>INDEX(Database!$D$8:$O$52,MATCH($G$20,Database!$C$8:$C$52,0),MATCH(B32,Database!$D$7:$O$7,0))</f>
        <v>0</v>
      </c>
      <c r="H32" s="180">
        <f>INDEX(Database!$D$8:$O$52,MATCH($H$20,Database!$C$8:$C$52,0),MATCH(B32,Database!$D$7:$O$7,0))</f>
        <v>0</v>
      </c>
      <c r="I32" s="180">
        <f>INDEX(Database!$D$8:$O$52,MATCH($I$20,Database!$C$8:$C$52,0),MATCH(B32,Database!$D$7:$O$7,0))</f>
        <v>0</v>
      </c>
      <c r="J32" s="180">
        <f>INDEX(Database!$D$8:$O$52,MATCH($J$20,Database!$C$8:$C$52,0),MATCH(B32,Database!$D$7:$O$7,0))</f>
        <v>0</v>
      </c>
      <c r="K32" s="180">
        <f>INDEX(Database!$D$8:$O$52,MATCH($K$20,Database!$C$8:$C$52,0),MATCH(B32,Database!$D$7:$O$7,0))</f>
        <v>0</v>
      </c>
      <c r="L32" s="180">
        <f>INDEX(Database!$D$8:$O$52,MATCH($L$20,Database!$C$8:$C$52,0),MATCH(B32,Database!$D$7:$O$7,0))</f>
        <v>0</v>
      </c>
      <c r="M32" s="180">
        <f>INDEX(Database!$D$8:$O$52,MATCH($M$20,Database!$C$8:$C$52,0),MATCH(B32,Database!$D$7:$O$7,0))</f>
        <v>0</v>
      </c>
      <c r="N32" s="180">
        <f>INDEX(Database!$D$8:$O$52,MATCH($N$20,Database!$C$8:$C$52,0),MATCH(B32,Database!$D$7:$O$7,0))</f>
        <v>0</v>
      </c>
      <c r="O32" s="180">
        <f>INDEX(Database!$D$8:$O$52,MATCH($O$20,Database!$C$8:$C$52,0),MATCH(B32,Database!$D$7:$O$7,0))</f>
        <v>0</v>
      </c>
      <c r="P32" s="180">
        <f>INDEX(Database!$D$8:$O$52,MATCH($P$20,Database!$C$8:$C$52,0),MATCH(B32,Database!$D$7:$O$7,0))</f>
        <v>0</v>
      </c>
      <c r="Q32" s="180">
        <f>INDEX(Database!$D$8:$O$52,MATCH($Q$20,Database!$C$8:$C$52,0),MATCH(B32,Database!$D$7:$O$7,0))</f>
        <v>0</v>
      </c>
      <c r="R32" s="180">
        <f>INDEX(Database!$D$8:$O$52,MATCH($R$20,Database!$C$8:$C$52,0),MATCH(B32,Database!$D$7:$O$7,0))</f>
        <v>0</v>
      </c>
      <c r="S32" s="180">
        <f>INDEX(Database!$D$8:$O$52,MATCH($S$20,Database!$C$8:$C$52,0),MATCH(B32,Database!$D$7:$O$7,0))</f>
        <v>0</v>
      </c>
      <c r="T32" s="181">
        <f>INDEX(Database!$D$8:$O$52,MATCH($T$20,Database!$C$8:$C$52,0),MATCH(B32,Database!$D$7:$O$7,0))</f>
        <v>0</v>
      </c>
      <c r="U32" s="155"/>
      <c r="V32" s="155"/>
      <c r="W32" s="155"/>
    </row>
    <row r="33" spans="2:23" x14ac:dyDescent="0.2">
      <c r="B33" s="155"/>
      <c r="C33" s="184"/>
      <c r="D33" s="184"/>
      <c r="E33" s="184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</row>
    <row r="34" spans="2:23" ht="15" x14ac:dyDescent="0.2">
      <c r="B34" s="155"/>
      <c r="C34" s="171" t="str">
        <f>""&amp;INDEX(Database!$C$37:$C$39,COLUMN(C34)-COLUMN($B$34),1)</f>
        <v>Soft&amp;Hardware Equipments</v>
      </c>
      <c r="D34" s="172" t="str">
        <f>""&amp;INDEX(Database!$C$37:$C$39,COLUMN(D34)-COLUMN($B$34),1)</f>
        <v>Gifts and Rewards Given</v>
      </c>
      <c r="E34" s="173" t="str">
        <f>""&amp;INDEX(Database!$C$37:$C$39,COLUMN(E34)-COLUMN($B$34),1)</f>
        <v>مصروفات وفوائد قرض بنك البلاد - ادارية</v>
      </c>
      <c r="F34" s="155"/>
      <c r="G34" s="18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</row>
    <row r="35" spans="2:23" ht="15" x14ac:dyDescent="0.2">
      <c r="B35" s="174">
        <f>B7</f>
        <v>2021</v>
      </c>
      <c r="C35" s="183">
        <f>INDEX(Database!$D$8:$O$52,MATCH($C$34,Database!$C$8:$C$52,0),MATCH(B35,Database!$D$7:$O$7,0))</f>
        <v>0</v>
      </c>
      <c r="D35" s="175">
        <f>INDEX(Database!$D$8:$O$52,MATCH($D$34,Database!$C$8:$C$52,0),MATCH(B35,Database!$D$7:$O$7,0))</f>
        <v>0</v>
      </c>
      <c r="E35" s="176">
        <f>INDEX(Database!$D$8:$O$52,MATCH($E$34,Database!$C$8:$C$52,0),MATCH(B35,Database!$D$7:$O$7,0))</f>
        <v>34965.120000000003</v>
      </c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</row>
    <row r="36" spans="2:23" ht="15" x14ac:dyDescent="0.2">
      <c r="B36" s="177">
        <f t="shared" ref="B36:B46" si="1">B8</f>
        <v>2021</v>
      </c>
      <c r="C36" s="183">
        <f>INDEX(Database!$D$8:$O$52,MATCH($C$34,Database!$C$8:$C$52,0),MATCH(B36,Database!$D$7:$O$7,0))</f>
        <v>0</v>
      </c>
      <c r="D36" s="175">
        <f>INDEX(Database!$D$8:$O$52,MATCH($D$34,Database!$C$8:$C$52,0),MATCH(B36,Database!$D$7:$O$7,0))</f>
        <v>0</v>
      </c>
      <c r="E36" s="176">
        <f>INDEX(Database!$D$8:$O$52,MATCH($E$34,Database!$C$8:$C$52,0),MATCH(B36,Database!$D$7:$O$7,0))</f>
        <v>34965.120000000003</v>
      </c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</row>
    <row r="37" spans="2:23" ht="15" x14ac:dyDescent="0.2">
      <c r="B37" s="177">
        <f t="shared" si="1"/>
        <v>2021</v>
      </c>
      <c r="C37" s="183">
        <f>INDEX(Database!$D$8:$O$52,MATCH($C$34,Database!$C$8:$C$52,0),MATCH(B37,Database!$D$7:$O$7,0))</f>
        <v>0</v>
      </c>
      <c r="D37" s="175">
        <f>INDEX(Database!$D$8:$O$52,MATCH($D$34,Database!$C$8:$C$52,0),MATCH(B37,Database!$D$7:$O$7,0))</f>
        <v>0</v>
      </c>
      <c r="E37" s="176">
        <f>INDEX(Database!$D$8:$O$52,MATCH($E$34,Database!$C$8:$C$52,0),MATCH(B37,Database!$D$7:$O$7,0))</f>
        <v>34965.120000000003</v>
      </c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</row>
    <row r="38" spans="2:23" ht="15" x14ac:dyDescent="0.2">
      <c r="B38" s="177">
        <f t="shared" si="1"/>
        <v>2021</v>
      </c>
      <c r="C38" s="183">
        <f>INDEX(Database!$D$8:$O$52,MATCH($C$34,Database!$C$8:$C$52,0),MATCH(B38,Database!$D$7:$O$7,0))</f>
        <v>0</v>
      </c>
      <c r="D38" s="175">
        <f>INDEX(Database!$D$8:$O$52,MATCH($D$34,Database!$C$8:$C$52,0),MATCH(B38,Database!$D$7:$O$7,0))</f>
        <v>0</v>
      </c>
      <c r="E38" s="176">
        <f>INDEX(Database!$D$8:$O$52,MATCH($E$34,Database!$C$8:$C$52,0),MATCH(B38,Database!$D$7:$O$7,0))</f>
        <v>34965.120000000003</v>
      </c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</row>
    <row r="39" spans="2:23" ht="15" x14ac:dyDescent="0.2">
      <c r="B39" s="177">
        <f t="shared" si="1"/>
        <v>2021</v>
      </c>
      <c r="C39" s="183">
        <f>INDEX(Database!$D$8:$O$52,MATCH($C$34,Database!$C$8:$C$52,0),MATCH(B39,Database!$D$7:$O$7,0))</f>
        <v>0</v>
      </c>
      <c r="D39" s="175">
        <f>INDEX(Database!$D$8:$O$52,MATCH($D$34,Database!$C$8:$C$52,0),MATCH(B39,Database!$D$7:$O$7,0))</f>
        <v>0</v>
      </c>
      <c r="E39" s="176">
        <f>INDEX(Database!$D$8:$O$52,MATCH($E$34,Database!$C$8:$C$52,0),MATCH(B39,Database!$D$7:$O$7,0))</f>
        <v>34965.120000000003</v>
      </c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</row>
    <row r="40" spans="2:23" ht="15" x14ac:dyDescent="0.2">
      <c r="B40" s="177">
        <f t="shared" si="1"/>
        <v>2021</v>
      </c>
      <c r="C40" s="183">
        <f>INDEX(Database!$D$8:$O$52,MATCH($C$34,Database!$C$8:$C$52,0),MATCH(B40,Database!$D$7:$O$7,0))</f>
        <v>0</v>
      </c>
      <c r="D40" s="175">
        <f>INDEX(Database!$D$8:$O$52,MATCH($D$34,Database!$C$8:$C$52,0),MATCH(B40,Database!$D$7:$O$7,0))</f>
        <v>0</v>
      </c>
      <c r="E40" s="176">
        <f>INDEX(Database!$D$8:$O$52,MATCH($E$34,Database!$C$8:$C$52,0),MATCH(B40,Database!$D$7:$O$7,0))</f>
        <v>34965.120000000003</v>
      </c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</row>
    <row r="41" spans="2:23" ht="15" x14ac:dyDescent="0.2">
      <c r="B41" s="177">
        <f t="shared" si="1"/>
        <v>2021</v>
      </c>
      <c r="C41" s="183">
        <f>INDEX(Database!$D$8:$O$52,MATCH($C$34,Database!$C$8:$C$52,0),MATCH(B41,Database!$D$7:$O$7,0))</f>
        <v>0</v>
      </c>
      <c r="D41" s="175">
        <f>INDEX(Database!$D$8:$O$52,MATCH($D$34,Database!$C$8:$C$52,0),MATCH(B41,Database!$D$7:$O$7,0))</f>
        <v>0</v>
      </c>
      <c r="E41" s="176">
        <f>INDEX(Database!$D$8:$O$52,MATCH($E$34,Database!$C$8:$C$52,0),MATCH(B41,Database!$D$7:$O$7,0))</f>
        <v>34965.120000000003</v>
      </c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</row>
    <row r="42" spans="2:23" ht="15" x14ac:dyDescent="0.2">
      <c r="B42" s="177">
        <f t="shared" si="1"/>
        <v>2021</v>
      </c>
      <c r="C42" s="183">
        <f>INDEX(Database!$D$8:$O$52,MATCH($C$34,Database!$C$8:$C$52,0),MATCH(B42,Database!$D$7:$O$7,0))</f>
        <v>0</v>
      </c>
      <c r="D42" s="175">
        <f>INDEX(Database!$D$8:$O$52,MATCH($D$34,Database!$C$8:$C$52,0),MATCH(B42,Database!$D$7:$O$7,0))</f>
        <v>0</v>
      </c>
      <c r="E42" s="176">
        <f>INDEX(Database!$D$8:$O$52,MATCH($E$34,Database!$C$8:$C$52,0),MATCH(B42,Database!$D$7:$O$7,0))</f>
        <v>34965.120000000003</v>
      </c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2:23" ht="15" x14ac:dyDescent="0.2">
      <c r="B43" s="177">
        <f t="shared" si="1"/>
        <v>2021</v>
      </c>
      <c r="C43" s="183">
        <f>INDEX(Database!$D$8:$O$52,MATCH($C$34,Database!$C$8:$C$52,0),MATCH(B43,Database!$D$7:$O$7,0))</f>
        <v>0</v>
      </c>
      <c r="D43" s="175">
        <f>INDEX(Database!$D$8:$O$52,MATCH($D$34,Database!$C$8:$C$52,0),MATCH(B43,Database!$D$7:$O$7,0))</f>
        <v>0</v>
      </c>
      <c r="E43" s="176">
        <f>INDEX(Database!$D$8:$O$52,MATCH($E$34,Database!$C$8:$C$52,0),MATCH(B43,Database!$D$7:$O$7,0))</f>
        <v>34965.120000000003</v>
      </c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</row>
    <row r="44" spans="2:23" ht="15" x14ac:dyDescent="0.2">
      <c r="B44" s="177">
        <f t="shared" si="1"/>
        <v>2021</v>
      </c>
      <c r="C44" s="183">
        <f>INDEX(Database!$D$8:$O$52,MATCH($C$34,Database!$C$8:$C$52,0),MATCH(B44,Database!$D$7:$O$7,0))</f>
        <v>0</v>
      </c>
      <c r="D44" s="175">
        <f>INDEX(Database!$D$8:$O$52,MATCH($D$34,Database!$C$8:$C$52,0),MATCH(B44,Database!$D$7:$O$7,0))</f>
        <v>0</v>
      </c>
      <c r="E44" s="176">
        <f>INDEX(Database!$D$8:$O$52,MATCH($E$34,Database!$C$8:$C$52,0),MATCH(B44,Database!$D$7:$O$7,0))</f>
        <v>34965.120000000003</v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  <row r="45" spans="2:23" ht="15" x14ac:dyDescent="0.2">
      <c r="B45" s="177" t="str">
        <f t="shared" si="1"/>
        <v>November</v>
      </c>
      <c r="C45" s="183">
        <f>INDEX(Database!$D$8:$O$52,MATCH($C$34,Database!$C$8:$C$52,0),MATCH(B45,Database!$D$7:$O$7,0))</f>
        <v>465</v>
      </c>
      <c r="D45" s="175">
        <f>INDEX(Database!$D$8:$O$52,MATCH($D$34,Database!$C$8:$C$52,0),MATCH(B45,Database!$D$7:$O$7,0))</f>
        <v>0</v>
      </c>
      <c r="E45" s="176">
        <f>INDEX(Database!$D$8:$O$52,MATCH($E$34,Database!$C$8:$C$52,0),MATCH(B45,Database!$D$7:$O$7,0))</f>
        <v>0</v>
      </c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</row>
    <row r="46" spans="2:23" ht="15" x14ac:dyDescent="0.2">
      <c r="B46" s="178" t="str">
        <f t="shared" si="1"/>
        <v>December</v>
      </c>
      <c r="C46" s="179">
        <f>INDEX(Database!$D$8:$O$52,MATCH($C$34,Database!$C$8:$C$52,0),MATCH(B46,Database!$D$7:$O$7,0))</f>
        <v>0</v>
      </c>
      <c r="D46" s="180">
        <f>INDEX(Database!$D$8:$O$52,MATCH($D$34,Database!$C$8:$C$52,0),MATCH(B46,Database!$D$7:$O$7,0))</f>
        <v>0</v>
      </c>
      <c r="E46" s="181">
        <f>INDEX(Database!$D$8:$O$52,MATCH($E$34,Database!$C$8:$C$52,0),MATCH(B46,Database!$D$7:$O$7,0))</f>
        <v>0</v>
      </c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45E1-B7A3-4D7D-B663-2CF6990C4EE5}">
  <sheetPr codeName="Sheet1">
    <pageSetUpPr fitToPage="1"/>
  </sheetPr>
  <dimension ref="A1:E41"/>
  <sheetViews>
    <sheetView showGridLines="0" showRowColHeaders="0" zoomScaleNormal="100" zoomScaleSheetLayoutView="85" workbookViewId="0">
      <pane ySplit="3" topLeftCell="A4" activePane="bottomLeft" state="frozen"/>
      <selection pane="bottomLeft" activeCell="A4" sqref="A4"/>
    </sheetView>
  </sheetViews>
  <sheetFormatPr defaultColWidth="8.875" defaultRowHeight="14.25" x14ac:dyDescent="0.2"/>
  <cols>
    <col min="1" max="1" width="3.75" style="19" customWidth="1"/>
    <col min="2" max="2" width="147.125" style="34" customWidth="1"/>
    <col min="3" max="16384" width="8.875" style="34"/>
  </cols>
  <sheetData>
    <row r="1" spans="1:5" s="1" customFormat="1" ht="6.75" customHeight="1" x14ac:dyDescent="0.2">
      <c r="B1" s="2"/>
    </row>
    <row r="2" spans="1:5" s="25" customFormat="1" ht="20.100000000000001" customHeight="1" x14ac:dyDescent="0.2">
      <c r="B2" s="30" t="s">
        <v>1</v>
      </c>
      <c r="C2" s="28"/>
      <c r="D2" s="27"/>
      <c r="E2" s="27"/>
    </row>
    <row r="3" spans="1:5" s="4" customFormat="1" ht="24" customHeight="1" x14ac:dyDescent="0.2">
      <c r="B3" s="31" t="s">
        <v>2</v>
      </c>
      <c r="C3" s="29"/>
      <c r="D3" s="7"/>
      <c r="E3" s="7"/>
    </row>
    <row r="4" spans="1:5" s="32" customFormat="1" ht="6" customHeight="1" x14ac:dyDescent="0.2"/>
    <row r="5" spans="1:5" ht="42" customHeight="1" x14ac:dyDescent="0.2">
      <c r="B5" s="33"/>
    </row>
    <row r="6" spans="1:5" ht="7.15" customHeight="1" x14ac:dyDescent="0.2">
      <c r="A6" s="20"/>
      <c r="B6" s="35"/>
    </row>
    <row r="7" spans="1:5" ht="31.15" customHeight="1" x14ac:dyDescent="0.2">
      <c r="B7" s="36"/>
    </row>
    <row r="8" spans="1:5" ht="7.15" customHeight="1" x14ac:dyDescent="0.2">
      <c r="B8" s="35"/>
    </row>
    <row r="9" spans="1:5" ht="105.75" customHeight="1" x14ac:dyDescent="0.2">
      <c r="B9" s="37"/>
    </row>
    <row r="10" spans="1:5" ht="13.15" customHeight="1" x14ac:dyDescent="0.2">
      <c r="B10" s="35"/>
    </row>
    <row r="11" spans="1:5" ht="16.899999999999999" customHeight="1" x14ac:dyDescent="0.25">
      <c r="A11" s="21"/>
      <c r="B11" s="38"/>
    </row>
    <row r="12" spans="1:5" ht="7.15" customHeight="1" x14ac:dyDescent="0.2">
      <c r="A12" s="21"/>
      <c r="B12" s="35"/>
    </row>
    <row r="13" spans="1:5" ht="73.150000000000006" customHeight="1" x14ac:dyDescent="0.2">
      <c r="A13" s="21"/>
      <c r="B13" s="36"/>
    </row>
    <row r="14" spans="1:5" ht="15" x14ac:dyDescent="0.2">
      <c r="A14" s="21"/>
      <c r="B14" s="35"/>
    </row>
    <row r="15" spans="1:5" ht="16.899999999999999" customHeight="1" x14ac:dyDescent="0.25">
      <c r="A15" s="21"/>
      <c r="B15" s="38"/>
    </row>
    <row r="16" spans="1:5" ht="18" customHeight="1" x14ac:dyDescent="0.2">
      <c r="B16" s="40"/>
    </row>
    <row r="17" spans="2:2" ht="9.9499999999999993" customHeight="1" x14ac:dyDescent="0.2">
      <c r="B17" s="39"/>
    </row>
    <row r="18" spans="2:2" ht="11.45" customHeight="1" x14ac:dyDescent="0.2"/>
    <row r="19" spans="2:2" ht="16.899999999999999" customHeight="1" x14ac:dyDescent="0.2"/>
    <row r="20" spans="2:2" ht="16.899999999999999" customHeight="1" x14ac:dyDescent="0.2"/>
    <row r="21" spans="2:2" ht="16.899999999999999" customHeight="1" x14ac:dyDescent="0.2"/>
    <row r="22" spans="2:2" ht="16.899999999999999" customHeight="1" x14ac:dyDescent="0.2"/>
    <row r="23" spans="2:2" ht="16.899999999999999" customHeight="1" x14ac:dyDescent="0.2"/>
    <row r="24" spans="2:2" ht="16.899999999999999" customHeight="1" x14ac:dyDescent="0.2"/>
    <row r="25" spans="2:2" ht="16.899999999999999" customHeight="1" x14ac:dyDescent="0.2"/>
    <row r="26" spans="2:2" ht="16.899999999999999" customHeight="1" x14ac:dyDescent="0.2"/>
    <row r="27" spans="2:2" ht="16.899999999999999" customHeight="1" x14ac:dyDescent="0.2"/>
    <row r="28" spans="2:2" ht="16.899999999999999" customHeight="1" x14ac:dyDescent="0.2"/>
    <row r="29" spans="2:2" ht="16.899999999999999" customHeight="1" x14ac:dyDescent="0.2"/>
    <row r="30" spans="2:2" ht="16.899999999999999" customHeight="1" x14ac:dyDescent="0.2"/>
    <row r="31" spans="2:2" ht="16.899999999999999" customHeight="1" x14ac:dyDescent="0.2"/>
    <row r="32" spans="2:2" ht="16.899999999999999" customHeight="1" x14ac:dyDescent="0.2"/>
    <row r="33" ht="16.899999999999999" customHeight="1" x14ac:dyDescent="0.2"/>
    <row r="34" ht="16.899999999999999" customHeight="1" x14ac:dyDescent="0.2"/>
    <row r="35" ht="16.899999999999999" customHeight="1" x14ac:dyDescent="0.2"/>
    <row r="36" ht="16.899999999999999" customHeight="1" x14ac:dyDescent="0.2"/>
    <row r="37" ht="16.899999999999999" customHeight="1" x14ac:dyDescent="0.2"/>
    <row r="38" ht="16.899999999999999" customHeight="1" x14ac:dyDescent="0.2"/>
    <row r="39" ht="16.899999999999999" customHeight="1" x14ac:dyDescent="0.2"/>
    <row r="40" ht="16.899999999999999" customHeight="1" x14ac:dyDescent="0.2"/>
    <row r="41" ht="16.899999999999999" customHeight="1" x14ac:dyDescent="0.2"/>
  </sheetData>
  <printOptions horizontalCentered="1"/>
  <pageMargins left="0.31496062992125984" right="0.31496062992125984" top="0.31496062992125984" bottom="0.3149606299212598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3</vt:i4>
      </vt:variant>
    </vt:vector>
  </HeadingPairs>
  <TitlesOfParts>
    <vt:vector size="7" baseType="lpstr">
      <vt:lpstr>Dashboard</vt:lpstr>
      <vt:lpstr>Database</vt:lpstr>
      <vt:lpstr>Calc</vt:lpstr>
      <vt:lpstr>ToU</vt:lpstr>
      <vt:lpstr>Dashboard!Print_Area</vt:lpstr>
      <vt:lpstr>Database!Print_Area</vt:lpstr>
      <vt:lpstr>ToU!Print_Area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Someka</dc:creator>
  <cp:lastModifiedBy>mohamed momtaz</cp:lastModifiedBy>
  <cp:lastPrinted>2022-01-21T07:24:48Z</cp:lastPrinted>
  <dcterms:created xsi:type="dcterms:W3CDTF">2018-11-13T14:01:04Z</dcterms:created>
  <dcterms:modified xsi:type="dcterms:W3CDTF">2024-08-14T05:49:22Z</dcterms:modified>
</cp:coreProperties>
</file>