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0"/>
  <workbookPr/>
  <mc:AlternateContent xmlns:mc="http://schemas.openxmlformats.org/markup-compatibility/2006">
    <mc:Choice Requires="x15">
      <x15ac:absPath xmlns:x15ac="http://schemas.microsoft.com/office/spreadsheetml/2010/11/ac" url="C:\Users\XPRISTO\Desktop\معاوية\"/>
    </mc:Choice>
  </mc:AlternateContent>
  <xr:revisionPtr revIDLastSave="0" documentId="13_ncr:1_{1B967791-2440-4E56-9AA9-F5ACCB202E21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ورقة1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" i="2" l="1"/>
  <c r="D16" i="2"/>
  <c r="D15" i="2"/>
  <c r="D14" i="2"/>
  <c r="D29" i="2" l="1"/>
  <c r="D28" i="2"/>
  <c r="D27" i="2"/>
  <c r="D26" i="2"/>
  <c r="D25" i="2"/>
  <c r="D24" i="2"/>
  <c r="D23" i="2"/>
  <c r="D22" i="2"/>
  <c r="D21" i="2"/>
  <c r="D20" i="2"/>
  <c r="D19" i="2"/>
  <c r="D18" i="2"/>
  <c r="D17" i="2"/>
  <c r="D13" i="2"/>
  <c r="D12" i="2"/>
  <c r="D11" i="2"/>
  <c r="D10" i="2"/>
  <c r="D9" i="2"/>
  <c r="D8" i="2"/>
  <c r="D7" i="2"/>
  <c r="D5" i="2"/>
  <c r="D4" i="2"/>
  <c r="D3" i="2"/>
  <c r="L2" i="2"/>
  <c r="S2" i="2" s="1"/>
  <c r="L3" i="2"/>
  <c r="S3" i="2" s="1"/>
  <c r="L4" i="2"/>
  <c r="S4" i="2" s="1"/>
  <c r="L5" i="2"/>
  <c r="S5" i="2" s="1"/>
  <c r="L6" i="2"/>
  <c r="S6" i="2" s="1"/>
  <c r="L7" i="2"/>
  <c r="S7" i="2" s="1"/>
  <c r="L8" i="2"/>
  <c r="S8" i="2" s="1"/>
  <c r="L9" i="2"/>
  <c r="S9" i="2" s="1"/>
  <c r="L10" i="2"/>
  <c r="S10" i="2" s="1"/>
  <c r="L11" i="2"/>
  <c r="S11" i="2" s="1"/>
  <c r="L12" i="2"/>
  <c r="S12" i="2" s="1"/>
  <c r="L13" i="2"/>
  <c r="S13" i="2" s="1"/>
  <c r="L14" i="2"/>
  <c r="S14" i="2" s="1"/>
  <c r="L15" i="2"/>
  <c r="S15" i="2" s="1"/>
  <c r="L16" i="2"/>
  <c r="S16" i="2" s="1"/>
  <c r="L17" i="2"/>
  <c r="S17" i="2" s="1"/>
  <c r="L18" i="2"/>
  <c r="S18" i="2" s="1"/>
  <c r="L19" i="2"/>
  <c r="S19" i="2" s="1"/>
  <c r="L20" i="2"/>
  <c r="S20" i="2" s="1"/>
  <c r="L21" i="2"/>
  <c r="S21" i="2" s="1"/>
  <c r="L22" i="2"/>
  <c r="S22" i="2" s="1"/>
  <c r="L23" i="2"/>
  <c r="S23" i="2" s="1"/>
  <c r="L24" i="2"/>
  <c r="S24" i="2" s="1"/>
  <c r="L25" i="2"/>
  <c r="S25" i="2" s="1"/>
  <c r="L26" i="2"/>
  <c r="S26" i="2" s="1"/>
  <c r="L27" i="2"/>
  <c r="S27" i="2" s="1"/>
  <c r="L28" i="2"/>
  <c r="S28" i="2" s="1"/>
  <c r="L29" i="2"/>
  <c r="S29" i="2" s="1"/>
  <c r="H3" i="2" l="1"/>
  <c r="I3" i="2" s="1"/>
  <c r="J3" i="2" s="1"/>
  <c r="R3" i="2" s="1"/>
  <c r="T3" i="2" s="1"/>
  <c r="W3" i="2" s="1"/>
  <c r="H4" i="2"/>
  <c r="H5" i="2"/>
  <c r="H6" i="2"/>
  <c r="H7" i="2"/>
  <c r="H8" i="2"/>
  <c r="H9" i="2"/>
  <c r="I9" i="2" s="1"/>
  <c r="J9" i="2" s="1"/>
  <c r="R9" i="2" s="1"/>
  <c r="T9" i="2" s="1"/>
  <c r="W9" i="2" s="1"/>
  <c r="H10" i="2"/>
  <c r="H11" i="2"/>
  <c r="H12" i="2"/>
  <c r="H13" i="2"/>
  <c r="H14" i="2"/>
  <c r="H15" i="2"/>
  <c r="I15" i="2" s="1"/>
  <c r="J15" i="2" s="1"/>
  <c r="R15" i="2" s="1"/>
  <c r="T15" i="2" s="1"/>
  <c r="W15" i="2" s="1"/>
  <c r="H16" i="2"/>
  <c r="H17" i="2"/>
  <c r="H18" i="2"/>
  <c r="I18" i="2" s="1"/>
  <c r="J18" i="2" s="1"/>
  <c r="R18" i="2" s="1"/>
  <c r="T18" i="2" s="1"/>
  <c r="W18" i="2" s="1"/>
  <c r="H19" i="2"/>
  <c r="H20" i="2"/>
  <c r="H21" i="2"/>
  <c r="H22" i="2"/>
  <c r="H23" i="2"/>
  <c r="H24" i="2"/>
  <c r="I24" i="2" s="1"/>
  <c r="J24" i="2" s="1"/>
  <c r="R24" i="2" s="1"/>
  <c r="T24" i="2" s="1"/>
  <c r="W24" i="2" s="1"/>
  <c r="H25" i="2"/>
  <c r="H26" i="2"/>
  <c r="I26" i="2" s="1"/>
  <c r="J26" i="2" s="1"/>
  <c r="R26" i="2" s="1"/>
  <c r="T26" i="2" s="1"/>
  <c r="W26" i="2" s="1"/>
  <c r="H27" i="2"/>
  <c r="H28" i="2"/>
  <c r="H29" i="2"/>
  <c r="I29" i="2"/>
  <c r="J29" i="2" s="1"/>
  <c r="R29" i="2" s="1"/>
  <c r="T29" i="2" s="1"/>
  <c r="W29" i="2" s="1"/>
  <c r="D6" i="2"/>
  <c r="I5" i="2"/>
  <c r="J5" i="2" s="1"/>
  <c r="R5" i="2" s="1"/>
  <c r="T5" i="2" s="1"/>
  <c r="W5" i="2" s="1"/>
  <c r="I4" i="2"/>
  <c r="J4" i="2" s="1"/>
  <c r="R4" i="2" s="1"/>
  <c r="T4" i="2" s="1"/>
  <c r="W4" i="2" s="1"/>
  <c r="I20" i="2"/>
  <c r="J20" i="2" s="1"/>
  <c r="R20" i="2" s="1"/>
  <c r="T20" i="2" s="1"/>
  <c r="W20" i="2" s="1"/>
  <c r="H2" i="2"/>
  <c r="P9" i="2" l="1"/>
  <c r="P24" i="2"/>
  <c r="P20" i="2"/>
  <c r="P26" i="2"/>
  <c r="P5" i="2"/>
  <c r="P18" i="2"/>
  <c r="P29" i="2"/>
  <c r="P4" i="2"/>
  <c r="P3" i="2"/>
  <c r="P15" i="2"/>
  <c r="I10" i="2"/>
  <c r="J10" i="2" s="1"/>
  <c r="R10" i="2" s="1"/>
  <c r="T10" i="2" s="1"/>
  <c r="W10" i="2" s="1"/>
  <c r="I25" i="2"/>
  <c r="J25" i="2" s="1"/>
  <c r="R25" i="2" s="1"/>
  <c r="T25" i="2" s="1"/>
  <c r="W25" i="2" s="1"/>
  <c r="I8" i="2"/>
  <c r="J8" i="2" s="1"/>
  <c r="R8" i="2" s="1"/>
  <c r="T8" i="2" s="1"/>
  <c r="W8" i="2" s="1"/>
  <c r="I6" i="2"/>
  <c r="J6" i="2" s="1"/>
  <c r="R6" i="2" s="1"/>
  <c r="T6" i="2" s="1"/>
  <c r="W6" i="2" s="1"/>
  <c r="I28" i="2"/>
  <c r="J28" i="2" s="1"/>
  <c r="R28" i="2" s="1"/>
  <c r="T28" i="2" s="1"/>
  <c r="W28" i="2" s="1"/>
  <c r="I23" i="2"/>
  <c r="J23" i="2" s="1"/>
  <c r="R23" i="2" s="1"/>
  <c r="T23" i="2" s="1"/>
  <c r="W23" i="2" s="1"/>
  <c r="I7" i="2"/>
  <c r="J7" i="2" s="1"/>
  <c r="R7" i="2" s="1"/>
  <c r="T7" i="2" s="1"/>
  <c r="W7" i="2" s="1"/>
  <c r="I22" i="2"/>
  <c r="J22" i="2" s="1"/>
  <c r="R22" i="2" s="1"/>
  <c r="T22" i="2" s="1"/>
  <c r="W22" i="2" s="1"/>
  <c r="I14" i="2"/>
  <c r="J14" i="2" s="1"/>
  <c r="R14" i="2" s="1"/>
  <c r="T14" i="2" s="1"/>
  <c r="W14" i="2" s="1"/>
  <c r="I21" i="2"/>
  <c r="J21" i="2" s="1"/>
  <c r="R21" i="2" s="1"/>
  <c r="T21" i="2" s="1"/>
  <c r="W21" i="2" s="1"/>
  <c r="I13" i="2"/>
  <c r="J13" i="2" s="1"/>
  <c r="R13" i="2" s="1"/>
  <c r="T13" i="2" s="1"/>
  <c r="W13" i="2" s="1"/>
  <c r="I17" i="2"/>
  <c r="J17" i="2" s="1"/>
  <c r="R17" i="2" s="1"/>
  <c r="T17" i="2" s="1"/>
  <c r="W17" i="2" s="1"/>
  <c r="I12" i="2"/>
  <c r="J12" i="2" s="1"/>
  <c r="R12" i="2" s="1"/>
  <c r="T12" i="2" s="1"/>
  <c r="W12" i="2" s="1"/>
  <c r="I16" i="2"/>
  <c r="J16" i="2" s="1"/>
  <c r="R16" i="2" s="1"/>
  <c r="T16" i="2" s="1"/>
  <c r="W16" i="2" s="1"/>
  <c r="I2" i="2"/>
  <c r="J2" i="2" s="1"/>
  <c r="R2" i="2" s="1"/>
  <c r="I27" i="2"/>
  <c r="J27" i="2" s="1"/>
  <c r="R27" i="2" s="1"/>
  <c r="T27" i="2" s="1"/>
  <c r="W27" i="2" s="1"/>
  <c r="I19" i="2"/>
  <c r="J19" i="2" s="1"/>
  <c r="R19" i="2" s="1"/>
  <c r="T19" i="2" s="1"/>
  <c r="W19" i="2" s="1"/>
  <c r="I11" i="2"/>
  <c r="J11" i="2" s="1"/>
  <c r="R11" i="2" s="1"/>
  <c r="T11" i="2" s="1"/>
  <c r="W11" i="2" s="1"/>
  <c r="T2" i="2" l="1"/>
  <c r="W2" i="2" s="1"/>
  <c r="P17" i="2"/>
  <c r="P6" i="2"/>
  <c r="P12" i="2"/>
  <c r="P28" i="2"/>
  <c r="P13" i="2"/>
  <c r="P8" i="2"/>
  <c r="P11" i="2"/>
  <c r="P21" i="2"/>
  <c r="P25" i="2"/>
  <c r="P19" i="2"/>
  <c r="P10" i="2"/>
  <c r="P27" i="2"/>
  <c r="P7" i="2"/>
  <c r="P22" i="2"/>
  <c r="P23" i="2"/>
  <c r="P16" i="2"/>
  <c r="P14" i="2"/>
  <c r="P2" i="2" l="1"/>
</calcChain>
</file>

<file path=xl/sharedStrings.xml><?xml version="1.0" encoding="utf-8"?>
<sst xmlns="http://schemas.openxmlformats.org/spreadsheetml/2006/main" count="98" uniqueCount="43">
  <si>
    <t>الطابق</t>
  </si>
  <si>
    <t>إسم العمود</t>
  </si>
  <si>
    <t>البعد القصير</t>
  </si>
  <si>
    <t>البعد الطويل</t>
  </si>
  <si>
    <t>الحمولة المطبقة N</t>
  </si>
  <si>
    <t>نسبة التسليح</t>
  </si>
  <si>
    <t>F'c</t>
  </si>
  <si>
    <t>Fy</t>
  </si>
  <si>
    <t>Ke</t>
  </si>
  <si>
    <t>العمود</t>
  </si>
  <si>
    <t>الحمولة المطبقة</t>
  </si>
  <si>
    <t>الوزن الذاتي</t>
  </si>
  <si>
    <t>البعد الأول</t>
  </si>
  <si>
    <t>البعد الثاني</t>
  </si>
  <si>
    <t>الطول</t>
  </si>
  <si>
    <t>رمز العمود</t>
  </si>
  <si>
    <t>C6</t>
  </si>
  <si>
    <t>C1</t>
  </si>
  <si>
    <t>C4</t>
  </si>
  <si>
    <t>C2</t>
  </si>
  <si>
    <t>C3</t>
  </si>
  <si>
    <t>C5</t>
  </si>
  <si>
    <t>الحمولة الكلية (KN)</t>
  </si>
  <si>
    <t>الحمولة الكلية (N)</t>
  </si>
  <si>
    <t>A'c</t>
  </si>
  <si>
    <r>
      <rPr>
        <sz val="18"/>
        <color theme="1"/>
        <rFont val="Alexandria"/>
      </rPr>
      <t>µ</t>
    </r>
    <r>
      <rPr>
        <sz val="12"/>
        <color theme="1"/>
        <rFont val="Alexandria"/>
      </rPr>
      <t>smin</t>
    </r>
  </si>
  <si>
    <r>
      <rPr>
        <sz val="18"/>
        <color theme="1"/>
        <rFont val="Alexandria"/>
      </rPr>
      <t>µ</t>
    </r>
    <r>
      <rPr>
        <sz val="12"/>
        <color theme="1"/>
        <rFont val="Alexandria"/>
      </rPr>
      <t>smax</t>
    </r>
  </si>
  <si>
    <r>
      <rPr>
        <sz val="18"/>
        <color theme="1"/>
        <rFont val="Alexandria"/>
      </rPr>
      <t>µ</t>
    </r>
    <r>
      <rPr>
        <sz val="12"/>
        <color theme="1"/>
        <rFont val="Alexandria"/>
      </rPr>
      <t>s</t>
    </r>
  </si>
  <si>
    <t>As</t>
  </si>
  <si>
    <t>Asmin</t>
  </si>
  <si>
    <t>ϕ</t>
  </si>
  <si>
    <t>عدد القضبان التقريبي</t>
  </si>
  <si>
    <t>عدد القضبان الفعلي</t>
  </si>
  <si>
    <t>8T14</t>
  </si>
  <si>
    <t>10T14</t>
  </si>
  <si>
    <t>التسليح الطولي</t>
  </si>
  <si>
    <t>التسليح العرضي</t>
  </si>
  <si>
    <t>الثلث الأول</t>
  </si>
  <si>
    <t>الثلث الثاني</t>
  </si>
  <si>
    <t>الثلث الثالث</t>
  </si>
  <si>
    <t>1 ϕ 8 / 15 cm</t>
  </si>
  <si>
    <t>1 ϕ 8 / 20 cm</t>
  </si>
  <si>
    <t>الطابق الحادي عشر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</si>
</sst>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rial"/>
      <family val="2"/>
      <scheme val="minor"/>
    </font>
    <font>
      <sz val="12"/>
      <color theme="1"/>
      <name val="Alexandria"/>
    </font>
    <font>
      <sz val="14"/>
      <color theme="1"/>
      <name val="Alexandria"/>
    </font>
    <font>
      <sz val="18"/>
      <color theme="1"/>
      <name val="Alexandria"/>
    </font>
    <font>
      <sz val="12"/>
      <color theme="1"/>
      <name val="Arial"/>
      <family val="2"/>
    </font>
    <font>
      <sz val="8"/>
      <name val="Arial"/>
      <family val="2"/>
      <scheme val="minor"/>
    </font>
    <font>
      <sz val="22"/>
      <color theme="1"/>
      <name val="Alexandria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 textRotation="90"/>
    </xf>
    <xf numFmtId="0" fontId="6" fillId="2" borderId="0" xfId="0" applyFont="1" applyFill="1" applyAlignment="1">
      <alignment horizontal="center" vertical="center" textRotation="90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rightToLeft="1" workbookViewId="0">
      <selection activeCell="C9" sqref="C9"/>
    </sheetView>
  </sheetViews>
  <sheetFormatPr defaultColWidth="8.875" defaultRowHeight="18"/>
  <cols>
    <col min="1" max="1" width="8.875" style="1"/>
    <col min="2" max="2" width="15" style="1" bestFit="1" customWidth="1"/>
    <col min="3" max="3" width="15.375" style="1" bestFit="1" customWidth="1"/>
    <col min="4" max="4" width="16" style="1" bestFit="1" customWidth="1"/>
    <col min="5" max="6" width="24.125" style="1" bestFit="1" customWidth="1"/>
    <col min="7" max="7" width="16.375" style="1" bestFit="1" customWidth="1"/>
    <col min="8" max="16384" width="8.875" style="1"/>
  </cols>
  <sheetData>
    <row r="1" spans="1:10" s="2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38CAE-B427-4688-BB2D-095FACA55F74}">
  <dimension ref="A1:AB29"/>
  <sheetViews>
    <sheetView tabSelected="1" zoomScale="70" zoomScaleNormal="70" workbookViewId="0"/>
  </sheetViews>
  <sheetFormatPr defaultColWidth="8.875" defaultRowHeight="15"/>
  <cols>
    <col min="1" max="1" width="13.625" style="4" bestFit="1" customWidth="1"/>
    <col min="2" max="2" width="8.625" style="3" bestFit="1" customWidth="1"/>
    <col min="3" max="3" width="12" style="3" bestFit="1" customWidth="1"/>
    <col min="4" max="4" width="18.625" style="3" bestFit="1" customWidth="1"/>
    <col min="5" max="5" width="11.75" style="3" bestFit="1" customWidth="1"/>
    <col min="6" max="6" width="12.375" style="3" bestFit="1" customWidth="1"/>
    <col min="7" max="7" width="8.875" style="3"/>
    <col min="8" max="8" width="12.375" style="3" bestFit="1" customWidth="1"/>
    <col min="9" max="9" width="20.625" style="5" bestFit="1" customWidth="1"/>
    <col min="10" max="10" width="20.625" style="3" bestFit="1" customWidth="1"/>
    <col min="11" max="16" width="8.875" style="3"/>
    <col min="17" max="17" width="13.25" style="3" customWidth="1"/>
    <col min="18" max="20" width="8.875" style="3"/>
    <col min="21" max="21" width="10.875" style="3" bestFit="1" customWidth="1"/>
    <col min="22" max="22" width="8.875" style="3"/>
    <col min="23" max="23" width="15" style="3" bestFit="1" customWidth="1"/>
    <col min="24" max="24" width="13.875" style="3" bestFit="1" customWidth="1"/>
    <col min="25" max="25" width="12.375" style="3" bestFit="1" customWidth="1"/>
    <col min="26" max="16384" width="8.875" style="3"/>
  </cols>
  <sheetData>
    <row r="1" spans="1:28" s="4" customFormat="1" ht="23.25">
      <c r="A1" s="4" t="s">
        <v>0</v>
      </c>
      <c r="B1" s="4" t="s">
        <v>9</v>
      </c>
      <c r="C1" s="4" t="s">
        <v>15</v>
      </c>
      <c r="D1" s="4" t="s">
        <v>10</v>
      </c>
      <c r="E1" s="4" t="s">
        <v>12</v>
      </c>
      <c r="F1" s="4" t="s">
        <v>13</v>
      </c>
      <c r="G1" s="4" t="s">
        <v>14</v>
      </c>
      <c r="H1" s="4" t="s">
        <v>11</v>
      </c>
      <c r="I1" s="4" t="s">
        <v>22</v>
      </c>
      <c r="J1" s="4" t="s">
        <v>23</v>
      </c>
      <c r="K1" s="4" t="s">
        <v>8</v>
      </c>
      <c r="L1" s="4" t="s">
        <v>24</v>
      </c>
      <c r="M1" s="4" t="s">
        <v>6</v>
      </c>
      <c r="N1" s="4" t="s">
        <v>7</v>
      </c>
      <c r="O1" s="4" t="s">
        <v>25</v>
      </c>
      <c r="P1" s="4" t="s">
        <v>27</v>
      </c>
      <c r="Q1" s="4" t="s">
        <v>26</v>
      </c>
      <c r="R1" s="4" t="s">
        <v>28</v>
      </c>
      <c r="S1" s="4" t="s">
        <v>29</v>
      </c>
      <c r="T1" s="4" t="s">
        <v>28</v>
      </c>
      <c r="U1" s="9" t="s">
        <v>35</v>
      </c>
      <c r="V1" s="6" t="s">
        <v>30</v>
      </c>
      <c r="W1" s="4" t="s">
        <v>31</v>
      </c>
      <c r="X1" s="4" t="s">
        <v>32</v>
      </c>
      <c r="Y1" s="9" t="s">
        <v>36</v>
      </c>
      <c r="Z1" s="6" t="s">
        <v>37</v>
      </c>
      <c r="AA1" s="4" t="s">
        <v>38</v>
      </c>
      <c r="AB1" s="4" t="s">
        <v>39</v>
      </c>
    </row>
    <row r="2" spans="1:28" ht="15.6" customHeight="1">
      <c r="A2" s="9" t="s">
        <v>42</v>
      </c>
      <c r="B2" s="3">
        <v>1</v>
      </c>
      <c r="C2" s="3" t="s">
        <v>16</v>
      </c>
      <c r="D2" s="3">
        <f>(153.34+26.511)*12</f>
        <v>2158.212</v>
      </c>
      <c r="E2" s="3">
        <v>0.5</v>
      </c>
      <c r="F2" s="3">
        <v>0.85</v>
      </c>
      <c r="G2" s="3">
        <v>3.5</v>
      </c>
      <c r="H2" s="3">
        <f>25*E2*F2*G2*1.4</f>
        <v>52.0625</v>
      </c>
      <c r="I2" s="5">
        <f>D2+H2</f>
        <v>2210.2745</v>
      </c>
      <c r="J2" s="3">
        <f>I2*1000</f>
        <v>2210274.5</v>
      </c>
      <c r="K2" s="3">
        <v>1.4</v>
      </c>
      <c r="L2" s="3">
        <f>E2*F2*10000</f>
        <v>4250</v>
      </c>
      <c r="M2" s="3">
        <v>25</v>
      </c>
      <c r="N2" s="3">
        <v>400</v>
      </c>
      <c r="O2" s="3">
        <v>0.01</v>
      </c>
      <c r="P2" s="3">
        <f>T2/(L2*100)</f>
        <v>0.01</v>
      </c>
      <c r="Q2" s="3">
        <v>2.5000000000000001E-2</v>
      </c>
      <c r="R2" s="3">
        <f>(J2*K2/(0.8*0.65)-0.85*L2*100*M2)/N2</f>
        <v>-7701.2774038461548</v>
      </c>
      <c r="S2" s="3">
        <f>O2*L2*100</f>
        <v>4250</v>
      </c>
      <c r="T2" s="3">
        <f>IF(R2&lt;S2,S2,R2)</f>
        <v>4250</v>
      </c>
      <c r="U2" s="9"/>
      <c r="V2" s="3">
        <v>20</v>
      </c>
      <c r="W2" s="3">
        <f>ROUND(T2/(PI()*V2^2/4),1)</f>
        <v>13.5</v>
      </c>
      <c r="X2" s="3" t="s">
        <v>33</v>
      </c>
      <c r="Y2" s="9"/>
      <c r="Z2" s="8" t="s">
        <v>40</v>
      </c>
      <c r="AA2" s="8" t="s">
        <v>41</v>
      </c>
      <c r="AB2" s="8" t="s">
        <v>40</v>
      </c>
    </row>
    <row r="3" spans="1:28">
      <c r="A3" s="9"/>
      <c r="B3" s="3">
        <v>2</v>
      </c>
      <c r="C3" s="3" t="s">
        <v>17</v>
      </c>
      <c r="D3" s="3">
        <f>(93.55+221.77)*2</f>
        <v>630.64</v>
      </c>
      <c r="E3" s="3">
        <v>0.3</v>
      </c>
      <c r="F3" s="3">
        <v>0.35</v>
      </c>
      <c r="G3" s="3">
        <v>3.5</v>
      </c>
      <c r="H3" s="3">
        <f t="shared" ref="H3:H29" si="0">25*E3*F3*G3*1.4</f>
        <v>12.862499999999999</v>
      </c>
      <c r="I3" s="5">
        <f>D3+H3</f>
        <v>643.50249999999994</v>
      </c>
      <c r="J3" s="3">
        <f t="shared" ref="J3:J29" si="1">I3*1000</f>
        <v>643502.49999999988</v>
      </c>
      <c r="K3" s="3">
        <v>1.3</v>
      </c>
      <c r="L3" s="3">
        <f t="shared" ref="L3:L29" si="2">E3*F3*10000</f>
        <v>1050</v>
      </c>
      <c r="M3" s="3">
        <v>25</v>
      </c>
      <c r="N3" s="3">
        <v>400</v>
      </c>
      <c r="O3" s="3">
        <v>0.01</v>
      </c>
      <c r="P3" s="3">
        <f>T3/(L3*100)</f>
        <v>0.01</v>
      </c>
      <c r="Q3" s="3">
        <v>2.5000000000000001E-2</v>
      </c>
      <c r="R3" s="3">
        <f t="shared" ref="R3:R29" si="3">(J3*K3/(0.8*0.65)-0.85*L3*100*M3)/N3</f>
        <v>-1556.2343750000007</v>
      </c>
      <c r="S3" s="3">
        <f t="shared" ref="S3:S29" si="4">O3*L3*100</f>
        <v>1050</v>
      </c>
      <c r="T3" s="3">
        <f>IF(R3&lt;S3,S3,R3)</f>
        <v>1050</v>
      </c>
      <c r="U3" s="9"/>
      <c r="V3" s="3">
        <v>14</v>
      </c>
      <c r="W3" s="3">
        <f t="shared" ref="W3:W29" si="5">ROUND(T3/(PI()*V3^2/4),1)</f>
        <v>6.8</v>
      </c>
      <c r="X3" s="3" t="s">
        <v>34</v>
      </c>
      <c r="Y3" s="9"/>
      <c r="Z3" s="8"/>
      <c r="AA3" s="8"/>
      <c r="AB3" s="8"/>
    </row>
    <row r="4" spans="1:28">
      <c r="A4" s="9"/>
      <c r="B4" s="3">
        <v>3</v>
      </c>
      <c r="C4" s="3" t="s">
        <v>17</v>
      </c>
      <c r="D4" s="3">
        <f>(34.93+416.3)*2</f>
        <v>902.46</v>
      </c>
      <c r="E4" s="3">
        <v>0.3</v>
      </c>
      <c r="F4" s="3">
        <v>0.35</v>
      </c>
      <c r="G4" s="3">
        <v>3.5</v>
      </c>
      <c r="H4" s="3">
        <f t="shared" si="0"/>
        <v>12.862499999999999</v>
      </c>
      <c r="I4" s="5">
        <f t="shared" ref="I4:I29" si="6">D4+H4</f>
        <v>915.32249999999999</v>
      </c>
      <c r="J4" s="3">
        <f t="shared" si="1"/>
        <v>915322.5</v>
      </c>
      <c r="K4" s="3">
        <v>1.3</v>
      </c>
      <c r="L4" s="3">
        <f t="shared" si="2"/>
        <v>1050</v>
      </c>
      <c r="M4" s="3">
        <v>25</v>
      </c>
      <c r="N4" s="3">
        <v>400</v>
      </c>
      <c r="O4" s="3">
        <v>0.01</v>
      </c>
      <c r="P4" s="3">
        <f>T4/(L4*100)</f>
        <v>0.01</v>
      </c>
      <c r="Q4" s="3">
        <v>2.5000000000000001E-2</v>
      </c>
      <c r="R4" s="3">
        <f t="shared" si="3"/>
        <v>142.640625</v>
      </c>
      <c r="S4" s="3">
        <f t="shared" si="4"/>
        <v>1050</v>
      </c>
      <c r="T4" s="3">
        <f>IF(R4&lt;S4,S4,R4)</f>
        <v>1050</v>
      </c>
      <c r="U4" s="9"/>
      <c r="V4" s="3">
        <v>14</v>
      </c>
      <c r="W4" s="3">
        <f t="shared" si="5"/>
        <v>6.8</v>
      </c>
      <c r="X4" s="3" t="s">
        <v>33</v>
      </c>
      <c r="Y4" s="9"/>
      <c r="Z4" s="8"/>
      <c r="AA4" s="8"/>
      <c r="AB4" s="8"/>
    </row>
    <row r="5" spans="1:28">
      <c r="A5" s="9"/>
      <c r="B5" s="3">
        <v>4</v>
      </c>
      <c r="C5" s="3" t="s">
        <v>18</v>
      </c>
      <c r="D5" s="3">
        <f>(120.49+419.1)*2</f>
        <v>1079.18</v>
      </c>
      <c r="E5" s="3">
        <v>0.3</v>
      </c>
      <c r="F5" s="3">
        <v>0.4</v>
      </c>
      <c r="G5" s="3">
        <v>3.5</v>
      </c>
      <c r="H5" s="3">
        <f t="shared" si="0"/>
        <v>14.7</v>
      </c>
      <c r="I5" s="5">
        <f t="shared" si="6"/>
        <v>1093.8800000000001</v>
      </c>
      <c r="J5" s="3">
        <f t="shared" si="1"/>
        <v>1093880</v>
      </c>
      <c r="K5" s="3">
        <v>1.3</v>
      </c>
      <c r="L5" s="3">
        <f t="shared" si="2"/>
        <v>1200</v>
      </c>
      <c r="M5" s="3">
        <v>25</v>
      </c>
      <c r="N5" s="3">
        <v>400</v>
      </c>
      <c r="O5" s="3">
        <v>0.01</v>
      </c>
      <c r="P5" s="3">
        <f>T5/(L5*100)</f>
        <v>0.01</v>
      </c>
      <c r="Q5" s="3">
        <v>2.5000000000000001E-2</v>
      </c>
      <c r="R5" s="3">
        <f t="shared" si="3"/>
        <v>461.75</v>
      </c>
      <c r="S5" s="3">
        <f t="shared" si="4"/>
        <v>1200</v>
      </c>
      <c r="T5" s="3">
        <f>IF(R5&lt;S5,S5,R5)</f>
        <v>1200</v>
      </c>
      <c r="U5" s="9"/>
      <c r="V5" s="3">
        <v>14</v>
      </c>
      <c r="W5" s="3">
        <f t="shared" si="5"/>
        <v>7.8</v>
      </c>
      <c r="X5" s="3" t="s">
        <v>34</v>
      </c>
      <c r="Y5" s="9"/>
      <c r="Z5" s="8"/>
      <c r="AA5" s="8"/>
      <c r="AB5" s="8"/>
    </row>
    <row r="6" spans="1:28">
      <c r="A6" s="9"/>
      <c r="B6" s="3">
        <v>5</v>
      </c>
      <c r="C6" s="3" t="s">
        <v>19</v>
      </c>
      <c r="D6" s="3">
        <f>31.73+274.28</f>
        <v>306.01</v>
      </c>
      <c r="E6" s="3">
        <v>0.3</v>
      </c>
      <c r="F6" s="3">
        <v>0.35</v>
      </c>
      <c r="G6" s="3">
        <v>3.5</v>
      </c>
      <c r="H6" s="3">
        <f t="shared" si="0"/>
        <v>12.862499999999999</v>
      </c>
      <c r="I6" s="5">
        <f t="shared" si="6"/>
        <v>318.8725</v>
      </c>
      <c r="J6" s="3">
        <f t="shared" si="1"/>
        <v>318872.5</v>
      </c>
      <c r="K6" s="3">
        <v>1.3</v>
      </c>
      <c r="L6" s="3">
        <f t="shared" si="2"/>
        <v>1050</v>
      </c>
      <c r="M6" s="3">
        <v>25</v>
      </c>
      <c r="N6" s="3">
        <v>400</v>
      </c>
      <c r="O6" s="3">
        <v>0.01</v>
      </c>
      <c r="P6" s="3">
        <f>T6/(L6*100)</f>
        <v>0.01</v>
      </c>
      <c r="Q6" s="3">
        <v>2.5000000000000001E-2</v>
      </c>
      <c r="R6" s="3">
        <f t="shared" si="3"/>
        <v>-3585.171875</v>
      </c>
      <c r="S6" s="3">
        <f t="shared" si="4"/>
        <v>1050</v>
      </c>
      <c r="T6" s="3">
        <f>IF(R6&lt;S6,S6,R6)</f>
        <v>1050</v>
      </c>
      <c r="U6" s="9"/>
      <c r="V6" s="3">
        <v>14</v>
      </c>
      <c r="W6" s="3">
        <f t="shared" si="5"/>
        <v>6.8</v>
      </c>
      <c r="X6" s="3" t="s">
        <v>33</v>
      </c>
      <c r="Y6" s="9"/>
      <c r="Z6" s="8"/>
      <c r="AA6" s="8"/>
      <c r="AB6" s="8"/>
    </row>
    <row r="7" spans="1:28">
      <c r="A7" s="9"/>
      <c r="B7" s="3">
        <v>6</v>
      </c>
      <c r="C7" s="3" t="s">
        <v>19</v>
      </c>
      <c r="D7" s="3">
        <f>(85.65+274.28)*2</f>
        <v>719.8599999999999</v>
      </c>
      <c r="E7" s="3">
        <v>0.3</v>
      </c>
      <c r="F7" s="3">
        <v>0.35</v>
      </c>
      <c r="G7" s="3">
        <v>3.5</v>
      </c>
      <c r="H7" s="3">
        <f t="shared" si="0"/>
        <v>12.862499999999999</v>
      </c>
      <c r="I7" s="5">
        <f t="shared" si="6"/>
        <v>732.72249999999985</v>
      </c>
      <c r="J7" s="3">
        <f t="shared" si="1"/>
        <v>732722.49999999988</v>
      </c>
      <c r="K7" s="3">
        <v>1.3</v>
      </c>
      <c r="L7" s="3">
        <f t="shared" si="2"/>
        <v>1050</v>
      </c>
      <c r="M7" s="3">
        <v>25</v>
      </c>
      <c r="N7" s="3">
        <v>400</v>
      </c>
      <c r="O7" s="3">
        <v>0.01</v>
      </c>
      <c r="P7" s="3">
        <f>T7/(L7*100)</f>
        <v>0.01</v>
      </c>
      <c r="Q7" s="3">
        <v>2.5000000000000001E-2</v>
      </c>
      <c r="R7" s="3">
        <f t="shared" si="3"/>
        <v>-998.60937500000057</v>
      </c>
      <c r="S7" s="3">
        <f t="shared" si="4"/>
        <v>1050</v>
      </c>
      <c r="T7" s="3">
        <f>IF(R7&lt;S7,S7,R7)</f>
        <v>1050</v>
      </c>
      <c r="U7" s="9"/>
      <c r="V7" s="3">
        <v>14</v>
      </c>
      <c r="W7" s="3">
        <f t="shared" si="5"/>
        <v>6.8</v>
      </c>
      <c r="X7" s="3" t="s">
        <v>33</v>
      </c>
      <c r="Y7" s="9"/>
      <c r="Z7" s="8"/>
      <c r="AA7" s="8"/>
      <c r="AB7" s="8"/>
    </row>
    <row r="8" spans="1:28">
      <c r="A8" s="9"/>
      <c r="B8" s="3">
        <v>7</v>
      </c>
      <c r="C8" s="3" t="s">
        <v>19</v>
      </c>
      <c r="D8" s="3">
        <f>(76.77+314.73)*2</f>
        <v>783</v>
      </c>
      <c r="E8" s="3">
        <v>0.3</v>
      </c>
      <c r="F8" s="3">
        <v>0.35</v>
      </c>
      <c r="G8" s="3">
        <v>3.5</v>
      </c>
      <c r="H8" s="3">
        <f t="shared" si="0"/>
        <v>12.862499999999999</v>
      </c>
      <c r="I8" s="5">
        <f t="shared" si="6"/>
        <v>795.86249999999995</v>
      </c>
      <c r="J8" s="3">
        <f t="shared" si="1"/>
        <v>795862.5</v>
      </c>
      <c r="K8" s="3">
        <v>1.3</v>
      </c>
      <c r="L8" s="3">
        <f t="shared" si="2"/>
        <v>1050</v>
      </c>
      <c r="M8" s="3">
        <v>25</v>
      </c>
      <c r="N8" s="3">
        <v>400</v>
      </c>
      <c r="O8" s="3">
        <v>0.01</v>
      </c>
      <c r="P8" s="3">
        <f>T8/(L8*100)</f>
        <v>0.01</v>
      </c>
      <c r="Q8" s="3">
        <v>2.5000000000000001E-2</v>
      </c>
      <c r="R8" s="3">
        <f t="shared" si="3"/>
        <v>-603.984375</v>
      </c>
      <c r="S8" s="3">
        <f t="shared" si="4"/>
        <v>1050</v>
      </c>
      <c r="T8" s="3">
        <f>IF(R8&lt;S8,S8,R8)</f>
        <v>1050</v>
      </c>
      <c r="U8" s="9"/>
      <c r="V8" s="3">
        <v>14</v>
      </c>
      <c r="W8" s="3">
        <f t="shared" si="5"/>
        <v>6.8</v>
      </c>
      <c r="X8" s="3" t="s">
        <v>33</v>
      </c>
      <c r="Y8" s="9"/>
      <c r="Z8" s="8"/>
      <c r="AA8" s="8"/>
      <c r="AB8" s="8"/>
    </row>
    <row r="9" spans="1:28">
      <c r="A9" s="9"/>
      <c r="B9" s="3">
        <v>8</v>
      </c>
      <c r="C9" s="3" t="s">
        <v>16</v>
      </c>
      <c r="D9" s="3">
        <f>(164.21+78.92)*2</f>
        <v>486.26</v>
      </c>
      <c r="E9" s="3">
        <v>0.3</v>
      </c>
      <c r="F9" s="3">
        <v>0.3</v>
      </c>
      <c r="G9" s="3">
        <v>3.5</v>
      </c>
      <c r="H9" s="3">
        <f t="shared" si="0"/>
        <v>11.024999999999999</v>
      </c>
      <c r="I9" s="5">
        <f t="shared" si="6"/>
        <v>497.28499999999997</v>
      </c>
      <c r="J9" s="3">
        <f t="shared" si="1"/>
        <v>497284.99999999994</v>
      </c>
      <c r="K9" s="3">
        <v>1.4</v>
      </c>
      <c r="L9" s="3">
        <f t="shared" si="2"/>
        <v>900</v>
      </c>
      <c r="M9" s="3">
        <v>25</v>
      </c>
      <c r="N9" s="3">
        <v>400</v>
      </c>
      <c r="O9" s="3">
        <v>0.01</v>
      </c>
      <c r="P9" s="3">
        <f>T9/(L9*100)</f>
        <v>0.01</v>
      </c>
      <c r="Q9" s="3">
        <v>2.5000000000000001E-2</v>
      </c>
      <c r="R9" s="3">
        <f t="shared" si="3"/>
        <v>-1434.1394230769238</v>
      </c>
      <c r="S9" s="3">
        <f t="shared" si="4"/>
        <v>900</v>
      </c>
      <c r="T9" s="3">
        <f>IF(R9&lt;S9,S9,R9)</f>
        <v>900</v>
      </c>
      <c r="U9" s="9"/>
      <c r="V9" s="3">
        <v>14</v>
      </c>
      <c r="W9" s="3">
        <f t="shared" si="5"/>
        <v>5.8</v>
      </c>
      <c r="X9" s="3" t="s">
        <v>33</v>
      </c>
      <c r="Y9" s="9"/>
      <c r="Z9" s="8"/>
      <c r="AA9" s="8"/>
      <c r="AB9" s="8"/>
    </row>
    <row r="10" spans="1:28">
      <c r="A10" s="9"/>
      <c r="B10" s="3">
        <v>9</v>
      </c>
      <c r="C10" s="3" t="s">
        <v>19</v>
      </c>
      <c r="D10" s="3">
        <f>(39.34+188.71)*2</f>
        <v>456.1</v>
      </c>
      <c r="E10" s="3">
        <v>0.3</v>
      </c>
      <c r="F10" s="3">
        <v>0.35</v>
      </c>
      <c r="G10" s="3">
        <v>3.5</v>
      </c>
      <c r="H10" s="3">
        <f t="shared" si="0"/>
        <v>12.862499999999999</v>
      </c>
      <c r="I10" s="5">
        <f t="shared" si="6"/>
        <v>468.96250000000003</v>
      </c>
      <c r="J10" s="3">
        <f t="shared" si="1"/>
        <v>468962.50000000006</v>
      </c>
      <c r="K10" s="3">
        <v>1.1000000000000001</v>
      </c>
      <c r="L10" s="3">
        <f t="shared" si="2"/>
        <v>1050</v>
      </c>
      <c r="M10" s="3">
        <v>25</v>
      </c>
      <c r="N10" s="3">
        <v>400</v>
      </c>
      <c r="O10" s="3">
        <v>0.01</v>
      </c>
      <c r="P10" s="3">
        <f>T10/(L10*100)</f>
        <v>0.01</v>
      </c>
      <c r="Q10" s="3">
        <v>2.5000000000000001E-2</v>
      </c>
      <c r="R10" s="3">
        <f t="shared" si="3"/>
        <v>-3098.03485576923</v>
      </c>
      <c r="S10" s="3">
        <f t="shared" si="4"/>
        <v>1050</v>
      </c>
      <c r="T10" s="3">
        <f>IF(R10&lt;S10,S10,R10)</f>
        <v>1050</v>
      </c>
      <c r="U10" s="9"/>
      <c r="V10" s="3">
        <v>14</v>
      </c>
      <c r="W10" s="3">
        <f t="shared" si="5"/>
        <v>6.8</v>
      </c>
      <c r="X10" s="3" t="s">
        <v>33</v>
      </c>
      <c r="Y10" s="9"/>
      <c r="Z10" s="8"/>
      <c r="AA10" s="8"/>
      <c r="AB10" s="8"/>
    </row>
    <row r="11" spans="1:28">
      <c r="A11" s="9"/>
      <c r="B11" s="3">
        <v>10</v>
      </c>
      <c r="C11" s="3" t="s">
        <v>20</v>
      </c>
      <c r="D11" s="3">
        <f>(84.26+468.8)*2</f>
        <v>1106.1200000000001</v>
      </c>
      <c r="E11" s="3">
        <v>0.3</v>
      </c>
      <c r="F11" s="3">
        <v>0.4</v>
      </c>
      <c r="G11" s="3">
        <v>3.5</v>
      </c>
      <c r="H11" s="3">
        <f t="shared" si="0"/>
        <v>14.7</v>
      </c>
      <c r="I11" s="5">
        <f t="shared" si="6"/>
        <v>1120.8200000000002</v>
      </c>
      <c r="J11" s="3">
        <f t="shared" si="1"/>
        <v>1120820.0000000002</v>
      </c>
      <c r="K11" s="3">
        <v>1.1000000000000001</v>
      </c>
      <c r="L11" s="3">
        <f t="shared" si="2"/>
        <v>1200</v>
      </c>
      <c r="M11" s="3">
        <v>25</v>
      </c>
      <c r="N11" s="3">
        <v>400</v>
      </c>
      <c r="O11" s="3">
        <v>0.01</v>
      </c>
      <c r="P11" s="3">
        <f>T11/(L11*100)</f>
        <v>0.01</v>
      </c>
      <c r="Q11" s="3">
        <v>2.5000000000000001E-2</v>
      </c>
      <c r="R11" s="3">
        <f t="shared" si="3"/>
        <v>-447.58653846153641</v>
      </c>
      <c r="S11" s="3">
        <f t="shared" si="4"/>
        <v>1200</v>
      </c>
      <c r="T11" s="3">
        <f>IF(R11&lt;S11,S11,R11)</f>
        <v>1200</v>
      </c>
      <c r="U11" s="9"/>
      <c r="V11" s="3">
        <v>14</v>
      </c>
      <c r="W11" s="3">
        <f t="shared" si="5"/>
        <v>7.8</v>
      </c>
      <c r="X11" s="3" t="s">
        <v>34</v>
      </c>
      <c r="Y11" s="9"/>
      <c r="Z11" s="8"/>
      <c r="AA11" s="8"/>
      <c r="AB11" s="8"/>
    </row>
    <row r="12" spans="1:28">
      <c r="A12" s="9"/>
      <c r="B12" s="3">
        <v>11</v>
      </c>
      <c r="C12" s="3" t="s">
        <v>20</v>
      </c>
      <c r="D12" s="3">
        <f>(53.12+468.8)*2</f>
        <v>1043.8399999999999</v>
      </c>
      <c r="E12" s="3">
        <v>0.3</v>
      </c>
      <c r="F12" s="3">
        <v>0.4</v>
      </c>
      <c r="G12" s="3">
        <v>3.5</v>
      </c>
      <c r="H12" s="3">
        <f t="shared" si="0"/>
        <v>14.7</v>
      </c>
      <c r="I12" s="5">
        <f t="shared" si="6"/>
        <v>1058.54</v>
      </c>
      <c r="J12" s="3">
        <f t="shared" si="1"/>
        <v>1058540</v>
      </c>
      <c r="K12" s="3">
        <v>1.1000000000000001</v>
      </c>
      <c r="L12" s="3">
        <f t="shared" si="2"/>
        <v>1200</v>
      </c>
      <c r="M12" s="3">
        <v>25</v>
      </c>
      <c r="N12" s="3">
        <v>400</v>
      </c>
      <c r="O12" s="3">
        <v>0.01</v>
      </c>
      <c r="P12" s="3">
        <f>T12/(L12*100)</f>
        <v>0.01</v>
      </c>
      <c r="Q12" s="3">
        <v>2.5000000000000001E-2</v>
      </c>
      <c r="R12" s="3">
        <f t="shared" si="3"/>
        <v>-776.95192307692366</v>
      </c>
      <c r="S12" s="3">
        <f t="shared" si="4"/>
        <v>1200</v>
      </c>
      <c r="T12" s="3">
        <f>IF(R12&lt;S12,S12,R12)</f>
        <v>1200</v>
      </c>
      <c r="U12" s="9"/>
      <c r="V12" s="3">
        <v>14</v>
      </c>
      <c r="W12" s="3">
        <f t="shared" si="5"/>
        <v>7.8</v>
      </c>
      <c r="X12" s="3" t="s">
        <v>34</v>
      </c>
      <c r="Y12" s="9"/>
      <c r="Z12" s="8"/>
      <c r="AA12" s="8"/>
      <c r="AB12" s="8"/>
    </row>
    <row r="13" spans="1:28">
      <c r="A13" s="9"/>
      <c r="B13" s="3">
        <v>12</v>
      </c>
      <c r="C13" s="3" t="s">
        <v>20</v>
      </c>
      <c r="D13" s="3">
        <f>(311.01+109.77)*2</f>
        <v>841.56</v>
      </c>
      <c r="E13" s="3">
        <v>0.3</v>
      </c>
      <c r="F13" s="3">
        <v>0.4</v>
      </c>
      <c r="G13" s="3">
        <v>3.5</v>
      </c>
      <c r="H13" s="3">
        <f t="shared" si="0"/>
        <v>14.7</v>
      </c>
      <c r="I13" s="5">
        <f t="shared" si="6"/>
        <v>856.26</v>
      </c>
      <c r="J13" s="3">
        <f t="shared" si="1"/>
        <v>856260</v>
      </c>
      <c r="K13" s="3">
        <v>1.3</v>
      </c>
      <c r="L13" s="3">
        <f t="shared" si="2"/>
        <v>1200</v>
      </c>
      <c r="M13" s="3">
        <v>25</v>
      </c>
      <c r="N13" s="3">
        <v>400</v>
      </c>
      <c r="O13" s="3">
        <v>0.01</v>
      </c>
      <c r="P13" s="3">
        <f>T13/(L13*100)</f>
        <v>0.01</v>
      </c>
      <c r="Q13" s="3">
        <v>2.5000000000000001E-2</v>
      </c>
      <c r="R13" s="3">
        <f t="shared" si="3"/>
        <v>-1023.375</v>
      </c>
      <c r="S13" s="3">
        <f t="shared" si="4"/>
        <v>1200</v>
      </c>
      <c r="T13" s="3">
        <f>IF(R13&lt;S13,S13,R13)</f>
        <v>1200</v>
      </c>
      <c r="U13" s="9"/>
      <c r="V13" s="3">
        <v>14</v>
      </c>
      <c r="W13" s="3">
        <f t="shared" si="5"/>
        <v>7.8</v>
      </c>
      <c r="X13" s="3" t="s">
        <v>34</v>
      </c>
      <c r="Y13" s="9"/>
      <c r="Z13" s="8"/>
      <c r="AA13" s="8"/>
      <c r="AB13" s="8"/>
    </row>
    <row r="14" spans="1:28">
      <c r="A14" s="9"/>
      <c r="B14" s="3">
        <v>13</v>
      </c>
      <c r="C14" s="3" t="s">
        <v>21</v>
      </c>
      <c r="D14" s="3">
        <f>(49.11+680.2)*2</f>
        <v>1458.6200000000001</v>
      </c>
      <c r="E14" s="3">
        <v>0.3</v>
      </c>
      <c r="F14" s="3">
        <v>0.4</v>
      </c>
      <c r="G14" s="3">
        <v>3.5</v>
      </c>
      <c r="H14" s="3">
        <f t="shared" si="0"/>
        <v>14.7</v>
      </c>
      <c r="I14" s="5">
        <f t="shared" si="6"/>
        <v>1473.3200000000002</v>
      </c>
      <c r="J14" s="3">
        <f t="shared" si="1"/>
        <v>1473320.0000000002</v>
      </c>
      <c r="K14" s="3">
        <v>1.1000000000000001</v>
      </c>
      <c r="L14" s="3">
        <f t="shared" si="2"/>
        <v>1200</v>
      </c>
      <c r="M14" s="3">
        <v>25</v>
      </c>
      <c r="N14" s="3">
        <v>400</v>
      </c>
      <c r="O14" s="3">
        <v>0.01</v>
      </c>
      <c r="P14" s="3">
        <f>T14/(L14*100)</f>
        <v>1.1804967948717967E-2</v>
      </c>
      <c r="Q14" s="3">
        <v>2.5000000000000001E-2</v>
      </c>
      <c r="R14" s="3">
        <f t="shared" si="3"/>
        <v>1416.5961538461561</v>
      </c>
      <c r="S14" s="3">
        <f t="shared" si="4"/>
        <v>1200</v>
      </c>
      <c r="T14" s="7">
        <f>IF(R14&lt;S14,S14,R14)</f>
        <v>1416.5961538461561</v>
      </c>
      <c r="U14" s="9"/>
      <c r="V14" s="3">
        <v>14</v>
      </c>
      <c r="W14" s="3">
        <f t="shared" si="5"/>
        <v>9.1999999999999993</v>
      </c>
      <c r="X14" s="3" t="s">
        <v>34</v>
      </c>
      <c r="Y14" s="9"/>
      <c r="Z14" s="8"/>
      <c r="AA14" s="8"/>
      <c r="AB14" s="8"/>
    </row>
    <row r="15" spans="1:28">
      <c r="A15" s="9"/>
      <c r="B15" s="3">
        <v>14</v>
      </c>
      <c r="C15" s="3" t="s">
        <v>21</v>
      </c>
      <c r="D15" s="3">
        <f>690*2</f>
        <v>1380</v>
      </c>
      <c r="E15" s="3">
        <v>0.3</v>
      </c>
      <c r="F15" s="3">
        <v>0.4</v>
      </c>
      <c r="G15" s="3">
        <v>3.5</v>
      </c>
      <c r="H15" s="3">
        <f t="shared" si="0"/>
        <v>14.7</v>
      </c>
      <c r="I15" s="5">
        <f t="shared" si="6"/>
        <v>1394.7</v>
      </c>
      <c r="J15" s="3">
        <f t="shared" si="1"/>
        <v>1394700</v>
      </c>
      <c r="K15" s="3">
        <v>1.1000000000000001</v>
      </c>
      <c r="L15" s="3">
        <f t="shared" si="2"/>
        <v>1200</v>
      </c>
      <c r="M15" s="3">
        <v>25</v>
      </c>
      <c r="N15" s="3">
        <v>400</v>
      </c>
      <c r="O15" s="3">
        <v>0.01</v>
      </c>
      <c r="P15" s="3">
        <f>T15/(L15*100)</f>
        <v>0.01</v>
      </c>
      <c r="Q15" s="3">
        <v>2.5000000000000001E-2</v>
      </c>
      <c r="R15" s="3">
        <f t="shared" si="3"/>
        <v>1000.8173076923086</v>
      </c>
      <c r="S15" s="3">
        <f t="shared" si="4"/>
        <v>1200</v>
      </c>
      <c r="T15" s="3">
        <f>IF(R15&lt;S15,S15,R15)</f>
        <v>1200</v>
      </c>
      <c r="U15" s="9"/>
      <c r="V15" s="3">
        <v>14</v>
      </c>
      <c r="W15" s="3">
        <f t="shared" si="5"/>
        <v>7.8</v>
      </c>
      <c r="X15" s="3" t="s">
        <v>34</v>
      </c>
      <c r="Y15" s="9"/>
      <c r="Z15" s="8"/>
      <c r="AA15" s="8"/>
      <c r="AB15" s="8"/>
    </row>
    <row r="16" spans="1:28">
      <c r="A16" s="9"/>
      <c r="B16" s="3">
        <v>15</v>
      </c>
      <c r="C16" s="3" t="s">
        <v>21</v>
      </c>
      <c r="D16" s="3">
        <f>(143.5+437.6)*2</f>
        <v>1162.2</v>
      </c>
      <c r="E16" s="3">
        <v>0.3</v>
      </c>
      <c r="F16" s="3">
        <v>0.4</v>
      </c>
      <c r="G16" s="3">
        <v>3.5</v>
      </c>
      <c r="H16" s="3">
        <f t="shared" si="0"/>
        <v>14.7</v>
      </c>
      <c r="I16" s="5">
        <f t="shared" si="6"/>
        <v>1176.9000000000001</v>
      </c>
      <c r="J16" s="3">
        <f t="shared" si="1"/>
        <v>1176900</v>
      </c>
      <c r="K16" s="3">
        <v>1.1000000000000001</v>
      </c>
      <c r="L16" s="3">
        <f t="shared" si="2"/>
        <v>1200</v>
      </c>
      <c r="M16" s="3">
        <v>25</v>
      </c>
      <c r="N16" s="3">
        <v>400</v>
      </c>
      <c r="O16" s="3">
        <v>0.01</v>
      </c>
      <c r="P16" s="3">
        <f>T16/(L16*100)</f>
        <v>0.01</v>
      </c>
      <c r="Q16" s="3">
        <v>2.5000000000000001E-2</v>
      </c>
      <c r="R16" s="3">
        <f t="shared" si="3"/>
        <v>-151.00961538461502</v>
      </c>
      <c r="S16" s="3">
        <f t="shared" si="4"/>
        <v>1200</v>
      </c>
      <c r="T16" s="3">
        <f>IF(R16&lt;S16,S16,R16)</f>
        <v>1200</v>
      </c>
      <c r="U16" s="9"/>
      <c r="V16" s="3">
        <v>14</v>
      </c>
      <c r="W16" s="3">
        <f t="shared" si="5"/>
        <v>7.8</v>
      </c>
      <c r="X16" s="3" t="s">
        <v>34</v>
      </c>
      <c r="Y16" s="9"/>
      <c r="Z16" s="8"/>
      <c r="AA16" s="8"/>
      <c r="AB16" s="8"/>
    </row>
    <row r="17" spans="1:28">
      <c r="A17" s="9"/>
      <c r="B17" s="3">
        <v>16</v>
      </c>
      <c r="C17" s="3" t="s">
        <v>21</v>
      </c>
      <c r="D17" s="3">
        <f>(34.57+613)*2</f>
        <v>1295.1400000000001</v>
      </c>
      <c r="E17" s="3">
        <v>0.3</v>
      </c>
      <c r="F17" s="3">
        <v>0.4</v>
      </c>
      <c r="G17" s="3">
        <v>3.5</v>
      </c>
      <c r="H17" s="3">
        <f t="shared" si="0"/>
        <v>14.7</v>
      </c>
      <c r="I17" s="5">
        <f t="shared" si="6"/>
        <v>1309.8400000000001</v>
      </c>
      <c r="J17" s="3">
        <f t="shared" si="1"/>
        <v>1309840.0000000002</v>
      </c>
      <c r="K17" s="3">
        <v>1.1000000000000001</v>
      </c>
      <c r="L17" s="3">
        <f t="shared" si="2"/>
        <v>1200</v>
      </c>
      <c r="M17" s="3">
        <v>25</v>
      </c>
      <c r="N17" s="3">
        <v>400</v>
      </c>
      <c r="O17" s="3">
        <v>0.01</v>
      </c>
      <c r="P17" s="3">
        <f>T17/(L17*100)</f>
        <v>0.01</v>
      </c>
      <c r="Q17" s="3">
        <v>2.5000000000000001E-2</v>
      </c>
      <c r="R17" s="3">
        <f t="shared" si="3"/>
        <v>552.03846153846359</v>
      </c>
      <c r="S17" s="3">
        <f t="shared" si="4"/>
        <v>1200</v>
      </c>
      <c r="T17" s="3">
        <f>IF(R17&lt;S17,S17,R17)</f>
        <v>1200</v>
      </c>
      <c r="U17" s="9"/>
      <c r="V17" s="3">
        <v>14</v>
      </c>
      <c r="W17" s="3">
        <f t="shared" si="5"/>
        <v>7.8</v>
      </c>
      <c r="X17" s="3" t="s">
        <v>34</v>
      </c>
      <c r="Y17" s="9"/>
      <c r="Z17" s="8"/>
      <c r="AA17" s="8"/>
      <c r="AB17" s="8"/>
    </row>
    <row r="18" spans="1:28">
      <c r="A18" s="9"/>
      <c r="B18" s="3">
        <v>17</v>
      </c>
      <c r="C18" s="3" t="s">
        <v>20</v>
      </c>
      <c r="D18" s="3">
        <f>(342.8+87.9)*2</f>
        <v>861.40000000000009</v>
      </c>
      <c r="E18" s="3">
        <v>0.3</v>
      </c>
      <c r="F18" s="3">
        <v>0.4</v>
      </c>
      <c r="G18" s="3">
        <v>3.5</v>
      </c>
      <c r="H18" s="3">
        <f t="shared" si="0"/>
        <v>14.7</v>
      </c>
      <c r="I18" s="5">
        <f t="shared" si="6"/>
        <v>876.10000000000014</v>
      </c>
      <c r="J18" s="3">
        <f t="shared" si="1"/>
        <v>876100.00000000012</v>
      </c>
      <c r="K18" s="3">
        <v>1.1000000000000001</v>
      </c>
      <c r="L18" s="3">
        <f t="shared" si="2"/>
        <v>1200</v>
      </c>
      <c r="M18" s="3">
        <v>25</v>
      </c>
      <c r="N18" s="3">
        <v>400</v>
      </c>
      <c r="O18" s="3">
        <v>0.01</v>
      </c>
      <c r="P18" s="3">
        <f>T18/(L18*100)</f>
        <v>0.01</v>
      </c>
      <c r="Q18" s="3">
        <v>2.5000000000000001E-2</v>
      </c>
      <c r="R18" s="3">
        <f t="shared" si="3"/>
        <v>-1741.7788461538451</v>
      </c>
      <c r="S18" s="3">
        <f t="shared" si="4"/>
        <v>1200</v>
      </c>
      <c r="T18" s="3">
        <f>IF(R18&lt;S18,S18,R18)</f>
        <v>1200</v>
      </c>
      <c r="U18" s="9"/>
      <c r="V18" s="3">
        <v>14</v>
      </c>
      <c r="W18" s="3">
        <f t="shared" si="5"/>
        <v>7.8</v>
      </c>
      <c r="X18" s="3" t="s">
        <v>34</v>
      </c>
      <c r="Y18" s="9"/>
      <c r="Z18" s="8"/>
      <c r="AA18" s="8"/>
      <c r="AB18" s="8"/>
    </row>
    <row r="19" spans="1:28">
      <c r="A19" s="9"/>
      <c r="B19" s="3">
        <v>18</v>
      </c>
      <c r="C19" s="3" t="s">
        <v>19</v>
      </c>
      <c r="D19" s="3">
        <f>(437.6+91.46)*2</f>
        <v>1058.1200000000001</v>
      </c>
      <c r="E19" s="3">
        <v>0.3</v>
      </c>
      <c r="F19" s="3">
        <v>0.35</v>
      </c>
      <c r="G19" s="3">
        <v>3.5</v>
      </c>
      <c r="H19" s="3">
        <f t="shared" si="0"/>
        <v>12.862499999999999</v>
      </c>
      <c r="I19" s="5">
        <f t="shared" si="6"/>
        <v>1070.9825000000001</v>
      </c>
      <c r="J19" s="3">
        <f t="shared" si="1"/>
        <v>1070982.5</v>
      </c>
      <c r="K19" s="3">
        <v>1.3</v>
      </c>
      <c r="L19" s="3">
        <f t="shared" si="2"/>
        <v>1050</v>
      </c>
      <c r="M19" s="3">
        <v>25</v>
      </c>
      <c r="N19" s="3">
        <v>400</v>
      </c>
      <c r="O19" s="3">
        <v>0.01</v>
      </c>
      <c r="P19" s="3">
        <f>T19/(L19*100)</f>
        <v>1.0623958333333332E-2</v>
      </c>
      <c r="Q19" s="3">
        <v>2.5000000000000001E-2</v>
      </c>
      <c r="R19" s="3">
        <f t="shared" si="3"/>
        <v>1115.515625</v>
      </c>
      <c r="S19" s="3">
        <f t="shared" si="4"/>
        <v>1050</v>
      </c>
      <c r="T19" s="7">
        <f>IF(R19&lt;S19,S19,R19)</f>
        <v>1115.515625</v>
      </c>
      <c r="U19" s="9"/>
      <c r="V19" s="3">
        <v>14</v>
      </c>
      <c r="W19" s="3">
        <f t="shared" si="5"/>
        <v>7.2</v>
      </c>
      <c r="X19" s="3" t="s">
        <v>33</v>
      </c>
      <c r="Y19" s="9"/>
      <c r="Z19" s="8"/>
      <c r="AA19" s="8"/>
      <c r="AB19" s="8"/>
    </row>
    <row r="20" spans="1:28">
      <c r="A20" s="9"/>
      <c r="B20" s="3">
        <v>19</v>
      </c>
      <c r="C20" s="3" t="s">
        <v>19</v>
      </c>
      <c r="D20" s="3">
        <f>(79.66+136.27)*2</f>
        <v>431.86</v>
      </c>
      <c r="E20" s="3">
        <v>0.3</v>
      </c>
      <c r="F20" s="3">
        <v>0.35</v>
      </c>
      <c r="G20" s="3">
        <v>3.5</v>
      </c>
      <c r="H20" s="3">
        <f t="shared" si="0"/>
        <v>12.862499999999999</v>
      </c>
      <c r="I20" s="5">
        <f t="shared" si="6"/>
        <v>444.72250000000003</v>
      </c>
      <c r="J20" s="3">
        <f t="shared" si="1"/>
        <v>444722.5</v>
      </c>
      <c r="K20" s="3">
        <v>1.1000000000000001</v>
      </c>
      <c r="L20" s="3">
        <f t="shared" si="2"/>
        <v>1050</v>
      </c>
      <c r="M20" s="3">
        <v>25</v>
      </c>
      <c r="N20" s="3">
        <v>400</v>
      </c>
      <c r="O20" s="3">
        <v>0.01</v>
      </c>
      <c r="P20" s="3">
        <f>T20/(L20*100)</f>
        <v>0.01</v>
      </c>
      <c r="Q20" s="3">
        <v>2.5000000000000001E-2</v>
      </c>
      <c r="R20" s="3">
        <f t="shared" si="3"/>
        <v>-3226.2271634615381</v>
      </c>
      <c r="S20" s="3">
        <f t="shared" si="4"/>
        <v>1050</v>
      </c>
      <c r="T20" s="3">
        <f>IF(R20&lt;S20,S20,R20)</f>
        <v>1050</v>
      </c>
      <c r="U20" s="9"/>
      <c r="V20" s="3">
        <v>14</v>
      </c>
      <c r="W20" s="3">
        <f t="shared" si="5"/>
        <v>6.8</v>
      </c>
      <c r="X20" s="3" t="s">
        <v>33</v>
      </c>
      <c r="Y20" s="9"/>
      <c r="Z20" s="8"/>
      <c r="AA20" s="8"/>
      <c r="AB20" s="8"/>
    </row>
    <row r="21" spans="1:28">
      <c r="A21" s="9"/>
      <c r="B21" s="3">
        <v>20</v>
      </c>
      <c r="C21" s="3" t="s">
        <v>20</v>
      </c>
      <c r="D21" s="3">
        <f>(88.62+613)*2</f>
        <v>1403.24</v>
      </c>
      <c r="E21" s="3">
        <v>0.3</v>
      </c>
      <c r="F21" s="3">
        <v>0.4</v>
      </c>
      <c r="G21" s="3">
        <v>3.5</v>
      </c>
      <c r="H21" s="3">
        <f t="shared" si="0"/>
        <v>14.7</v>
      </c>
      <c r="I21" s="5">
        <f t="shared" si="6"/>
        <v>1417.94</v>
      </c>
      <c r="J21" s="3">
        <f t="shared" si="1"/>
        <v>1417940</v>
      </c>
      <c r="K21" s="3">
        <v>1.1000000000000001</v>
      </c>
      <c r="L21" s="3">
        <f t="shared" si="2"/>
        <v>1200</v>
      </c>
      <c r="M21" s="3">
        <v>25</v>
      </c>
      <c r="N21" s="3">
        <v>400</v>
      </c>
      <c r="O21" s="3">
        <v>0.01</v>
      </c>
      <c r="P21" s="3">
        <f>T21/(L21*100)</f>
        <v>0.01</v>
      </c>
      <c r="Q21" s="3">
        <v>2.5000000000000001E-2</v>
      </c>
      <c r="R21" s="3">
        <f t="shared" si="3"/>
        <v>1123.7211538461549</v>
      </c>
      <c r="S21" s="3">
        <f t="shared" si="4"/>
        <v>1200</v>
      </c>
      <c r="T21" s="3">
        <f>IF(R21&lt;S21,S21,R21)</f>
        <v>1200</v>
      </c>
      <c r="U21" s="9"/>
      <c r="V21" s="3">
        <v>14</v>
      </c>
      <c r="W21" s="3">
        <f t="shared" si="5"/>
        <v>7.8</v>
      </c>
      <c r="X21" s="3" t="s">
        <v>34</v>
      </c>
      <c r="Y21" s="9"/>
      <c r="Z21" s="8"/>
      <c r="AA21" s="8"/>
      <c r="AB21" s="8"/>
    </row>
    <row r="22" spans="1:28">
      <c r="A22" s="9"/>
      <c r="B22" s="3">
        <v>21</v>
      </c>
      <c r="C22" s="3" t="s">
        <v>20</v>
      </c>
      <c r="D22" s="3">
        <f>(115.29+613)*2</f>
        <v>1456.58</v>
      </c>
      <c r="E22" s="3">
        <v>0.3</v>
      </c>
      <c r="F22" s="3">
        <v>0.4</v>
      </c>
      <c r="G22" s="3">
        <v>3.5</v>
      </c>
      <c r="H22" s="3">
        <f t="shared" si="0"/>
        <v>14.7</v>
      </c>
      <c r="I22" s="5">
        <f t="shared" si="6"/>
        <v>1471.28</v>
      </c>
      <c r="J22" s="3">
        <f t="shared" si="1"/>
        <v>1471280</v>
      </c>
      <c r="K22" s="3">
        <v>1.1000000000000001</v>
      </c>
      <c r="L22" s="3">
        <f t="shared" si="2"/>
        <v>1200</v>
      </c>
      <c r="M22" s="3">
        <v>25</v>
      </c>
      <c r="N22" s="3">
        <v>400</v>
      </c>
      <c r="O22" s="3">
        <v>0.01</v>
      </c>
      <c r="P22" s="3">
        <f>T22/(L22*100)</f>
        <v>1.1715064102564114E-2</v>
      </c>
      <c r="Q22" s="3">
        <v>2.5000000000000001E-2</v>
      </c>
      <c r="R22" s="3">
        <f t="shared" si="3"/>
        <v>1405.8076923076937</v>
      </c>
      <c r="S22" s="3">
        <f t="shared" si="4"/>
        <v>1200</v>
      </c>
      <c r="T22" s="7">
        <f>IF(R22&lt;S22,S22,R22)</f>
        <v>1405.8076923076937</v>
      </c>
      <c r="U22" s="9"/>
      <c r="V22" s="3">
        <v>14</v>
      </c>
      <c r="W22" s="3">
        <f t="shared" si="5"/>
        <v>9.1</v>
      </c>
      <c r="X22" s="3" t="s">
        <v>34</v>
      </c>
      <c r="Y22" s="9"/>
      <c r="Z22" s="8"/>
      <c r="AA22" s="8"/>
      <c r="AB22" s="8"/>
    </row>
    <row r="23" spans="1:28">
      <c r="A23" s="9"/>
      <c r="B23" s="3">
        <v>22</v>
      </c>
      <c r="C23" s="3" t="s">
        <v>16</v>
      </c>
      <c r="D23" s="3">
        <f>(158.77+44.11)*2</f>
        <v>405.76</v>
      </c>
      <c r="E23" s="3">
        <v>0.3</v>
      </c>
      <c r="F23" s="3">
        <v>0.3</v>
      </c>
      <c r="G23" s="3">
        <v>3.5</v>
      </c>
      <c r="H23" s="3">
        <f t="shared" si="0"/>
        <v>11.024999999999999</v>
      </c>
      <c r="I23" s="5">
        <f t="shared" si="6"/>
        <v>416.78499999999997</v>
      </c>
      <c r="J23" s="3">
        <f t="shared" si="1"/>
        <v>416784.99999999994</v>
      </c>
      <c r="K23" s="3">
        <v>1.4</v>
      </c>
      <c r="L23" s="3">
        <f t="shared" si="2"/>
        <v>900</v>
      </c>
      <c r="M23" s="3">
        <v>25</v>
      </c>
      <c r="N23" s="3">
        <v>400</v>
      </c>
      <c r="O23" s="3">
        <v>0.01</v>
      </c>
      <c r="P23" s="3">
        <f>T23/(L23*100)</f>
        <v>0.01</v>
      </c>
      <c r="Q23" s="3">
        <v>2.5000000000000001E-2</v>
      </c>
      <c r="R23" s="3">
        <f t="shared" si="3"/>
        <v>-1975.9663461538469</v>
      </c>
      <c r="S23" s="3">
        <f t="shared" si="4"/>
        <v>900</v>
      </c>
      <c r="T23" s="3">
        <f>IF(R23&lt;S23,S23,R23)</f>
        <v>900</v>
      </c>
      <c r="U23" s="9"/>
      <c r="V23" s="3">
        <v>14</v>
      </c>
      <c r="W23" s="3">
        <f t="shared" si="5"/>
        <v>5.8</v>
      </c>
      <c r="X23" s="3" t="s">
        <v>33</v>
      </c>
      <c r="Y23" s="9"/>
      <c r="Z23" s="8"/>
      <c r="AA23" s="8"/>
      <c r="AB23" s="8"/>
    </row>
    <row r="24" spans="1:28">
      <c r="A24" s="9"/>
      <c r="B24" s="3">
        <v>23</v>
      </c>
      <c r="C24" s="3" t="s">
        <v>19</v>
      </c>
      <c r="D24" s="3">
        <f>(117.47+352.9)*2</f>
        <v>940.74</v>
      </c>
      <c r="E24" s="3">
        <v>0.3</v>
      </c>
      <c r="F24" s="3">
        <v>0.35</v>
      </c>
      <c r="G24" s="3">
        <v>3.5</v>
      </c>
      <c r="H24" s="3">
        <f t="shared" si="0"/>
        <v>12.862499999999999</v>
      </c>
      <c r="I24" s="5">
        <f t="shared" si="6"/>
        <v>953.60249999999996</v>
      </c>
      <c r="J24" s="3">
        <f t="shared" si="1"/>
        <v>953602.5</v>
      </c>
      <c r="K24" s="3">
        <v>1.3</v>
      </c>
      <c r="L24" s="3">
        <f t="shared" si="2"/>
        <v>1050</v>
      </c>
      <c r="M24" s="3">
        <v>25</v>
      </c>
      <c r="N24" s="3">
        <v>400</v>
      </c>
      <c r="O24" s="3">
        <v>0.01</v>
      </c>
      <c r="P24" s="3">
        <f>T24/(L24*100)</f>
        <v>0.01</v>
      </c>
      <c r="Q24" s="3">
        <v>2.5000000000000001E-2</v>
      </c>
      <c r="R24" s="3">
        <f t="shared" si="3"/>
        <v>381.890625</v>
      </c>
      <c r="S24" s="3">
        <f t="shared" si="4"/>
        <v>1050</v>
      </c>
      <c r="T24" s="3">
        <f>IF(R24&lt;S24,S24,R24)</f>
        <v>1050</v>
      </c>
      <c r="U24" s="9"/>
      <c r="V24" s="3">
        <v>14</v>
      </c>
      <c r="W24" s="3">
        <f t="shared" si="5"/>
        <v>6.8</v>
      </c>
      <c r="X24" s="3" t="s">
        <v>33</v>
      </c>
      <c r="Y24" s="9"/>
      <c r="Z24" s="8"/>
      <c r="AA24" s="8"/>
      <c r="AB24" s="8"/>
    </row>
    <row r="25" spans="1:28">
      <c r="A25" s="9"/>
      <c r="B25" s="3">
        <v>24</v>
      </c>
      <c r="C25" s="3" t="s">
        <v>20</v>
      </c>
      <c r="D25" s="3">
        <f>(110.09+85.1)*2</f>
        <v>390.38</v>
      </c>
      <c r="E25" s="3">
        <v>0.3</v>
      </c>
      <c r="F25" s="3">
        <v>0.4</v>
      </c>
      <c r="G25" s="3">
        <v>3.5</v>
      </c>
      <c r="H25" s="3">
        <f t="shared" si="0"/>
        <v>14.7</v>
      </c>
      <c r="I25" s="5">
        <f t="shared" si="6"/>
        <v>405.08</v>
      </c>
      <c r="J25" s="3">
        <f t="shared" si="1"/>
        <v>405080</v>
      </c>
      <c r="K25" s="3">
        <v>1.3</v>
      </c>
      <c r="L25" s="3">
        <f t="shared" si="2"/>
        <v>1200</v>
      </c>
      <c r="M25" s="3">
        <v>25</v>
      </c>
      <c r="N25" s="3">
        <v>400</v>
      </c>
      <c r="O25" s="3">
        <v>0.01</v>
      </c>
      <c r="P25" s="3">
        <f>T25/(L25*100)</f>
        <v>0.01</v>
      </c>
      <c r="Q25" s="3">
        <v>2.5000000000000001E-2</v>
      </c>
      <c r="R25" s="3">
        <f t="shared" si="3"/>
        <v>-3843.25</v>
      </c>
      <c r="S25" s="3">
        <f t="shared" si="4"/>
        <v>1200</v>
      </c>
      <c r="T25" s="3">
        <f>IF(R25&lt;S25,S25,R25)</f>
        <v>1200</v>
      </c>
      <c r="U25" s="9"/>
      <c r="V25" s="3">
        <v>14</v>
      </c>
      <c r="W25" s="3">
        <f t="shared" si="5"/>
        <v>7.8</v>
      </c>
      <c r="X25" s="3" t="s">
        <v>34</v>
      </c>
      <c r="Y25" s="9"/>
      <c r="Z25" s="8"/>
      <c r="AA25" s="8"/>
      <c r="AB25" s="8"/>
    </row>
    <row r="26" spans="1:28">
      <c r="A26" s="9"/>
      <c r="B26" s="3">
        <v>25</v>
      </c>
      <c r="C26" s="3" t="s">
        <v>20</v>
      </c>
      <c r="D26" s="3">
        <f>(107.76+347)*2</f>
        <v>909.52</v>
      </c>
      <c r="E26" s="3">
        <v>0.3</v>
      </c>
      <c r="F26" s="3">
        <v>0.4</v>
      </c>
      <c r="G26" s="3">
        <v>3.5</v>
      </c>
      <c r="H26" s="3">
        <f t="shared" si="0"/>
        <v>14.7</v>
      </c>
      <c r="I26" s="5">
        <f t="shared" si="6"/>
        <v>924.22</v>
      </c>
      <c r="J26" s="3">
        <f t="shared" si="1"/>
        <v>924220</v>
      </c>
      <c r="K26" s="3">
        <v>1.3</v>
      </c>
      <c r="L26" s="3">
        <f t="shared" si="2"/>
        <v>1200</v>
      </c>
      <c r="M26" s="3">
        <v>25</v>
      </c>
      <c r="N26" s="3">
        <v>400</v>
      </c>
      <c r="O26" s="3">
        <v>0.01</v>
      </c>
      <c r="P26" s="3">
        <f>T26/(L26*100)</f>
        <v>0.01</v>
      </c>
      <c r="Q26" s="3">
        <v>2.5000000000000001E-2</v>
      </c>
      <c r="R26" s="3">
        <f t="shared" si="3"/>
        <v>-598.625</v>
      </c>
      <c r="S26" s="3">
        <f t="shared" si="4"/>
        <v>1200</v>
      </c>
      <c r="T26" s="3">
        <f>IF(R26&lt;S26,S26,R26)</f>
        <v>1200</v>
      </c>
      <c r="U26" s="9"/>
      <c r="V26" s="3">
        <v>14</v>
      </c>
      <c r="W26" s="3">
        <f t="shared" si="5"/>
        <v>7.8</v>
      </c>
      <c r="X26" s="3" t="s">
        <v>34</v>
      </c>
      <c r="Y26" s="9"/>
      <c r="Z26" s="8"/>
      <c r="AA26" s="8"/>
      <c r="AB26" s="8"/>
    </row>
    <row r="27" spans="1:28">
      <c r="A27" s="9"/>
      <c r="B27" s="3">
        <v>26</v>
      </c>
      <c r="C27" s="3" t="s">
        <v>19</v>
      </c>
      <c r="D27" s="3">
        <f>(100+347)*2</f>
        <v>894</v>
      </c>
      <c r="E27" s="3">
        <v>0.3</v>
      </c>
      <c r="F27" s="3">
        <v>0.35</v>
      </c>
      <c r="G27" s="3">
        <v>3.5</v>
      </c>
      <c r="H27" s="3">
        <f t="shared" si="0"/>
        <v>12.862499999999999</v>
      </c>
      <c r="I27" s="5">
        <f t="shared" si="6"/>
        <v>906.86249999999995</v>
      </c>
      <c r="J27" s="3">
        <f t="shared" si="1"/>
        <v>906862.5</v>
      </c>
      <c r="K27" s="3">
        <v>1.3</v>
      </c>
      <c r="L27" s="3">
        <f t="shared" si="2"/>
        <v>1050</v>
      </c>
      <c r="M27" s="3">
        <v>25</v>
      </c>
      <c r="N27" s="3">
        <v>400</v>
      </c>
      <c r="O27" s="3">
        <v>0.01</v>
      </c>
      <c r="P27" s="3">
        <f>T27/(L27*100)</f>
        <v>0.01</v>
      </c>
      <c r="Q27" s="3">
        <v>2.5000000000000001E-2</v>
      </c>
      <c r="R27" s="3">
        <f t="shared" si="3"/>
        <v>89.765625</v>
      </c>
      <c r="S27" s="3">
        <f t="shared" si="4"/>
        <v>1050</v>
      </c>
      <c r="T27" s="3">
        <f>IF(R27&lt;S27,S27,R27)</f>
        <v>1050</v>
      </c>
      <c r="U27" s="9"/>
      <c r="V27" s="3">
        <v>14</v>
      </c>
      <c r="W27" s="3">
        <f t="shared" si="5"/>
        <v>6.8</v>
      </c>
      <c r="X27" s="3" t="s">
        <v>33</v>
      </c>
      <c r="Y27" s="9"/>
      <c r="Z27" s="8"/>
      <c r="AA27" s="8"/>
      <c r="AB27" s="8"/>
    </row>
    <row r="28" spans="1:28">
      <c r="A28" s="9"/>
      <c r="B28" s="3">
        <v>27</v>
      </c>
      <c r="C28" s="3" t="s">
        <v>19</v>
      </c>
      <c r="D28" s="3">
        <f>(95.31+320.3)*2</f>
        <v>831.22</v>
      </c>
      <c r="E28" s="3">
        <v>0.3</v>
      </c>
      <c r="F28" s="3">
        <v>0.35</v>
      </c>
      <c r="G28" s="3">
        <v>3.5</v>
      </c>
      <c r="H28" s="3">
        <f t="shared" si="0"/>
        <v>12.862499999999999</v>
      </c>
      <c r="I28" s="5">
        <f t="shared" si="6"/>
        <v>844.08249999999998</v>
      </c>
      <c r="J28" s="3">
        <f t="shared" si="1"/>
        <v>844082.5</v>
      </c>
      <c r="K28" s="3">
        <v>1.3</v>
      </c>
      <c r="L28" s="3">
        <f t="shared" si="2"/>
        <v>1050</v>
      </c>
      <c r="M28" s="3">
        <v>25</v>
      </c>
      <c r="N28" s="3">
        <v>400</v>
      </c>
      <c r="O28" s="3">
        <v>0.01</v>
      </c>
      <c r="P28" s="3">
        <f>T28/(L28*100)</f>
        <v>0.01</v>
      </c>
      <c r="Q28" s="3">
        <v>2.5000000000000001E-2</v>
      </c>
      <c r="R28" s="3">
        <f t="shared" si="3"/>
        <v>-302.609375</v>
      </c>
      <c r="S28" s="3">
        <f t="shared" si="4"/>
        <v>1050</v>
      </c>
      <c r="T28" s="3">
        <f>IF(R28&lt;S28,S28,R28)</f>
        <v>1050</v>
      </c>
      <c r="U28" s="9"/>
      <c r="V28" s="3">
        <v>14</v>
      </c>
      <c r="W28" s="3">
        <f t="shared" si="5"/>
        <v>6.8</v>
      </c>
      <c r="X28" s="3" t="s">
        <v>33</v>
      </c>
      <c r="Y28" s="9"/>
      <c r="Z28" s="8"/>
      <c r="AA28" s="8"/>
      <c r="AB28" s="8"/>
    </row>
    <row r="29" spans="1:28">
      <c r="A29" s="9"/>
      <c r="B29" s="3">
        <v>28</v>
      </c>
      <c r="C29" s="3" t="s">
        <v>19</v>
      </c>
      <c r="D29" s="3">
        <f>(275.86+87.15)*2</f>
        <v>726.02</v>
      </c>
      <c r="E29" s="3">
        <v>0.3</v>
      </c>
      <c r="F29" s="3">
        <v>0.35</v>
      </c>
      <c r="G29" s="3">
        <v>3.5</v>
      </c>
      <c r="H29" s="3">
        <f t="shared" si="0"/>
        <v>12.862499999999999</v>
      </c>
      <c r="I29" s="5">
        <f t="shared" si="6"/>
        <v>738.88249999999994</v>
      </c>
      <c r="J29" s="3">
        <f t="shared" si="1"/>
        <v>738882.49999999988</v>
      </c>
      <c r="K29" s="3">
        <v>1.4</v>
      </c>
      <c r="L29" s="3">
        <f t="shared" si="2"/>
        <v>1050</v>
      </c>
      <c r="M29" s="3">
        <v>25</v>
      </c>
      <c r="N29" s="3">
        <v>400</v>
      </c>
      <c r="O29" s="3">
        <v>0.01</v>
      </c>
      <c r="P29" s="3">
        <f>T29/(L29*100)</f>
        <v>0.01</v>
      </c>
      <c r="Q29" s="3">
        <v>2.5000000000000001E-2</v>
      </c>
      <c r="R29" s="3">
        <f t="shared" si="3"/>
        <v>-604.87740384615495</v>
      </c>
      <c r="S29" s="3">
        <f t="shared" si="4"/>
        <v>1050</v>
      </c>
      <c r="T29" s="3">
        <f>IF(R29&lt;S29,S29,R29)</f>
        <v>1050</v>
      </c>
      <c r="U29" s="9"/>
      <c r="V29" s="3">
        <v>14</v>
      </c>
      <c r="W29" s="3">
        <f t="shared" si="5"/>
        <v>6.8</v>
      </c>
      <c r="X29" s="3" t="s">
        <v>33</v>
      </c>
      <c r="Y29" s="9"/>
      <c r="Z29" s="8"/>
      <c r="AA29" s="8"/>
      <c r="AB29" s="8"/>
    </row>
  </sheetData>
  <mergeCells count="6">
    <mergeCell ref="AA2:AA29"/>
    <mergeCell ref="AB2:AB29"/>
    <mergeCell ref="A2:A29"/>
    <mergeCell ref="U1:U29"/>
    <mergeCell ref="Y1:Y29"/>
    <mergeCell ref="Z2:Z29"/>
  </mergeCells>
  <phoneticPr fontId="5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</dc:creator>
  <cp:lastModifiedBy>Ibrahim</cp:lastModifiedBy>
  <dcterms:created xsi:type="dcterms:W3CDTF">2015-06-05T18:17:20Z</dcterms:created>
  <dcterms:modified xsi:type="dcterms:W3CDTF">2025-05-19T10:15:52Z</dcterms:modified>
</cp:coreProperties>
</file>